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custom.xml" ContentType="application/vnd.openxmlformats-officedocument.custom-properties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16.xml" ContentType="application/vnd.openxmlformats-officedocument.spreadsheetml.externalLink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5" yWindow="180" windowWidth="13380" windowHeight="6855" tabRatio="815" activeTab="3"/>
  </bookViews>
  <sheets>
    <sheet name="References" sheetId="4" r:id="rId1"/>
    <sheet name="DF Calculation" sheetId="7" r:id="rId2"/>
    <sheet name="Mapping" sheetId="17" r:id="rId3"/>
    <sheet name="To Populate Tariff" sheetId="22" r:id="rId4"/>
    <sheet name="Disposal Schedule" sheetId="25" r:id="rId5"/>
    <sheet name="2180 (Reg.) - Price Out " sheetId="23" r:id="rId6"/>
    <sheet name="2180 (JBLM Housing) - Price Out" sheetId="2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#REF!</definedName>
    <definedName name="\S">#REF!</definedName>
    <definedName name="\Y">#REF!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2">[1]Hidden!$O$11</definedName>
    <definedName name="_123Graph_g" hidden="1">'[2]#REF'!$F$9:$F$83</definedName>
    <definedName name="_132" hidden="1">[3]XXXXXX!$B$10:$B$10</definedName>
    <definedName name="_132Graph_h" hidden="1">#REF!</definedName>
    <definedName name="_ACT1">[4]Hidden!#REF!</definedName>
    <definedName name="_ACT2">[4]Hidden!#REF!</definedName>
    <definedName name="_ACT3">[4]Hidden!#REF!</definedName>
    <definedName name="_COS1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hidden="1">#REF!</definedName>
    <definedName name="_xlnm._FilterDatabase" localSheetId="5" hidden="1">'2180 (Reg.) - Price Out '!$A$434:$C$434</definedName>
    <definedName name="_xlnm._FilterDatabase" localSheetId="2" hidden="1">Mapping!$A$1:$N$116</definedName>
    <definedName name="_xlnm._FilterDatabase" localSheetId="3" hidden="1">'To Populate Tariff'!$A$1:$F$135</definedName>
    <definedName name="_Key1" hidden="1">#REF!</definedName>
    <definedName name="_Key2" hidden="1">'[2]#REF'!$D$12</definedName>
    <definedName name="_key5" hidden="1">[3]XXXXXX!$H$10</definedName>
    <definedName name="_LYA12">[1]Hidden!$O$11</definedName>
    <definedName name="_max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Sort" hidden="1">#REF!</definedName>
    <definedName name="_Sort1" hidden="1">'[2]#REF'!$A$10:$Z$281</definedName>
    <definedName name="_sort3" hidden="1">[3]XXXXXX!$G$10:$J$11</definedName>
    <definedName name="a">#REF!</definedName>
    <definedName name="Accounts">#REF!</definedName>
    <definedName name="ACCT">[4]Hidden!#REF!</definedName>
    <definedName name="ACCT.ConsolSum">[1]Hidden!$Q$11</definedName>
    <definedName name="ACT_CUR">[4]Hidden!#REF!</definedName>
    <definedName name="ACT_YTD">[4]Hidden!#REF!</definedName>
    <definedName name="afsdfsdfsd">#REF!</definedName>
    <definedName name="AmountCount">#REF!</definedName>
    <definedName name="AmountCount1">#REF!</definedName>
    <definedName name="AmountFrom">#REF!</definedName>
    <definedName name="AmountTo">#REF!</definedName>
    <definedName name="AmountTotal">#REF!</definedName>
    <definedName name="AmountTotal1">#REF!</definedName>
    <definedName name="BookRev">'[5]Pacific Regulated - Price Out'!$F$50</definedName>
    <definedName name="BookRev_com">'[5]Pacific Regulated - Price Out'!$F$214</definedName>
    <definedName name="BookRev_mfr">'[5]Pacific Regulated - Price Out'!$F$222</definedName>
    <definedName name="BookRev_ro">'[5]Pacific Regulated - Price Out'!$F$282</definedName>
    <definedName name="BookRev_rr">'[5]Pacific Regulated - Price Out'!$F$59</definedName>
    <definedName name="BookRev_yw">'[5]Pacific Regulated - Price Out'!$F$70</definedName>
    <definedName name="BREMAIR_COST_of_SERVICE_STUDY">#REF!</definedName>
    <definedName name="BUD_CUR">[4]Hidden!#REF!</definedName>
    <definedName name="BUD_YTD">[4]Hidden!#REF!</definedName>
    <definedName name="CalRecyTons">'[6]Recycl Tons, Commodity Value'!$L$23</definedName>
    <definedName name="CheckTotals">#REF!</definedName>
    <definedName name="colgroup">[1]Orientation!$G$6</definedName>
    <definedName name="colsegment">[1]Orientation!$F$6</definedName>
    <definedName name="CommlStaffPriceOut">'[7]Price Out-Reg EASTSIDE-Resi'!#REF!</definedName>
    <definedName name="COST_OF_SERVICE_STUDY">#REF!</definedName>
    <definedName name="CRCTable">#REF!</definedName>
    <definedName name="CRCTableOLD">#REF!</definedName>
    <definedName name="CriteriaType">[8]ControlPanel!$Z$2:$Z$5</definedName>
    <definedName name="CurrentMonth">#REF!</definedName>
    <definedName name="Cutomers">#REF!</definedName>
    <definedName name="_xlnm.Database">#REF!</definedName>
    <definedName name="Database1">#REF!</definedName>
    <definedName name="DateFrom">#REF!</definedName>
    <definedName name="DateTo">#REF!</definedName>
    <definedName name="DBxStaffPriceOut">'[7]Price Out-Reg EASTSIDE-Resi'!#REF!</definedName>
    <definedName name="DEPT">[4]Hidden!#REF!</definedName>
    <definedName name="Dist">[9]Data!$E$3</definedName>
    <definedName name="District">'[10]Vashon BS'!#REF!</definedName>
    <definedName name="DistrictNum">#REF!</definedName>
    <definedName name="Districts">#REF!</definedName>
    <definedName name="dOG">#REF!</definedName>
    <definedName name="drlFilter">[1]Settings!$D$27</definedName>
    <definedName name="End">#REF!</definedName>
    <definedName name="EntrieShownLimit">#REF!</definedName>
    <definedName name="ExcludeIC">'[10]Vashon BS'!#REF!</definedName>
    <definedName name="ExpensesPF1">#REF!</definedName>
    <definedName name="EXT">#REF!</definedName>
    <definedName name="FBTable">#REF!</definedName>
    <definedName name="FBTableOld">#REF!</definedName>
    <definedName name="filter">[1]Settings!$B$14:$H$25</definedName>
    <definedName name="FromMonth">#REF!</definedName>
    <definedName name="FundsApprPend">[9]Data!#REF!</definedName>
    <definedName name="FundsBudUnbud">[9]Data!#REF!</definedName>
    <definedName name="GLMappingStart">#REF!</definedName>
    <definedName name="GLMappingStart1">#REF!</definedName>
    <definedName name="Import_Range">[9]Data!#REF!</definedName>
    <definedName name="IncomeStmnt">#REF!</definedName>
    <definedName name="INPUT">#REF!</definedName>
    <definedName name="INPUTc">#REF!</definedName>
    <definedName name="Insurance">#REF!</definedName>
    <definedName name="Interject_LastPulledValues_BalanceRange">#REF!</definedName>
    <definedName name="Interject_LastPulledValues_DescriptionRange">#REF!</definedName>
    <definedName name="Interject_LastPulledValues_LastChangeGUID">#REF!</definedName>
    <definedName name="Interject_LastPulledValues_PreviousLastChangeGUID">#REF!</definedName>
    <definedName name="Invoice_Start">[9]Invoice_Drill!#REF!</definedName>
    <definedName name="JEDetail">#REF!</definedName>
    <definedName name="JEDetail1">#REF!</definedName>
    <definedName name="JEType">#REF!</definedName>
    <definedName name="JEType1">#REF!</definedName>
    <definedName name="lblBillAreaStatus">#REF!</definedName>
    <definedName name="lblBillCycleStatus">#REF!</definedName>
    <definedName name="lblCategoryStatus">#REF!</definedName>
    <definedName name="lblCompanyStatus">#REF!</definedName>
    <definedName name="lblDatabaseStatus">#REF!</definedName>
    <definedName name="lblPullStatus">#REF!</definedName>
    <definedName name="lllllllllllllllllllll">#REF!</definedName>
    <definedName name="LOB">[11]DropDownRanges!$B$4:$B$37</definedName>
    <definedName name="MainDataEnd">#REF!</definedName>
    <definedName name="MainDataStart">#REF!</definedName>
    <definedName name="MapKeyStart">#REF!</definedName>
    <definedName name="master_def">#REF!</definedName>
    <definedName name="MATRIX">#REF!</definedName>
    <definedName name="MemoAttachment">#REF!</definedName>
    <definedName name="MetaSet">[1]Orientation!$C$22</definedName>
    <definedName name="MFStaffPriceOut">'[7]Price Out-Reg EASTSIDE-Resi'!#REF!</definedName>
    <definedName name="MILTON">#REF!</definedName>
    <definedName name="MonthList">'[9]Lookup Tables'!$A$1:$A$13</definedName>
    <definedName name="NewLob">[11]DropDownRanges!$B$4:$B$37</definedName>
    <definedName name="NewOnlyOrg">#N/A</definedName>
    <definedName name="NewSource">[11]DropDownRanges!$D$4:$D$7</definedName>
    <definedName name="nn">#REF!</definedName>
    <definedName name="NOTES">#REF!</definedName>
    <definedName name="NR">#REF!</definedName>
    <definedName name="OfficerSalary">#N/A</definedName>
    <definedName name="OffsetAcctBil">[12]JEexport!$L$10</definedName>
    <definedName name="OffsetAcctPmt">[12]JEexport!$L$9</definedName>
    <definedName name="Org11_13">#N/A</definedName>
    <definedName name="Org7_10">#N/A</definedName>
    <definedName name="p">#REF!</definedName>
    <definedName name="PAGE_1">#REF!</definedName>
    <definedName name="Page16">#REF!</definedName>
    <definedName name="Page17">#REF!</definedName>
    <definedName name="Page18">#REF!</definedName>
    <definedName name="Page7a">#REF!</definedName>
    <definedName name="pBatchID">#REF!</definedName>
    <definedName name="pBillArea">#REF!</definedName>
    <definedName name="pBillCycle">#REF!</definedName>
    <definedName name="pCategory">#REF!</definedName>
    <definedName name="pCompany">#REF!</definedName>
    <definedName name="pCustomerNumber">#REF!</definedName>
    <definedName name="pDatabase">#REF!</definedName>
    <definedName name="pEndPostDate">#REF!</definedName>
    <definedName name="Period">#REF!</definedName>
    <definedName name="pMonth">#REF!</definedName>
    <definedName name="pOnlyShowLastTranx">#REF!</definedName>
    <definedName name="Posting">#REF!</definedName>
    <definedName name="primtbl">[1]Orientation!$C$23</definedName>
    <definedName name="_xlnm.Print_Area" localSheetId="6">'2180 (JBLM Housing) - Price Out'!$A$1:$AJ$334</definedName>
    <definedName name="_xlnm.Print_Area" localSheetId="5">'2180 (Reg.) - Price Out '!$A$1:$AJ$428</definedName>
    <definedName name="_xlnm.Print_Area" localSheetId="1">'DF Calculation'!$A$1:$Q$125</definedName>
    <definedName name="_xlnm.Print_Area" localSheetId="4">'Disposal Schedule'!$A$1:$N$145</definedName>
    <definedName name="_xlnm.Print_Area" localSheetId="3">'To Populate Tariff'!$A$1:$F$135</definedName>
    <definedName name="_xlnm.Print_Area">#REF!</definedName>
    <definedName name="Print_Area_MI">#REF!</definedName>
    <definedName name="Print_Area_MIc">#REF!</definedName>
    <definedName name="Print_Area1">#REF!</definedName>
    <definedName name="Print_Area2">#REF!</definedName>
    <definedName name="Print_Area3">#REF!</definedName>
    <definedName name="Print_Area5">#REF!</definedName>
    <definedName name="_xlnm.Print_Titles" localSheetId="6">'2180 (JBLM Housing) - Price Out'!$1:$7</definedName>
    <definedName name="_xlnm.Print_Titles" localSheetId="5">'2180 (Reg.) - Price Out '!$1:$7</definedName>
    <definedName name="_xlnm.Print_Titles" localSheetId="1">'DF Calculation'!$1:$6</definedName>
    <definedName name="_xlnm.Print_Titles" localSheetId="4">'Disposal Schedule'!$1:$5</definedName>
    <definedName name="Print1">#REF!</definedName>
    <definedName name="Print2">#REF!</definedName>
    <definedName name="Print5">#REF!</definedName>
    <definedName name="ProRev">'[5]Pacific Regulated - Price Out'!$M$49</definedName>
    <definedName name="ProRev_com">'[5]Pacific Regulated - Price Out'!$M$213</definedName>
    <definedName name="ProRev_mfr">'[5]Pacific Regulated - Price Out'!$M$221</definedName>
    <definedName name="ProRev_ro">'[5]Pacific Regulated - Price Out'!$M$281</definedName>
    <definedName name="ProRev_rr">'[5]Pacific Regulated - Price Out'!$M$58</definedName>
    <definedName name="ProRev_yw">'[5]Pacific Regulated - Price Out'!$M$69</definedName>
    <definedName name="pServer">#REF!</definedName>
    <definedName name="pServiceCode">#REF!</definedName>
    <definedName name="pShowAllUnposted">#REF!</definedName>
    <definedName name="pShowCustomerDetail">#REF!</definedName>
    <definedName name="pSortOption">#REF!</definedName>
    <definedName name="pStartPostDate">#REF!</definedName>
    <definedName name="pTransType">#REF!</definedName>
    <definedName name="RCW_81.04.080">#N/A</definedName>
    <definedName name="RecyDisposal">#N/A</definedName>
    <definedName name="Reg_Cust_Billed_Percent">'[13]Consolidated IS 2009 2010'!$AK$20</definedName>
    <definedName name="Reg_Cust_Percent">'[13]Consolidated IS 2009 2010'!$AC$20</definedName>
    <definedName name="Reg_Drive_Percent">'[13]Consolidated IS 2009 2010'!$AC$40</definedName>
    <definedName name="Reg_Haul_Rev_Percent">'[13]Consolidated IS 2009 2010'!$Z$18</definedName>
    <definedName name="Reg_Lab_Percent">'[13]Consolidated IS 2009 2010'!$AC$39</definedName>
    <definedName name="Reg_Steel_Cont_Percent">'[13]Consolidated IS 2009 2010'!$AE$120</definedName>
    <definedName name="RegulatedIS">'[13]2009 IS'!$A$12:$Q$655</definedName>
    <definedName name="RelatedSalary">#N/A</definedName>
    <definedName name="report_type">[1]Orientation!$C$24</definedName>
    <definedName name="ReportNames">[14]ControlPanel!$S$2:$S$16</definedName>
    <definedName name="ReportVersion">[1]Settings!$D$5</definedName>
    <definedName name="ReslStaffPriceOut">'[7]Price Out-Reg EASTSIDE-Resi'!#REF!</definedName>
    <definedName name="RetainedEarnings">#REF!</definedName>
    <definedName name="RevCust">[15]RevenuesCust!#REF!</definedName>
    <definedName name="RevCustomer">#REF!</definedName>
    <definedName name="RevenuePF1">#REF!</definedName>
    <definedName name="rngCreateLog">[1]Delivery!$B$12</definedName>
    <definedName name="rngFilePassword">[1]Delivery!$B$6</definedName>
    <definedName name="rngSourceTab">[1]Delivery!$E$8</definedName>
    <definedName name="rowgroup">[1]Orientation!$C$17</definedName>
    <definedName name="rowsegment">[1]Orientation!$B$17</definedName>
    <definedName name="seffasfasdfsd">[4]Hidden!#REF!</definedName>
    <definedName name="Sequential_Group">[1]Settings!$J$6</definedName>
    <definedName name="Sequential_Segment">[1]Settings!$I$6</definedName>
    <definedName name="Sequential_sort">[1]Settings!$I$10:$J$11</definedName>
    <definedName name="slope">'[16]LG Nonpublic 2018 V5.0'!$X$58</definedName>
    <definedName name="sortcol">#REF!</definedName>
    <definedName name="Source">[11]DropDownRanges!$D$4:$D$7</definedName>
    <definedName name="sSRCDate">'[17]Feb''12 FAR Data'!#REF!</definedName>
    <definedName name="SubSystems">#REF!</definedName>
    <definedName name="Supplemental_filter">[1]Settings!$C$31</definedName>
    <definedName name="SWDisposal">#N/A</definedName>
    <definedName name="System">[18]BS_Close!$V$8</definedName>
    <definedName name="Systems">#REF!</definedName>
    <definedName name="TemplateEnd">#REF!</definedName>
    <definedName name="TemplateStart">#REF!</definedName>
    <definedName name="TheTable">#REF!</definedName>
    <definedName name="TheTableOLD">#REF!</definedName>
    <definedName name="timeseries">[1]Orientation!$B$6:$C$13</definedName>
    <definedName name="ToMonth">#REF!</definedName>
    <definedName name="Tons">#REF!</definedName>
    <definedName name="Total_Comm">'[6]Tariff Rate Sheet'!$L$214</definedName>
    <definedName name="Total_DB">'[6]Tariff Rate Sheet'!$L$278</definedName>
    <definedName name="Total_Resi">'[6]Tariff Rate Sheet'!$L$107</definedName>
    <definedName name="Transactions">#REF!</definedName>
    <definedName name="UnregulatedIS">'[13]2010 IS'!$A$12:$Q$654</definedName>
    <definedName name="VendorCode">#REF!</definedName>
    <definedName name="Version">[9]Data!#REF!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hidden="1">{"Page1",#N/A,TRUE,"SUMM";"Page2",#N/A,TRUE,"Rev";"Page3",#N/A,TRUE,"Dir_Costs"}</definedName>
    <definedName name="WTable">#REF!</definedName>
    <definedName name="WTableOld">#REF!</definedName>
    <definedName name="ww">#REF!</definedName>
    <definedName name="xperiod">[1]Orientation!$G$15</definedName>
    <definedName name="xtabin">[4]Hidden!#REF!</definedName>
    <definedName name="xx">#REF!</definedName>
    <definedName name="xxx">#REF!</definedName>
    <definedName name="xxxx">#REF!</definedName>
    <definedName name="y_inter1">'[16]LG Nonpublic 2018 V5.0'!$W$55</definedName>
    <definedName name="y_inter2">'[16]LG Nonpublic 2018 V5.0'!$W$56</definedName>
    <definedName name="y_inter3">'[16]LG Nonpublic 2018 V5.0'!$Y$55</definedName>
    <definedName name="y_inter4">'[16]LG Nonpublic 2018 V5.0'!$Y$56</definedName>
    <definedName name="YearMonth">'[10]Vashon BS'!#REF!</definedName>
    <definedName name="YWMedWasteDisp">#N/A</definedName>
    <definedName name="yy">#REF!</definedName>
  </definedNames>
  <calcPr calcId="145621" iterate="1" concurrentManualCount="4"/>
</workbook>
</file>

<file path=xl/calcChain.xml><?xml version="1.0" encoding="utf-8"?>
<calcChain xmlns="http://schemas.openxmlformats.org/spreadsheetml/2006/main">
  <c r="E99" i="22" l="1"/>
  <c r="E97" i="22"/>
  <c r="E96" i="22"/>
  <c r="E95" i="22"/>
  <c r="E94" i="22"/>
  <c r="J23" i="17" l="1"/>
  <c r="L59" i="7" l="1"/>
  <c r="E73" i="4" l="1"/>
  <c r="E132" i="22" l="1"/>
  <c r="E128" i="22"/>
  <c r="E124" i="22"/>
  <c r="E120" i="22"/>
  <c r="E116" i="22"/>
  <c r="E112" i="22"/>
  <c r="E108" i="22"/>
  <c r="E131" i="22"/>
  <c r="E127" i="22"/>
  <c r="E123" i="22"/>
  <c r="E119" i="22"/>
  <c r="E115" i="22"/>
  <c r="E111" i="22"/>
  <c r="E107" i="22"/>
  <c r="E100" i="22"/>
  <c r="E101" i="22"/>
  <c r="L74" i="7" l="1"/>
  <c r="G74" i="7"/>
  <c r="J91" i="17"/>
  <c r="H91" i="17"/>
  <c r="E74" i="7" s="1"/>
  <c r="H100" i="17"/>
  <c r="N111" i="17"/>
  <c r="K111" i="17" l="1"/>
  <c r="J111" i="17"/>
  <c r="H111" i="17"/>
  <c r="N41" i="17"/>
  <c r="K58" i="17"/>
  <c r="J58" i="17"/>
  <c r="H58" i="17"/>
  <c r="K41" i="17"/>
  <c r="J41" i="17"/>
  <c r="E91" i="7" l="1"/>
  <c r="D99" i="22"/>
  <c r="L8" i="7"/>
  <c r="E3" i="22" s="1"/>
  <c r="H3" i="17"/>
  <c r="E8" i="7" s="1"/>
  <c r="H2" i="17"/>
  <c r="D2" i="22" s="1"/>
  <c r="L9" i="7"/>
  <c r="J3" i="17"/>
  <c r="G8" i="7" s="1"/>
  <c r="J2" i="17"/>
  <c r="G7" i="7" s="1"/>
  <c r="J47" i="17"/>
  <c r="J36" i="17"/>
  <c r="J96" i="17"/>
  <c r="J89" i="17"/>
  <c r="E7" i="7" l="1"/>
  <c r="D3" i="22"/>
  <c r="J88" i="17"/>
  <c r="J105" i="7"/>
  <c r="K105" i="7" s="1"/>
  <c r="J104" i="7"/>
  <c r="K104" i="7" s="1"/>
  <c r="C78" i="4"/>
  <c r="E103" i="7" s="1"/>
  <c r="E104" i="7" s="1"/>
  <c r="C66" i="4"/>
  <c r="E99" i="7" s="1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M99" i="25"/>
  <c r="M119" i="25" s="1"/>
  <c r="M121" i="25" s="1"/>
  <c r="L99" i="25"/>
  <c r="L119" i="25" s="1"/>
  <c r="L121" i="25" s="1"/>
  <c r="K99" i="25"/>
  <c r="K119" i="25" s="1"/>
  <c r="K121" i="25" s="1"/>
  <c r="J99" i="25"/>
  <c r="J119" i="25" s="1"/>
  <c r="J121" i="25" s="1"/>
  <c r="I99" i="25"/>
  <c r="I119" i="25" s="1"/>
  <c r="I121" i="25" s="1"/>
  <c r="H99" i="25"/>
  <c r="H119" i="25" s="1"/>
  <c r="H121" i="25" s="1"/>
  <c r="G99" i="25"/>
  <c r="G119" i="25" s="1"/>
  <c r="G121" i="25" s="1"/>
  <c r="F99" i="25"/>
  <c r="F119" i="25" s="1"/>
  <c r="F121" i="25" s="1"/>
  <c r="E99" i="25"/>
  <c r="E119" i="25" s="1"/>
  <c r="E121" i="25" s="1"/>
  <c r="D99" i="25"/>
  <c r="D119" i="25" s="1"/>
  <c r="D121" i="25" s="1"/>
  <c r="C99" i="25"/>
  <c r="C119" i="25" s="1"/>
  <c r="C121" i="25" s="1"/>
  <c r="B99" i="25"/>
  <c r="B119" i="25" s="1"/>
  <c r="B121" i="25" s="1"/>
  <c r="M70" i="25"/>
  <c r="L70" i="25"/>
  <c r="K70" i="25"/>
  <c r="J70" i="25"/>
  <c r="I70" i="25"/>
  <c r="H70" i="25"/>
  <c r="G70" i="25"/>
  <c r="F70" i="25"/>
  <c r="E70" i="25"/>
  <c r="D70" i="25"/>
  <c r="B70" i="25"/>
  <c r="C69" i="25"/>
  <c r="C70" i="25" s="1"/>
  <c r="N68" i="25"/>
  <c r="M64" i="25"/>
  <c r="M81" i="25" s="1"/>
  <c r="L64" i="25"/>
  <c r="L81" i="25" s="1"/>
  <c r="K64" i="25"/>
  <c r="K81" i="25" s="1"/>
  <c r="J64" i="25"/>
  <c r="J81" i="25" s="1"/>
  <c r="I64" i="25"/>
  <c r="I81" i="25" s="1"/>
  <c r="H64" i="25"/>
  <c r="H81" i="25" s="1"/>
  <c r="G64" i="25"/>
  <c r="G81" i="25" s="1"/>
  <c r="F64" i="25"/>
  <c r="F81" i="25" s="1"/>
  <c r="E64" i="25"/>
  <c r="E81" i="25" s="1"/>
  <c r="D64" i="25"/>
  <c r="D81" i="25" s="1"/>
  <c r="C64" i="25"/>
  <c r="C81" i="25" s="1"/>
  <c r="B64" i="25"/>
  <c r="N64" i="25" s="1"/>
  <c r="N62" i="25"/>
  <c r="N55" i="25"/>
  <c r="N50" i="25"/>
  <c r="M46" i="25"/>
  <c r="M56" i="25" s="1"/>
  <c r="M57" i="25" s="1"/>
  <c r="L46" i="25"/>
  <c r="L56" i="25" s="1"/>
  <c r="L57" i="25" s="1"/>
  <c r="K46" i="25"/>
  <c r="K51" i="25" s="1"/>
  <c r="K52" i="25" s="1"/>
  <c r="J46" i="25"/>
  <c r="J51" i="25" s="1"/>
  <c r="J52" i="25" s="1"/>
  <c r="I46" i="25"/>
  <c r="I56" i="25" s="1"/>
  <c r="I57" i="25" s="1"/>
  <c r="H46" i="25"/>
  <c r="H56" i="25" s="1"/>
  <c r="H57" i="25" s="1"/>
  <c r="G46" i="25"/>
  <c r="G51" i="25" s="1"/>
  <c r="G52" i="25" s="1"/>
  <c r="F46" i="25"/>
  <c r="F51" i="25" s="1"/>
  <c r="F52" i="25" s="1"/>
  <c r="E46" i="25"/>
  <c r="E56" i="25" s="1"/>
  <c r="E57" i="25" s="1"/>
  <c r="D46" i="25"/>
  <c r="D56" i="25" s="1"/>
  <c r="D57" i="25" s="1"/>
  <c r="C46" i="25"/>
  <c r="C51" i="25" s="1"/>
  <c r="C52" i="25" s="1"/>
  <c r="B46" i="25"/>
  <c r="B51" i="25" s="1"/>
  <c r="B52" i="25" s="1"/>
  <c r="N45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G38" i="25"/>
  <c r="G39" i="25" s="1"/>
  <c r="C38" i="25"/>
  <c r="C39" i="25" s="1"/>
  <c r="N37" i="25"/>
  <c r="M33" i="25"/>
  <c r="M34" i="25" s="1"/>
  <c r="L33" i="25"/>
  <c r="L38" i="25" s="1"/>
  <c r="L39" i="25" s="1"/>
  <c r="K33" i="25"/>
  <c r="K38" i="25" s="1"/>
  <c r="K39" i="25" s="1"/>
  <c r="J33" i="25"/>
  <c r="J34" i="25" s="1"/>
  <c r="I33" i="25"/>
  <c r="I34" i="25" s="1"/>
  <c r="H33" i="25"/>
  <c r="H38" i="25" s="1"/>
  <c r="H39" i="25" s="1"/>
  <c r="G33" i="25"/>
  <c r="G34" i="25" s="1"/>
  <c r="F33" i="25"/>
  <c r="F34" i="25" s="1"/>
  <c r="E33" i="25"/>
  <c r="E34" i="25" s="1"/>
  <c r="D33" i="25"/>
  <c r="D38" i="25" s="1"/>
  <c r="D39" i="25" s="1"/>
  <c r="C33" i="25"/>
  <c r="C34" i="25" s="1"/>
  <c r="B33" i="25"/>
  <c r="B34" i="25" s="1"/>
  <c r="N32" i="25"/>
  <c r="M29" i="25"/>
  <c r="L29" i="25"/>
  <c r="K29" i="25"/>
  <c r="J29" i="25"/>
  <c r="I29" i="25"/>
  <c r="H29" i="25"/>
  <c r="G29" i="25"/>
  <c r="G41" i="25" s="1"/>
  <c r="G77" i="25" s="1"/>
  <c r="F29" i="25"/>
  <c r="E29" i="25"/>
  <c r="D29" i="25"/>
  <c r="C29" i="25"/>
  <c r="C41" i="25" s="1"/>
  <c r="B29" i="25"/>
  <c r="N27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F144" i="25"/>
  <c r="M20" i="25"/>
  <c r="M21" i="25" s="1"/>
  <c r="L20" i="25"/>
  <c r="L21" i="25" s="1"/>
  <c r="K20" i="25"/>
  <c r="K21" i="25" s="1"/>
  <c r="J20" i="25"/>
  <c r="J21" i="25" s="1"/>
  <c r="I20" i="25"/>
  <c r="I21" i="25" s="1"/>
  <c r="H20" i="25"/>
  <c r="H21" i="25" s="1"/>
  <c r="G20" i="25"/>
  <c r="G21" i="25" s="1"/>
  <c r="F20" i="25"/>
  <c r="F21" i="25" s="1"/>
  <c r="E20" i="25"/>
  <c r="E21" i="25" s="1"/>
  <c r="D20" i="25"/>
  <c r="D21" i="25" s="1"/>
  <c r="C20" i="25"/>
  <c r="C21" i="25" s="1"/>
  <c r="B20" i="25"/>
  <c r="B21" i="25" s="1"/>
  <c r="N19" i="25"/>
  <c r="M16" i="25"/>
  <c r="E16" i="25"/>
  <c r="M15" i="25"/>
  <c r="L15" i="25"/>
  <c r="L16" i="25" s="1"/>
  <c r="K15" i="25"/>
  <c r="K16" i="25" s="1"/>
  <c r="J15" i="25"/>
  <c r="J16" i="25" s="1"/>
  <c r="I15" i="25"/>
  <c r="I16" i="25" s="1"/>
  <c r="H15" i="25"/>
  <c r="H16" i="25" s="1"/>
  <c r="G15" i="25"/>
  <c r="G16" i="25" s="1"/>
  <c r="F15" i="25"/>
  <c r="F16" i="25" s="1"/>
  <c r="E15" i="25"/>
  <c r="D15" i="25"/>
  <c r="D16" i="25" s="1"/>
  <c r="C15" i="25"/>
  <c r="C16" i="25" s="1"/>
  <c r="B15" i="25"/>
  <c r="B16" i="25" s="1"/>
  <c r="N14" i="25"/>
  <c r="G132" i="25"/>
  <c r="G131" i="25"/>
  <c r="G130" i="25"/>
  <c r="M11" i="25"/>
  <c r="M23" i="25" s="1"/>
  <c r="L11" i="25"/>
  <c r="K11" i="25"/>
  <c r="J11" i="25"/>
  <c r="I11" i="25"/>
  <c r="H11" i="25"/>
  <c r="G11" i="25"/>
  <c r="F11" i="25"/>
  <c r="E11" i="25"/>
  <c r="E23" i="25" s="1"/>
  <c r="D11" i="25"/>
  <c r="C11" i="25"/>
  <c r="B11" i="25"/>
  <c r="G129" i="25"/>
  <c r="N9" i="25"/>
  <c r="L67" i="7"/>
  <c r="L66" i="7"/>
  <c r="L63" i="7"/>
  <c r="L62" i="7"/>
  <c r="L58" i="7"/>
  <c r="L55" i="7"/>
  <c r="L54" i="7"/>
  <c r="L51" i="7"/>
  <c r="L50" i="7"/>
  <c r="L47" i="7"/>
  <c r="L46" i="7"/>
  <c r="K86" i="25"/>
  <c r="G86" i="25"/>
  <c r="C86" i="25"/>
  <c r="L82" i="25"/>
  <c r="H82" i="25"/>
  <c r="D82" i="25"/>
  <c r="J78" i="25"/>
  <c r="F78" i="25"/>
  <c r="B78" i="25"/>
  <c r="M73" i="25"/>
  <c r="I73" i="25"/>
  <c r="E73" i="25"/>
  <c r="J86" i="25"/>
  <c r="F86" i="25"/>
  <c r="B86" i="25"/>
  <c r="K82" i="25"/>
  <c r="G82" i="25"/>
  <c r="C82" i="25"/>
  <c r="M78" i="25"/>
  <c r="I78" i="25"/>
  <c r="E78" i="25"/>
  <c r="L73" i="25"/>
  <c r="H73" i="25"/>
  <c r="D73" i="25"/>
  <c r="M86" i="25"/>
  <c r="I86" i="25"/>
  <c r="E86" i="25"/>
  <c r="J82" i="25"/>
  <c r="F82" i="25"/>
  <c r="B82" i="25"/>
  <c r="L78" i="25"/>
  <c r="H78" i="25"/>
  <c r="D78" i="25"/>
  <c r="K73" i="25"/>
  <c r="G73" i="25"/>
  <c r="C73" i="25"/>
  <c r="L86" i="25"/>
  <c r="H86" i="25"/>
  <c r="D86" i="25"/>
  <c r="M82" i="25"/>
  <c r="I82" i="25"/>
  <c r="E82" i="25"/>
  <c r="K78" i="25"/>
  <c r="G78" i="25"/>
  <c r="C78" i="25"/>
  <c r="J73" i="25"/>
  <c r="F73" i="25"/>
  <c r="B73" i="25"/>
  <c r="N73" i="25" l="1"/>
  <c r="N86" i="25"/>
  <c r="N78" i="25"/>
  <c r="N16" i="25"/>
  <c r="I23" i="25"/>
  <c r="C77" i="25"/>
  <c r="C79" i="25" s="1"/>
  <c r="G79" i="25"/>
  <c r="C83" i="25"/>
  <c r="G83" i="25"/>
  <c r="K83" i="25"/>
  <c r="B23" i="25"/>
  <c r="J23" i="25"/>
  <c r="N11" i="25"/>
  <c r="H41" i="25"/>
  <c r="H77" i="25" s="1"/>
  <c r="H79" i="25" s="1"/>
  <c r="D83" i="25"/>
  <c r="H83" i="25"/>
  <c r="L83" i="25"/>
  <c r="N70" i="25"/>
  <c r="C23" i="25"/>
  <c r="K23" i="25"/>
  <c r="M41" i="25"/>
  <c r="M77" i="25" s="1"/>
  <c r="M79" i="25" s="1"/>
  <c r="E83" i="25"/>
  <c r="I83" i="25"/>
  <c r="M83" i="25"/>
  <c r="F23" i="25"/>
  <c r="G23" i="25"/>
  <c r="D23" i="25"/>
  <c r="H23" i="25"/>
  <c r="L23" i="25"/>
  <c r="N21" i="25"/>
  <c r="F83" i="25"/>
  <c r="J83" i="25"/>
  <c r="K34" i="25"/>
  <c r="K41" i="25" s="1"/>
  <c r="K77" i="25" s="1"/>
  <c r="K79" i="25" s="1"/>
  <c r="E38" i="25"/>
  <c r="E39" i="25" s="1"/>
  <c r="E41" i="25" s="1"/>
  <c r="E77" i="25" s="1"/>
  <c r="E79" i="25" s="1"/>
  <c r="I38" i="25"/>
  <c r="I39" i="25" s="1"/>
  <c r="I41" i="25" s="1"/>
  <c r="I77" i="25" s="1"/>
  <c r="I79" i="25" s="1"/>
  <c r="M38" i="25"/>
  <c r="M39" i="25" s="1"/>
  <c r="B47" i="25"/>
  <c r="F47" i="25"/>
  <c r="J47" i="25"/>
  <c r="D51" i="25"/>
  <c r="D52" i="25" s="1"/>
  <c r="N52" i="25" s="1"/>
  <c r="H51" i="25"/>
  <c r="H52" i="25" s="1"/>
  <c r="L51" i="25"/>
  <c r="L52" i="25" s="1"/>
  <c r="B56" i="25"/>
  <c r="B57" i="25" s="1"/>
  <c r="F56" i="25"/>
  <c r="F57" i="25" s="1"/>
  <c r="J56" i="25"/>
  <c r="J57" i="25" s="1"/>
  <c r="N29" i="25"/>
  <c r="D34" i="25"/>
  <c r="N34" i="25" s="1"/>
  <c r="H34" i="25"/>
  <c r="L34" i="25"/>
  <c r="L41" i="25" s="1"/>
  <c r="L77" i="25" s="1"/>
  <c r="L79" i="25" s="1"/>
  <c r="B38" i="25"/>
  <c r="B39" i="25" s="1"/>
  <c r="F38" i="25"/>
  <c r="F39" i="25" s="1"/>
  <c r="F41" i="25" s="1"/>
  <c r="F77" i="25" s="1"/>
  <c r="F79" i="25" s="1"/>
  <c r="J38" i="25"/>
  <c r="J39" i="25" s="1"/>
  <c r="J41" i="25" s="1"/>
  <c r="J77" i="25" s="1"/>
  <c r="J79" i="25" s="1"/>
  <c r="C47" i="25"/>
  <c r="G47" i="25"/>
  <c r="K47" i="25"/>
  <c r="E51" i="25"/>
  <c r="E52" i="25" s="1"/>
  <c r="I51" i="25"/>
  <c r="I52" i="25" s="1"/>
  <c r="M51" i="25"/>
  <c r="M52" i="25" s="1"/>
  <c r="C56" i="25"/>
  <c r="C57" i="25" s="1"/>
  <c r="G56" i="25"/>
  <c r="G57" i="25" s="1"/>
  <c r="K56" i="25"/>
  <c r="K57" i="25" s="1"/>
  <c r="B81" i="25"/>
  <c r="B83" i="25" s="1"/>
  <c r="D47" i="25"/>
  <c r="H47" i="25"/>
  <c r="L47" i="25"/>
  <c r="E47" i="25"/>
  <c r="I47" i="25"/>
  <c r="M47" i="25"/>
  <c r="K85" i="25" l="1"/>
  <c r="K87" i="25" s="1"/>
  <c r="K59" i="25"/>
  <c r="K72" i="25"/>
  <c r="K74" i="25" s="1"/>
  <c r="K89" i="25" s="1"/>
  <c r="I85" i="25"/>
  <c r="I87" i="25" s="1"/>
  <c r="I59" i="25"/>
  <c r="E85" i="25"/>
  <c r="E87" i="25" s="1"/>
  <c r="E59" i="25"/>
  <c r="E72" i="25" s="1"/>
  <c r="E74" i="25" s="1"/>
  <c r="E89" i="25" s="1"/>
  <c r="N39" i="25"/>
  <c r="F85" i="25"/>
  <c r="F87" i="25" s="1"/>
  <c r="F59" i="25"/>
  <c r="F72" i="25" s="1"/>
  <c r="F74" i="25" s="1"/>
  <c r="F89" i="25" s="1"/>
  <c r="N23" i="25"/>
  <c r="C72" i="25"/>
  <c r="C74" i="25" s="1"/>
  <c r="C89" i="25" s="1"/>
  <c r="D41" i="25"/>
  <c r="J85" i="25"/>
  <c r="J87" i="25" s="1"/>
  <c r="J59" i="25"/>
  <c r="L85" i="25"/>
  <c r="L87" i="25" s="1"/>
  <c r="L59" i="25"/>
  <c r="L72" i="25" s="1"/>
  <c r="L74" i="25" s="1"/>
  <c r="L89" i="25" s="1"/>
  <c r="C85" i="25"/>
  <c r="C87" i="25" s="1"/>
  <c r="C59" i="25"/>
  <c r="B85" i="25"/>
  <c r="B59" i="25"/>
  <c r="B72" i="25" s="1"/>
  <c r="N47" i="25"/>
  <c r="D85" i="25"/>
  <c r="D87" i="25" s="1"/>
  <c r="D59" i="25"/>
  <c r="N57" i="25"/>
  <c r="G85" i="25"/>
  <c r="G87" i="25" s="1"/>
  <c r="G59" i="25"/>
  <c r="G72" i="25" s="1"/>
  <c r="G74" i="25" s="1"/>
  <c r="G89" i="25" s="1"/>
  <c r="M85" i="25"/>
  <c r="M87" i="25" s="1"/>
  <c r="M59" i="25"/>
  <c r="M72" i="25" s="1"/>
  <c r="M74" i="25" s="1"/>
  <c r="M89" i="25" s="1"/>
  <c r="H85" i="25"/>
  <c r="H87" i="25" s="1"/>
  <c r="H59" i="25"/>
  <c r="H72" i="25" s="1"/>
  <c r="H74" i="25" s="1"/>
  <c r="H89" i="25" s="1"/>
  <c r="B41" i="25"/>
  <c r="B77" i="25" s="1"/>
  <c r="D72" i="25"/>
  <c r="D74" i="25" s="1"/>
  <c r="J72" i="25"/>
  <c r="J74" i="25" s="1"/>
  <c r="J89" i="25" s="1"/>
  <c r="I72" i="25"/>
  <c r="I74" i="25" s="1"/>
  <c r="I89" i="25" s="1"/>
  <c r="N72" i="25" l="1"/>
  <c r="B74" i="25"/>
  <c r="B87" i="25"/>
  <c r="N87" i="25" s="1"/>
  <c r="N85" i="25"/>
  <c r="N59" i="25"/>
  <c r="D89" i="25"/>
  <c r="N77" i="25"/>
  <c r="B79" i="25"/>
  <c r="N79" i="25" s="1"/>
  <c r="D77" i="25"/>
  <c r="D79" i="25" s="1"/>
  <c r="N41" i="25"/>
  <c r="N74" i="25" l="1"/>
  <c r="B89" i="25"/>
  <c r="D74" i="4" l="1"/>
  <c r="D62" i="4"/>
  <c r="C73" i="4"/>
  <c r="C76" i="4" s="1"/>
  <c r="C77" i="4" s="1"/>
  <c r="C79" i="4" s="1"/>
  <c r="D72" i="4"/>
  <c r="D71" i="4"/>
  <c r="C64" i="4"/>
  <c r="D73" i="4" l="1"/>
  <c r="E64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5" i="22"/>
  <c r="E66" i="22"/>
  <c r="E43" i="22"/>
  <c r="D66" i="22"/>
  <c r="D62" i="22"/>
  <c r="D58" i="22"/>
  <c r="D54" i="22"/>
  <c r="D50" i="22"/>
  <c r="D46" i="22"/>
  <c r="L36" i="7"/>
  <c r="E36" i="22" s="1"/>
  <c r="L35" i="7"/>
  <c r="E40" i="22" s="1"/>
  <c r="L34" i="7"/>
  <c r="E35" i="22" s="1"/>
  <c r="L33" i="7"/>
  <c r="E34" i="22" s="1"/>
  <c r="L32" i="7"/>
  <c r="E33" i="22" s="1"/>
  <c r="L31" i="7"/>
  <c r="E32" i="22" s="1"/>
  <c r="L30" i="7"/>
  <c r="E31" i="22" s="1"/>
  <c r="L29" i="7"/>
  <c r="E30" i="22" s="1"/>
  <c r="L28" i="7"/>
  <c r="E29" i="22" s="1"/>
  <c r="L27" i="7"/>
  <c r="E28" i="22" s="1"/>
  <c r="L26" i="7"/>
  <c r="E27" i="22" s="1"/>
  <c r="L25" i="7"/>
  <c r="E26" i="22" s="1"/>
  <c r="L24" i="7"/>
  <c r="E25" i="22" s="1"/>
  <c r="L23" i="7"/>
  <c r="E24" i="22" s="1"/>
  <c r="L22" i="7"/>
  <c r="L21" i="7"/>
  <c r="E22" i="22" s="1"/>
  <c r="L20" i="7"/>
  <c r="E21" i="22" s="1"/>
  <c r="L19" i="7"/>
  <c r="E20" i="22" s="1"/>
  <c r="L18" i="7"/>
  <c r="E15" i="22" s="1"/>
  <c r="L17" i="7"/>
  <c r="E14" i="22" s="1"/>
  <c r="L16" i="7"/>
  <c r="E13" i="22" s="1"/>
  <c r="L15" i="7"/>
  <c r="E11" i="22" s="1"/>
  <c r="L14" i="7"/>
  <c r="E10" i="22" s="1"/>
  <c r="L13" i="7"/>
  <c r="E9" i="22" s="1"/>
  <c r="L12" i="7"/>
  <c r="E8" i="22" s="1"/>
  <c r="L11" i="7"/>
  <c r="E7" i="22" s="1"/>
  <c r="L10" i="7"/>
  <c r="E6" i="22" s="1"/>
  <c r="L7" i="7"/>
  <c r="E2" i="22" s="1"/>
  <c r="L40" i="7"/>
  <c r="E135" i="22" s="1"/>
  <c r="L39" i="7"/>
  <c r="E134" i="22" s="1"/>
  <c r="L38" i="7"/>
  <c r="E133" i="22" s="1"/>
  <c r="L114" i="7"/>
  <c r="E19" i="22" s="1"/>
  <c r="L113" i="7"/>
  <c r="E18" i="22" s="1"/>
  <c r="L112" i="7"/>
  <c r="E17" i="22" s="1"/>
  <c r="L111" i="7"/>
  <c r="E16" i="22" s="1"/>
  <c r="L110" i="7"/>
  <c r="E12" i="22" s="1"/>
  <c r="L109" i="7"/>
  <c r="E5" i="22" s="1"/>
  <c r="L117" i="7"/>
  <c r="E42" i="22" s="1"/>
  <c r="L118" i="7"/>
  <c r="E88" i="22" s="1"/>
  <c r="L119" i="7"/>
  <c r="E89" i="22" s="1"/>
  <c r="L120" i="7"/>
  <c r="E90" i="22" s="1"/>
  <c r="L121" i="7"/>
  <c r="E91" i="22" s="1"/>
  <c r="L122" i="7"/>
  <c r="E92" i="22" s="1"/>
  <c r="E98" i="22"/>
  <c r="E23" i="22" l="1"/>
  <c r="E4" i="22"/>
  <c r="L116" i="7"/>
  <c r="E41" i="22" s="1"/>
  <c r="L69" i="7"/>
  <c r="E68" i="22" s="1"/>
  <c r="L70" i="7"/>
  <c r="E69" i="22" s="1"/>
  <c r="L71" i="7"/>
  <c r="E70" i="22" s="1"/>
  <c r="L72" i="7"/>
  <c r="L73" i="7"/>
  <c r="L75" i="7"/>
  <c r="E73" i="22" s="1"/>
  <c r="L76" i="7"/>
  <c r="E74" i="22" s="1"/>
  <c r="L77" i="7"/>
  <c r="E75" i="22" s="1"/>
  <c r="L78" i="7"/>
  <c r="E76" i="22" s="1"/>
  <c r="L79" i="7"/>
  <c r="E77" i="22" s="1"/>
  <c r="L80" i="7"/>
  <c r="E78" i="22" s="1"/>
  <c r="L81" i="7"/>
  <c r="E79" i="22" s="1"/>
  <c r="L82" i="7"/>
  <c r="E80" i="22" s="1"/>
  <c r="L83" i="7"/>
  <c r="E81" i="22" s="1"/>
  <c r="L84" i="7"/>
  <c r="E82" i="22" s="1"/>
  <c r="L85" i="7"/>
  <c r="E86" i="22" s="1"/>
  <c r="L86" i="7"/>
  <c r="E87" i="22" s="1"/>
  <c r="L68" i="7"/>
  <c r="E67" i="22" s="1"/>
  <c r="J75" i="17"/>
  <c r="G47" i="7" s="1"/>
  <c r="J77" i="17"/>
  <c r="G59" i="7" s="1"/>
  <c r="J79" i="17"/>
  <c r="G67" i="7" s="1"/>
  <c r="J78" i="17"/>
  <c r="G63" i="7" s="1"/>
  <c r="J76" i="17"/>
  <c r="G55" i="7" s="1"/>
  <c r="J74" i="17"/>
  <c r="G51" i="7" s="1"/>
  <c r="H74" i="17"/>
  <c r="E51" i="7" s="1"/>
  <c r="H75" i="17"/>
  <c r="E47" i="7" s="1"/>
  <c r="H76" i="17"/>
  <c r="E55" i="7" s="1"/>
  <c r="H77" i="17"/>
  <c r="E59" i="7" s="1"/>
  <c r="H78" i="17"/>
  <c r="E63" i="7" s="1"/>
  <c r="H79" i="17"/>
  <c r="E67" i="7" s="1"/>
  <c r="J66" i="17"/>
  <c r="G66" i="7"/>
  <c r="E71" i="22" l="1"/>
  <c r="E72" i="22"/>
  <c r="J11" i="4"/>
  <c r="J10" i="4"/>
  <c r="J9" i="4"/>
  <c r="J8" i="4"/>
  <c r="J7" i="4"/>
  <c r="AJ84" i="24" l="1"/>
  <c r="AJ86" i="24"/>
  <c r="AJ87" i="24"/>
  <c r="AJ91" i="24"/>
  <c r="AJ93" i="24"/>
  <c r="AJ94" i="24"/>
  <c r="AJ95" i="24"/>
  <c r="AJ96" i="24"/>
  <c r="AJ102" i="24"/>
  <c r="AJ103" i="24"/>
  <c r="AJ104" i="24"/>
  <c r="AJ105" i="24"/>
  <c r="AJ106" i="24"/>
  <c r="AJ107" i="24"/>
  <c r="AJ108" i="24"/>
  <c r="AJ109" i="24"/>
  <c r="AJ110" i="24"/>
  <c r="AJ111" i="24"/>
  <c r="AJ112" i="24"/>
  <c r="AJ246" i="24"/>
  <c r="AJ247" i="24"/>
  <c r="AJ248" i="24"/>
  <c r="AJ249" i="24"/>
  <c r="AJ251" i="24"/>
  <c r="AJ252" i="24"/>
  <c r="AJ253" i="24"/>
  <c r="AJ254" i="24"/>
  <c r="AJ255" i="24"/>
  <c r="AJ256" i="24"/>
  <c r="AJ258" i="24"/>
  <c r="AJ259" i="24"/>
  <c r="AJ260" i="24"/>
  <c r="AJ261" i="24"/>
  <c r="AJ262" i="24"/>
  <c r="AJ263" i="24"/>
  <c r="AJ264" i="24"/>
  <c r="AJ265" i="24"/>
  <c r="AJ266" i="24"/>
  <c r="AJ267" i="24"/>
  <c r="AJ268" i="24"/>
  <c r="AJ306" i="24"/>
  <c r="AJ308" i="24"/>
  <c r="AJ309" i="24"/>
  <c r="AJ312" i="24"/>
  <c r="AJ316" i="24"/>
  <c r="AJ317" i="24"/>
  <c r="AJ318" i="24"/>
  <c r="AJ319" i="24"/>
  <c r="AJ320" i="24"/>
  <c r="AJ321" i="24"/>
  <c r="AJ322" i="24"/>
  <c r="AJ323" i="24"/>
  <c r="AJ326" i="24"/>
  <c r="AJ327" i="24"/>
  <c r="AJ328" i="24"/>
  <c r="AJ329" i="24"/>
  <c r="AJ330" i="24"/>
  <c r="AJ331" i="24"/>
  <c r="AJ332" i="24"/>
  <c r="AJ333" i="24"/>
  <c r="AJ334" i="24"/>
  <c r="AJ335" i="24"/>
  <c r="AJ336" i="24"/>
  <c r="AJ337" i="24"/>
  <c r="AJ338" i="24"/>
  <c r="AJ339" i="24"/>
  <c r="AJ340" i="24"/>
  <c r="AJ341" i="24"/>
  <c r="AJ342" i="24"/>
  <c r="AJ343" i="24"/>
  <c r="AJ344" i="24"/>
  <c r="AJ345" i="24"/>
  <c r="AJ346" i="24"/>
  <c r="AJ347" i="24"/>
  <c r="AJ348" i="24"/>
  <c r="AJ349" i="24"/>
  <c r="AJ350" i="24"/>
  <c r="AJ351" i="24"/>
  <c r="AJ352" i="24"/>
  <c r="AJ353" i="24"/>
  <c r="AJ354" i="24"/>
  <c r="AJ355" i="24"/>
  <c r="AJ356" i="24"/>
  <c r="AJ357" i="24"/>
  <c r="AJ358" i="24"/>
  <c r="AJ359" i="24"/>
  <c r="L47" i="17"/>
  <c r="L97" i="17"/>
  <c r="L42" i="17"/>
  <c r="L16" i="17"/>
  <c r="L17" i="17"/>
  <c r="L18" i="17"/>
  <c r="L19" i="17"/>
  <c r="AG325" i="24"/>
  <c r="AC325" i="24"/>
  <c r="Y325" i="24"/>
  <c r="A325" i="24"/>
  <c r="AF325" i="24" s="1"/>
  <c r="A324" i="24"/>
  <c r="AI315" i="24"/>
  <c r="AG315" i="24"/>
  <c r="AC315" i="24"/>
  <c r="AA315" i="24"/>
  <c r="Y315" i="24"/>
  <c r="A315" i="24"/>
  <c r="AI314" i="24"/>
  <c r="AC314" i="24"/>
  <c r="AA314" i="24"/>
  <c r="A314" i="24"/>
  <c r="AG314" i="24" s="1"/>
  <c r="A313" i="24"/>
  <c r="AE313" i="24" s="1"/>
  <c r="A312" i="24"/>
  <c r="A311" i="24"/>
  <c r="AH311" i="24" s="1"/>
  <c r="A310" i="24"/>
  <c r="Z305" i="24"/>
  <c r="A305" i="24"/>
  <c r="Z304" i="24"/>
  <c r="A304" i="24"/>
  <c r="Z303" i="24"/>
  <c r="X303" i="24"/>
  <c r="AH303" i="24"/>
  <c r="A303" i="24"/>
  <c r="Z302" i="24"/>
  <c r="A302" i="24"/>
  <c r="Z301" i="24"/>
  <c r="A301" i="24"/>
  <c r="A300" i="24"/>
  <c r="Z299" i="24"/>
  <c r="A299" i="24"/>
  <c r="Z298" i="24"/>
  <c r="X298" i="24"/>
  <c r="A298" i="24"/>
  <c r="A297" i="24"/>
  <c r="Y296" i="24"/>
  <c r="A296" i="24"/>
  <c r="Z295" i="24"/>
  <c r="Y295" i="24"/>
  <c r="AH295" i="24"/>
  <c r="A295" i="24"/>
  <c r="A294" i="24"/>
  <c r="A293" i="24"/>
  <c r="A292" i="24"/>
  <c r="Z291" i="24"/>
  <c r="Y291" i="24"/>
  <c r="A291" i="24"/>
  <c r="A290" i="24"/>
  <c r="A289" i="24"/>
  <c r="A288" i="24"/>
  <c r="Z287" i="24"/>
  <c r="Y287" i="24"/>
  <c r="A287" i="24"/>
  <c r="A286" i="24"/>
  <c r="A285" i="24"/>
  <c r="A284" i="24"/>
  <c r="Z283" i="24"/>
  <c r="Y283" i="24"/>
  <c r="A283" i="24"/>
  <c r="A282" i="24"/>
  <c r="A281" i="24"/>
  <c r="Y280" i="24"/>
  <c r="X280" i="24"/>
  <c r="A280" i="24"/>
  <c r="Y279" i="24"/>
  <c r="A279" i="24"/>
  <c r="AB278" i="24"/>
  <c r="AE278" i="24"/>
  <c r="Y278" i="24"/>
  <c r="X278" i="24"/>
  <c r="A278" i="24"/>
  <c r="AH278" i="24" s="1"/>
  <c r="Y277" i="24"/>
  <c r="A277" i="24"/>
  <c r="Y276" i="24"/>
  <c r="X276" i="24"/>
  <c r="AB276" i="24"/>
  <c r="A276" i="24"/>
  <c r="Y275" i="24"/>
  <c r="A275" i="24"/>
  <c r="Y274" i="24"/>
  <c r="X274" i="24"/>
  <c r="A274" i="24"/>
  <c r="Y273" i="24"/>
  <c r="A273" i="24"/>
  <c r="AB272" i="24"/>
  <c r="Y272" i="24"/>
  <c r="X272" i="24"/>
  <c r="A272" i="24"/>
  <c r="Y271" i="24"/>
  <c r="A271" i="24"/>
  <c r="Y270" i="24"/>
  <c r="A270" i="24"/>
  <c r="X269" i="24"/>
  <c r="AE269" i="24"/>
  <c r="A269" i="24"/>
  <c r="T259" i="24"/>
  <c r="S259" i="24"/>
  <c r="P259" i="24"/>
  <c r="K259" i="24"/>
  <c r="Y257" i="24"/>
  <c r="A257" i="24"/>
  <c r="A250" i="24"/>
  <c r="Z245" i="24"/>
  <c r="A245" i="24"/>
  <c r="Z244" i="24"/>
  <c r="A244" i="24"/>
  <c r="A243" i="24"/>
  <c r="Z242" i="24"/>
  <c r="A242" i="24"/>
  <c r="Z241" i="24"/>
  <c r="X241" i="24"/>
  <c r="A241" i="24"/>
  <c r="Z240" i="24"/>
  <c r="A240" i="24"/>
  <c r="A239" i="24"/>
  <c r="Z238" i="24"/>
  <c r="X238" i="24"/>
  <c r="A238" i="24"/>
  <c r="Z237" i="24"/>
  <c r="A237" i="24"/>
  <c r="Z236" i="24"/>
  <c r="A236" i="24"/>
  <c r="A235" i="24"/>
  <c r="Z234" i="24"/>
  <c r="X234" i="24"/>
  <c r="A234" i="24"/>
  <c r="Z233" i="24"/>
  <c r="X233" i="24"/>
  <c r="A233" i="24"/>
  <c r="Z232" i="24"/>
  <c r="A232" i="24"/>
  <c r="A231" i="24"/>
  <c r="Z230" i="24"/>
  <c r="X230" i="24"/>
  <c r="A230" i="24"/>
  <c r="Z229" i="24"/>
  <c r="X229" i="24"/>
  <c r="A229" i="24"/>
  <c r="Z228" i="24"/>
  <c r="A228" i="24"/>
  <c r="Y227" i="24"/>
  <c r="AI227" i="24"/>
  <c r="A227" i="24"/>
  <c r="AI226" i="24"/>
  <c r="Y226" i="24"/>
  <c r="X226" i="24"/>
  <c r="A226" i="24"/>
  <c r="AA225" i="24"/>
  <c r="Y225" i="24"/>
  <c r="AF225" i="24"/>
  <c r="A225" i="24"/>
  <c r="Y224" i="24"/>
  <c r="X224" i="24"/>
  <c r="AE224" i="24"/>
  <c r="A224" i="24"/>
  <c r="Y223" i="24"/>
  <c r="A223" i="24"/>
  <c r="X222" i="24"/>
  <c r="Y222" i="24"/>
  <c r="A222" i="24"/>
  <c r="Y221" i="24"/>
  <c r="X221" i="24"/>
  <c r="A221" i="24"/>
  <c r="Y220" i="24"/>
  <c r="X220" i="24"/>
  <c r="A220" i="24"/>
  <c r="Y219" i="24"/>
  <c r="X219" i="24"/>
  <c r="A219" i="24"/>
  <c r="Y218" i="24"/>
  <c r="A218" i="24"/>
  <c r="Y217" i="24"/>
  <c r="X217" i="24"/>
  <c r="A217" i="24"/>
  <c r="Y216" i="24"/>
  <c r="X216" i="24"/>
  <c r="A216" i="24"/>
  <c r="Y215" i="24"/>
  <c r="X215" i="24"/>
  <c r="AB215" i="24"/>
  <c r="A215" i="24"/>
  <c r="Y214" i="24"/>
  <c r="X214" i="24"/>
  <c r="AB214" i="24"/>
  <c r="A214" i="24"/>
  <c r="AI213" i="24"/>
  <c r="AC213" i="24"/>
  <c r="Y213" i="24"/>
  <c r="X213" i="24"/>
  <c r="A213" i="24"/>
  <c r="Y212" i="24"/>
  <c r="X212" i="24"/>
  <c r="AB212" i="24"/>
  <c r="A212" i="24"/>
  <c r="Y211" i="24"/>
  <c r="X211" i="24"/>
  <c r="A211" i="24"/>
  <c r="AF210" i="24"/>
  <c r="AE210" i="24"/>
  <c r="AC210" i="24"/>
  <c r="AA210" i="24"/>
  <c r="Y210" i="24"/>
  <c r="X210" i="24"/>
  <c r="A210" i="24"/>
  <c r="AH210" i="24" s="1"/>
  <c r="Y209" i="24"/>
  <c r="X209" i="24"/>
  <c r="AF209" i="24"/>
  <c r="A209" i="24"/>
  <c r="Y208" i="24"/>
  <c r="X208" i="24"/>
  <c r="A208" i="24"/>
  <c r="Y207" i="24"/>
  <c r="X207" i="24"/>
  <c r="A207" i="24"/>
  <c r="AF206" i="24"/>
  <c r="AE206" i="24"/>
  <c r="AA206" i="24"/>
  <c r="Y206" i="24"/>
  <c r="X206" i="24"/>
  <c r="A206" i="24"/>
  <c r="AH206" i="24" s="1"/>
  <c r="Y205" i="24"/>
  <c r="X205" i="24"/>
  <c r="AF205" i="24"/>
  <c r="A205" i="24"/>
  <c r="Y204" i="24"/>
  <c r="X204" i="24"/>
  <c r="A204" i="24"/>
  <c r="Y203" i="24"/>
  <c r="X203" i="24"/>
  <c r="A203" i="24"/>
  <c r="AI202" i="24"/>
  <c r="AF202" i="24"/>
  <c r="AE202" i="24"/>
  <c r="AA202" i="24"/>
  <c r="Y202" i="24"/>
  <c r="X202" i="24"/>
  <c r="AB202" i="24"/>
  <c r="A202" i="24"/>
  <c r="AH202" i="24" s="1"/>
  <c r="Y201" i="24"/>
  <c r="X201" i="24"/>
  <c r="A201" i="24"/>
  <c r="Y200" i="24"/>
  <c r="X200" i="24"/>
  <c r="AB200" i="24"/>
  <c r="A200" i="24"/>
  <c r="Y199" i="24"/>
  <c r="X199" i="24"/>
  <c r="A199" i="24"/>
  <c r="AI198" i="24"/>
  <c r="AF198" i="24"/>
  <c r="AE198" i="24"/>
  <c r="AA198" i="24"/>
  <c r="Y198" i="24"/>
  <c r="X198" i="24"/>
  <c r="AB198" i="24"/>
  <c r="A198" i="24"/>
  <c r="AH198" i="24" s="1"/>
  <c r="Y197" i="24"/>
  <c r="A197" i="24"/>
  <c r="Y196" i="24"/>
  <c r="X196" i="24"/>
  <c r="AB196" i="24"/>
  <c r="A196" i="24"/>
  <c r="Y195" i="24"/>
  <c r="X195" i="24"/>
  <c r="A195" i="24"/>
  <c r="AI194" i="24"/>
  <c r="AF194" i="24"/>
  <c r="AE194" i="24"/>
  <c r="AA194" i="24"/>
  <c r="Y194" i="24"/>
  <c r="X194" i="24"/>
  <c r="AB194" i="24"/>
  <c r="A194" i="24"/>
  <c r="AH194" i="24" s="1"/>
  <c r="Y193" i="24"/>
  <c r="X193" i="24"/>
  <c r="A193" i="24"/>
  <c r="Y192" i="24"/>
  <c r="X192" i="24"/>
  <c r="A192" i="24"/>
  <c r="Y191" i="24"/>
  <c r="X191" i="24"/>
  <c r="A191" i="24"/>
  <c r="AI190" i="24"/>
  <c r="AF190" i="24"/>
  <c r="AE190" i="24"/>
  <c r="AA190" i="24"/>
  <c r="Y190" i="24"/>
  <c r="X190" i="24"/>
  <c r="A190" i="24"/>
  <c r="Y189" i="24"/>
  <c r="X189" i="24"/>
  <c r="A189" i="24"/>
  <c r="Y188" i="24"/>
  <c r="X188" i="24"/>
  <c r="A188" i="24"/>
  <c r="Y187" i="24"/>
  <c r="X187" i="24"/>
  <c r="A187" i="24"/>
  <c r="AI186" i="24"/>
  <c r="AF186" i="24"/>
  <c r="AE186" i="24"/>
  <c r="AA186" i="24"/>
  <c r="Y186" i="24"/>
  <c r="X186" i="24"/>
  <c r="A186" i="24"/>
  <c r="Y185" i="24"/>
  <c r="X185" i="24"/>
  <c r="A185" i="24"/>
  <c r="Y184" i="24"/>
  <c r="X184" i="24"/>
  <c r="A184" i="24"/>
  <c r="Y183" i="24"/>
  <c r="X183" i="24"/>
  <c r="A183" i="24"/>
  <c r="AI182" i="24"/>
  <c r="AF182" i="24"/>
  <c r="AE182" i="24"/>
  <c r="AA182" i="24"/>
  <c r="Y182" i="24"/>
  <c r="X182" i="24"/>
  <c r="A182" i="24"/>
  <c r="Y181" i="24"/>
  <c r="X181" i="24"/>
  <c r="A181" i="24"/>
  <c r="Y180" i="24"/>
  <c r="X180" i="24"/>
  <c r="A180" i="24"/>
  <c r="Y179" i="24"/>
  <c r="X179" i="24"/>
  <c r="A179" i="24"/>
  <c r="AI178" i="24"/>
  <c r="AF178" i="24"/>
  <c r="AA178" i="24"/>
  <c r="Y178" i="24"/>
  <c r="X178" i="24"/>
  <c r="A178" i="24"/>
  <c r="AH178" i="24" s="1"/>
  <c r="Z177" i="24"/>
  <c r="Y177" i="24"/>
  <c r="A177" i="24"/>
  <c r="Z176" i="24"/>
  <c r="AH176" i="24"/>
  <c r="A176" i="24"/>
  <c r="Y175" i="24"/>
  <c r="A175" i="24"/>
  <c r="Z174" i="24"/>
  <c r="Y174" i="24"/>
  <c r="A174" i="24"/>
  <c r="Z173" i="24"/>
  <c r="Y173" i="24"/>
  <c r="A173" i="24"/>
  <c r="Z172" i="24"/>
  <c r="A172" i="24"/>
  <c r="Y171" i="24"/>
  <c r="A171" i="24"/>
  <c r="Z170" i="24"/>
  <c r="Y170" i="24"/>
  <c r="A170" i="24"/>
  <c r="Z169" i="24"/>
  <c r="Y169" i="24"/>
  <c r="A169" i="24"/>
  <c r="Z168" i="24"/>
  <c r="A168" i="24"/>
  <c r="Y167" i="24"/>
  <c r="A167" i="24"/>
  <c r="Z166" i="24"/>
  <c r="Y166" i="24"/>
  <c r="A166" i="24"/>
  <c r="Z165" i="24"/>
  <c r="Y165" i="24"/>
  <c r="A165" i="24"/>
  <c r="AH164" i="24"/>
  <c r="Z164" i="24"/>
  <c r="A164" i="24"/>
  <c r="Y163" i="24"/>
  <c r="A163" i="24"/>
  <c r="Z162" i="24"/>
  <c r="Y162" i="24"/>
  <c r="A162" i="24"/>
  <c r="Z161" i="24"/>
  <c r="Y161" i="24"/>
  <c r="A161" i="24"/>
  <c r="Z160" i="24"/>
  <c r="A160" i="24"/>
  <c r="Y159" i="24"/>
  <c r="A159" i="24"/>
  <c r="Z158" i="24"/>
  <c r="Y158" i="24"/>
  <c r="A158" i="24"/>
  <c r="Z157" i="24"/>
  <c r="Y157" i="24"/>
  <c r="A157" i="24"/>
  <c r="AH156" i="24"/>
  <c r="Z156" i="24"/>
  <c r="A156" i="24"/>
  <c r="Y155" i="24"/>
  <c r="A155" i="24"/>
  <c r="AH154" i="24"/>
  <c r="Z154" i="24"/>
  <c r="Y154" i="24"/>
  <c r="A154" i="24"/>
  <c r="Z153" i="24"/>
  <c r="Y153" i="24"/>
  <c r="A153" i="24"/>
  <c r="Z152" i="24"/>
  <c r="A152" i="24"/>
  <c r="Y151" i="24"/>
  <c r="A151" i="24"/>
  <c r="Z150" i="24"/>
  <c r="Y150" i="24"/>
  <c r="A150" i="24"/>
  <c r="Z149" i="24"/>
  <c r="Y149" i="24"/>
  <c r="A149" i="24"/>
  <c r="Z148" i="24"/>
  <c r="A148" i="24"/>
  <c r="Y147" i="24"/>
  <c r="A147" i="24"/>
  <c r="Z146" i="24"/>
  <c r="Y146" i="24"/>
  <c r="A146" i="24"/>
  <c r="Z145" i="24"/>
  <c r="Y145" i="24"/>
  <c r="A145" i="24"/>
  <c r="Z144" i="24"/>
  <c r="A144" i="24"/>
  <c r="Y143" i="24"/>
  <c r="A143" i="24"/>
  <c r="Z142" i="24"/>
  <c r="Y142" i="24"/>
  <c r="A142" i="24"/>
  <c r="Z141" i="24"/>
  <c r="Y141" i="24"/>
  <c r="A141" i="24"/>
  <c r="Z140" i="24"/>
  <c r="A140" i="24"/>
  <c r="Y139" i="24"/>
  <c r="A139" i="24"/>
  <c r="Y138" i="24"/>
  <c r="X138" i="24"/>
  <c r="A138" i="24"/>
  <c r="Y137" i="24"/>
  <c r="X137" i="24"/>
  <c r="A137" i="24"/>
  <c r="Y136" i="24"/>
  <c r="X136" i="24"/>
  <c r="A136" i="24"/>
  <c r="Y135" i="24"/>
  <c r="A135" i="24"/>
  <c r="AF134" i="24"/>
  <c r="Y134" i="24"/>
  <c r="X134" i="24"/>
  <c r="A134" i="24"/>
  <c r="X133" i="24"/>
  <c r="Y133" i="24"/>
  <c r="A133" i="24"/>
  <c r="AI132" i="24"/>
  <c r="AF132" i="24"/>
  <c r="AE132" i="24"/>
  <c r="AC132" i="24"/>
  <c r="AA132" i="24"/>
  <c r="Y132" i="24"/>
  <c r="X132" i="24"/>
  <c r="A132" i="24"/>
  <c r="AH132" i="24" s="1"/>
  <c r="AA131" i="24"/>
  <c r="AE131" i="24"/>
  <c r="Y131" i="24"/>
  <c r="A131" i="24"/>
  <c r="Y130" i="24"/>
  <c r="X130" i="24"/>
  <c r="A130" i="24"/>
  <c r="Y129" i="24"/>
  <c r="X129" i="24"/>
  <c r="A129" i="24"/>
  <c r="AE128" i="24"/>
  <c r="Y128" i="24"/>
  <c r="X128" i="24"/>
  <c r="A128" i="24"/>
  <c r="Y127" i="24"/>
  <c r="A127" i="24"/>
  <c r="Y126" i="24"/>
  <c r="X126" i="24"/>
  <c r="A126" i="24"/>
  <c r="Y125" i="24"/>
  <c r="A125" i="24"/>
  <c r="Z124" i="24"/>
  <c r="Y124" i="24"/>
  <c r="A124" i="24"/>
  <c r="Z123" i="24"/>
  <c r="A123" i="24"/>
  <c r="A122" i="24"/>
  <c r="Y121" i="24"/>
  <c r="A121" i="24"/>
  <c r="Z120" i="24"/>
  <c r="Y120" i="24"/>
  <c r="A120" i="24"/>
  <c r="Z119" i="24"/>
  <c r="A119" i="24"/>
  <c r="A118" i="24"/>
  <c r="Y117" i="24"/>
  <c r="A117" i="24"/>
  <c r="AH116" i="24"/>
  <c r="AE116" i="24"/>
  <c r="Z116" i="24"/>
  <c r="Y116" i="24"/>
  <c r="A116" i="24"/>
  <c r="Z115" i="24"/>
  <c r="A115" i="24"/>
  <c r="A114" i="24"/>
  <c r="Y113" i="24"/>
  <c r="A113" i="24"/>
  <c r="Z100" i="24"/>
  <c r="A100" i="24"/>
  <c r="A99" i="24"/>
  <c r="Y98" i="24"/>
  <c r="A98" i="24"/>
  <c r="Z97" i="24"/>
  <c r="X97" i="24"/>
  <c r="A97" i="24"/>
  <c r="AI94" i="24"/>
  <c r="AH94" i="24"/>
  <c r="AG94" i="24"/>
  <c r="AF94" i="24"/>
  <c r="AE94" i="24"/>
  <c r="AD94" i="24"/>
  <c r="AC94" i="24"/>
  <c r="AB94" i="24"/>
  <c r="AA94" i="24"/>
  <c r="Z94" i="24"/>
  <c r="Y94" i="24"/>
  <c r="X94" i="24"/>
  <c r="A94" i="24"/>
  <c r="Y90" i="24"/>
  <c r="X90" i="24"/>
  <c r="A90" i="24"/>
  <c r="AB89" i="24"/>
  <c r="Y89" i="24"/>
  <c r="X89" i="24"/>
  <c r="A89" i="24"/>
  <c r="Y88" i="24"/>
  <c r="Y92" i="24" s="1"/>
  <c r="X88" i="24"/>
  <c r="A88" i="24"/>
  <c r="AI83" i="24"/>
  <c r="AD83" i="24"/>
  <c r="AC83" i="24"/>
  <c r="Y83" i="24"/>
  <c r="A83" i="24"/>
  <c r="Y82" i="24"/>
  <c r="A82" i="24"/>
  <c r="Z81" i="24"/>
  <c r="Y81" i="24"/>
  <c r="A81" i="24"/>
  <c r="A80" i="24"/>
  <c r="A79" i="24"/>
  <c r="A78" i="24"/>
  <c r="Z77" i="24"/>
  <c r="Y77" i="24"/>
  <c r="A77" i="24"/>
  <c r="A76" i="24"/>
  <c r="A75" i="24"/>
  <c r="A74" i="24"/>
  <c r="Z73" i="24"/>
  <c r="Y73" i="24"/>
  <c r="A73" i="24"/>
  <c r="A72" i="24"/>
  <c r="A71" i="24"/>
  <c r="A70" i="24"/>
  <c r="Z69" i="24"/>
  <c r="Y69" i="24"/>
  <c r="A69" i="24"/>
  <c r="A68" i="24"/>
  <c r="A67" i="24"/>
  <c r="A66" i="24"/>
  <c r="Z65" i="24"/>
  <c r="Y65" i="24"/>
  <c r="A65" i="24"/>
  <c r="A64" i="24"/>
  <c r="A63" i="24"/>
  <c r="A62" i="24"/>
  <c r="Z61" i="24"/>
  <c r="Y61" i="24"/>
  <c r="A61" i="24"/>
  <c r="A60" i="24"/>
  <c r="A59" i="24"/>
  <c r="A58" i="24"/>
  <c r="Z57" i="24"/>
  <c r="Y57" i="24"/>
  <c r="X57" i="24"/>
  <c r="A57" i="24"/>
  <c r="A56" i="24"/>
  <c r="A55" i="24"/>
  <c r="A54" i="24"/>
  <c r="Z53" i="24"/>
  <c r="Y53" i="24"/>
  <c r="X53" i="24"/>
  <c r="A53" i="24"/>
  <c r="Z52" i="24"/>
  <c r="A52" i="24"/>
  <c r="Z51" i="24"/>
  <c r="A51" i="24"/>
  <c r="Y50" i="24"/>
  <c r="A50" i="24"/>
  <c r="Z49" i="24"/>
  <c r="Y49" i="24"/>
  <c r="X49" i="24"/>
  <c r="A49" i="24"/>
  <c r="Z48" i="24"/>
  <c r="A48" i="24"/>
  <c r="Z47" i="24"/>
  <c r="A47" i="24"/>
  <c r="Y46" i="24"/>
  <c r="A46" i="24"/>
  <c r="Z45" i="24"/>
  <c r="Y45" i="24"/>
  <c r="X45" i="24"/>
  <c r="A45" i="24"/>
  <c r="Z44" i="24"/>
  <c r="A44" i="24"/>
  <c r="Z43" i="24"/>
  <c r="A43" i="24"/>
  <c r="Y42" i="24"/>
  <c r="A42" i="24"/>
  <c r="Z41" i="24"/>
  <c r="Y41" i="24"/>
  <c r="X41" i="24"/>
  <c r="A41" i="24"/>
  <c r="Z40" i="24"/>
  <c r="A40" i="24"/>
  <c r="Z39" i="24"/>
  <c r="A39" i="24"/>
  <c r="Y38" i="24"/>
  <c r="A38" i="24"/>
  <c r="Z37" i="24"/>
  <c r="Y37" i="24"/>
  <c r="X37" i="24"/>
  <c r="A37" i="24"/>
  <c r="Z36" i="24"/>
  <c r="Y36" i="24"/>
  <c r="A36" i="24"/>
  <c r="Z35" i="24"/>
  <c r="X35" i="24"/>
  <c r="A35" i="24"/>
  <c r="Y34" i="24"/>
  <c r="X34" i="24"/>
  <c r="A34" i="24"/>
  <c r="Z33" i="24"/>
  <c r="Y33" i="24"/>
  <c r="X33" i="24"/>
  <c r="A33" i="24"/>
  <c r="AI32" i="24"/>
  <c r="Z32" i="24"/>
  <c r="X32" i="24"/>
  <c r="A32" i="24"/>
  <c r="A31" i="24"/>
  <c r="A30" i="24"/>
  <c r="AD29" i="24"/>
  <c r="A29" i="24"/>
  <c r="Z28" i="24"/>
  <c r="X28" i="24"/>
  <c r="A28" i="24"/>
  <c r="A27" i="24"/>
  <c r="A26" i="24"/>
  <c r="A25" i="24"/>
  <c r="Z24" i="24"/>
  <c r="X24" i="24"/>
  <c r="A24" i="24"/>
  <c r="A23" i="24"/>
  <c r="A22" i="24"/>
  <c r="AD21" i="24"/>
  <c r="A21" i="24"/>
  <c r="Z20" i="24"/>
  <c r="X20" i="24"/>
  <c r="AH20" i="24"/>
  <c r="A20" i="24"/>
  <c r="A19" i="24"/>
  <c r="A18" i="24"/>
  <c r="A17" i="24"/>
  <c r="AE16" i="24"/>
  <c r="Z16" i="24"/>
  <c r="X16" i="24"/>
  <c r="A16" i="24"/>
  <c r="Z15" i="24"/>
  <c r="A15" i="24"/>
  <c r="A14" i="24"/>
  <c r="A13" i="24"/>
  <c r="Z12" i="24"/>
  <c r="A12" i="24"/>
  <c r="A11" i="24"/>
  <c r="AI6" i="24"/>
  <c r="AH6" i="24"/>
  <c r="AG6" i="24"/>
  <c r="AF6" i="24"/>
  <c r="AE6" i="24"/>
  <c r="AD6" i="24"/>
  <c r="AC6" i="24"/>
  <c r="AB6" i="24"/>
  <c r="AA6" i="24"/>
  <c r="Z6" i="24"/>
  <c r="Y6" i="24"/>
  <c r="X6" i="24"/>
  <c r="A420" i="23"/>
  <c r="A419" i="23"/>
  <c r="AE418" i="23"/>
  <c r="Z418" i="23"/>
  <c r="A418" i="23"/>
  <c r="AB408" i="23"/>
  <c r="AF408" i="23"/>
  <c r="AA408" i="23"/>
  <c r="Y408" i="23"/>
  <c r="X408" i="23"/>
  <c r="A408" i="23"/>
  <c r="AH408" i="23" s="1"/>
  <c r="AI407" i="23"/>
  <c r="AE407" i="23"/>
  <c r="Y407" i="23"/>
  <c r="X407" i="23"/>
  <c r="A407" i="23"/>
  <c r="AH402" i="23"/>
  <c r="AG402" i="23"/>
  <c r="AA402" i="23"/>
  <c r="Y402" i="23"/>
  <c r="A402" i="23"/>
  <c r="AI402" i="23" s="1"/>
  <c r="Y401" i="23"/>
  <c r="X401" i="23"/>
  <c r="A401" i="23"/>
  <c r="Z400" i="23"/>
  <c r="Y400" i="23"/>
  <c r="X400" i="23"/>
  <c r="A400" i="23"/>
  <c r="Z399" i="23"/>
  <c r="Y399" i="23"/>
  <c r="A399" i="23"/>
  <c r="Z398" i="23"/>
  <c r="X398" i="23"/>
  <c r="A398" i="23"/>
  <c r="Y397" i="23"/>
  <c r="X397" i="23"/>
  <c r="A397" i="23"/>
  <c r="Z396" i="23"/>
  <c r="Y396" i="23"/>
  <c r="X396" i="23"/>
  <c r="A396" i="23"/>
  <c r="Z395" i="23"/>
  <c r="Y395" i="23"/>
  <c r="A395" i="23"/>
  <c r="Z394" i="23"/>
  <c r="X394" i="23"/>
  <c r="A394" i="23"/>
  <c r="Y393" i="23"/>
  <c r="X393" i="23"/>
  <c r="A393" i="23"/>
  <c r="Z392" i="23"/>
  <c r="Y392" i="23"/>
  <c r="X392" i="23"/>
  <c r="A392" i="23"/>
  <c r="Z391" i="23"/>
  <c r="Y391" i="23"/>
  <c r="A391" i="23"/>
  <c r="Z390" i="23"/>
  <c r="X390" i="23"/>
  <c r="A390" i="23"/>
  <c r="Y389" i="23"/>
  <c r="X389" i="23"/>
  <c r="A389" i="23"/>
  <c r="Z388" i="23"/>
  <c r="Y388" i="23"/>
  <c r="X388" i="23"/>
  <c r="A388" i="23"/>
  <c r="Z387" i="23"/>
  <c r="Y387" i="23"/>
  <c r="A387" i="23"/>
  <c r="Z386" i="23"/>
  <c r="X386" i="23"/>
  <c r="A386" i="23"/>
  <c r="Y385" i="23"/>
  <c r="X385" i="23"/>
  <c r="A385" i="23"/>
  <c r="Z384" i="23"/>
  <c r="Y384" i="23"/>
  <c r="X384" i="23"/>
  <c r="A384" i="23"/>
  <c r="Z383" i="23"/>
  <c r="Y383" i="23"/>
  <c r="A383" i="23"/>
  <c r="Z382" i="23"/>
  <c r="X382" i="23"/>
  <c r="A382" i="23"/>
  <c r="Y381" i="23"/>
  <c r="X381" i="23"/>
  <c r="A381" i="23"/>
  <c r="Z380" i="23"/>
  <c r="Y380" i="23"/>
  <c r="X380" i="23"/>
  <c r="A380" i="23"/>
  <c r="Z379" i="23"/>
  <c r="Y379" i="23"/>
  <c r="A379" i="23"/>
  <c r="Z378" i="23"/>
  <c r="X378" i="23"/>
  <c r="A378" i="23"/>
  <c r="Y377" i="23"/>
  <c r="X377" i="23"/>
  <c r="A377" i="23"/>
  <c r="X376" i="23"/>
  <c r="Z376" i="23"/>
  <c r="Y376" i="23"/>
  <c r="A376" i="23"/>
  <c r="Z375" i="23"/>
  <c r="Y375" i="23"/>
  <c r="A375" i="23"/>
  <c r="Z374" i="23"/>
  <c r="A374" i="23"/>
  <c r="Y373" i="23"/>
  <c r="A373" i="23"/>
  <c r="Z372" i="23"/>
  <c r="Y372" i="23"/>
  <c r="X372" i="23"/>
  <c r="A372" i="23"/>
  <c r="Z371" i="23"/>
  <c r="Y371" i="23"/>
  <c r="A371" i="23"/>
  <c r="Z370" i="23"/>
  <c r="A370" i="23"/>
  <c r="Y369" i="23"/>
  <c r="A369" i="23"/>
  <c r="Z368" i="23"/>
  <c r="Y368" i="23"/>
  <c r="X368" i="23"/>
  <c r="A368" i="23"/>
  <c r="Z367" i="23"/>
  <c r="Y367" i="23"/>
  <c r="A367" i="23"/>
  <c r="Z366" i="23"/>
  <c r="A366" i="23"/>
  <c r="Y365" i="23"/>
  <c r="A365" i="23"/>
  <c r="Z364" i="23"/>
  <c r="Y364" i="23"/>
  <c r="X364" i="23"/>
  <c r="A364" i="23"/>
  <c r="Z363" i="23"/>
  <c r="Y363" i="23"/>
  <c r="A363" i="23"/>
  <c r="Z362" i="23"/>
  <c r="A362" i="23"/>
  <c r="Y361" i="23"/>
  <c r="A361" i="23"/>
  <c r="Z360" i="23"/>
  <c r="Y360" i="23"/>
  <c r="A360" i="23"/>
  <c r="Z359" i="23"/>
  <c r="Y359" i="23"/>
  <c r="A359" i="23"/>
  <c r="Z358" i="23"/>
  <c r="A358" i="23"/>
  <c r="Y357" i="23"/>
  <c r="A357" i="23"/>
  <c r="X356" i="23"/>
  <c r="A356" i="23"/>
  <c r="A344" i="23"/>
  <c r="A343" i="23"/>
  <c r="A342" i="23"/>
  <c r="F341" i="23"/>
  <c r="A341" i="23"/>
  <c r="A340" i="23"/>
  <c r="A339" i="23"/>
  <c r="A338" i="23"/>
  <c r="AE337" i="23"/>
  <c r="AB337" i="23"/>
  <c r="F337" i="23"/>
  <c r="A337" i="23"/>
  <c r="A336" i="23"/>
  <c r="AI335" i="23"/>
  <c r="AH335" i="23"/>
  <c r="AG335" i="23"/>
  <c r="AD335" i="23"/>
  <c r="AC335" i="23"/>
  <c r="AA335" i="23"/>
  <c r="F335" i="23"/>
  <c r="A335" i="23"/>
  <c r="A334" i="23"/>
  <c r="A333" i="23"/>
  <c r="F332" i="23"/>
  <c r="A332" i="23"/>
  <c r="A331" i="23"/>
  <c r="A330" i="23"/>
  <c r="A329" i="23"/>
  <c r="Z328" i="23"/>
  <c r="A328" i="23"/>
  <c r="A327" i="23"/>
  <c r="X326" i="23"/>
  <c r="A326" i="23"/>
  <c r="Z326" i="23" s="1"/>
  <c r="Z325" i="23"/>
  <c r="A325" i="23"/>
  <c r="Z324" i="23"/>
  <c r="X324" i="23"/>
  <c r="AA324" i="23"/>
  <c r="A324" i="23"/>
  <c r="X323" i="23"/>
  <c r="A323" i="23"/>
  <c r="Y322" i="23"/>
  <c r="AC322" i="23"/>
  <c r="A322" i="23"/>
  <c r="A321" i="23"/>
  <c r="Y320" i="23"/>
  <c r="A320" i="23"/>
  <c r="Z319" i="23"/>
  <c r="X319" i="23"/>
  <c r="A319" i="23"/>
  <c r="AI318" i="23"/>
  <c r="X318" i="23"/>
  <c r="A318" i="23"/>
  <c r="A317" i="23"/>
  <c r="Y316" i="23"/>
  <c r="X316" i="23"/>
  <c r="A316" i="23"/>
  <c r="Y315" i="23"/>
  <c r="A315" i="23"/>
  <c r="Z314" i="23"/>
  <c r="A314" i="23"/>
  <c r="A313" i="23"/>
  <c r="X312" i="23"/>
  <c r="A312" i="23"/>
  <c r="AC311" i="23"/>
  <c r="Z311" i="23"/>
  <c r="A311" i="23"/>
  <c r="Y310" i="23"/>
  <c r="X310" i="23"/>
  <c r="A310" i="23"/>
  <c r="A309" i="23"/>
  <c r="AA308" i="23"/>
  <c r="Z308" i="23"/>
  <c r="X308" i="23"/>
  <c r="A308" i="23"/>
  <c r="AB307" i="23"/>
  <c r="AA307" i="23"/>
  <c r="A307" i="23"/>
  <c r="AI307" i="23" s="1"/>
  <c r="A306" i="23"/>
  <c r="AG305" i="23"/>
  <c r="A305" i="23"/>
  <c r="AA304" i="23"/>
  <c r="Z304" i="23"/>
  <c r="X304" i="23"/>
  <c r="A304" i="23"/>
  <c r="X303" i="23"/>
  <c r="A303" i="23"/>
  <c r="A302" i="23"/>
  <c r="Y301" i="23"/>
  <c r="A301" i="23"/>
  <c r="AF300" i="23"/>
  <c r="AA300" i="23"/>
  <c r="Z300" i="23"/>
  <c r="X300" i="23"/>
  <c r="A300" i="23"/>
  <c r="A299" i="23"/>
  <c r="X298" i="23"/>
  <c r="A298" i="23"/>
  <c r="A297" i="23"/>
  <c r="Z296" i="23"/>
  <c r="X296" i="23"/>
  <c r="A296" i="23"/>
  <c r="A295" i="23"/>
  <c r="Y294" i="23"/>
  <c r="X294" i="23"/>
  <c r="A294" i="23"/>
  <c r="A293" i="23"/>
  <c r="Z292" i="23"/>
  <c r="X292" i="23"/>
  <c r="A292" i="23"/>
  <c r="A291" i="23"/>
  <c r="AF290" i="23"/>
  <c r="Z290" i="23"/>
  <c r="G290" i="23"/>
  <c r="A290" i="23"/>
  <c r="AI289" i="23"/>
  <c r="AH289" i="23"/>
  <c r="AG289" i="23"/>
  <c r="AD289" i="23"/>
  <c r="AC289" i="23"/>
  <c r="Y289" i="23"/>
  <c r="G289" i="23"/>
  <c r="A289" i="23"/>
  <c r="AI288" i="23"/>
  <c r="AH288" i="23"/>
  <c r="AF288" i="23"/>
  <c r="AE288" i="23"/>
  <c r="AD288" i="23"/>
  <c r="AA288" i="23"/>
  <c r="Z288" i="23"/>
  <c r="X288" i="23"/>
  <c r="G288" i="23"/>
  <c r="A288" i="23"/>
  <c r="AG288" i="23" s="1"/>
  <c r="G287" i="23"/>
  <c r="A287" i="23"/>
  <c r="AI287" i="23" s="1"/>
  <c r="AH286" i="23"/>
  <c r="AG286" i="23"/>
  <c r="AF286" i="23"/>
  <c r="AC286" i="23"/>
  <c r="AB286" i="23"/>
  <c r="Z286" i="23"/>
  <c r="X286" i="23"/>
  <c r="G286" i="23"/>
  <c r="A286" i="23"/>
  <c r="AG285" i="23"/>
  <c r="AA285" i="23"/>
  <c r="G285" i="23"/>
  <c r="A285" i="23"/>
  <c r="AI284" i="23"/>
  <c r="AH284" i="23"/>
  <c r="AD284" i="23"/>
  <c r="AA284" i="23"/>
  <c r="Z284" i="23"/>
  <c r="X284" i="23"/>
  <c r="G284" i="23"/>
  <c r="A284" i="23"/>
  <c r="AG284" i="23" s="1"/>
  <c r="AH283" i="23"/>
  <c r="AD283" i="23"/>
  <c r="Z283" i="23"/>
  <c r="G283" i="23"/>
  <c r="A283" i="23"/>
  <c r="AF283" i="23" s="1"/>
  <c r="AI282" i="23"/>
  <c r="AE282" i="23"/>
  <c r="AA282" i="23"/>
  <c r="Z282" i="23"/>
  <c r="G282" i="23"/>
  <c r="A282" i="23"/>
  <c r="AG282" i="23" s="1"/>
  <c r="Z281" i="23"/>
  <c r="X281" i="23"/>
  <c r="AH281" i="23"/>
  <c r="A281" i="23"/>
  <c r="A280" i="23"/>
  <c r="Z279" i="23"/>
  <c r="A279" i="23"/>
  <c r="Z278" i="23"/>
  <c r="A278" i="23"/>
  <c r="Z277" i="23"/>
  <c r="X277" i="23"/>
  <c r="AH277" i="23"/>
  <c r="A277" i="23"/>
  <c r="A276" i="23"/>
  <c r="Z275" i="23"/>
  <c r="A275" i="23"/>
  <c r="Z274" i="23"/>
  <c r="A274" i="23"/>
  <c r="Z273" i="23"/>
  <c r="X273" i="23"/>
  <c r="AH273" i="23"/>
  <c r="A273" i="23"/>
  <c r="A272" i="23"/>
  <c r="A271" i="23"/>
  <c r="A267" i="23"/>
  <c r="AI265" i="23"/>
  <c r="AH265" i="23"/>
  <c r="AG265" i="23"/>
  <c r="AF265" i="23"/>
  <c r="AE265" i="23"/>
  <c r="AD265" i="23"/>
  <c r="AC265" i="23"/>
  <c r="AB265" i="23"/>
  <c r="AA265" i="23"/>
  <c r="Z265" i="23"/>
  <c r="Y265" i="23"/>
  <c r="X265" i="23"/>
  <c r="AI261" i="23"/>
  <c r="AA261" i="23"/>
  <c r="X261" i="23"/>
  <c r="A261" i="23"/>
  <c r="T263" i="23"/>
  <c r="P263" i="23"/>
  <c r="L263" i="23"/>
  <c r="A260" i="23"/>
  <c r="Z255" i="23"/>
  <c r="Y255" i="23"/>
  <c r="AH255" i="23"/>
  <c r="Z254" i="23"/>
  <c r="Y254" i="23"/>
  <c r="Z253" i="23"/>
  <c r="Y253" i="23"/>
  <c r="X253" i="23"/>
  <c r="A252" i="23"/>
  <c r="X251" i="23"/>
  <c r="A251" i="23"/>
  <c r="A250" i="23"/>
  <c r="X249" i="23"/>
  <c r="A249" i="23"/>
  <c r="A248" i="23"/>
  <c r="X247" i="23"/>
  <c r="A247" i="23"/>
  <c r="A246" i="23"/>
  <c r="X245" i="23"/>
  <c r="A245" i="23"/>
  <c r="AE244" i="23"/>
  <c r="Z244" i="23"/>
  <c r="Y244" i="23"/>
  <c r="X244" i="23"/>
  <c r="V243" i="23"/>
  <c r="Y242" i="23"/>
  <c r="X242" i="23"/>
  <c r="A242" i="23"/>
  <c r="Z241" i="23"/>
  <c r="X241" i="23"/>
  <c r="A241" i="23"/>
  <c r="Z240" i="23"/>
  <c r="Y240" i="23"/>
  <c r="A240" i="23"/>
  <c r="Z239" i="23"/>
  <c r="Y239" i="23"/>
  <c r="X239" i="23"/>
  <c r="A239" i="23"/>
  <c r="Y238" i="23"/>
  <c r="X238" i="23"/>
  <c r="A238" i="23"/>
  <c r="Z237" i="23"/>
  <c r="A237" i="23"/>
  <c r="Z236" i="23"/>
  <c r="A236" i="23"/>
  <c r="Z235" i="23"/>
  <c r="A235" i="23"/>
  <c r="Y234" i="23"/>
  <c r="X234" i="23"/>
  <c r="A234" i="23"/>
  <c r="AI233" i="23"/>
  <c r="Z233" i="23"/>
  <c r="X233" i="23"/>
  <c r="A233" i="23"/>
  <c r="AC232" i="23"/>
  <c r="Z232" i="23"/>
  <c r="Y232" i="23"/>
  <c r="A232" i="23"/>
  <c r="Z231" i="23"/>
  <c r="Y231" i="23"/>
  <c r="X231" i="23"/>
  <c r="A231" i="23"/>
  <c r="Y230" i="23"/>
  <c r="X230" i="23"/>
  <c r="A230" i="23"/>
  <c r="Z229" i="23"/>
  <c r="A229" i="23"/>
  <c r="Z228" i="23"/>
  <c r="A228" i="23"/>
  <c r="Z227" i="23"/>
  <c r="A227" i="23"/>
  <c r="AI226" i="23"/>
  <c r="Y226" i="23"/>
  <c r="X226" i="23"/>
  <c r="A226" i="23"/>
  <c r="Z225" i="23"/>
  <c r="X225" i="23"/>
  <c r="AE225" i="23"/>
  <c r="A225" i="23"/>
  <c r="Z224" i="23"/>
  <c r="Y224" i="23"/>
  <c r="A224" i="23"/>
  <c r="Z223" i="23"/>
  <c r="Y223" i="23"/>
  <c r="A223" i="23"/>
  <c r="AI222" i="23"/>
  <c r="AC222" i="23"/>
  <c r="AB222" i="23"/>
  <c r="Y222" i="23"/>
  <c r="AA222" i="23"/>
  <c r="A222" i="23"/>
  <c r="Z221" i="23"/>
  <c r="A221" i="23"/>
  <c r="Z220" i="23"/>
  <c r="A220" i="23"/>
  <c r="Z219" i="23"/>
  <c r="A219" i="23"/>
  <c r="X218" i="23"/>
  <c r="AA218" i="23"/>
  <c r="Y218" i="23"/>
  <c r="A218" i="23"/>
  <c r="AH218" i="23" s="1"/>
  <c r="Z217" i="23"/>
  <c r="AE217" i="23"/>
  <c r="A217" i="23"/>
  <c r="Z216" i="23"/>
  <c r="Y216" i="23"/>
  <c r="A216" i="23"/>
  <c r="Z215" i="23"/>
  <c r="Y215" i="23"/>
  <c r="X215" i="23"/>
  <c r="A215" i="23"/>
  <c r="AB214" i="23"/>
  <c r="Y214" i="23"/>
  <c r="X214" i="23"/>
  <c r="A214" i="23"/>
  <c r="Z213" i="23"/>
  <c r="A213" i="23"/>
  <c r="A212" i="23"/>
  <c r="Z211" i="23"/>
  <c r="A211" i="23"/>
  <c r="Y210" i="23"/>
  <c r="X210" i="23"/>
  <c r="A210" i="23"/>
  <c r="Z209" i="23"/>
  <c r="A209" i="23"/>
  <c r="Z208" i="23"/>
  <c r="Y208" i="23"/>
  <c r="A208" i="23"/>
  <c r="Z207" i="23"/>
  <c r="Y207" i="23"/>
  <c r="X207" i="23"/>
  <c r="A207" i="23"/>
  <c r="Y206" i="23"/>
  <c r="X206" i="23"/>
  <c r="A206" i="23"/>
  <c r="A205" i="23"/>
  <c r="A204" i="23"/>
  <c r="A203" i="23"/>
  <c r="Y202" i="23"/>
  <c r="X202" i="23"/>
  <c r="A202" i="23"/>
  <c r="Z201" i="23"/>
  <c r="AE201" i="23"/>
  <c r="A201" i="23"/>
  <c r="Z200" i="23"/>
  <c r="Y200" i="23"/>
  <c r="A200" i="23"/>
  <c r="Z199" i="23"/>
  <c r="Y199" i="23"/>
  <c r="X199" i="23"/>
  <c r="A199" i="23"/>
  <c r="Y198" i="23"/>
  <c r="X198" i="23"/>
  <c r="A198" i="23"/>
  <c r="Z197" i="23"/>
  <c r="A197" i="23"/>
  <c r="A196" i="23"/>
  <c r="Z195" i="23"/>
  <c r="A195" i="23"/>
  <c r="Y194" i="23"/>
  <c r="X194" i="23"/>
  <c r="AI194" i="23"/>
  <c r="A194" i="23"/>
  <c r="Z193" i="23"/>
  <c r="A193" i="23"/>
  <c r="AI192" i="23"/>
  <c r="AC192" i="23"/>
  <c r="Z192" i="23"/>
  <c r="Y192" i="23"/>
  <c r="A192" i="23"/>
  <c r="Z191" i="23"/>
  <c r="Y191" i="23"/>
  <c r="X191" i="23"/>
  <c r="A191" i="23"/>
  <c r="AB190" i="23"/>
  <c r="AF190" i="23"/>
  <c r="AA190" i="23"/>
  <c r="Y190" i="23"/>
  <c r="X190" i="23"/>
  <c r="A190" i="23"/>
  <c r="AH190" i="23" s="1"/>
  <c r="A189" i="23"/>
  <c r="Z188" i="23"/>
  <c r="A188" i="23"/>
  <c r="A187" i="23"/>
  <c r="Y186" i="23"/>
  <c r="X186" i="23"/>
  <c r="A186" i="23"/>
  <c r="AI185" i="23"/>
  <c r="AB185" i="23"/>
  <c r="Z185" i="23"/>
  <c r="A185" i="23"/>
  <c r="Z184" i="23"/>
  <c r="Y184" i="23"/>
  <c r="A184" i="23"/>
  <c r="Z183" i="23"/>
  <c r="Y183" i="23"/>
  <c r="X183" i="23"/>
  <c r="A183" i="23"/>
  <c r="AF182" i="23"/>
  <c r="AB182" i="23"/>
  <c r="AA182" i="23"/>
  <c r="Y182" i="23"/>
  <c r="X182" i="23"/>
  <c r="A182" i="23"/>
  <c r="AH182" i="23" s="1"/>
  <c r="Z181" i="23"/>
  <c r="A181" i="23"/>
  <c r="A180" i="23"/>
  <c r="Z179" i="23"/>
  <c r="A179" i="23"/>
  <c r="Y178" i="23"/>
  <c r="X178" i="23"/>
  <c r="A178" i="23"/>
  <c r="Z177" i="23"/>
  <c r="A177" i="23"/>
  <c r="Z176" i="23"/>
  <c r="Y176" i="23"/>
  <c r="A176" i="23"/>
  <c r="Z175" i="23"/>
  <c r="Y175" i="23"/>
  <c r="A175" i="23"/>
  <c r="Z174" i="23"/>
  <c r="A174" i="23"/>
  <c r="A173" i="23"/>
  <c r="Z172" i="23"/>
  <c r="Y172" i="23"/>
  <c r="A172" i="23"/>
  <c r="Z171" i="23"/>
  <c r="Y171" i="23"/>
  <c r="A171" i="23"/>
  <c r="A170" i="23"/>
  <c r="A169" i="23"/>
  <c r="Z168" i="23"/>
  <c r="Y168" i="23"/>
  <c r="A168" i="23"/>
  <c r="Z167" i="23"/>
  <c r="A167" i="23"/>
  <c r="Y166" i="23"/>
  <c r="AF166" i="23"/>
  <c r="A166" i="23"/>
  <c r="Z165" i="23"/>
  <c r="A165" i="23"/>
  <c r="A164" i="23"/>
  <c r="Z163" i="23"/>
  <c r="Y163" i="23"/>
  <c r="X163" i="23"/>
  <c r="A163" i="23"/>
  <c r="Z162" i="23"/>
  <c r="Y162" i="23"/>
  <c r="A162" i="23"/>
  <c r="A161" i="23"/>
  <c r="A160" i="23"/>
  <c r="Z159" i="23"/>
  <c r="Y159" i="23"/>
  <c r="X159" i="23"/>
  <c r="A159" i="23"/>
  <c r="Z158" i="23"/>
  <c r="Y158" i="23"/>
  <c r="A158" i="23"/>
  <c r="Z157" i="23"/>
  <c r="A157" i="23"/>
  <c r="A156" i="23"/>
  <c r="Z155" i="23"/>
  <c r="Y155" i="23"/>
  <c r="X155" i="23"/>
  <c r="A155" i="23"/>
  <c r="Z154" i="23"/>
  <c r="Y154" i="23"/>
  <c r="A154" i="23"/>
  <c r="A153" i="23"/>
  <c r="A152" i="23"/>
  <c r="Z151" i="23"/>
  <c r="Y151" i="23"/>
  <c r="X151" i="23"/>
  <c r="A151" i="23"/>
  <c r="Z150" i="23"/>
  <c r="Y150" i="23"/>
  <c r="A150" i="23"/>
  <c r="Z149" i="23"/>
  <c r="A149" i="23"/>
  <c r="A148" i="23"/>
  <c r="Z147" i="23"/>
  <c r="Y147" i="23"/>
  <c r="X147" i="23"/>
  <c r="A147" i="23"/>
  <c r="Z146" i="23"/>
  <c r="Y146" i="23"/>
  <c r="A146" i="23"/>
  <c r="A145" i="23"/>
  <c r="A144" i="23"/>
  <c r="Z143" i="23"/>
  <c r="Y143" i="23"/>
  <c r="X143" i="23"/>
  <c r="A143" i="23"/>
  <c r="Z142" i="23"/>
  <c r="Y142" i="23"/>
  <c r="A142" i="23"/>
  <c r="Z141" i="23"/>
  <c r="A141" i="23"/>
  <c r="A140" i="23"/>
  <c r="Z139" i="23"/>
  <c r="Y139" i="23"/>
  <c r="X139" i="23"/>
  <c r="A139" i="23"/>
  <c r="Z138" i="23"/>
  <c r="A138" i="23"/>
  <c r="Z137" i="23"/>
  <c r="A137" i="23"/>
  <c r="Y136" i="23"/>
  <c r="A136" i="23"/>
  <c r="Z135" i="23"/>
  <c r="Y135" i="23"/>
  <c r="X135" i="23"/>
  <c r="A135" i="23"/>
  <c r="Z134" i="23"/>
  <c r="A134" i="23"/>
  <c r="Z133" i="23"/>
  <c r="A133" i="23"/>
  <c r="Y132" i="23"/>
  <c r="A132" i="23"/>
  <c r="Z131" i="23"/>
  <c r="Y131" i="23"/>
  <c r="X131" i="23"/>
  <c r="A131" i="23"/>
  <c r="Z130" i="23"/>
  <c r="A130" i="23"/>
  <c r="Z129" i="23"/>
  <c r="A129" i="23"/>
  <c r="Y128" i="23"/>
  <c r="A128" i="23"/>
  <c r="Z127" i="23"/>
  <c r="Y127" i="23"/>
  <c r="X127" i="23"/>
  <c r="A127" i="23"/>
  <c r="Z126" i="23"/>
  <c r="A126" i="23"/>
  <c r="Z125" i="23"/>
  <c r="A125" i="23"/>
  <c r="Y124" i="23"/>
  <c r="A124" i="23"/>
  <c r="Z123" i="23"/>
  <c r="Y123" i="23"/>
  <c r="X123" i="23"/>
  <c r="A123" i="23"/>
  <c r="Z122" i="23"/>
  <c r="A122" i="23"/>
  <c r="Z121" i="23"/>
  <c r="A121" i="23"/>
  <c r="Y120" i="23"/>
  <c r="A120" i="23"/>
  <c r="Z119" i="23"/>
  <c r="Y119" i="23"/>
  <c r="X119" i="23"/>
  <c r="A119" i="23"/>
  <c r="Z118" i="23"/>
  <c r="A118" i="23"/>
  <c r="Z117" i="23"/>
  <c r="A117" i="23"/>
  <c r="Y116" i="23"/>
  <c r="A116" i="23"/>
  <c r="Z115" i="23"/>
  <c r="Y115" i="23"/>
  <c r="X115" i="23"/>
  <c r="A115" i="23"/>
  <c r="Z114" i="23"/>
  <c r="A114" i="23"/>
  <c r="A113" i="23"/>
  <c r="Y100" i="23"/>
  <c r="X100" i="23"/>
  <c r="A100" i="23"/>
  <c r="AF99" i="23"/>
  <c r="AA99" i="23"/>
  <c r="Y99" i="23"/>
  <c r="A99" i="23"/>
  <c r="AH99" i="23" s="1"/>
  <c r="Y98" i="23"/>
  <c r="X98" i="23"/>
  <c r="A98" i="23"/>
  <c r="Y97" i="23"/>
  <c r="A97" i="23"/>
  <c r="AP95" i="23"/>
  <c r="AK95" i="23"/>
  <c r="AT94" i="23"/>
  <c r="AT95" i="23" s="1"/>
  <c r="AP94" i="23"/>
  <c r="AL94" i="23"/>
  <c r="Z94" i="23"/>
  <c r="Y94" i="23"/>
  <c r="X94" i="23"/>
  <c r="V94" i="23"/>
  <c r="A94" i="23"/>
  <c r="AI94" i="23" s="1"/>
  <c r="Z90" i="23"/>
  <c r="X90" i="23"/>
  <c r="A90" i="23"/>
  <c r="Z89" i="23"/>
  <c r="A89" i="23"/>
  <c r="A88" i="23"/>
  <c r="Z87" i="23"/>
  <c r="A87" i="23"/>
  <c r="AI82" i="23"/>
  <c r="AH82" i="23"/>
  <c r="AB82" i="23"/>
  <c r="Z82" i="23"/>
  <c r="A82" i="23"/>
  <c r="AI81" i="23"/>
  <c r="AC81" i="23"/>
  <c r="Z81" i="23"/>
  <c r="Y81" i="23"/>
  <c r="A81" i="23"/>
  <c r="Z80" i="23"/>
  <c r="A80" i="23"/>
  <c r="Z79" i="23"/>
  <c r="A79" i="23"/>
  <c r="Y78" i="23"/>
  <c r="A78" i="23"/>
  <c r="AI77" i="23"/>
  <c r="AC77" i="23"/>
  <c r="Z77" i="23"/>
  <c r="Y77" i="23"/>
  <c r="A77" i="23"/>
  <c r="Z76" i="23"/>
  <c r="A76" i="23"/>
  <c r="Z75" i="23"/>
  <c r="A75" i="23"/>
  <c r="Y74" i="23"/>
  <c r="A74" i="23"/>
  <c r="Z73" i="23"/>
  <c r="Y73" i="23"/>
  <c r="A73" i="23"/>
  <c r="Z72" i="23"/>
  <c r="A72" i="23"/>
  <c r="Z71" i="23"/>
  <c r="A71" i="23"/>
  <c r="Y70" i="23"/>
  <c r="A70" i="23"/>
  <c r="Z69" i="23"/>
  <c r="Y69" i="23"/>
  <c r="A69" i="23"/>
  <c r="Z68" i="23"/>
  <c r="A68" i="23"/>
  <c r="Z67" i="23"/>
  <c r="A67" i="23"/>
  <c r="Y66" i="23"/>
  <c r="A66" i="23"/>
  <c r="Z65" i="23"/>
  <c r="Y65" i="23"/>
  <c r="A65" i="23"/>
  <c r="Z64" i="23"/>
  <c r="A64" i="23"/>
  <c r="Z63" i="23"/>
  <c r="Y63" i="23"/>
  <c r="A63" i="23"/>
  <c r="Z62" i="23"/>
  <c r="Y62" i="23"/>
  <c r="A62" i="23"/>
  <c r="Z61" i="23"/>
  <c r="A61" i="23"/>
  <c r="A60" i="23"/>
  <c r="Z59" i="23"/>
  <c r="Y59" i="23"/>
  <c r="A59" i="23"/>
  <c r="Z58" i="23"/>
  <c r="Y58" i="23"/>
  <c r="A58" i="23"/>
  <c r="Z57" i="23"/>
  <c r="A57" i="23"/>
  <c r="A56" i="23"/>
  <c r="Z55" i="23"/>
  <c r="Y55" i="23"/>
  <c r="A55" i="23"/>
  <c r="Z54" i="23"/>
  <c r="Y54" i="23"/>
  <c r="A54" i="23"/>
  <c r="Z53" i="23"/>
  <c r="A53" i="23"/>
  <c r="A52" i="23"/>
  <c r="Z51" i="23"/>
  <c r="Y51" i="23"/>
  <c r="A51" i="23"/>
  <c r="Z50" i="23"/>
  <c r="Y50" i="23"/>
  <c r="A50" i="23"/>
  <c r="Z49" i="23"/>
  <c r="A49" i="23"/>
  <c r="A48" i="23"/>
  <c r="Z47" i="23"/>
  <c r="Y47" i="23"/>
  <c r="A47" i="23"/>
  <c r="Z46" i="23"/>
  <c r="Y46" i="23"/>
  <c r="A46" i="23"/>
  <c r="Z45" i="23"/>
  <c r="A45" i="23"/>
  <c r="A44" i="23"/>
  <c r="Z43" i="23"/>
  <c r="Y43" i="23"/>
  <c r="A43" i="23"/>
  <c r="Z42" i="23"/>
  <c r="Y42" i="23"/>
  <c r="A42" i="23"/>
  <c r="Z41" i="23"/>
  <c r="A41" i="23"/>
  <c r="A40" i="23"/>
  <c r="Z39" i="23"/>
  <c r="Y39" i="23"/>
  <c r="A39" i="23"/>
  <c r="Z38" i="23"/>
  <c r="Y38" i="23"/>
  <c r="A38" i="23"/>
  <c r="Z37" i="23"/>
  <c r="A37" i="23"/>
  <c r="A36" i="23"/>
  <c r="Z35" i="23"/>
  <c r="Y35" i="23"/>
  <c r="A35" i="23"/>
  <c r="Z34" i="23"/>
  <c r="Y34" i="23"/>
  <c r="A34" i="23"/>
  <c r="Z33" i="23"/>
  <c r="A33" i="23"/>
  <c r="A32" i="23"/>
  <c r="Z31" i="23"/>
  <c r="Y31" i="23"/>
  <c r="A31" i="23"/>
  <c r="Z30" i="23"/>
  <c r="Y30" i="23"/>
  <c r="A30" i="23"/>
  <c r="Z29" i="23"/>
  <c r="A29" i="23"/>
  <c r="A28" i="23"/>
  <c r="Z27" i="23"/>
  <c r="Y27" i="23"/>
  <c r="A27" i="23"/>
  <c r="Z26" i="23"/>
  <c r="Y26" i="23"/>
  <c r="A26" i="23"/>
  <c r="Z25" i="23"/>
  <c r="A25" i="23"/>
  <c r="A24" i="23"/>
  <c r="Z23" i="23"/>
  <c r="Y23" i="23"/>
  <c r="A23" i="23"/>
  <c r="Z22" i="23"/>
  <c r="Y22" i="23"/>
  <c r="A22" i="23"/>
  <c r="Z21" i="23"/>
  <c r="A21" i="23"/>
  <c r="A20" i="23"/>
  <c r="Z19" i="23"/>
  <c r="Y19" i="23"/>
  <c r="A19" i="23"/>
  <c r="Z18" i="23"/>
  <c r="Y18" i="23"/>
  <c r="A18" i="23"/>
  <c r="Z17" i="23"/>
  <c r="A17" i="23"/>
  <c r="A16" i="23"/>
  <c r="Z15" i="23"/>
  <c r="Y15" i="23"/>
  <c r="A15" i="23"/>
  <c r="Z14" i="23"/>
  <c r="Y14" i="23"/>
  <c r="A14" i="23"/>
  <c r="Z13" i="23"/>
  <c r="A13" i="23"/>
  <c r="A12" i="23"/>
  <c r="Z11" i="23"/>
  <c r="Y11" i="23"/>
  <c r="A11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AE65" i="23" l="1"/>
  <c r="AC176" i="23"/>
  <c r="AI176" i="23"/>
  <c r="AI178" i="23"/>
  <c r="AE185" i="23"/>
  <c r="AH214" i="23"/>
  <c r="AA214" i="23"/>
  <c r="AF214" i="23"/>
  <c r="AH222" i="23"/>
  <c r="AF222" i="23"/>
  <c r="AH241" i="23"/>
  <c r="V255" i="23"/>
  <c r="AB255" i="23"/>
  <c r="AF255" i="23"/>
  <c r="AH261" i="23"/>
  <c r="AB261" i="23"/>
  <c r="AI273" i="23"/>
  <c r="AI277" i="23"/>
  <c r="AI281" i="23"/>
  <c r="AD292" i="23"/>
  <c r="AI292" i="23"/>
  <c r="AD300" i="23"/>
  <c r="AI300" i="23"/>
  <c r="AD304" i="23"/>
  <c r="AI304" i="23"/>
  <c r="AD308" i="23"/>
  <c r="AI308" i="23"/>
  <c r="AE325" i="23"/>
  <c r="AE328" i="23"/>
  <c r="AI21" i="24"/>
  <c r="AD25" i="24"/>
  <c r="AE89" i="24"/>
  <c r="AC125" i="24"/>
  <c r="AI128" i="24"/>
  <c r="AE129" i="24"/>
  <c r="AI134" i="24"/>
  <c r="AB137" i="24"/>
  <c r="AG139" i="24"/>
  <c r="AD147" i="24"/>
  <c r="AE216" i="24"/>
  <c r="AF223" i="24"/>
  <c r="AE225" i="24"/>
  <c r="AF227" i="24"/>
  <c r="AH228" i="24"/>
  <c r="AI271" i="24"/>
  <c r="AE272" i="24"/>
  <c r="AE273" i="24"/>
  <c r="AH274" i="24"/>
  <c r="AA274" i="24"/>
  <c r="AF274" i="24"/>
  <c r="AH279" i="24"/>
  <c r="AB280" i="24"/>
  <c r="AH65" i="23"/>
  <c r="AE89" i="23"/>
  <c r="AA97" i="23"/>
  <c r="Q101" i="23"/>
  <c r="AI186" i="23"/>
  <c r="AB198" i="23"/>
  <c r="AE202" i="23"/>
  <c r="AB206" i="23"/>
  <c r="AB238" i="23"/>
  <c r="AI241" i="23"/>
  <c r="AA303" i="23"/>
  <c r="AI305" i="23"/>
  <c r="AC305" i="23"/>
  <c r="AG308" i="23"/>
  <c r="AA318" i="23"/>
  <c r="AH89" i="24"/>
  <c r="AA89" i="24"/>
  <c r="AF89" i="24"/>
  <c r="AE121" i="24"/>
  <c r="AD121" i="24"/>
  <c r="AE125" i="24"/>
  <c r="AD125" i="24"/>
  <c r="AI126" i="24"/>
  <c r="AH226" i="24"/>
  <c r="AA226" i="24"/>
  <c r="AF226" i="24"/>
  <c r="AH242" i="24"/>
  <c r="AH273" i="24"/>
  <c r="AB274" i="24"/>
  <c r="AA271" i="24"/>
  <c r="AF271" i="24"/>
  <c r="AB100" i="23"/>
  <c r="AE186" i="23"/>
  <c r="AE214" i="23"/>
  <c r="AF218" i="23"/>
  <c r="AE222" i="23"/>
  <c r="AC253" i="23"/>
  <c r="AH300" i="23"/>
  <c r="AI323" i="23"/>
  <c r="AG324" i="23"/>
  <c r="AE324" i="23"/>
  <c r="AA341" i="23"/>
  <c r="AH341" i="23"/>
  <c r="AI89" i="24"/>
  <c r="AI125" i="24"/>
  <c r="AE138" i="24"/>
  <c r="AD139" i="24"/>
  <c r="AF203" i="24"/>
  <c r="AF207" i="24"/>
  <c r="AF211" i="24"/>
  <c r="AC212" i="24"/>
  <c r="AI212" i="24"/>
  <c r="AC73" i="23"/>
  <c r="AI73" i="23"/>
  <c r="AH77" i="23"/>
  <c r="AH81" i="23"/>
  <c r="AE87" i="23"/>
  <c r="AE97" i="23"/>
  <c r="AE99" i="23"/>
  <c r="AH100" i="23"/>
  <c r="AA100" i="23"/>
  <c r="AF100" i="23"/>
  <c r="AC168" i="23"/>
  <c r="AI168" i="23"/>
  <c r="AE190" i="23"/>
  <c r="AH198" i="23"/>
  <c r="AA198" i="23"/>
  <c r="AF198" i="23"/>
  <c r="AI202" i="23"/>
  <c r="AE209" i="23"/>
  <c r="AC214" i="23"/>
  <c r="AI214" i="23"/>
  <c r="AC216" i="23"/>
  <c r="AI216" i="23"/>
  <c r="AA230" i="23"/>
  <c r="AB230" i="23"/>
  <c r="AE233" i="23"/>
  <c r="AE241" i="23"/>
  <c r="AD244" i="23"/>
  <c r="AI291" i="23"/>
  <c r="AB291" i="23"/>
  <c r="AA292" i="23"/>
  <c r="AG296" i="23"/>
  <c r="AH319" i="23"/>
  <c r="AA321" i="23"/>
  <c r="AH324" i="23"/>
  <c r="AA332" i="23"/>
  <c r="AD419" i="23"/>
  <c r="AH12" i="24"/>
  <c r="AH206" i="23"/>
  <c r="AA206" i="23"/>
  <c r="AF206" i="23"/>
  <c r="AI210" i="23"/>
  <c r="AH226" i="23"/>
  <c r="AA226" i="23"/>
  <c r="AF226" i="23"/>
  <c r="AH232" i="23"/>
  <c r="AH234" i="23"/>
  <c r="AA234" i="23"/>
  <c r="AF234" i="23"/>
  <c r="AH238" i="23"/>
  <c r="AA238" i="23"/>
  <c r="AF238" i="23"/>
  <c r="AE242" i="23"/>
  <c r="AI244" i="23"/>
  <c r="AB247" i="23"/>
  <c r="AB251" i="23"/>
  <c r="AH278" i="23"/>
  <c r="AA296" i="23"/>
  <c r="AF303" i="23"/>
  <c r="AD319" i="23"/>
  <c r="AI319" i="23"/>
  <c r="AC166" i="23"/>
  <c r="AC65" i="23"/>
  <c r="AI65" i="23"/>
  <c r="AE81" i="23"/>
  <c r="AA98" i="23"/>
  <c r="AB98" i="23"/>
  <c r="AE100" i="23"/>
  <c r="AH168" i="23"/>
  <c r="AI234" i="23"/>
  <c r="AE261" i="23"/>
  <c r="AG273" i="23"/>
  <c r="AE273" i="23"/>
  <c r="AG274" i="23"/>
  <c r="AA274" i="23"/>
  <c r="AG281" i="23"/>
  <c r="AE281" i="23"/>
  <c r="AA319" i="23"/>
  <c r="AF319" i="23"/>
  <c r="AF321" i="23"/>
  <c r="AF323" i="23"/>
  <c r="AC124" i="24"/>
  <c r="AC127" i="24"/>
  <c r="AI127" i="24"/>
  <c r="AA135" i="24"/>
  <c r="AB135" i="24"/>
  <c r="AC137" i="24"/>
  <c r="AI137" i="24"/>
  <c r="AI180" i="24"/>
  <c r="AI184" i="24"/>
  <c r="AI188" i="24"/>
  <c r="AI192" i="24"/>
  <c r="AI196" i="24"/>
  <c r="AI200" i="24"/>
  <c r="AB223" i="24"/>
  <c r="AB225" i="24"/>
  <c r="AE226" i="24"/>
  <c r="AA235" i="24"/>
  <c r="AC274" i="24"/>
  <c r="AI274" i="24"/>
  <c r="AE276" i="24"/>
  <c r="AH244" i="23"/>
  <c r="AI247" i="23"/>
  <c r="AI251" i="23"/>
  <c r="AF254" i="23"/>
  <c r="AF261" i="23"/>
  <c r="AA273" i="23"/>
  <c r="AF273" i="23"/>
  <c r="AA277" i="23"/>
  <c r="AA281" i="23"/>
  <c r="AF281" i="23"/>
  <c r="AG292" i="23"/>
  <c r="AG300" i="23"/>
  <c r="AE300" i="23"/>
  <c r="AG301" i="23"/>
  <c r="AH304" i="23"/>
  <c r="AE314" i="23"/>
  <c r="AG319" i="23"/>
  <c r="AE319" i="23"/>
  <c r="Y335" i="23"/>
  <c r="AE356" i="23"/>
  <c r="AI12" i="24"/>
  <c r="AH16" i="24"/>
  <c r="AE26" i="24"/>
  <c r="AE28" i="24"/>
  <c r="AC116" i="24"/>
  <c r="AI116" i="24"/>
  <c r="AH128" i="24"/>
  <c r="AA128" i="24"/>
  <c r="AF128" i="24"/>
  <c r="AF130" i="24"/>
  <c r="AB131" i="24"/>
  <c r="AB133" i="24"/>
  <c r="AE136" i="24"/>
  <c r="AE137" i="24"/>
  <c r="AA139" i="24"/>
  <c r="AH139" i="24"/>
  <c r="AH140" i="24"/>
  <c r="AD155" i="24"/>
  <c r="AH170" i="24"/>
  <c r="AA172" i="24"/>
  <c r="AC174" i="24"/>
  <c r="AB178" i="24"/>
  <c r="AH213" i="24"/>
  <c r="AA213" i="24"/>
  <c r="AE220" i="24"/>
  <c r="AA221" i="24"/>
  <c r="AB221" i="24"/>
  <c r="AE230" i="24"/>
  <c r="AA231" i="24"/>
  <c r="AE232" i="24"/>
  <c r="AE234" i="24"/>
  <c r="AD235" i="24"/>
  <c r="AH236" i="24"/>
  <c r="AE240" i="24"/>
  <c r="AE242" i="24"/>
  <c r="AH270" i="24"/>
  <c r="AA270" i="24"/>
  <c r="AF270" i="24"/>
  <c r="AE271" i="24"/>
  <c r="AI272" i="24"/>
  <c r="AH276" i="24"/>
  <c r="AA276" i="24"/>
  <c r="AF276" i="24"/>
  <c r="AE277" i="24"/>
  <c r="AI279" i="24"/>
  <c r="AE280" i="24"/>
  <c r="AI16" i="24"/>
  <c r="AH22" i="24"/>
  <c r="AH24" i="24"/>
  <c r="AH28" i="24"/>
  <c r="AH90" i="24"/>
  <c r="AA90" i="24"/>
  <c r="AF90" i="24"/>
  <c r="AH120" i="24"/>
  <c r="AH124" i="24"/>
  <c r="AH127" i="24"/>
  <c r="AA127" i="24"/>
  <c r="AF127" i="24"/>
  <c r="AB129" i="24"/>
  <c r="AH137" i="24"/>
  <c r="AA137" i="24"/>
  <c r="AF137" i="24"/>
  <c r="AC158" i="24"/>
  <c r="AD163" i="24"/>
  <c r="AH166" i="24"/>
  <c r="AA171" i="24"/>
  <c r="AA180" i="24"/>
  <c r="AF180" i="24"/>
  <c r="AE181" i="24"/>
  <c r="AA184" i="24"/>
  <c r="AF184" i="24"/>
  <c r="AE185" i="24"/>
  <c r="AA188" i="24"/>
  <c r="AF188" i="24"/>
  <c r="AE191" i="24"/>
  <c r="AA192" i="24"/>
  <c r="AF192" i="24"/>
  <c r="AE195" i="24"/>
  <c r="AH196" i="24"/>
  <c r="AA196" i="24"/>
  <c r="AF196" i="24"/>
  <c r="AE197" i="24"/>
  <c r="AE199" i="24"/>
  <c r="AH200" i="24"/>
  <c r="AA200" i="24"/>
  <c r="AF200" i="24"/>
  <c r="AE203" i="24"/>
  <c r="AH204" i="24"/>
  <c r="AA204" i="24"/>
  <c r="AF204" i="24"/>
  <c r="AE207" i="24"/>
  <c r="AH208" i="24"/>
  <c r="AA208" i="24"/>
  <c r="AF208" i="24"/>
  <c r="AE211" i="24"/>
  <c r="AH212" i="24"/>
  <c r="AA212" i="24"/>
  <c r="AF212" i="24"/>
  <c r="AF216" i="24"/>
  <c r="AF218" i="24"/>
  <c r="AB219" i="24"/>
  <c r="AE223" i="24"/>
  <c r="AA223" i="24"/>
  <c r="AI224" i="24"/>
  <c r="AB270" i="24"/>
  <c r="AD17" i="24"/>
  <c r="AI20" i="24"/>
  <c r="AE22" i="24"/>
  <c r="AI28" i="24"/>
  <c r="AC120" i="24"/>
  <c r="AI120" i="24"/>
  <c r="AB127" i="24"/>
  <c r="AC166" i="24"/>
  <c r="AD171" i="24"/>
  <c r="AB217" i="24"/>
  <c r="AH223" i="24"/>
  <c r="AH224" i="24"/>
  <c r="AA224" i="24"/>
  <c r="AF224" i="24"/>
  <c r="AH225" i="24"/>
  <c r="AH240" i="24"/>
  <c r="AC270" i="24"/>
  <c r="AI270" i="24"/>
  <c r="AC276" i="24"/>
  <c r="AI276" i="24"/>
  <c r="AD27" i="23"/>
  <c r="AD31" i="23"/>
  <c r="AD35" i="23"/>
  <c r="AD39" i="23"/>
  <c r="AD55" i="23"/>
  <c r="AC11" i="23"/>
  <c r="AC15" i="23"/>
  <c r="AC19" i="23"/>
  <c r="AC23" i="23"/>
  <c r="AC27" i="23"/>
  <c r="AC31" i="23"/>
  <c r="AC35" i="23"/>
  <c r="AC39" i="23"/>
  <c r="AC43" i="23"/>
  <c r="AC47" i="23"/>
  <c r="AC51" i="23"/>
  <c r="AC55" i="23"/>
  <c r="AC59" i="23"/>
  <c r="AC63" i="23"/>
  <c r="AC69" i="23"/>
  <c r="AI69" i="23"/>
  <c r="AH73" i="23"/>
  <c r="AE77" i="23"/>
  <c r="AD88" i="23"/>
  <c r="AH89" i="23"/>
  <c r="AC94" i="23"/>
  <c r="AP96" i="23"/>
  <c r="AF98" i="23"/>
  <c r="AC99" i="23"/>
  <c r="AI99" i="23"/>
  <c r="AC100" i="23"/>
  <c r="AI100" i="23"/>
  <c r="AI166" i="23"/>
  <c r="AH176" i="23"/>
  <c r="AE177" i="23"/>
  <c r="AE182" i="23"/>
  <c r="AH186" i="23"/>
  <c r="AA186" i="23"/>
  <c r="AF186" i="23"/>
  <c r="AC190" i="23"/>
  <c r="AI190" i="23"/>
  <c r="AH192" i="23"/>
  <c r="AE193" i="23"/>
  <c r="AE198" i="23"/>
  <c r="AH202" i="23"/>
  <c r="AA202" i="23"/>
  <c r="AF202" i="23"/>
  <c r="AE206" i="23"/>
  <c r="AC208" i="23"/>
  <c r="AI208" i="23"/>
  <c r="AI225" i="23"/>
  <c r="AD232" i="23"/>
  <c r="AH233" i="23"/>
  <c r="AE234" i="23"/>
  <c r="AB234" i="23"/>
  <c r="AE238" i="23"/>
  <c r="AC240" i="23"/>
  <c r="AH242" i="23"/>
  <c r="AA242" i="23"/>
  <c r="AF242" i="23"/>
  <c r="AC244" i="23"/>
  <c r="AG244" i="23"/>
  <c r="AB245" i="23"/>
  <c r="AB249" i="23"/>
  <c r="AA255" i="23"/>
  <c r="M263" i="23"/>
  <c r="AA260" i="23"/>
  <c r="AA263" i="23" s="1"/>
  <c r="AB273" i="23"/>
  <c r="AH274" i="23"/>
  <c r="AE274" i="23"/>
  <c r="AF277" i="23"/>
  <c r="AA291" i="23"/>
  <c r="AC301" i="23"/>
  <c r="AI301" i="23"/>
  <c r="AC303" i="23"/>
  <c r="AA328" i="23"/>
  <c r="AF328" i="23"/>
  <c r="AG328" i="23"/>
  <c r="Z337" i="23"/>
  <c r="AD11" i="23"/>
  <c r="AD15" i="23"/>
  <c r="AD51" i="23"/>
  <c r="AF94" i="23"/>
  <c r="AA101" i="23"/>
  <c r="AH98" i="23"/>
  <c r="Y101" i="23"/>
  <c r="AD225" i="23"/>
  <c r="AF230" i="23"/>
  <c r="AD240" i="23"/>
  <c r="AB242" i="23"/>
  <c r="X255" i="23"/>
  <c r="AE260" i="23"/>
  <c r="AE263" i="23" s="1"/>
  <c r="AB277" i="23"/>
  <c r="AE277" i="23"/>
  <c r="AE278" i="23"/>
  <c r="AD301" i="23"/>
  <c r="AD19" i="23"/>
  <c r="AD47" i="23"/>
  <c r="AE69" i="23"/>
  <c r="AA94" i="23"/>
  <c r="AG94" i="23"/>
  <c r="AT96" i="23"/>
  <c r="AC98" i="23"/>
  <c r="AI98" i="23"/>
  <c r="AA169" i="23"/>
  <c r="AC230" i="23"/>
  <c r="AI230" i="23"/>
  <c r="AH230" i="23"/>
  <c r="AD233" i="23"/>
  <c r="AA244" i="23"/>
  <c r="AA254" i="23"/>
  <c r="AE254" i="23"/>
  <c r="AI254" i="23"/>
  <c r="AC255" i="23"/>
  <c r="AG255" i="23"/>
  <c r="I263" i="23"/>
  <c r="Q263" i="23"/>
  <c r="AI260" i="23"/>
  <c r="AI263" i="23" s="1"/>
  <c r="AI274" i="23"/>
  <c r="AB281" i="23"/>
  <c r="AH282" i="23"/>
  <c r="AE284" i="23"/>
  <c r="AF291" i="23"/>
  <c r="AE292" i="23"/>
  <c r="AH292" i="23"/>
  <c r="AE296" i="23"/>
  <c r="AH296" i="23"/>
  <c r="AG304" i="23"/>
  <c r="AE304" i="23"/>
  <c r="AH305" i="23"/>
  <c r="AF307" i="23"/>
  <c r="AE308" i="23"/>
  <c r="AH308" i="23"/>
  <c r="AG311" i="23"/>
  <c r="AD314" i="23"/>
  <c r="AI314" i="23"/>
  <c r="AG321" i="23"/>
  <c r="AG322" i="23"/>
  <c r="AA323" i="23"/>
  <c r="AG323" i="23"/>
  <c r="AD328" i="23"/>
  <c r="AI328" i="23"/>
  <c r="AD23" i="23"/>
  <c r="AD43" i="23"/>
  <c r="AD59" i="23"/>
  <c r="AD63" i="23"/>
  <c r="AH15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9" i="23"/>
  <c r="AE73" i="23"/>
  <c r="AA88" i="23"/>
  <c r="AB94" i="23"/>
  <c r="AL95" i="23"/>
  <c r="AL96" i="23" s="1"/>
  <c r="T101" i="23"/>
  <c r="AE98" i="23"/>
  <c r="AE101" i="23" s="1"/>
  <c r="AH166" i="23"/>
  <c r="AC182" i="23"/>
  <c r="AI182" i="23"/>
  <c r="AC198" i="23"/>
  <c r="AI198" i="23"/>
  <c r="AC206" i="23"/>
  <c r="AI206" i="23"/>
  <c r="AH208" i="23"/>
  <c r="AE218" i="23"/>
  <c r="AH225" i="23"/>
  <c r="AE226" i="23"/>
  <c r="AB226" i="23"/>
  <c r="AE230" i="23"/>
  <c r="AC238" i="23"/>
  <c r="AI238" i="23"/>
  <c r="AH240" i="23"/>
  <c r="AD241" i="23"/>
  <c r="AB244" i="23"/>
  <c r="AF244" i="23"/>
  <c r="AI245" i="23"/>
  <c r="AI249" i="23"/>
  <c r="AD253" i="23"/>
  <c r="AB254" i="23"/>
  <c r="AG277" i="23"/>
  <c r="AG278" i="23"/>
  <c r="AA278" i="23"/>
  <c r="AI278" i="23"/>
  <c r="AH301" i="23"/>
  <c r="AB303" i="23"/>
  <c r="AI303" i="23"/>
  <c r="AA322" i="23"/>
  <c r="AH337" i="23"/>
  <c r="X92" i="24"/>
  <c r="AD24" i="24"/>
  <c r="AD124" i="24"/>
  <c r="AH135" i="24"/>
  <c r="AG159" i="24"/>
  <c r="AH162" i="24"/>
  <c r="AH174" i="24"/>
  <c r="AE179" i="24"/>
  <c r="AB179" i="24"/>
  <c r="AE183" i="24"/>
  <c r="AB183" i="24"/>
  <c r="AE187" i="24"/>
  <c r="AB187" i="24"/>
  <c r="AE189" i="24"/>
  <c r="AD12" i="24"/>
  <c r="AB18" i="24"/>
  <c r="AD20" i="24"/>
  <c r="AE24" i="24"/>
  <c r="AH29" i="24"/>
  <c r="AB30" i="24"/>
  <c r="AD32" i="24"/>
  <c r="P92" i="24"/>
  <c r="AH121" i="24"/>
  <c r="AE124" i="24"/>
  <c r="AF126" i="24"/>
  <c r="AH129" i="24"/>
  <c r="AA129" i="24"/>
  <c r="AF129" i="24"/>
  <c r="AH131" i="24"/>
  <c r="AF131" i="24"/>
  <c r="AC133" i="24"/>
  <c r="AI133" i="24"/>
  <c r="AA134" i="24"/>
  <c r="AC135" i="24"/>
  <c r="AI135" i="24"/>
  <c r="AH136" i="24"/>
  <c r="AA136" i="24"/>
  <c r="AF136" i="24"/>
  <c r="AC138" i="24"/>
  <c r="AI138" i="24"/>
  <c r="AG143" i="24"/>
  <c r="AD151" i="24"/>
  <c r="AG155" i="24"/>
  <c r="AH158" i="24"/>
  <c r="AH160" i="24"/>
  <c r="AC162" i="24"/>
  <c r="AD167" i="24"/>
  <c r="AG171" i="24"/>
  <c r="AH172" i="24"/>
  <c r="AE178" i="24"/>
  <c r="AI179" i="24"/>
  <c r="AE180" i="24"/>
  <c r="AH181" i="24"/>
  <c r="AA181" i="24"/>
  <c r="AF181" i="24"/>
  <c r="AH182" i="24"/>
  <c r="AI183" i="24"/>
  <c r="AH356" i="23"/>
  <c r="AI408" i="23"/>
  <c r="AE12" i="24"/>
  <c r="AI17" i="24"/>
  <c r="AE20" i="24"/>
  <c r="AH25" i="24"/>
  <c r="AB26" i="24"/>
  <c r="AI29" i="24"/>
  <c r="AH30" i="24"/>
  <c r="AE32" i="24"/>
  <c r="AE90" i="24"/>
  <c r="AD120" i="24"/>
  <c r="AE133" i="24"/>
  <c r="AE135" i="24"/>
  <c r="AH142" i="24"/>
  <c r="AG151" i="24"/>
  <c r="AG167" i="24"/>
  <c r="AB181" i="24"/>
  <c r="AB185" i="24"/>
  <c r="AB189" i="24"/>
  <c r="AB193" i="24"/>
  <c r="AB201" i="24"/>
  <c r="AF337" i="23"/>
  <c r="Z341" i="23"/>
  <c r="AE408" i="23"/>
  <c r="AI419" i="23"/>
  <c r="AD16" i="24"/>
  <c r="AH21" i="24"/>
  <c r="AB22" i="24"/>
  <c r="AI24" i="24"/>
  <c r="AI25" i="24"/>
  <c r="AH26" i="24"/>
  <c r="AD28" i="24"/>
  <c r="AE30" i="24"/>
  <c r="AI88" i="24"/>
  <c r="AD116" i="24"/>
  <c r="AE120" i="24"/>
  <c r="AC121" i="24"/>
  <c r="AI124" i="24"/>
  <c r="AH125" i="24"/>
  <c r="AE127" i="24"/>
  <c r="AC129" i="24"/>
  <c r="AI129" i="24"/>
  <c r="AI130" i="24"/>
  <c r="AC131" i="24"/>
  <c r="AI131" i="24"/>
  <c r="AH133" i="24"/>
  <c r="AA133" i="24"/>
  <c r="AF133" i="24"/>
  <c r="AF135" i="24"/>
  <c r="AC136" i="24"/>
  <c r="AI136" i="24"/>
  <c r="AA138" i="24"/>
  <c r="AF138" i="24"/>
  <c r="AA140" i="24"/>
  <c r="AH152" i="24"/>
  <c r="AC154" i="24"/>
  <c r="AD159" i="24"/>
  <c r="AG163" i="24"/>
  <c r="AH168" i="24"/>
  <c r="AC170" i="24"/>
  <c r="AH179" i="24"/>
  <c r="AA179" i="24"/>
  <c r="AF179" i="24"/>
  <c r="AH180" i="24"/>
  <c r="AI181" i="24"/>
  <c r="AH183" i="24"/>
  <c r="AA183" i="24"/>
  <c r="AF183" i="24"/>
  <c r="AH184" i="24"/>
  <c r="AI185" i="24"/>
  <c r="AH187" i="24"/>
  <c r="AA187" i="24"/>
  <c r="AF187" i="24"/>
  <c r="AE184" i="24"/>
  <c r="AH185" i="24"/>
  <c r="AA185" i="24"/>
  <c r="AF185" i="24"/>
  <c r="AH186" i="24"/>
  <c r="AI187" i="24"/>
  <c r="AE188" i="24"/>
  <c r="AH189" i="24"/>
  <c r="AA189" i="24"/>
  <c r="AF189" i="24"/>
  <c r="AH190" i="24"/>
  <c r="AI191" i="24"/>
  <c r="AE192" i="24"/>
  <c r="AH193" i="24"/>
  <c r="AA193" i="24"/>
  <c r="AF193" i="24"/>
  <c r="AI195" i="24"/>
  <c r="AE196" i="24"/>
  <c r="AI199" i="24"/>
  <c r="AE200" i="24"/>
  <c r="AH201" i="24"/>
  <c r="AA201" i="24"/>
  <c r="AF201" i="24"/>
  <c r="AI203" i="24"/>
  <c r="AE204" i="24"/>
  <c r="AH205" i="24"/>
  <c r="AA205" i="24"/>
  <c r="AI206" i="24"/>
  <c r="AI207" i="24"/>
  <c r="AE208" i="24"/>
  <c r="AH209" i="24"/>
  <c r="AA209" i="24"/>
  <c r="AI210" i="24"/>
  <c r="AC211" i="24"/>
  <c r="AI211" i="24"/>
  <c r="AE212" i="24"/>
  <c r="AE213" i="24"/>
  <c r="AH214" i="24"/>
  <c r="AA214" i="24"/>
  <c r="AF214" i="24"/>
  <c r="AH215" i="24"/>
  <c r="AA215" i="24"/>
  <c r="AF215" i="24"/>
  <c r="AI216" i="24"/>
  <c r="AH217" i="24"/>
  <c r="AA217" i="24"/>
  <c r="AF217" i="24"/>
  <c r="AH219" i="24"/>
  <c r="AA219" i="24"/>
  <c r="AF219" i="24"/>
  <c r="AA220" i="24"/>
  <c r="AF220" i="24"/>
  <c r="AH221" i="24"/>
  <c r="AC223" i="24"/>
  <c r="AI223" i="24"/>
  <c r="AC225" i="24"/>
  <c r="AI225" i="24"/>
  <c r="AD227" i="24"/>
  <c r="AE236" i="24"/>
  <c r="AE238" i="24"/>
  <c r="AF240" i="24"/>
  <c r="AC272" i="24"/>
  <c r="AI275" i="24"/>
  <c r="AC278" i="24"/>
  <c r="AI278" i="24"/>
  <c r="AB205" i="24"/>
  <c r="AB209" i="24"/>
  <c r="AF221" i="24"/>
  <c r="AF236" i="24"/>
  <c r="AH188" i="24"/>
  <c r="AI189" i="24"/>
  <c r="AH191" i="24"/>
  <c r="AA191" i="24"/>
  <c r="AF191" i="24"/>
  <c r="AH192" i="24"/>
  <c r="AI193" i="24"/>
  <c r="AH195" i="24"/>
  <c r="AA195" i="24"/>
  <c r="AF195" i="24"/>
  <c r="AH199" i="24"/>
  <c r="AA199" i="24"/>
  <c r="AF199" i="24"/>
  <c r="AI201" i="24"/>
  <c r="AH203" i="24"/>
  <c r="AA203" i="24"/>
  <c r="AI204" i="24"/>
  <c r="AI205" i="24"/>
  <c r="AH207" i="24"/>
  <c r="AA207" i="24"/>
  <c r="AI208" i="24"/>
  <c r="AI209" i="24"/>
  <c r="AH211" i="24"/>
  <c r="AA211" i="24"/>
  <c r="AF213" i="24"/>
  <c r="AB213" i="24"/>
  <c r="AC214" i="24"/>
  <c r="AC215" i="24"/>
  <c r="AI215" i="24"/>
  <c r="AC217" i="24"/>
  <c r="AI217" i="24"/>
  <c r="AI218" i="24"/>
  <c r="AC219" i="24"/>
  <c r="AI219" i="24"/>
  <c r="AC221" i="24"/>
  <c r="AI221" i="24"/>
  <c r="AH222" i="24"/>
  <c r="AA222" i="24"/>
  <c r="AF222" i="24"/>
  <c r="AB224" i="24"/>
  <c r="AB226" i="24"/>
  <c r="AA227" i="24"/>
  <c r="AH227" i="24"/>
  <c r="AE228" i="24"/>
  <c r="AD231" i="24"/>
  <c r="AH232" i="24"/>
  <c r="AH234" i="24"/>
  <c r="AF235" i="24"/>
  <c r="AA240" i="24"/>
  <c r="AC257" i="24"/>
  <c r="AI269" i="24"/>
  <c r="AE270" i="24"/>
  <c r="AH272" i="24"/>
  <c r="AA272" i="24"/>
  <c r="AF272" i="24"/>
  <c r="AE274" i="24"/>
  <c r="AA278" i="24"/>
  <c r="AF278" i="24"/>
  <c r="AB191" i="24"/>
  <c r="AE193" i="24"/>
  <c r="AB195" i="24"/>
  <c r="AB199" i="24"/>
  <c r="AE201" i="24"/>
  <c r="AB203" i="24"/>
  <c r="AE205" i="24"/>
  <c r="AB207" i="24"/>
  <c r="AE209" i="24"/>
  <c r="AB211" i="24"/>
  <c r="AE214" i="24"/>
  <c r="AI214" i="24"/>
  <c r="AE217" i="24"/>
  <c r="AE219" i="24"/>
  <c r="AE221" i="24"/>
  <c r="AE222" i="24"/>
  <c r="AH230" i="24"/>
  <c r="AH238" i="24"/>
  <c r="AA239" i="24"/>
  <c r="AE275" i="24"/>
  <c r="AG280" i="24"/>
  <c r="AH283" i="24"/>
  <c r="AC283" i="24"/>
  <c r="AI283" i="24"/>
  <c r="AC291" i="24"/>
  <c r="AI291" i="24"/>
  <c r="AE303" i="24"/>
  <c r="AH287" i="24"/>
  <c r="AE299" i="24"/>
  <c r="AH305" i="24"/>
  <c r="AH280" i="24"/>
  <c r="AA280" i="24"/>
  <c r="AF280" i="24"/>
  <c r="AC287" i="24"/>
  <c r="AI287" i="24"/>
  <c r="AI295" i="24"/>
  <c r="AH299" i="24"/>
  <c r="AI303" i="24"/>
  <c r="AH291" i="24"/>
  <c r="AC295" i="24"/>
  <c r="AD87" i="23"/>
  <c r="AD92" i="23" s="1"/>
  <c r="S101" i="23"/>
  <c r="AH97" i="23"/>
  <c r="AH101" i="23" s="1"/>
  <c r="AF97" i="23"/>
  <c r="AF101" i="23" s="1"/>
  <c r="J101" i="23"/>
  <c r="P101" i="23"/>
  <c r="Z113" i="23"/>
  <c r="Y141" i="23"/>
  <c r="AH141" i="23"/>
  <c r="X144" i="23"/>
  <c r="Y149" i="23"/>
  <c r="AH149" i="23"/>
  <c r="X152" i="23"/>
  <c r="Y157" i="23"/>
  <c r="AH157" i="23"/>
  <c r="X160" i="23"/>
  <c r="Y165" i="23"/>
  <c r="AH165" i="23"/>
  <c r="AC165" i="23"/>
  <c r="AG165" i="23"/>
  <c r="AB166" i="23"/>
  <c r="AG166" i="23"/>
  <c r="AE166" i="23"/>
  <c r="AH169" i="23"/>
  <c r="AC172" i="23"/>
  <c r="AI172" i="23"/>
  <c r="Y174" i="23"/>
  <c r="AD177" i="23"/>
  <c r="AH178" i="23"/>
  <c r="AA178" i="23"/>
  <c r="AF178" i="23"/>
  <c r="Y179" i="23"/>
  <c r="AC179" i="23"/>
  <c r="Y181" i="23"/>
  <c r="AC184" i="23"/>
  <c r="AI184" i="23"/>
  <c r="AH185" i="23"/>
  <c r="Y188" i="23"/>
  <c r="AD193" i="23"/>
  <c r="AH194" i="23"/>
  <c r="AA194" i="23"/>
  <c r="AF194" i="23"/>
  <c r="Y195" i="23"/>
  <c r="AH195" i="23"/>
  <c r="AC195" i="23"/>
  <c r="AG195" i="23"/>
  <c r="Y197" i="23"/>
  <c r="AC200" i="23"/>
  <c r="AI200" i="23"/>
  <c r="AH201" i="23"/>
  <c r="AI204" i="23"/>
  <c r="Y204" i="23"/>
  <c r="AC204" i="23"/>
  <c r="AG204" i="23"/>
  <c r="AD209" i="23"/>
  <c r="AH210" i="23"/>
  <c r="AA210" i="23"/>
  <c r="AF210" i="23"/>
  <c r="AI211" i="23"/>
  <c r="AE211" i="23"/>
  <c r="AD211" i="23"/>
  <c r="Y211" i="23"/>
  <c r="AC211" i="23"/>
  <c r="AG211" i="23"/>
  <c r="AC213" i="23"/>
  <c r="Y213" i="23"/>
  <c r="AH213" i="23"/>
  <c r="AF213" i="23"/>
  <c r="AH217" i="23"/>
  <c r="X222" i="23"/>
  <c r="AD224" i="23"/>
  <c r="AI11" i="23"/>
  <c r="AH12" i="23"/>
  <c r="AI23" i="23"/>
  <c r="AH24" i="23"/>
  <c r="AI35" i="23"/>
  <c r="AH36" i="23"/>
  <c r="AI51" i="23"/>
  <c r="AH52" i="23"/>
  <c r="AI63" i="23"/>
  <c r="X87" i="23"/>
  <c r="AF88" i="23"/>
  <c r="AG97" i="23"/>
  <c r="AI97" i="23"/>
  <c r="AI101" i="23" s="1"/>
  <c r="X99" i="23"/>
  <c r="R101" i="23"/>
  <c r="AE140" i="23"/>
  <c r="AC140" i="23"/>
  <c r="AF140" i="23"/>
  <c r="Z140" i="23"/>
  <c r="Y140" i="23"/>
  <c r="AG140" i="23"/>
  <c r="AC148" i="23"/>
  <c r="Z148" i="23"/>
  <c r="Y148" i="23"/>
  <c r="AC156" i="23"/>
  <c r="Z156" i="23"/>
  <c r="Y156" i="23"/>
  <c r="AD156" i="23"/>
  <c r="AC164" i="23"/>
  <c r="Z164" i="23"/>
  <c r="Y164" i="23"/>
  <c r="AD164" i="23"/>
  <c r="X166" i="23"/>
  <c r="AD172" i="23"/>
  <c r="Z173" i="23"/>
  <c r="Y173" i="23"/>
  <c r="X177" i="23"/>
  <c r="AB178" i="23"/>
  <c r="AG178" i="23"/>
  <c r="AD184" i="23"/>
  <c r="X193" i="23"/>
  <c r="AB194" i="23"/>
  <c r="AG194" i="23"/>
  <c r="AD200" i="23"/>
  <c r="AB201" i="23"/>
  <c r="AI201" i="23"/>
  <c r="Z204" i="23"/>
  <c r="X209" i="23"/>
  <c r="AB210" i="23"/>
  <c r="AG210" i="23"/>
  <c r="AD216" i="23"/>
  <c r="AB217" i="23"/>
  <c r="AI217" i="23"/>
  <c r="AF12" i="23"/>
  <c r="AB12" i="23"/>
  <c r="AA12" i="23"/>
  <c r="AG12" i="23"/>
  <c r="AB24" i="23"/>
  <c r="AA24" i="23"/>
  <c r="AF52" i="23"/>
  <c r="AB52" i="23"/>
  <c r="AG52" i="23"/>
  <c r="AI15" i="23"/>
  <c r="AI31" i="23"/>
  <c r="AI39" i="23"/>
  <c r="AD40" i="23"/>
  <c r="AI43" i="23"/>
  <c r="AI44" i="23"/>
  <c r="AC44" i="23"/>
  <c r="AH44" i="23"/>
  <c r="AI55" i="23"/>
  <c r="X88" i="23"/>
  <c r="AF89" i="23"/>
  <c r="Y12" i="23"/>
  <c r="AI12" i="23"/>
  <c r="AE13" i="23"/>
  <c r="AD16" i="23"/>
  <c r="AE21" i="23"/>
  <c r="Y24" i="23"/>
  <c r="AE25" i="23"/>
  <c r="AE27" i="23"/>
  <c r="Y28" i="23"/>
  <c r="AD28" i="23"/>
  <c r="AH29" i="23"/>
  <c r="Y32" i="23"/>
  <c r="Y44" i="23"/>
  <c r="AE47" i="23"/>
  <c r="AD52" i="23"/>
  <c r="AE55" i="23"/>
  <c r="Y56" i="23"/>
  <c r="AI56" i="23"/>
  <c r="AE57" i="23"/>
  <c r="AE59" i="23"/>
  <c r="Y60" i="23"/>
  <c r="AE63" i="23"/>
  <c r="AI64" i="23"/>
  <c r="Z66" i="23"/>
  <c r="Y67" i="23"/>
  <c r="Z70" i="23"/>
  <c r="Y71" i="23"/>
  <c r="AH72" i="23"/>
  <c r="Z74" i="23"/>
  <c r="Y75" i="23"/>
  <c r="AA76" i="23"/>
  <c r="Z78" i="23"/>
  <c r="Y79" i="23"/>
  <c r="AG82" i="23"/>
  <c r="AC82" i="23"/>
  <c r="Y82" i="23"/>
  <c r="AF82" i="23"/>
  <c r="AA82" i="23"/>
  <c r="AD82" i="23"/>
  <c r="AH87" i="23"/>
  <c r="AH88" i="23"/>
  <c r="AA89" i="23"/>
  <c r="I101" i="23"/>
  <c r="AC97" i="23"/>
  <c r="AC101" i="23" s="1"/>
  <c r="N101" i="23"/>
  <c r="L101" i="23"/>
  <c r="AI114" i="23"/>
  <c r="AE114" i="23"/>
  <c r="AA114" i="23"/>
  <c r="AH114" i="23"/>
  <c r="AC114" i="23"/>
  <c r="AD114" i="23"/>
  <c r="AI116" i="23"/>
  <c r="AF116" i="23"/>
  <c r="AB117" i="23"/>
  <c r="Y117" i="23"/>
  <c r="AD118" i="23"/>
  <c r="Z120" i="23"/>
  <c r="AE121" i="23"/>
  <c r="Y121" i="23"/>
  <c r="AD122" i="23"/>
  <c r="AE124" i="23"/>
  <c r="AA124" i="23"/>
  <c r="AF124" i="23"/>
  <c r="Z124" i="23"/>
  <c r="AC124" i="23"/>
  <c r="AH125" i="23"/>
  <c r="Y125" i="23"/>
  <c r="AD126" i="23"/>
  <c r="Z128" i="23"/>
  <c r="Y129" i="23"/>
  <c r="AI130" i="23"/>
  <c r="AE130" i="23"/>
  <c r="AH130" i="23"/>
  <c r="AC130" i="23"/>
  <c r="AD130" i="23"/>
  <c r="AI132" i="23"/>
  <c r="AF132" i="23"/>
  <c r="Z132" i="23"/>
  <c r="AB133" i="23"/>
  <c r="Y133" i="23"/>
  <c r="AD134" i="23"/>
  <c r="Z136" i="23"/>
  <c r="AE137" i="23"/>
  <c r="Y137" i="23"/>
  <c r="AD138" i="23"/>
  <c r="AH140" i="23"/>
  <c r="AB141" i="23"/>
  <c r="Y145" i="23"/>
  <c r="AH145" i="23"/>
  <c r="AH148" i="23"/>
  <c r="AB149" i="23"/>
  <c r="Y153" i="23"/>
  <c r="AH153" i="23"/>
  <c r="AB157" i="23"/>
  <c r="AE161" i="23"/>
  <c r="Y161" i="23"/>
  <c r="AG161" i="23"/>
  <c r="AH164" i="23"/>
  <c r="AB165" i="23"/>
  <c r="AC169" i="23"/>
  <c r="AI170" i="23"/>
  <c r="Y170" i="23"/>
  <c r="AH170" i="23"/>
  <c r="AC170" i="23"/>
  <c r="AC173" i="23"/>
  <c r="AA174" i="23"/>
  <c r="AH177" i="23"/>
  <c r="AE178" i="23"/>
  <c r="AB179" i="23"/>
  <c r="Y180" i="23"/>
  <c r="AA181" i="23"/>
  <c r="AD185" i="23"/>
  <c r="Y187" i="23"/>
  <c r="AC187" i="23"/>
  <c r="AA188" i="23"/>
  <c r="Y189" i="23"/>
  <c r="AH193" i="23"/>
  <c r="AE194" i="23"/>
  <c r="AB195" i="23"/>
  <c r="Y196" i="23"/>
  <c r="AA197" i="23"/>
  <c r="AD201" i="23"/>
  <c r="Y203" i="23"/>
  <c r="AC203" i="23"/>
  <c r="AA204" i="23"/>
  <c r="Y205" i="23"/>
  <c r="AH209" i="23"/>
  <c r="AE210" i="23"/>
  <c r="AB211" i="23"/>
  <c r="Y212" i="23"/>
  <c r="AE212" i="23"/>
  <c r="AA213" i="23"/>
  <c r="AD217" i="23"/>
  <c r="X223" i="23"/>
  <c r="AH224" i="23"/>
  <c r="AE29" i="23"/>
  <c r="AF36" i="23"/>
  <c r="AB36" i="23"/>
  <c r="AA36" i="23"/>
  <c r="AG36" i="23"/>
  <c r="AB40" i="23"/>
  <c r="AA40" i="23"/>
  <c r="AF44" i="23"/>
  <c r="AB44" i="23"/>
  <c r="AA44" i="23"/>
  <c r="AG44" i="23"/>
  <c r="AE53" i="23"/>
  <c r="AC16" i="23"/>
  <c r="AI19" i="23"/>
  <c r="AB21" i="23"/>
  <c r="AA21" i="23"/>
  <c r="AI27" i="23"/>
  <c r="AC28" i="23"/>
  <c r="AH28" i="23"/>
  <c r="AF29" i="23"/>
  <c r="AB29" i="23"/>
  <c r="AA29" i="23"/>
  <c r="AG29" i="23"/>
  <c r="AI47" i="23"/>
  <c r="AC48" i="23"/>
  <c r="AI59" i="23"/>
  <c r="AF61" i="23"/>
  <c r="AB61" i="23"/>
  <c r="AG61" i="23"/>
  <c r="AA64" i="23"/>
  <c r="AI68" i="23"/>
  <c r="AI80" i="23"/>
  <c r="M101" i="23"/>
  <c r="AB97" i="23"/>
  <c r="AH113" i="23"/>
  <c r="AH120" i="23"/>
  <c r="AB129" i="23"/>
  <c r="AE11" i="23"/>
  <c r="AH11" i="23"/>
  <c r="AC13" i="23"/>
  <c r="AE15" i="23"/>
  <c r="Y16" i="23"/>
  <c r="AI16" i="23"/>
  <c r="AE17" i="23"/>
  <c r="AE19" i="23"/>
  <c r="Y20" i="23"/>
  <c r="AC21" i="23"/>
  <c r="AE23" i="23"/>
  <c r="AD24" i="23"/>
  <c r="AI24" i="23"/>
  <c r="AI28" i="23"/>
  <c r="AC29" i="23"/>
  <c r="AE31" i="23"/>
  <c r="AI32" i="23"/>
  <c r="AE33" i="23"/>
  <c r="AE35" i="23"/>
  <c r="Y36" i="23"/>
  <c r="AD36" i="23"/>
  <c r="AI36" i="23"/>
  <c r="AE37" i="23"/>
  <c r="AE39" i="23"/>
  <c r="Y40" i="23"/>
  <c r="AI40" i="23"/>
  <c r="AE41" i="23"/>
  <c r="AE43" i="23"/>
  <c r="AD44" i="23"/>
  <c r="AE45" i="23"/>
  <c r="Y48" i="23"/>
  <c r="AH49" i="23"/>
  <c r="AE51" i="23"/>
  <c r="Y52" i="23"/>
  <c r="AG11" i="23"/>
  <c r="AE12" i="23"/>
  <c r="Y13" i="23"/>
  <c r="AI13" i="23"/>
  <c r="AF15" i="23"/>
  <c r="AB15" i="23"/>
  <c r="AA15" i="23"/>
  <c r="AG15" i="23"/>
  <c r="Z16" i="23"/>
  <c r="AE16" i="23"/>
  <c r="Y17" i="23"/>
  <c r="AI17" i="23"/>
  <c r="AD18" i="23"/>
  <c r="AF19" i="23"/>
  <c r="AB19" i="23"/>
  <c r="AA19" i="23"/>
  <c r="AG19" i="23"/>
  <c r="Z20" i="23"/>
  <c r="Y21" i="23"/>
  <c r="AD21" i="23"/>
  <c r="AI21" i="23"/>
  <c r="AI22" i="23"/>
  <c r="AF23" i="23"/>
  <c r="AB23" i="23"/>
  <c r="AA23" i="23"/>
  <c r="AG23" i="23"/>
  <c r="Z24" i="23"/>
  <c r="AE24" i="23"/>
  <c r="Y25" i="23"/>
  <c r="AD25" i="23"/>
  <c r="AE26" i="23"/>
  <c r="AH26" i="23"/>
  <c r="AF27" i="23"/>
  <c r="AB27" i="23"/>
  <c r="AA27" i="23"/>
  <c r="AG27" i="23"/>
  <c r="Z28" i="23"/>
  <c r="AE28" i="23"/>
  <c r="Y29" i="23"/>
  <c r="AD29" i="23"/>
  <c r="AI29" i="23"/>
  <c r="AF31" i="23"/>
  <c r="AB31" i="23"/>
  <c r="AA31" i="23"/>
  <c r="AG31" i="23"/>
  <c r="Z32" i="23"/>
  <c r="AE32" i="23"/>
  <c r="Y33" i="23"/>
  <c r="AF35" i="23"/>
  <c r="AB35" i="23"/>
  <c r="AA35" i="23"/>
  <c r="AG35" i="23"/>
  <c r="Z36" i="23"/>
  <c r="AE36" i="23"/>
  <c r="Y37" i="23"/>
  <c r="AD37" i="23"/>
  <c r="AI37" i="23"/>
  <c r="AF39" i="23"/>
  <c r="AB39" i="23"/>
  <c r="AA39" i="23"/>
  <c r="AG39" i="23"/>
  <c r="Z40" i="23"/>
  <c r="AE40" i="23"/>
  <c r="Y41" i="23"/>
  <c r="AD41" i="23"/>
  <c r="AI41" i="23"/>
  <c r="AH42" i="23"/>
  <c r="AF43" i="23"/>
  <c r="AB43" i="23"/>
  <c r="AA43" i="23"/>
  <c r="AG43" i="23"/>
  <c r="Z44" i="23"/>
  <c r="AE44" i="23"/>
  <c r="Y45" i="23"/>
  <c r="AC46" i="23"/>
  <c r="AF47" i="23"/>
  <c r="AB47" i="23"/>
  <c r="AA47" i="23"/>
  <c r="AG47" i="23"/>
  <c r="Z48" i="23"/>
  <c r="AE48" i="23"/>
  <c r="Y49" i="23"/>
  <c r="AD49" i="23"/>
  <c r="AI49" i="23"/>
  <c r="AF51" i="23"/>
  <c r="AB51" i="23"/>
  <c r="AA51" i="23"/>
  <c r="AG51" i="23"/>
  <c r="Z52" i="23"/>
  <c r="Y53" i="23"/>
  <c r="AD53" i="23"/>
  <c r="AI53" i="23"/>
  <c r="AF55" i="23"/>
  <c r="AB55" i="23"/>
  <c r="AA55" i="23"/>
  <c r="AG55" i="23"/>
  <c r="Z56" i="23"/>
  <c r="AE56" i="23"/>
  <c r="Y57" i="23"/>
  <c r="AD57" i="23"/>
  <c r="AE58" i="23"/>
  <c r="AH58" i="23"/>
  <c r="AF59" i="23"/>
  <c r="AB59" i="23"/>
  <c r="AA59" i="23"/>
  <c r="AG59" i="23"/>
  <c r="Z60" i="23"/>
  <c r="AE60" i="23"/>
  <c r="Y61" i="23"/>
  <c r="AF63" i="23"/>
  <c r="AB63" i="23"/>
  <c r="AA63" i="23"/>
  <c r="AG63" i="23"/>
  <c r="Y64" i="23"/>
  <c r="AE64" i="23"/>
  <c r="AD65" i="23"/>
  <c r="Y68" i="23"/>
  <c r="AE68" i="23"/>
  <c r="AD69" i="23"/>
  <c r="Y72" i="23"/>
  <c r="AE72" i="23"/>
  <c r="AD73" i="23"/>
  <c r="Y76" i="23"/>
  <c r="AD77" i="23"/>
  <c r="AA79" i="23"/>
  <c r="Y80" i="23"/>
  <c r="AE80" i="23"/>
  <c r="AD81" i="23"/>
  <c r="AE82" i="23"/>
  <c r="AB87" i="23"/>
  <c r="AI87" i="23"/>
  <c r="AG88" i="23"/>
  <c r="AC88" i="23"/>
  <c r="AE88" i="23"/>
  <c r="AI88" i="23"/>
  <c r="AG89" i="23"/>
  <c r="AC89" i="23"/>
  <c r="Y89" i="23"/>
  <c r="AI89" i="23"/>
  <c r="AD89" i="23"/>
  <c r="I92" i="23"/>
  <c r="AB89" i="23"/>
  <c r="AG90" i="23"/>
  <c r="Y90" i="23"/>
  <c r="AB90" i="23"/>
  <c r="AF90" i="23"/>
  <c r="X97" i="23"/>
  <c r="AB99" i="23"/>
  <c r="AG99" i="23"/>
  <c r="Y114" i="23"/>
  <c r="AF114" i="23"/>
  <c r="AD116" i="23"/>
  <c r="Y118" i="23"/>
  <c r="AF118" i="23"/>
  <c r="AF121" i="23"/>
  <c r="Y122" i="23"/>
  <c r="AF122" i="23"/>
  <c r="AD124" i="23"/>
  <c r="Y126" i="23"/>
  <c r="AF126" i="23"/>
  <c r="AF129" i="23"/>
  <c r="Y130" i="23"/>
  <c r="AF130" i="23"/>
  <c r="AD132" i="23"/>
  <c r="Y134" i="23"/>
  <c r="AF134" i="23"/>
  <c r="AF137" i="23"/>
  <c r="Y138" i="23"/>
  <c r="AF138" i="23"/>
  <c r="AB140" i="23"/>
  <c r="AF141" i="23"/>
  <c r="AC144" i="23"/>
  <c r="Z144" i="23"/>
  <c r="Z145" i="23"/>
  <c r="AB148" i="23"/>
  <c r="AF149" i="23"/>
  <c r="Z152" i="23"/>
  <c r="Z153" i="23"/>
  <c r="AF157" i="23"/>
  <c r="Z160" i="23"/>
  <c r="AD160" i="23"/>
  <c r="Z161" i="23"/>
  <c r="AB164" i="23"/>
  <c r="AF165" i="23"/>
  <c r="AA166" i="23"/>
  <c r="Y167" i="23"/>
  <c r="AB167" i="23"/>
  <c r="AA167" i="23"/>
  <c r="AD168" i="23"/>
  <c r="AF169" i="23"/>
  <c r="AB169" i="23"/>
  <c r="AE169" i="23"/>
  <c r="Z169" i="23"/>
  <c r="AI169" i="23"/>
  <c r="AD169" i="23"/>
  <c r="Y169" i="23"/>
  <c r="AG169" i="23"/>
  <c r="Z170" i="23"/>
  <c r="AH172" i="23"/>
  <c r="AA173" i="23"/>
  <c r="AE174" i="23"/>
  <c r="AD176" i="23"/>
  <c r="AB177" i="23"/>
  <c r="AI177" i="23"/>
  <c r="AF179" i="23"/>
  <c r="Z180" i="23"/>
  <c r="AE181" i="23"/>
  <c r="AH184" i="23"/>
  <c r="X185" i="23"/>
  <c r="AB186" i="23"/>
  <c r="AG186" i="23"/>
  <c r="Z187" i="23"/>
  <c r="AE188" i="23"/>
  <c r="Z189" i="23"/>
  <c r="AD192" i="23"/>
  <c r="AB193" i="23"/>
  <c r="AI193" i="23"/>
  <c r="AF195" i="23"/>
  <c r="Z196" i="23"/>
  <c r="AE197" i="23"/>
  <c r="AH200" i="23"/>
  <c r="X201" i="23"/>
  <c r="AB202" i="23"/>
  <c r="AG202" i="23"/>
  <c r="Z203" i="23"/>
  <c r="AE204" i="23"/>
  <c r="Z205" i="23"/>
  <c r="AD208" i="23"/>
  <c r="AB209" i="23"/>
  <c r="AI209" i="23"/>
  <c r="AF211" i="23"/>
  <c r="Z212" i="23"/>
  <c r="AE213" i="23"/>
  <c r="AH216" i="23"/>
  <c r="X217" i="23"/>
  <c r="AB218" i="23"/>
  <c r="AI218" i="23"/>
  <c r="AC224" i="23"/>
  <c r="AB225" i="23"/>
  <c r="AB233" i="23"/>
  <c r="AB241" i="23"/>
  <c r="AI242" i="23"/>
  <c r="V244" i="23"/>
  <c r="AG245" i="23"/>
  <c r="Z246" i="23"/>
  <c r="Y246" i="23"/>
  <c r="AG247" i="23"/>
  <c r="Z248" i="23"/>
  <c r="Y248" i="23"/>
  <c r="AG249" i="23"/>
  <c r="Z250" i="23"/>
  <c r="Y250" i="23"/>
  <c r="AG251" i="23"/>
  <c r="Z252" i="23"/>
  <c r="Y252" i="23"/>
  <c r="X254" i="23"/>
  <c r="V254" i="23"/>
  <c r="AG218" i="23"/>
  <c r="AE219" i="23"/>
  <c r="AA219" i="23"/>
  <c r="AF219" i="23"/>
  <c r="AG219" i="23"/>
  <c r="Y221" i="23"/>
  <c r="AI224" i="23"/>
  <c r="AG226" i="23"/>
  <c r="AF227" i="23"/>
  <c r="Y229" i="23"/>
  <c r="AI232" i="23"/>
  <c r="AG234" i="23"/>
  <c r="AE235" i="23"/>
  <c r="AA235" i="23"/>
  <c r="AF235" i="23"/>
  <c r="AG235" i="23"/>
  <c r="Y237" i="23"/>
  <c r="AI240" i="23"/>
  <c r="AG242" i="23"/>
  <c r="AC245" i="23"/>
  <c r="AC247" i="23"/>
  <c r="AC249" i="23"/>
  <c r="AC251" i="23"/>
  <c r="AH253" i="23"/>
  <c r="S263" i="23"/>
  <c r="AH260" i="23"/>
  <c r="AH263" i="23" s="1"/>
  <c r="AE176" i="23"/>
  <c r="AC178" i="23"/>
  <c r="AE184" i="23"/>
  <c r="AC186" i="23"/>
  <c r="AE216" i="23"/>
  <c r="AH219" i="23"/>
  <c r="AE220" i="23"/>
  <c r="AE221" i="23"/>
  <c r="AE224" i="23"/>
  <c r="AC226" i="23"/>
  <c r="AE228" i="23"/>
  <c r="AE229" i="23"/>
  <c r="AH229" i="23"/>
  <c r="AE232" i="23"/>
  <c r="AC234" i="23"/>
  <c r="AC235" i="23"/>
  <c r="AH235" i="23"/>
  <c r="AE236" i="23"/>
  <c r="AH236" i="23"/>
  <c r="AE237" i="23"/>
  <c r="AH237" i="23"/>
  <c r="AE240" i="23"/>
  <c r="AC242" i="23"/>
  <c r="AH245" i="23"/>
  <c r="AD245" i="23"/>
  <c r="Z245" i="23"/>
  <c r="Y245" i="23"/>
  <c r="AE245" i="23"/>
  <c r="AH247" i="23"/>
  <c r="AD247" i="23"/>
  <c r="Z247" i="23"/>
  <c r="Y247" i="23"/>
  <c r="AE247" i="23"/>
  <c r="AH249" i="23"/>
  <c r="AD249" i="23"/>
  <c r="Z249" i="23"/>
  <c r="Y249" i="23"/>
  <c r="AE249" i="23"/>
  <c r="AH251" i="23"/>
  <c r="AD251" i="23"/>
  <c r="Z251" i="23"/>
  <c r="Y251" i="23"/>
  <c r="AE251" i="23"/>
  <c r="AF253" i="23"/>
  <c r="AB253" i="23"/>
  <c r="AA253" i="23"/>
  <c r="AE253" i="23"/>
  <c r="AI253" i="23"/>
  <c r="AG253" i="23"/>
  <c r="AG142" i="23"/>
  <c r="AA150" i="23"/>
  <c r="AB150" i="23"/>
  <c r="AE154" i="23"/>
  <c r="AB158" i="23"/>
  <c r="AE168" i="23"/>
  <c r="AE172" i="23"/>
  <c r="AE192" i="23"/>
  <c r="AC194" i="23"/>
  <c r="AE200" i="23"/>
  <c r="AC202" i="23"/>
  <c r="AE208" i="23"/>
  <c r="AC210" i="23"/>
  <c r="AC218" i="23"/>
  <c r="AF65" i="23"/>
  <c r="AB65" i="23"/>
  <c r="AA65" i="23"/>
  <c r="AG65" i="23"/>
  <c r="AF69" i="23"/>
  <c r="AB69" i="23"/>
  <c r="AA69" i="23"/>
  <c r="AG69" i="23"/>
  <c r="AF73" i="23"/>
  <c r="AB73" i="23"/>
  <c r="AA73" i="23"/>
  <c r="AG73" i="23"/>
  <c r="AF77" i="23"/>
  <c r="AB77" i="23"/>
  <c r="AA77" i="23"/>
  <c r="AG77" i="23"/>
  <c r="AF81" i="23"/>
  <c r="AB81" i="23"/>
  <c r="AA81" i="23"/>
  <c r="AG81" i="23"/>
  <c r="AH94" i="23"/>
  <c r="AD94" i="23"/>
  <c r="AE94" i="23"/>
  <c r="AG98" i="23"/>
  <c r="AG100" i="23"/>
  <c r="AE115" i="23"/>
  <c r="AA115" i="23"/>
  <c r="AH115" i="23"/>
  <c r="AE123" i="23"/>
  <c r="AA123" i="23"/>
  <c r="AG123" i="23"/>
  <c r="AE131" i="23"/>
  <c r="AA131" i="23"/>
  <c r="AD131" i="23"/>
  <c r="AG131" i="23"/>
  <c r="AE139" i="23"/>
  <c r="AG139" i="23"/>
  <c r="AE143" i="23"/>
  <c r="AG143" i="23"/>
  <c r="AC150" i="23"/>
  <c r="AH150" i="23"/>
  <c r="AC151" i="23"/>
  <c r="AC154" i="23"/>
  <c r="AH154" i="23"/>
  <c r="AE155" i="23"/>
  <c r="AH155" i="23"/>
  <c r="AG155" i="23"/>
  <c r="AE159" i="23"/>
  <c r="AC159" i="23"/>
  <c r="AG159" i="23"/>
  <c r="AF168" i="23"/>
  <c r="AB168" i="23"/>
  <c r="AA168" i="23"/>
  <c r="AG168" i="23"/>
  <c r="AF172" i="23"/>
  <c r="AB172" i="23"/>
  <c r="AA172" i="23"/>
  <c r="AG172" i="23"/>
  <c r="AI175" i="23"/>
  <c r="AF176" i="23"/>
  <c r="AB176" i="23"/>
  <c r="AA176" i="23"/>
  <c r="AG176" i="23"/>
  <c r="AG177" i="23"/>
  <c r="AC177" i="23"/>
  <c r="AA177" i="23"/>
  <c r="AF177" i="23"/>
  <c r="AG182" i="23"/>
  <c r="AC183" i="23"/>
  <c r="AF184" i="23"/>
  <c r="AB184" i="23"/>
  <c r="AA184" i="23"/>
  <c r="AG184" i="23"/>
  <c r="AG185" i="23"/>
  <c r="AC185" i="23"/>
  <c r="Y185" i="23"/>
  <c r="AA185" i="23"/>
  <c r="AF185" i="23"/>
  <c r="AG190" i="23"/>
  <c r="AE191" i="23"/>
  <c r="AD191" i="23"/>
  <c r="AG191" i="23"/>
  <c r="AF192" i="23"/>
  <c r="AB192" i="23"/>
  <c r="AA192" i="23"/>
  <c r="AG192" i="23"/>
  <c r="AG193" i="23"/>
  <c r="AC193" i="23"/>
  <c r="AA193" i="23"/>
  <c r="AF193" i="23"/>
  <c r="AG198" i="23"/>
  <c r="AF200" i="23"/>
  <c r="AB200" i="23"/>
  <c r="AA200" i="23"/>
  <c r="AG200" i="23"/>
  <c r="AG201" i="23"/>
  <c r="AC201" i="23"/>
  <c r="Y201" i="23"/>
  <c r="AA201" i="23"/>
  <c r="AF201" i="23"/>
  <c r="AG206" i="23"/>
  <c r="AF208" i="23"/>
  <c r="AB208" i="23"/>
  <c r="AA208" i="23"/>
  <c r="AG208" i="23"/>
  <c r="AG209" i="23"/>
  <c r="AC209" i="23"/>
  <c r="AA209" i="23"/>
  <c r="AF209" i="23"/>
  <c r="AG214" i="23"/>
  <c r="AC215" i="23"/>
  <c r="AF216" i="23"/>
  <c r="AB216" i="23"/>
  <c r="AA216" i="23"/>
  <c r="AG216" i="23"/>
  <c r="AG217" i="23"/>
  <c r="AC217" i="23"/>
  <c r="Y217" i="23"/>
  <c r="AA217" i="23"/>
  <c r="AF217" i="23"/>
  <c r="Y219" i="23"/>
  <c r="Y220" i="23"/>
  <c r="AD220" i="23"/>
  <c r="AD221" i="23"/>
  <c r="AG222" i="23"/>
  <c r="AE223" i="23"/>
  <c r="AA223" i="23"/>
  <c r="AG223" i="23"/>
  <c r="AF224" i="23"/>
  <c r="AB224" i="23"/>
  <c r="AA224" i="23"/>
  <c r="AG224" i="23"/>
  <c r="AG225" i="23"/>
  <c r="AC225" i="23"/>
  <c r="Y225" i="23"/>
  <c r="AA225" i="23"/>
  <c r="AF225" i="23"/>
  <c r="Y227" i="23"/>
  <c r="AD227" i="23"/>
  <c r="Y228" i="23"/>
  <c r="AD229" i="23"/>
  <c r="AI229" i="23"/>
  <c r="AG230" i="23"/>
  <c r="AF232" i="23"/>
  <c r="AB232" i="23"/>
  <c r="AA232" i="23"/>
  <c r="AG232" i="23"/>
  <c r="AG233" i="23"/>
  <c r="AC233" i="23"/>
  <c r="Y233" i="23"/>
  <c r="AA233" i="23"/>
  <c r="AF233" i="23"/>
  <c r="Y235" i="23"/>
  <c r="AD235" i="23"/>
  <c r="Y236" i="23"/>
  <c r="AD236" i="23"/>
  <c r="AI236" i="23"/>
  <c r="AD237" i="23"/>
  <c r="AG238" i="23"/>
  <c r="AF240" i="23"/>
  <c r="AB240" i="23"/>
  <c r="AA240" i="23"/>
  <c r="AG240" i="23"/>
  <c r="AG241" i="23"/>
  <c r="AC241" i="23"/>
  <c r="AA241" i="23"/>
  <c r="AF241" i="23"/>
  <c r="AA245" i="23"/>
  <c r="AF245" i="23"/>
  <c r="AC246" i="23"/>
  <c r="AA247" i="23"/>
  <c r="AF247" i="23"/>
  <c r="AA249" i="23"/>
  <c r="AF249" i="23"/>
  <c r="AF251" i="23"/>
  <c r="AI252" i="23"/>
  <c r="V253" i="23"/>
  <c r="AD98" i="23"/>
  <c r="AD99" i="23"/>
  <c r="AD100" i="23"/>
  <c r="AD166" i="23"/>
  <c r="AD178" i="23"/>
  <c r="AD182" i="23"/>
  <c r="AD186" i="23"/>
  <c r="AD190" i="23"/>
  <c r="AD194" i="23"/>
  <c r="AD198" i="23"/>
  <c r="AD202" i="23"/>
  <c r="AD206" i="23"/>
  <c r="AD210" i="23"/>
  <c r="AD214" i="23"/>
  <c r="AD218" i="23"/>
  <c r="AD222" i="23"/>
  <c r="AD226" i="23"/>
  <c r="AD230" i="23"/>
  <c r="AD234" i="23"/>
  <c r="AD238" i="23"/>
  <c r="AD242" i="23"/>
  <c r="AC254" i="23"/>
  <c r="AG254" i="23"/>
  <c r="AE255" i="23"/>
  <c r="AI255" i="23"/>
  <c r="AD273" i="23"/>
  <c r="Y275" i="23"/>
  <c r="AD277" i="23"/>
  <c r="Y279" i="23"/>
  <c r="AD281" i="23"/>
  <c r="Y283" i="23"/>
  <c r="AC283" i="23"/>
  <c r="AG283" i="23"/>
  <c r="AB284" i="23"/>
  <c r="AF285" i="23"/>
  <c r="AB285" i="23"/>
  <c r="Z285" i="23"/>
  <c r="AE285" i="23"/>
  <c r="AC287" i="23"/>
  <c r="AI290" i="23"/>
  <c r="AE290" i="23"/>
  <c r="AA290" i="23"/>
  <c r="Y290" i="23"/>
  <c r="AD290" i="23"/>
  <c r="AB292" i="23"/>
  <c r="Z293" i="23"/>
  <c r="Z295" i="23"/>
  <c r="Y295" i="23"/>
  <c r="AF296" i="23"/>
  <c r="AD296" i="23"/>
  <c r="AI296" i="23"/>
  <c r="Y297" i="23"/>
  <c r="AE302" i="23"/>
  <c r="Z302" i="23"/>
  <c r="AF302" i="23"/>
  <c r="AG303" i="23"/>
  <c r="AA305" i="23"/>
  <c r="Y306" i="23"/>
  <c r="AB308" i="23"/>
  <c r="Z309" i="23"/>
  <c r="AE311" i="23"/>
  <c r="Z313" i="23"/>
  <c r="AB314" i="23"/>
  <c r="AH314" i="23"/>
  <c r="AA314" i="23"/>
  <c r="AD254" i="23"/>
  <c r="AH254" i="23"/>
  <c r="Y272" i="23"/>
  <c r="AD274" i="23"/>
  <c r="Y276" i="23"/>
  <c r="AD278" i="23"/>
  <c r="Y280" i="23"/>
  <c r="AD282" i="23"/>
  <c r="AH287" i="23"/>
  <c r="AD287" i="23"/>
  <c r="Z287" i="23"/>
  <c r="Y287" i="23"/>
  <c r="AE287" i="23"/>
  <c r="AG291" i="23"/>
  <c r="AB296" i="23"/>
  <c r="Z297" i="23"/>
  <c r="Z299" i="23"/>
  <c r="Y299" i="23"/>
  <c r="AD306" i="23"/>
  <c r="Z306" i="23"/>
  <c r="AG307" i="23"/>
  <c r="X314" i="23"/>
  <c r="AC318" i="23"/>
  <c r="AA320" i="23"/>
  <c r="X260" i="23"/>
  <c r="AB260" i="23"/>
  <c r="AB263" i="23" s="1"/>
  <c r="AF260" i="23"/>
  <c r="AF263" i="23" s="1"/>
  <c r="Y261" i="23"/>
  <c r="AC261" i="23"/>
  <c r="AG261" i="23"/>
  <c r="AF271" i="23"/>
  <c r="Z271" i="23"/>
  <c r="Z272" i="23"/>
  <c r="Y273" i="23"/>
  <c r="AC273" i="23"/>
  <c r="AB274" i="23"/>
  <c r="AF274" i="23"/>
  <c r="Z276" i="23"/>
  <c r="Y277" i="23"/>
  <c r="AC277" i="23"/>
  <c r="AB278" i="23"/>
  <c r="AF278" i="23"/>
  <c r="Z280" i="23"/>
  <c r="Y281" i="23"/>
  <c r="AC281" i="23"/>
  <c r="AB282" i="23"/>
  <c r="AF282" i="23"/>
  <c r="AA283" i="23"/>
  <c r="AE283" i="23"/>
  <c r="AI283" i="23"/>
  <c r="AC285" i="23"/>
  <c r="AH285" i="23"/>
  <c r="AI286" i="23"/>
  <c r="AE286" i="23"/>
  <c r="AA286" i="23"/>
  <c r="Y286" i="23"/>
  <c r="AD286" i="23"/>
  <c r="AA287" i="23"/>
  <c r="AF287" i="23"/>
  <c r="AB288" i="23"/>
  <c r="AF289" i="23"/>
  <c r="AB289" i="23"/>
  <c r="Z289" i="23"/>
  <c r="AE289" i="23"/>
  <c r="AB290" i="23"/>
  <c r="AG290" i="23"/>
  <c r="AC291" i="23"/>
  <c r="AG293" i="23"/>
  <c r="AC294" i="23"/>
  <c r="Z294" i="23"/>
  <c r="AF295" i="23"/>
  <c r="AG295" i="23"/>
  <c r="Y298" i="23"/>
  <c r="AB300" i="23"/>
  <c r="AF301" i="23"/>
  <c r="AB301" i="23"/>
  <c r="Z301" i="23"/>
  <c r="AE301" i="23"/>
  <c r="AC302" i="23"/>
  <c r="AH302" i="23"/>
  <c r="AH303" i="23"/>
  <c r="AD303" i="23"/>
  <c r="Z303" i="23"/>
  <c r="Y303" i="23"/>
  <c r="AE303" i="23"/>
  <c r="AF304" i="23"/>
  <c r="Y305" i="23"/>
  <c r="AD305" i="23"/>
  <c r="AG306" i="23"/>
  <c r="AC307" i="23"/>
  <c r="AA309" i="23"/>
  <c r="AC310" i="23"/>
  <c r="Z310" i="23"/>
  <c r="AF311" i="23"/>
  <c r="AB311" i="23"/>
  <c r="AI311" i="23"/>
  <c r="AD311" i="23"/>
  <c r="Y311" i="23"/>
  <c r="AA311" i="23"/>
  <c r="AH311" i="23"/>
  <c r="Y312" i="23"/>
  <c r="AB313" i="23"/>
  <c r="AG314" i="23"/>
  <c r="X317" i="23"/>
  <c r="AF318" i="23"/>
  <c r="AD255" i="23"/>
  <c r="Z261" i="23"/>
  <c r="AD261" i="23"/>
  <c r="AI272" i="23"/>
  <c r="Y274" i="23"/>
  <c r="AC274" i="23"/>
  <c r="AB275" i="23"/>
  <c r="AI276" i="23"/>
  <c r="Y278" i="23"/>
  <c r="AC278" i="23"/>
  <c r="AI280" i="23"/>
  <c r="Y282" i="23"/>
  <c r="AC282" i="23"/>
  <c r="AB283" i="23"/>
  <c r="AF284" i="23"/>
  <c r="Y285" i="23"/>
  <c r="AD285" i="23"/>
  <c r="AI285" i="23"/>
  <c r="AB287" i="23"/>
  <c r="AG287" i="23"/>
  <c r="AA289" i="23"/>
  <c r="AC290" i="23"/>
  <c r="AH290" i="23"/>
  <c r="AH291" i="23"/>
  <c r="AD291" i="23"/>
  <c r="Z291" i="23"/>
  <c r="Y291" i="23"/>
  <c r="AE291" i="23"/>
  <c r="AF292" i="23"/>
  <c r="Y293" i="23"/>
  <c r="AD293" i="23"/>
  <c r="AC295" i="23"/>
  <c r="AI295" i="23"/>
  <c r="AI297" i="23"/>
  <c r="Z298" i="23"/>
  <c r="AI299" i="23"/>
  <c r="AA301" i="23"/>
  <c r="Y302" i="23"/>
  <c r="AD302" i="23"/>
  <c r="AB304" i="23"/>
  <c r="AF305" i="23"/>
  <c r="AB305" i="23"/>
  <c r="Z305" i="23"/>
  <c r="AE305" i="23"/>
  <c r="AC306" i="23"/>
  <c r="AH307" i="23"/>
  <c r="AD307" i="23"/>
  <c r="Z307" i="23"/>
  <c r="Y307" i="23"/>
  <c r="AE307" i="23"/>
  <c r="AF308" i="23"/>
  <c r="Y309" i="23"/>
  <c r="AA312" i="23"/>
  <c r="AF312" i="23"/>
  <c r="Z312" i="23"/>
  <c r="AH312" i="23"/>
  <c r="Y313" i="23"/>
  <c r="AF313" i="23"/>
  <c r="AF314" i="23"/>
  <c r="AG318" i="23"/>
  <c r="AG320" i="23"/>
  <c r="AC320" i="23"/>
  <c r="AD320" i="23"/>
  <c r="X328" i="23"/>
  <c r="AH332" i="23"/>
  <c r="AD332" i="23"/>
  <c r="AG334" i="23"/>
  <c r="AH334" i="23"/>
  <c r="AB334" i="23"/>
  <c r="F334" i="23"/>
  <c r="AA334" i="23"/>
  <c r="Z334" i="23"/>
  <c r="AE341" i="23"/>
  <c r="AB356" i="23"/>
  <c r="AG356" i="23"/>
  <c r="AA356" i="23"/>
  <c r="X366" i="23"/>
  <c r="X370" i="23"/>
  <c r="X374" i="23"/>
  <c r="Y284" i="23"/>
  <c r="AC284" i="23"/>
  <c r="AC288" i="23"/>
  <c r="Y292" i="23"/>
  <c r="AC292" i="23"/>
  <c r="AC296" i="23"/>
  <c r="AC300" i="23"/>
  <c r="AC304" i="23"/>
  <c r="Y308" i="23"/>
  <c r="AC308" i="23"/>
  <c r="AH315" i="23"/>
  <c r="AC316" i="23"/>
  <c r="Z316" i="23"/>
  <c r="AF317" i="23"/>
  <c r="AB321" i="23"/>
  <c r="AC323" i="23"/>
  <c r="AB324" i="23"/>
  <c r="AC325" i="23"/>
  <c r="Y327" i="23"/>
  <c r="AD334" i="23"/>
  <c r="F336" i="23"/>
  <c r="AF336" i="23"/>
  <c r="F343" i="23"/>
  <c r="Z343" i="23" s="1"/>
  <c r="X357" i="23"/>
  <c r="X365" i="23"/>
  <c r="X369" i="23"/>
  <c r="X373" i="23"/>
  <c r="AD322" i="23"/>
  <c r="AH326" i="23"/>
  <c r="Y326" i="23"/>
  <c r="AA329" i="23"/>
  <c r="F329" i="23"/>
  <c r="X329" i="23" s="1"/>
  <c r="AC329" i="23"/>
  <c r="Z329" i="23"/>
  <c r="AB332" i="23"/>
  <c r="AI332" i="23"/>
  <c r="AE334" i="23"/>
  <c r="AE338" i="23"/>
  <c r="F338" i="23"/>
  <c r="Z338" i="23"/>
  <c r="F339" i="23"/>
  <c r="Y344" i="23"/>
  <c r="Z344" i="23"/>
  <c r="AD344" i="23"/>
  <c r="AB344" i="23"/>
  <c r="Y356" i="23"/>
  <c r="AF356" i="23"/>
  <c r="X358" i="23"/>
  <c r="X361" i="23"/>
  <c r="AB315" i="23"/>
  <c r="Z315" i="23"/>
  <c r="AH316" i="23"/>
  <c r="Z317" i="23"/>
  <c r="Y317" i="23"/>
  <c r="AB318" i="23"/>
  <c r="AC321" i="23"/>
  <c r="AG325" i="23"/>
  <c r="AD326" i="23"/>
  <c r="Z327" i="23"/>
  <c r="AE327" i="23"/>
  <c r="AG327" i="23"/>
  <c r="AB328" i="23"/>
  <c r="AH328" i="23"/>
  <c r="AD329" i="23"/>
  <c r="AA333" i="23"/>
  <c r="F333" i="23"/>
  <c r="Z333" i="23" s="1"/>
  <c r="AD333" i="23"/>
  <c r="AF334" i="23"/>
  <c r="AC338" i="23"/>
  <c r="AH339" i="23"/>
  <c r="AF341" i="23"/>
  <c r="AH344" i="23"/>
  <c r="X360" i="23"/>
  <c r="X362" i="23"/>
  <c r="S410" i="23"/>
  <c r="AH407" i="23"/>
  <c r="L410" i="23"/>
  <c r="AA407" i="23"/>
  <c r="Q410" i="23"/>
  <c r="AF407" i="23"/>
  <c r="P410" i="23"/>
  <c r="X418" i="23"/>
  <c r="I422" i="23"/>
  <c r="AI418" i="23"/>
  <c r="T422" i="23"/>
  <c r="X419" i="23"/>
  <c r="AH13" i="24"/>
  <c r="X17" i="24"/>
  <c r="Y19" i="24"/>
  <c r="AF19" i="24"/>
  <c r="Y31" i="24"/>
  <c r="AH31" i="24"/>
  <c r="Z31" i="24"/>
  <c r="AD31" i="24"/>
  <c r="AC402" i="23"/>
  <c r="M410" i="23"/>
  <c r="AB407" i="23"/>
  <c r="AG407" i="23"/>
  <c r="R410" i="23"/>
  <c r="J410" i="23"/>
  <c r="T410" i="23"/>
  <c r="AB419" i="23"/>
  <c r="X13" i="24"/>
  <c r="AI13" i="24"/>
  <c r="Y15" i="24"/>
  <c r="AE15" i="24"/>
  <c r="AF15" i="24"/>
  <c r="AB17" i="24"/>
  <c r="AG18" i="24"/>
  <c r="AC18" i="24"/>
  <c r="Y18" i="24"/>
  <c r="AI18" i="24"/>
  <c r="AD18" i="24"/>
  <c r="AE18" i="24"/>
  <c r="Z18" i="24"/>
  <c r="AF18" i="24"/>
  <c r="Z19" i="24"/>
  <c r="X21" i="24"/>
  <c r="AA31" i="24"/>
  <c r="Y314" i="23"/>
  <c r="AC314" i="23"/>
  <c r="AH318" i="23"/>
  <c r="AD318" i="23"/>
  <c r="Z318" i="23"/>
  <c r="Y318" i="23"/>
  <c r="AE318" i="23"/>
  <c r="AB323" i="23"/>
  <c r="AD324" i="23"/>
  <c r="AI324" i="23"/>
  <c r="AF325" i="23"/>
  <c r="AB325" i="23"/>
  <c r="AI325" i="23"/>
  <c r="AD325" i="23"/>
  <c r="Y325" i="23"/>
  <c r="AA325" i="23"/>
  <c r="AH325" i="23"/>
  <c r="AD330" i="23"/>
  <c r="AG332" i="23"/>
  <c r="AC332" i="23"/>
  <c r="Y332" i="23"/>
  <c r="AE332" i="23"/>
  <c r="Z332" i="23"/>
  <c r="AF332" i="23"/>
  <c r="AA337" i="23"/>
  <c r="AE340" i="23"/>
  <c r="AA340" i="23"/>
  <c r="F340" i="23"/>
  <c r="Y340" i="23" s="1"/>
  <c r="AC340" i="23"/>
  <c r="Z340" i="23"/>
  <c r="AG340" i="23"/>
  <c r="AB341" i="23"/>
  <c r="AD342" i="23"/>
  <c r="V342" i="23"/>
  <c r="AG342" i="23"/>
  <c r="AC356" i="23"/>
  <c r="AI356" i="23"/>
  <c r="AE357" i="23"/>
  <c r="AA357" i="23"/>
  <c r="AB357" i="23"/>
  <c r="Z357" i="23"/>
  <c r="AC357" i="23"/>
  <c r="AG358" i="23"/>
  <c r="Y358" i="23"/>
  <c r="AG359" i="23"/>
  <c r="AD359" i="23"/>
  <c r="AG361" i="23"/>
  <c r="Z361" i="23"/>
  <c r="AF362" i="23"/>
  <c r="Y362" i="23"/>
  <c r="AA363" i="23"/>
  <c r="AG363" i="23"/>
  <c r="S404" i="23"/>
  <c r="S413" i="23" s="1"/>
  <c r="AC363" i="23"/>
  <c r="AD363" i="23"/>
  <c r="AA365" i="23"/>
  <c r="AD365" i="23"/>
  <c r="Z365" i="23"/>
  <c r="AC365" i="23"/>
  <c r="AF366" i="23"/>
  <c r="Y366" i="23"/>
  <c r="AF367" i="23"/>
  <c r="AD367" i="23"/>
  <c r="AB369" i="23"/>
  <c r="Z369" i="23"/>
  <c r="AF370" i="23"/>
  <c r="Y370" i="23"/>
  <c r="AE371" i="23"/>
  <c r="AA371" i="23"/>
  <c r="AF371" i="23"/>
  <c r="AC371" i="23"/>
  <c r="AD371" i="23"/>
  <c r="AE373" i="23"/>
  <c r="AA373" i="23"/>
  <c r="AG373" i="23"/>
  <c r="Z373" i="23"/>
  <c r="AC373" i="23"/>
  <c r="AG374" i="23"/>
  <c r="Y374" i="23"/>
  <c r="AF375" i="23"/>
  <c r="AD375" i="23"/>
  <c r="AG377" i="23"/>
  <c r="Z377" i="23"/>
  <c r="AG378" i="23"/>
  <c r="Y378" i="23"/>
  <c r="AI379" i="23"/>
  <c r="AA379" i="23"/>
  <c r="AB379" i="23"/>
  <c r="AH379" i="23"/>
  <c r="AC379" i="23"/>
  <c r="AD379" i="23"/>
  <c r="AB381" i="23"/>
  <c r="AF381" i="23"/>
  <c r="Z381" i="23"/>
  <c r="AE382" i="23"/>
  <c r="AF382" i="23"/>
  <c r="Y382" i="23"/>
  <c r="AA383" i="23"/>
  <c r="AB383" i="23"/>
  <c r="AD383" i="23"/>
  <c r="AH385" i="23"/>
  <c r="Z385" i="23"/>
  <c r="AF386" i="23"/>
  <c r="Y386" i="23"/>
  <c r="AI387" i="23"/>
  <c r="AK387" i="23" s="1"/>
  <c r="AA387" i="23"/>
  <c r="AB387" i="23"/>
  <c r="AH387" i="23"/>
  <c r="AC387" i="23"/>
  <c r="AD387" i="23"/>
  <c r="AI389" i="23"/>
  <c r="AE389" i="23"/>
  <c r="AG389" i="23"/>
  <c r="AF389" i="23"/>
  <c r="AE390" i="23"/>
  <c r="AG390" i="23"/>
  <c r="Y390" i="23"/>
  <c r="AA391" i="23"/>
  <c r="AB391" i="23"/>
  <c r="AD391" i="23"/>
  <c r="Z393" i="23"/>
  <c r="Y394" i="23"/>
  <c r="AA395" i="23"/>
  <c r="AH395" i="23"/>
  <c r="AD395" i="23"/>
  <c r="AI397" i="23"/>
  <c r="AA397" i="23"/>
  <c r="AF397" i="23"/>
  <c r="Z397" i="23"/>
  <c r="AC397" i="23"/>
  <c r="AE398" i="23"/>
  <c r="Y398" i="23"/>
  <c r="AA399" i="23"/>
  <c r="AD399" i="23"/>
  <c r="AF401" i="23"/>
  <c r="Z401" i="23"/>
  <c r="AC401" i="23"/>
  <c r="AF402" i="23"/>
  <c r="AB402" i="23"/>
  <c r="AE402" i="23"/>
  <c r="Z402" i="23"/>
  <c r="AD402" i="23"/>
  <c r="AD418" i="23"/>
  <c r="O422" i="23"/>
  <c r="AB13" i="24"/>
  <c r="Y14" i="24"/>
  <c r="Z14" i="24"/>
  <c r="AH18" i="24"/>
  <c r="Y23" i="24"/>
  <c r="AF23" i="24"/>
  <c r="Z23" i="24"/>
  <c r="AD23" i="24"/>
  <c r="X25" i="24"/>
  <c r="AF31" i="24"/>
  <c r="AD377" i="23"/>
  <c r="V378" i="23"/>
  <c r="AF379" i="23"/>
  <c r="AD381" i="23"/>
  <c r="V382" i="23"/>
  <c r="AF383" i="23"/>
  <c r="AD385" i="23"/>
  <c r="V386" i="23"/>
  <c r="AF387" i="23"/>
  <c r="AD389" i="23"/>
  <c r="AD393" i="23"/>
  <c r="V394" i="23"/>
  <c r="AF395" i="23"/>
  <c r="AD397" i="23"/>
  <c r="AF399" i="23"/>
  <c r="AD401" i="23"/>
  <c r="AC408" i="23"/>
  <c r="N410" i="23"/>
  <c r="AH419" i="23"/>
  <c r="AD13" i="24"/>
  <c r="AB14" i="24"/>
  <c r="AH17" i="24"/>
  <c r="AA18" i="24"/>
  <c r="Y27" i="24"/>
  <c r="Z27" i="24"/>
  <c r="AD27" i="24"/>
  <c r="X29" i="24"/>
  <c r="AG408" i="23"/>
  <c r="AG419" i="23"/>
  <c r="AC419" i="23"/>
  <c r="AA419" i="23"/>
  <c r="AF419" i="23"/>
  <c r="AB12" i="24"/>
  <c r="AG13" i="24"/>
  <c r="AC13" i="24"/>
  <c r="AA13" i="24"/>
  <c r="AF13" i="24"/>
  <c r="AB16" i="24"/>
  <c r="AG17" i="24"/>
  <c r="AC17" i="24"/>
  <c r="AA17" i="24"/>
  <c r="AF17" i="24"/>
  <c r="AB20" i="24"/>
  <c r="AG21" i="24"/>
  <c r="AC21" i="24"/>
  <c r="AA21" i="24"/>
  <c r="AF21" i="24"/>
  <c r="Z22" i="24"/>
  <c r="AB24" i="24"/>
  <c r="AG25" i="24"/>
  <c r="AC25" i="24"/>
  <c r="Y25" i="24"/>
  <c r="AA25" i="24"/>
  <c r="AF25" i="24"/>
  <c r="Z26" i="24"/>
  <c r="AB28" i="24"/>
  <c r="AG29" i="24"/>
  <c r="AC29" i="24"/>
  <c r="Y29" i="24"/>
  <c r="AA29" i="24"/>
  <c r="AF29" i="24"/>
  <c r="Z30" i="24"/>
  <c r="AB32" i="24"/>
  <c r="AH32" i="24"/>
  <c r="AG34" i="24"/>
  <c r="Z34" i="24"/>
  <c r="AF35" i="24"/>
  <c r="Y35" i="24"/>
  <c r="AG36" i="24"/>
  <c r="AD36" i="24"/>
  <c r="AG38" i="24"/>
  <c r="Z38" i="24"/>
  <c r="AI39" i="24"/>
  <c r="AD39" i="24"/>
  <c r="Y39" i="24"/>
  <c r="AG40" i="24"/>
  <c r="AD40" i="24"/>
  <c r="AG42" i="24"/>
  <c r="Z42" i="24"/>
  <c r="AI43" i="24"/>
  <c r="AE43" i="24"/>
  <c r="AD43" i="24"/>
  <c r="Y43" i="24"/>
  <c r="AC43" i="24"/>
  <c r="AG44" i="24"/>
  <c r="AD44" i="24"/>
  <c r="AG46" i="24"/>
  <c r="Z46" i="24"/>
  <c r="Y47" i="24"/>
  <c r="AG48" i="24"/>
  <c r="AD48" i="24"/>
  <c r="AG50" i="24"/>
  <c r="Z50" i="24"/>
  <c r="Y51" i="24"/>
  <c r="AG52" i="24"/>
  <c r="AD52" i="24"/>
  <c r="Z54" i="24"/>
  <c r="Y55" i="24"/>
  <c r="AD56" i="24"/>
  <c r="Z58" i="24"/>
  <c r="AE59" i="24"/>
  <c r="AA59" i="24"/>
  <c r="Y59" i="24"/>
  <c r="AC59" i="24"/>
  <c r="AD60" i="24"/>
  <c r="Z62" i="24"/>
  <c r="Y63" i="24"/>
  <c r="AD64" i="24"/>
  <c r="Z66" i="24"/>
  <c r="AE67" i="24"/>
  <c r="AA67" i="24"/>
  <c r="Y67" i="24"/>
  <c r="AC67" i="24"/>
  <c r="AD68" i="24"/>
  <c r="Z70" i="24"/>
  <c r="AI71" i="24"/>
  <c r="AD71" i="24"/>
  <c r="Y71" i="24"/>
  <c r="AD72" i="24"/>
  <c r="Z74" i="24"/>
  <c r="AE75" i="24"/>
  <c r="AA75" i="24"/>
  <c r="AD75" i="24"/>
  <c r="Y75" i="24"/>
  <c r="AC75" i="24"/>
  <c r="AD76" i="24"/>
  <c r="Z78" i="24"/>
  <c r="AI79" i="24"/>
  <c r="AD79" i="24"/>
  <c r="Y79" i="24"/>
  <c r="AD80" i="24"/>
  <c r="M92" i="24"/>
  <c r="AB88" i="24"/>
  <c r="AG88" i="24"/>
  <c r="AI99" i="24"/>
  <c r="AH99" i="24"/>
  <c r="AF99" i="24"/>
  <c r="Z99" i="24"/>
  <c r="Y99" i="24"/>
  <c r="AH113" i="24"/>
  <c r="AG114" i="24"/>
  <c r="AE114" i="24"/>
  <c r="Z114" i="24"/>
  <c r="AD114" i="24"/>
  <c r="Y114" i="24"/>
  <c r="AC117" i="24"/>
  <c r="AB21" i="24"/>
  <c r="AG22" i="24"/>
  <c r="AC22" i="24"/>
  <c r="Y22" i="24"/>
  <c r="AA22" i="24"/>
  <c r="AF22" i="24"/>
  <c r="AB25" i="24"/>
  <c r="AG26" i="24"/>
  <c r="AC26" i="24"/>
  <c r="Y26" i="24"/>
  <c r="AA26" i="24"/>
  <c r="AF26" i="24"/>
  <c r="AB29" i="24"/>
  <c r="AG30" i="24"/>
  <c r="AC30" i="24"/>
  <c r="Y30" i="24"/>
  <c r="AA30" i="24"/>
  <c r="AF30" i="24"/>
  <c r="AD34" i="24"/>
  <c r="AF39" i="24"/>
  <c r="Y40" i="24"/>
  <c r="AF43" i="24"/>
  <c r="Y44" i="24"/>
  <c r="AF47" i="24"/>
  <c r="Y48" i="24"/>
  <c r="AF51" i="24"/>
  <c r="Y52" i="24"/>
  <c r="AF55" i="24"/>
  <c r="Y56" i="24"/>
  <c r="AF59" i="24"/>
  <c r="Y60" i="24"/>
  <c r="AF63" i="24"/>
  <c r="Y64" i="24"/>
  <c r="AF67" i="24"/>
  <c r="Y68" i="24"/>
  <c r="AF71" i="24"/>
  <c r="Y72" i="24"/>
  <c r="AF75" i="24"/>
  <c r="Y76" i="24"/>
  <c r="Y80" i="24"/>
  <c r="T92" i="24"/>
  <c r="AE88" i="24"/>
  <c r="AE92" i="24" s="1"/>
  <c r="AB90" i="24"/>
  <c r="AG90" i="24"/>
  <c r="AI90" i="24"/>
  <c r="AI92" i="24" s="1"/>
  <c r="O101" i="24"/>
  <c r="X98" i="24"/>
  <c r="AB99" i="24"/>
  <c r="Q101" i="24"/>
  <c r="AE117" i="24"/>
  <c r="AD117" i="24"/>
  <c r="AG35" i="24"/>
  <c r="AG39" i="24"/>
  <c r="AG43" i="24"/>
  <c r="AG47" i="24"/>
  <c r="AG51" i="24"/>
  <c r="Y54" i="24"/>
  <c r="Z55" i="24"/>
  <c r="AG55" i="24"/>
  <c r="Z56" i="24"/>
  <c r="AG56" i="24"/>
  <c r="Y58" i="24"/>
  <c r="Z59" i="24"/>
  <c r="AG59" i="24"/>
  <c r="Z60" i="24"/>
  <c r="AG60" i="24"/>
  <c r="Y62" i="24"/>
  <c r="Z63" i="24"/>
  <c r="AG63" i="24"/>
  <c r="Z64" i="24"/>
  <c r="AG64" i="24"/>
  <c r="Y66" i="24"/>
  <c r="Z67" i="24"/>
  <c r="AG67" i="24"/>
  <c r="Z68" i="24"/>
  <c r="AG68" i="24"/>
  <c r="Y70" i="24"/>
  <c r="Z71" i="24"/>
  <c r="AG71" i="24"/>
  <c r="Z72" i="24"/>
  <c r="AG72" i="24"/>
  <c r="Y74" i="24"/>
  <c r="Z75" i="24"/>
  <c r="AG75" i="24"/>
  <c r="Z76" i="24"/>
  <c r="AG76" i="24"/>
  <c r="Y78" i="24"/>
  <c r="Z79" i="24"/>
  <c r="AG79" i="24"/>
  <c r="Z80" i="24"/>
  <c r="AG80" i="24"/>
  <c r="AC89" i="24"/>
  <c r="N92" i="24"/>
  <c r="L92" i="24"/>
  <c r="Y97" i="24"/>
  <c r="AG99" i="24"/>
  <c r="AC113" i="24"/>
  <c r="AH117" i="24"/>
  <c r="AG118" i="24"/>
  <c r="Z118" i="24"/>
  <c r="AD118" i="24"/>
  <c r="Y118" i="24"/>
  <c r="AB319" i="23"/>
  <c r="AF320" i="23"/>
  <c r="AB320" i="23"/>
  <c r="Z320" i="23"/>
  <c r="AE320" i="23"/>
  <c r="AD321" i="23"/>
  <c r="Z321" i="23"/>
  <c r="AE321" i="23"/>
  <c r="AF322" i="23"/>
  <c r="AB322" i="23"/>
  <c r="Z322" i="23"/>
  <c r="AE322" i="23"/>
  <c r="AH323" i="23"/>
  <c r="AD323" i="23"/>
  <c r="Z323" i="23"/>
  <c r="AE323" i="23"/>
  <c r="AF324" i="23"/>
  <c r="AI331" i="23"/>
  <c r="AF335" i="23"/>
  <c r="AB335" i="23"/>
  <c r="Z335" i="23"/>
  <c r="AE335" i="23"/>
  <c r="AG337" i="23"/>
  <c r="AC337" i="23"/>
  <c r="Y337" i="23"/>
  <c r="AD337" i="23"/>
  <c r="AI337" i="23"/>
  <c r="AG341" i="23"/>
  <c r="AC341" i="23"/>
  <c r="Y341" i="23"/>
  <c r="AD341" i="23"/>
  <c r="AI341" i="23"/>
  <c r="AI360" i="23"/>
  <c r="AI368" i="23"/>
  <c r="AB368" i="23"/>
  <c r="AI376" i="23"/>
  <c r="AB376" i="23"/>
  <c r="AD380" i="23"/>
  <c r="AI384" i="23"/>
  <c r="AD384" i="23"/>
  <c r="AB384" i="23"/>
  <c r="AD388" i="23"/>
  <c r="AI392" i="23"/>
  <c r="AA392" i="23"/>
  <c r="AD392" i="23"/>
  <c r="AB392" i="23"/>
  <c r="AD396" i="23"/>
  <c r="AI400" i="23"/>
  <c r="AA400" i="23"/>
  <c r="AD400" i="23"/>
  <c r="AB400" i="23"/>
  <c r="I410" i="23"/>
  <c r="AC407" i="23"/>
  <c r="Z419" i="23"/>
  <c r="AG12" i="24"/>
  <c r="AC12" i="24"/>
  <c r="AF12" i="24"/>
  <c r="Z13" i="24"/>
  <c r="AG16" i="24"/>
  <c r="AC16" i="24"/>
  <c r="AA16" i="24"/>
  <c r="AF16" i="24"/>
  <c r="Z17" i="24"/>
  <c r="AE17" i="24"/>
  <c r="AG20" i="24"/>
  <c r="AC20" i="24"/>
  <c r="AA20" i="24"/>
  <c r="AF20" i="24"/>
  <c r="Z21" i="24"/>
  <c r="AE21" i="24"/>
  <c r="AD22" i="24"/>
  <c r="AI22" i="24"/>
  <c r="AG24" i="24"/>
  <c r="AC24" i="24"/>
  <c r="AA24" i="24"/>
  <c r="AF24" i="24"/>
  <c r="Z25" i="24"/>
  <c r="AE25" i="24"/>
  <c r="AD26" i="24"/>
  <c r="AI26" i="24"/>
  <c r="AG28" i="24"/>
  <c r="AC28" i="24"/>
  <c r="AA28" i="24"/>
  <c r="AF28" i="24"/>
  <c r="Z29" i="24"/>
  <c r="AE29" i="24"/>
  <c r="AD30" i="24"/>
  <c r="AI30" i="24"/>
  <c r="AG32" i="24"/>
  <c r="AC32" i="24"/>
  <c r="AA32" i="24"/>
  <c r="AF32" i="24"/>
  <c r="AB35" i="24"/>
  <c r="AH35" i="24"/>
  <c r="AB36" i="24"/>
  <c r="AB39" i="24"/>
  <c r="AH39" i="24"/>
  <c r="AB43" i="24"/>
  <c r="AH43" i="24"/>
  <c r="AH46" i="24"/>
  <c r="AB47" i="24"/>
  <c r="AH47" i="24"/>
  <c r="AB51" i="24"/>
  <c r="AH51" i="24"/>
  <c r="AB52" i="24"/>
  <c r="AB55" i="24"/>
  <c r="AH55" i="24"/>
  <c r="AB59" i="24"/>
  <c r="AH59" i="24"/>
  <c r="AB63" i="24"/>
  <c r="AH63" i="24"/>
  <c r="AB67" i="24"/>
  <c r="AH67" i="24"/>
  <c r="AB71" i="24"/>
  <c r="AH71" i="24"/>
  <c r="AB74" i="24"/>
  <c r="AB75" i="24"/>
  <c r="AH75" i="24"/>
  <c r="AB79" i="24"/>
  <c r="AH79" i="24"/>
  <c r="AF83" i="24"/>
  <c r="AB83" i="24"/>
  <c r="AG83" i="24"/>
  <c r="AA83" i="24"/>
  <c r="AE83" i="24"/>
  <c r="Z83" i="24"/>
  <c r="AH83" i="24"/>
  <c r="S92" i="24"/>
  <c r="AH88" i="24"/>
  <c r="AH92" i="24" s="1"/>
  <c r="AA88" i="24"/>
  <c r="AA92" i="24" s="1"/>
  <c r="Q92" i="24"/>
  <c r="AF88" i="24"/>
  <c r="AF92" i="24" s="1"/>
  <c r="R92" i="24"/>
  <c r="AE113" i="24"/>
  <c r="AD113" i="24"/>
  <c r="AC319" i="23"/>
  <c r="AC324" i="23"/>
  <c r="AC328" i="23"/>
  <c r="V407" i="23"/>
  <c r="AD408" i="23"/>
  <c r="V33" i="24"/>
  <c r="AF33" i="24"/>
  <c r="AF37" i="24"/>
  <c r="V41" i="24"/>
  <c r="AC41" i="24"/>
  <c r="AC45" i="24"/>
  <c r="AF49" i="24"/>
  <c r="AF53" i="24"/>
  <c r="AF57" i="24"/>
  <c r="AC61" i="24"/>
  <c r="AC65" i="24"/>
  <c r="AF69" i="24"/>
  <c r="AF73" i="24"/>
  <c r="AC77" i="24"/>
  <c r="AC81" i="24"/>
  <c r="Z82" i="24"/>
  <c r="I92" i="24"/>
  <c r="AC88" i="24"/>
  <c r="AC90" i="24"/>
  <c r="J92" i="24"/>
  <c r="AC97" i="24"/>
  <c r="Z98" i="24"/>
  <c r="Z101" i="24" s="1"/>
  <c r="AC100" i="24"/>
  <c r="AE115" i="24"/>
  <c r="AC115" i="24"/>
  <c r="AF116" i="24"/>
  <c r="AB116" i="24"/>
  <c r="AA116" i="24"/>
  <c r="AG116" i="24"/>
  <c r="Z117" i="24"/>
  <c r="AE119" i="24"/>
  <c r="AF120" i="24"/>
  <c r="AB120" i="24"/>
  <c r="AA120" i="24"/>
  <c r="AG120" i="24"/>
  <c r="Z121" i="24"/>
  <c r="Y122" i="24"/>
  <c r="AI123" i="24"/>
  <c r="AF124" i="24"/>
  <c r="AB124" i="24"/>
  <c r="AA124" i="24"/>
  <c r="AG124" i="24"/>
  <c r="Z125" i="24"/>
  <c r="AE126" i="24"/>
  <c r="X127" i="24"/>
  <c r="AB128" i="24"/>
  <c r="AG128" i="24"/>
  <c r="AE130" i="24"/>
  <c r="X131" i="24"/>
  <c r="AB132" i="24"/>
  <c r="AG132" i="24"/>
  <c r="AE134" i="24"/>
  <c r="X135" i="24"/>
  <c r="AB136" i="24"/>
  <c r="AG136" i="24"/>
  <c r="AE140" i="24"/>
  <c r="AE142" i="24"/>
  <c r="AA143" i="24"/>
  <c r="AH144" i="24"/>
  <c r="AH148" i="24"/>
  <c r="AC150" i="24"/>
  <c r="AF82" i="24"/>
  <c r="AG89" i="24"/>
  <c r="AI98" i="24"/>
  <c r="AC98" i="24"/>
  <c r="AB98" i="24"/>
  <c r="Y100" i="24"/>
  <c r="Y115" i="24"/>
  <c r="AF117" i="24"/>
  <c r="AB117" i="24"/>
  <c r="AA117" i="24"/>
  <c r="AG117" i="24"/>
  <c r="Y119" i="24"/>
  <c r="AD119" i="24"/>
  <c r="AF121" i="24"/>
  <c r="AB121" i="24"/>
  <c r="AA121" i="24"/>
  <c r="AG121" i="24"/>
  <c r="Z122" i="24"/>
  <c r="Y123" i="24"/>
  <c r="AD123" i="24"/>
  <c r="AF125" i="24"/>
  <c r="AB125" i="24"/>
  <c r="AA125" i="24"/>
  <c r="AG125" i="24"/>
  <c r="AH126" i="24"/>
  <c r="AC128" i="24"/>
  <c r="AH130" i="24"/>
  <c r="AH134" i="24"/>
  <c r="AH138" i="24"/>
  <c r="AG140" i="24"/>
  <c r="AD143" i="24"/>
  <c r="AA144" i="24"/>
  <c r="AH146" i="24"/>
  <c r="AD150" i="24"/>
  <c r="AB126" i="24"/>
  <c r="AG126" i="24"/>
  <c r="AA126" i="24"/>
  <c r="AB130" i="24"/>
  <c r="AG130" i="24"/>
  <c r="AA130" i="24"/>
  <c r="AB134" i="24"/>
  <c r="AG134" i="24"/>
  <c r="AB138" i="24"/>
  <c r="AG138" i="24"/>
  <c r="X139" i="24"/>
  <c r="AC142" i="24"/>
  <c r="AE144" i="24"/>
  <c r="AC146" i="24"/>
  <c r="AG147" i="24"/>
  <c r="AE148" i="24"/>
  <c r="AI100" i="24"/>
  <c r="AE100" i="24"/>
  <c r="AA100" i="24"/>
  <c r="AD100" i="24"/>
  <c r="AB100" i="24"/>
  <c r="AG100" i="24"/>
  <c r="AI113" i="24"/>
  <c r="AA115" i="24"/>
  <c r="AI117" i="24"/>
  <c r="AB119" i="24"/>
  <c r="AI121" i="24"/>
  <c r="AE122" i="24"/>
  <c r="AF123" i="24"/>
  <c r="AG123" i="24"/>
  <c r="AC126" i="24"/>
  <c r="AC130" i="24"/>
  <c r="AC134" i="24"/>
  <c r="AD142" i="24"/>
  <c r="AH143" i="24"/>
  <c r="AD146" i="24"/>
  <c r="AH150" i="24"/>
  <c r="AE152" i="24"/>
  <c r="AD154" i="24"/>
  <c r="AE156" i="24"/>
  <c r="AD158" i="24"/>
  <c r="AE160" i="24"/>
  <c r="AD162" i="24"/>
  <c r="AE164" i="24"/>
  <c r="AD166" i="24"/>
  <c r="AE168" i="24"/>
  <c r="AD170" i="24"/>
  <c r="AE172" i="24"/>
  <c r="AD174" i="24"/>
  <c r="AE176" i="24"/>
  <c r="AC176" i="24"/>
  <c r="AG144" i="24"/>
  <c r="AE146" i="24"/>
  <c r="AG148" i="24"/>
  <c r="AE150" i="24"/>
  <c r="AG152" i="24"/>
  <c r="AE154" i="24"/>
  <c r="AG156" i="24"/>
  <c r="AE158" i="24"/>
  <c r="AG160" i="24"/>
  <c r="AE162" i="24"/>
  <c r="AG164" i="24"/>
  <c r="AE166" i="24"/>
  <c r="AG168" i="24"/>
  <c r="AE170" i="24"/>
  <c r="AG172" i="24"/>
  <c r="AE174" i="24"/>
  <c r="Z175" i="24"/>
  <c r="AD175" i="24"/>
  <c r="AA147" i="24"/>
  <c r="AH147" i="24"/>
  <c r="AA148" i="24"/>
  <c r="AA151" i="24"/>
  <c r="AH151" i="24"/>
  <c r="AA152" i="24"/>
  <c r="AA155" i="24"/>
  <c r="AH155" i="24"/>
  <c r="AA156" i="24"/>
  <c r="AA159" i="24"/>
  <c r="AH159" i="24"/>
  <c r="AA160" i="24"/>
  <c r="AA163" i="24"/>
  <c r="AH163" i="24"/>
  <c r="AA164" i="24"/>
  <c r="AA167" i="24"/>
  <c r="AH167" i="24"/>
  <c r="AA168" i="24"/>
  <c r="AH171" i="24"/>
  <c r="V88" i="24"/>
  <c r="Z89" i="24"/>
  <c r="AD89" i="24"/>
  <c r="Z90" i="24"/>
  <c r="AD90" i="24"/>
  <c r="AG127" i="24"/>
  <c r="AG129" i="24"/>
  <c r="AG131" i="24"/>
  <c r="AG133" i="24"/>
  <c r="AG135" i="24"/>
  <c r="AG137" i="24"/>
  <c r="AC139" i="24"/>
  <c r="AI139" i="24"/>
  <c r="AF140" i="24"/>
  <c r="AB140" i="24"/>
  <c r="AI140" i="24"/>
  <c r="AD140" i="24"/>
  <c r="Y140" i="24"/>
  <c r="AC140" i="24"/>
  <c r="AG141" i="24"/>
  <c r="AD141" i="24"/>
  <c r="AI142" i="24"/>
  <c r="AF143" i="24"/>
  <c r="AB143" i="24"/>
  <c r="AE143" i="24"/>
  <c r="Z143" i="24"/>
  <c r="AC143" i="24"/>
  <c r="AI143" i="24"/>
  <c r="AF144" i="24"/>
  <c r="AB144" i="24"/>
  <c r="AI144" i="24"/>
  <c r="AD144" i="24"/>
  <c r="Y144" i="24"/>
  <c r="AC144" i="24"/>
  <c r="AG145" i="24"/>
  <c r="AD145" i="24"/>
  <c r="AI146" i="24"/>
  <c r="AF147" i="24"/>
  <c r="AB147" i="24"/>
  <c r="AE147" i="24"/>
  <c r="Z147" i="24"/>
  <c r="AC147" i="24"/>
  <c r="AI147" i="24"/>
  <c r="AF148" i="24"/>
  <c r="AB148" i="24"/>
  <c r="AI148" i="24"/>
  <c r="AD148" i="24"/>
  <c r="Y148" i="24"/>
  <c r="AC148" i="24"/>
  <c r="AG149" i="24"/>
  <c r="AD149" i="24"/>
  <c r="AI150" i="24"/>
  <c r="AF151" i="24"/>
  <c r="AB151" i="24"/>
  <c r="AE151" i="24"/>
  <c r="Z151" i="24"/>
  <c r="AC151" i="24"/>
  <c r="AI151" i="24"/>
  <c r="AF152" i="24"/>
  <c r="AB152" i="24"/>
  <c r="AI152" i="24"/>
  <c r="AD152" i="24"/>
  <c r="Y152" i="24"/>
  <c r="AC152" i="24"/>
  <c r="AG153" i="24"/>
  <c r="AD153" i="24"/>
  <c r="AI154" i="24"/>
  <c r="AF155" i="24"/>
  <c r="AB155" i="24"/>
  <c r="AE155" i="24"/>
  <c r="Z155" i="24"/>
  <c r="AC155" i="24"/>
  <c r="AI155" i="24"/>
  <c r="AF156" i="24"/>
  <c r="AB156" i="24"/>
  <c r="AI156" i="24"/>
  <c r="AD156" i="24"/>
  <c r="Y156" i="24"/>
  <c r="AC156" i="24"/>
  <c r="AG157" i="24"/>
  <c r="AI158" i="24"/>
  <c r="AF159" i="24"/>
  <c r="AB159" i="24"/>
  <c r="AE159" i="24"/>
  <c r="Z159" i="24"/>
  <c r="AC159" i="24"/>
  <c r="AI159" i="24"/>
  <c r="AF160" i="24"/>
  <c r="AB160" i="24"/>
  <c r="AI160" i="24"/>
  <c r="AD160" i="24"/>
  <c r="Y160" i="24"/>
  <c r="AC160" i="24"/>
  <c r="AG161" i="24"/>
  <c r="AD161" i="24"/>
  <c r="AI162" i="24"/>
  <c r="AF163" i="24"/>
  <c r="AB163" i="24"/>
  <c r="AE163" i="24"/>
  <c r="Z163" i="24"/>
  <c r="AC163" i="24"/>
  <c r="AI163" i="24"/>
  <c r="AF164" i="24"/>
  <c r="AB164" i="24"/>
  <c r="AI164" i="24"/>
  <c r="AD164" i="24"/>
  <c r="Y164" i="24"/>
  <c r="AC164" i="24"/>
  <c r="AG165" i="24"/>
  <c r="AI166" i="24"/>
  <c r="AF167" i="24"/>
  <c r="AB167" i="24"/>
  <c r="AE167" i="24"/>
  <c r="Z167" i="24"/>
  <c r="AC167" i="24"/>
  <c r="AI167" i="24"/>
  <c r="AF168" i="24"/>
  <c r="AB168" i="24"/>
  <c r="AI168" i="24"/>
  <c r="AD168" i="24"/>
  <c r="Y168" i="24"/>
  <c r="AC168" i="24"/>
  <c r="AG169" i="24"/>
  <c r="AD169" i="24"/>
  <c r="AI170" i="24"/>
  <c r="AF171" i="24"/>
  <c r="AB171" i="24"/>
  <c r="AE171" i="24"/>
  <c r="Z171" i="24"/>
  <c r="AC171" i="24"/>
  <c r="AI171" i="24"/>
  <c r="AF172" i="24"/>
  <c r="AB172" i="24"/>
  <c r="AI172" i="24"/>
  <c r="AD172" i="24"/>
  <c r="Y172" i="24"/>
  <c r="AC172" i="24"/>
  <c r="AI173" i="24"/>
  <c r="AI174" i="24"/>
  <c r="AA175" i="24"/>
  <c r="AG178" i="24"/>
  <c r="AG180" i="24"/>
  <c r="AG182" i="24"/>
  <c r="AG184" i="24"/>
  <c r="AG186" i="24"/>
  <c r="AG188" i="24"/>
  <c r="AG190" i="24"/>
  <c r="AG192" i="24"/>
  <c r="AG194" i="24"/>
  <c r="AG196" i="24"/>
  <c r="AF176" i="24"/>
  <c r="AB176" i="24"/>
  <c r="AA176" i="24"/>
  <c r="AG176" i="24"/>
  <c r="AC178" i="24"/>
  <c r="AC180" i="24"/>
  <c r="AC182" i="24"/>
  <c r="AC184" i="24"/>
  <c r="AC186" i="24"/>
  <c r="AC188" i="24"/>
  <c r="AC190" i="24"/>
  <c r="AC192" i="24"/>
  <c r="AC194" i="24"/>
  <c r="AC196" i="24"/>
  <c r="AH197" i="24"/>
  <c r="AA197" i="24"/>
  <c r="AF197" i="24"/>
  <c r="AG179" i="24"/>
  <c r="AB180" i="24"/>
  <c r="AG181" i="24"/>
  <c r="AB182" i="24"/>
  <c r="AG183" i="24"/>
  <c r="AB184" i="24"/>
  <c r="AG185" i="24"/>
  <c r="AB186" i="24"/>
  <c r="AG187" i="24"/>
  <c r="AB188" i="24"/>
  <c r="AG189" i="24"/>
  <c r="AB190" i="24"/>
  <c r="AG191" i="24"/>
  <c r="AB192" i="24"/>
  <c r="AG193" i="24"/>
  <c r="AG195" i="24"/>
  <c r="AB197" i="24"/>
  <c r="AG197" i="24"/>
  <c r="Z126" i="24"/>
  <c r="AD126" i="24"/>
  <c r="Z127" i="24"/>
  <c r="AD127" i="24"/>
  <c r="Z128" i="24"/>
  <c r="AD128" i="24"/>
  <c r="Z129" i="24"/>
  <c r="AD129" i="24"/>
  <c r="Z130" i="24"/>
  <c r="AD130" i="24"/>
  <c r="Z131" i="24"/>
  <c r="AD131" i="24"/>
  <c r="Z132" i="24"/>
  <c r="AD132" i="24"/>
  <c r="Z133" i="24"/>
  <c r="AD133" i="24"/>
  <c r="Z134" i="24"/>
  <c r="AD134" i="24"/>
  <c r="Z135" i="24"/>
  <c r="AD135" i="24"/>
  <c r="Z136" i="24"/>
  <c r="AD136" i="24"/>
  <c r="Z137" i="24"/>
  <c r="AD137" i="24"/>
  <c r="Z138" i="24"/>
  <c r="AD138" i="24"/>
  <c r="AF139" i="24"/>
  <c r="AB139" i="24"/>
  <c r="Z139" i="24"/>
  <c r="AE139" i="24"/>
  <c r="AF142" i="24"/>
  <c r="AB142" i="24"/>
  <c r="AA142" i="24"/>
  <c r="AG142" i="24"/>
  <c r="AF146" i="24"/>
  <c r="AB146" i="24"/>
  <c r="AA146" i="24"/>
  <c r="AG146" i="24"/>
  <c r="AF150" i="24"/>
  <c r="AB150" i="24"/>
  <c r="AA150" i="24"/>
  <c r="AG150" i="24"/>
  <c r="AF154" i="24"/>
  <c r="AB154" i="24"/>
  <c r="AA154" i="24"/>
  <c r="AG154" i="24"/>
  <c r="AF158" i="24"/>
  <c r="AB158" i="24"/>
  <c r="AA158" i="24"/>
  <c r="AG158" i="24"/>
  <c r="AF162" i="24"/>
  <c r="AB162" i="24"/>
  <c r="AA162" i="24"/>
  <c r="AG162" i="24"/>
  <c r="AF166" i="24"/>
  <c r="AB166" i="24"/>
  <c r="AA166" i="24"/>
  <c r="AG166" i="24"/>
  <c r="AF170" i="24"/>
  <c r="AB170" i="24"/>
  <c r="AA170" i="24"/>
  <c r="AG170" i="24"/>
  <c r="AF174" i="24"/>
  <c r="AB174" i="24"/>
  <c r="AA174" i="24"/>
  <c r="AG174" i="24"/>
  <c r="Y176" i="24"/>
  <c r="AD176" i="24"/>
  <c r="AI176" i="24"/>
  <c r="AC179" i="24"/>
  <c r="AC181" i="24"/>
  <c r="AC183" i="24"/>
  <c r="AC185" i="24"/>
  <c r="AC187" i="24"/>
  <c r="AC189" i="24"/>
  <c r="AC191" i="24"/>
  <c r="AC193" i="24"/>
  <c r="AC195" i="24"/>
  <c r="X197" i="24"/>
  <c r="AC197" i="24"/>
  <c r="AI197" i="24"/>
  <c r="AG198" i="24"/>
  <c r="AG200" i="24"/>
  <c r="AG202" i="24"/>
  <c r="AG204" i="24"/>
  <c r="AG206" i="24"/>
  <c r="AG208" i="24"/>
  <c r="AG210" i="24"/>
  <c r="AG212" i="24"/>
  <c r="AG214" i="24"/>
  <c r="AE215" i="24"/>
  <c r="AH216" i="24"/>
  <c r="AC218" i="24"/>
  <c r="AH220" i="24"/>
  <c r="AB222" i="24"/>
  <c r="AG222" i="24"/>
  <c r="AI222" i="24"/>
  <c r="AC198" i="24"/>
  <c r="AC200" i="24"/>
  <c r="AC202" i="24"/>
  <c r="AC204" i="24"/>
  <c r="AC206" i="24"/>
  <c r="AC208" i="24"/>
  <c r="AB216" i="24"/>
  <c r="AG216" i="24"/>
  <c r="AA216" i="24"/>
  <c r="X218" i="24"/>
  <c r="AE218" i="24"/>
  <c r="AB220" i="24"/>
  <c r="AG220" i="24"/>
  <c r="AI220" i="24"/>
  <c r="AG199" i="24"/>
  <c r="AG201" i="24"/>
  <c r="AG203" i="24"/>
  <c r="AB204" i="24"/>
  <c r="AG205" i="24"/>
  <c r="AB206" i="24"/>
  <c r="AG207" i="24"/>
  <c r="AB208" i="24"/>
  <c r="AG209" i="24"/>
  <c r="AB210" i="24"/>
  <c r="AG211" i="24"/>
  <c r="AG213" i="24"/>
  <c r="AG215" i="24"/>
  <c r="AC216" i="24"/>
  <c r="AH218" i="24"/>
  <c r="AC220" i="24"/>
  <c r="AA237" i="24"/>
  <c r="AC199" i="24"/>
  <c r="AC201" i="24"/>
  <c r="AC203" i="24"/>
  <c r="AC205" i="24"/>
  <c r="AC207" i="24"/>
  <c r="AC209" i="24"/>
  <c r="AB218" i="24"/>
  <c r="AG218" i="24"/>
  <c r="AA218" i="24"/>
  <c r="X223" i="24"/>
  <c r="AC222" i="24"/>
  <c r="AC224" i="24"/>
  <c r="X225" i="24"/>
  <c r="AC226" i="24"/>
  <c r="AA228" i="24"/>
  <c r="AH231" i="24"/>
  <c r="AA232" i="24"/>
  <c r="AH235" i="24"/>
  <c r="AA236" i="24"/>
  <c r="AH250" i="24"/>
  <c r="S252" i="24"/>
  <c r="AG217" i="24"/>
  <c r="AG219" i="24"/>
  <c r="AG221" i="24"/>
  <c r="AG223" i="24"/>
  <c r="AG225" i="24"/>
  <c r="AB227" i="24"/>
  <c r="AG228" i="24"/>
  <c r="AC228" i="24"/>
  <c r="Y228" i="24"/>
  <c r="AI228" i="24"/>
  <c r="AD228" i="24"/>
  <c r="AB228" i="24"/>
  <c r="Y229" i="24"/>
  <c r="AF229" i="24"/>
  <c r="AB230" i="24"/>
  <c r="AI230" i="24"/>
  <c r="AG231" i="24"/>
  <c r="AC231" i="24"/>
  <c r="AE231" i="24"/>
  <c r="Z231" i="24"/>
  <c r="AB231" i="24"/>
  <c r="AI231" i="24"/>
  <c r="AG232" i="24"/>
  <c r="AC232" i="24"/>
  <c r="Y232" i="24"/>
  <c r="AI232" i="24"/>
  <c r="AD232" i="24"/>
  <c r="AB232" i="24"/>
  <c r="Y233" i="24"/>
  <c r="AB234" i="24"/>
  <c r="AI234" i="24"/>
  <c r="AG235" i="24"/>
  <c r="AC235" i="24"/>
  <c r="AE235" i="24"/>
  <c r="Z235" i="24"/>
  <c r="AB235" i="24"/>
  <c r="AI235" i="24"/>
  <c r="AG236" i="24"/>
  <c r="AC236" i="24"/>
  <c r="Y236" i="24"/>
  <c r="AI236" i="24"/>
  <c r="AD236" i="24"/>
  <c r="AB236" i="24"/>
  <c r="Y237" i="24"/>
  <c r="AH237" i="24"/>
  <c r="AI237" i="24"/>
  <c r="AE237" i="24"/>
  <c r="AD239" i="24"/>
  <c r="X227" i="24"/>
  <c r="AD230" i="24"/>
  <c r="AD234" i="24"/>
  <c r="X237" i="24"/>
  <c r="AF239" i="24"/>
  <c r="X242" i="24"/>
  <c r="AG224" i="24"/>
  <c r="AG226" i="24"/>
  <c r="AF228" i="24"/>
  <c r="X231" i="24"/>
  <c r="AF231" i="24"/>
  <c r="AF232" i="24"/>
  <c r="AF233" i="24"/>
  <c r="X235" i="24"/>
  <c r="AD238" i="24"/>
  <c r="X239" i="24"/>
  <c r="AH239" i="24"/>
  <c r="Z178" i="24"/>
  <c r="AD178" i="24"/>
  <c r="AD179" i="24"/>
  <c r="Z180" i="24"/>
  <c r="AD180" i="24"/>
  <c r="AD181" i="24"/>
  <c r="Z182" i="24"/>
  <c r="AD182" i="24"/>
  <c r="AD183" i="24"/>
  <c r="AD184" i="24"/>
  <c r="AD185" i="24"/>
  <c r="Z186" i="24"/>
  <c r="AD186" i="24"/>
  <c r="AD187" i="24"/>
  <c r="AD188" i="24"/>
  <c r="AD189" i="24"/>
  <c r="AD190" i="24"/>
  <c r="AD191" i="24"/>
  <c r="AD192" i="24"/>
  <c r="AD193" i="24"/>
  <c r="Z194" i="24"/>
  <c r="AD194" i="24"/>
  <c r="AD195" i="24"/>
  <c r="AD196" i="24"/>
  <c r="Z197" i="24"/>
  <c r="AD197" i="24"/>
  <c r="Z198" i="24"/>
  <c r="AD198" i="24"/>
  <c r="Z199" i="24"/>
  <c r="AD199" i="24"/>
  <c r="AD200" i="24"/>
  <c r="AD201" i="24"/>
  <c r="Z202" i="24"/>
  <c r="AD202" i="24"/>
  <c r="Z203" i="24"/>
  <c r="AD203" i="24"/>
  <c r="AD204" i="24"/>
  <c r="AD205" i="24"/>
  <c r="AD206" i="24"/>
  <c r="Z207" i="24"/>
  <c r="AD207" i="24"/>
  <c r="Z208" i="24"/>
  <c r="AD208" i="24"/>
  <c r="AD209" i="24"/>
  <c r="Z210" i="24"/>
  <c r="AD210" i="24"/>
  <c r="Z211" i="24"/>
  <c r="AD211" i="24"/>
  <c r="AD212" i="24"/>
  <c r="AD213" i="24"/>
  <c r="Z214" i="24"/>
  <c r="AD214" i="24"/>
  <c r="AD215" i="24"/>
  <c r="AD216" i="24"/>
  <c r="AD217" i="24"/>
  <c r="Z218" i="24"/>
  <c r="AD218" i="24"/>
  <c r="AD219" i="24"/>
  <c r="AD220" i="24"/>
  <c r="Z221" i="24"/>
  <c r="AD221" i="24"/>
  <c r="AD222" i="24"/>
  <c r="AD223" i="24"/>
  <c r="Z224" i="24"/>
  <c r="AD224" i="24"/>
  <c r="Z225" i="24"/>
  <c r="AD225" i="24"/>
  <c r="AD226" i="24"/>
  <c r="AG227" i="24"/>
  <c r="AC227" i="24"/>
  <c r="AE227" i="24"/>
  <c r="AG230" i="24"/>
  <c r="AC230" i="24"/>
  <c r="AA230" i="24"/>
  <c r="AF230" i="24"/>
  <c r="AG234" i="24"/>
  <c r="AC234" i="24"/>
  <c r="Y234" i="24"/>
  <c r="AA234" i="24"/>
  <c r="AF234" i="24"/>
  <c r="AB238" i="24"/>
  <c r="AI238" i="24"/>
  <c r="AG239" i="24"/>
  <c r="AC239" i="24"/>
  <c r="AE239" i="24"/>
  <c r="Z239" i="24"/>
  <c r="AB239" i="24"/>
  <c r="AI239" i="24"/>
  <c r="AG240" i="24"/>
  <c r="AC240" i="24"/>
  <c r="Y240" i="24"/>
  <c r="AI240" i="24"/>
  <c r="AD240" i="24"/>
  <c r="AB240" i="24"/>
  <c r="AI241" i="24"/>
  <c r="AB242" i="24"/>
  <c r="AI242" i="24"/>
  <c r="Y243" i="24"/>
  <c r="Z243" i="24"/>
  <c r="Y244" i="24"/>
  <c r="Y245" i="24"/>
  <c r="AI245" i="24"/>
  <c r="AE257" i="24"/>
  <c r="Z257" i="24"/>
  <c r="X270" i="24"/>
  <c r="AB271" i="24"/>
  <c r="AG271" i="24"/>
  <c r="AF273" i="24"/>
  <c r="AA273" i="24"/>
  <c r="AB273" i="24"/>
  <c r="AG273" i="24"/>
  <c r="AI277" i="24"/>
  <c r="AF279" i="24"/>
  <c r="AA279" i="24"/>
  <c r="AE279" i="24"/>
  <c r="AB279" i="24"/>
  <c r="AD242" i="24"/>
  <c r="AH243" i="24"/>
  <c r="AH244" i="24"/>
  <c r="AH257" i="24"/>
  <c r="N259" i="24"/>
  <c r="AH269" i="24"/>
  <c r="AF269" i="24"/>
  <c r="AC271" i="24"/>
  <c r="X273" i="24"/>
  <c r="AC273" i="24"/>
  <c r="AI273" i="24"/>
  <c r="AH275" i="24"/>
  <c r="X243" i="24"/>
  <c r="AI257" i="24"/>
  <c r="AB269" i="24"/>
  <c r="AG269" i="24"/>
  <c r="AA269" i="24"/>
  <c r="X271" i="24"/>
  <c r="AF275" i="24"/>
  <c r="AA275" i="24"/>
  <c r="AB275" i="24"/>
  <c r="AG275" i="24"/>
  <c r="AH277" i="24"/>
  <c r="O259" i="24"/>
  <c r="AD257" i="24"/>
  <c r="J259" i="24"/>
  <c r="AC269" i="24"/>
  <c r="AH271" i="24"/>
  <c r="AF277" i="24"/>
  <c r="AA277" i="24"/>
  <c r="AB277" i="24"/>
  <c r="AG277" i="24"/>
  <c r="X275" i="24"/>
  <c r="X277" i="24"/>
  <c r="X279" i="24"/>
  <c r="AC280" i="24"/>
  <c r="AI280" i="24"/>
  <c r="Z281" i="24"/>
  <c r="Z282" i="24"/>
  <c r="AE283" i="24"/>
  <c r="Y284" i="24"/>
  <c r="Z285" i="24"/>
  <c r="Z286" i="24"/>
  <c r="AE287" i="24"/>
  <c r="Y288" i="24"/>
  <c r="Z289" i="24"/>
  <c r="Z290" i="24"/>
  <c r="AE291" i="24"/>
  <c r="Y292" i="24"/>
  <c r="Z293" i="24"/>
  <c r="Z294" i="24"/>
  <c r="AE295" i="24"/>
  <c r="AE296" i="24"/>
  <c r="AD296" i="24"/>
  <c r="AH297" i="24"/>
  <c r="X300" i="24"/>
  <c r="AG279" i="24"/>
  <c r="AI286" i="24"/>
  <c r="AH296" i="24"/>
  <c r="AC275" i="24"/>
  <c r="AC277" i="24"/>
  <c r="AC279" i="24"/>
  <c r="Y281" i="24"/>
  <c r="AG282" i="24"/>
  <c r="Z284" i="24"/>
  <c r="Y285" i="24"/>
  <c r="AF286" i="24"/>
  <c r="AC286" i="24"/>
  <c r="AG286" i="24"/>
  <c r="AD286" i="24"/>
  <c r="Z288" i="24"/>
  <c r="Y289" i="24"/>
  <c r="AI290" i="24"/>
  <c r="Z292" i="24"/>
  <c r="Y293" i="24"/>
  <c r="AG294" i="24"/>
  <c r="AD294" i="24"/>
  <c r="AI296" i="24"/>
  <c r="X299" i="24"/>
  <c r="AG238" i="24"/>
  <c r="AC238" i="24"/>
  <c r="Y238" i="24"/>
  <c r="AA238" i="24"/>
  <c r="AF238" i="24"/>
  <c r="AG242" i="24"/>
  <c r="AC242" i="24"/>
  <c r="AA242" i="24"/>
  <c r="AF242" i="24"/>
  <c r="Y269" i="24"/>
  <c r="AG270" i="24"/>
  <c r="AG272" i="24"/>
  <c r="AG274" i="24"/>
  <c r="AG276" i="24"/>
  <c r="AG278" i="24"/>
  <c r="AH281" i="24"/>
  <c r="Y282" i="24"/>
  <c r="AD283" i="24"/>
  <c r="AH284" i="24"/>
  <c r="AG285" i="24"/>
  <c r="Y286" i="24"/>
  <c r="AE286" i="24"/>
  <c r="AD287" i="24"/>
  <c r="AA288" i="24"/>
  <c r="AH289" i="24"/>
  <c r="Y290" i="24"/>
  <c r="AD291" i="24"/>
  <c r="AG292" i="24"/>
  <c r="AG293" i="24"/>
  <c r="Y294" i="24"/>
  <c r="AD295" i="24"/>
  <c r="AC296" i="24"/>
  <c r="Z297" i="24"/>
  <c r="Y297" i="24"/>
  <c r="V269" i="24"/>
  <c r="AD270" i="24"/>
  <c r="Z271" i="24"/>
  <c r="AD271" i="24"/>
  <c r="Z272" i="24"/>
  <c r="AD272" i="24"/>
  <c r="Z273" i="24"/>
  <c r="AD273" i="24"/>
  <c r="Z274" i="24"/>
  <c r="AD274" i="24"/>
  <c r="Z275" i="24"/>
  <c r="AD275" i="24"/>
  <c r="Z276" i="24"/>
  <c r="AD276" i="24"/>
  <c r="Z277" i="24"/>
  <c r="AD277" i="24"/>
  <c r="Z278" i="24"/>
  <c r="AD278" i="24"/>
  <c r="Z279" i="24"/>
  <c r="AD279" i="24"/>
  <c r="Z280" i="24"/>
  <c r="AD280" i="24"/>
  <c r="AF283" i="24"/>
  <c r="AB283" i="24"/>
  <c r="AA283" i="24"/>
  <c r="AG283" i="24"/>
  <c r="AF287" i="24"/>
  <c r="AB287" i="24"/>
  <c r="AA287" i="24"/>
  <c r="AG287" i="24"/>
  <c r="AF291" i="24"/>
  <c r="AB291" i="24"/>
  <c r="AA291" i="24"/>
  <c r="AG291" i="24"/>
  <c r="AF295" i="24"/>
  <c r="AB295" i="24"/>
  <c r="AA295" i="24"/>
  <c r="AG295" i="24"/>
  <c r="Z296" i="24"/>
  <c r="X305" i="24"/>
  <c r="AE305" i="24"/>
  <c r="AF296" i="24"/>
  <c r="AB296" i="24"/>
  <c r="AA296" i="24"/>
  <c r="AG296" i="24"/>
  <c r="Y298" i="24"/>
  <c r="AI298" i="24"/>
  <c r="AB299" i="24"/>
  <c r="AI299" i="24"/>
  <c r="Y300" i="24"/>
  <c r="Z300" i="24"/>
  <c r="Y301" i="24"/>
  <c r="Y302" i="24"/>
  <c r="AI302" i="24"/>
  <c r="AB303" i="24"/>
  <c r="AD299" i="24"/>
  <c r="AH300" i="24"/>
  <c r="AF301" i="24"/>
  <c r="AD303" i="24"/>
  <c r="X304" i="24"/>
  <c r="AD311" i="24"/>
  <c r="AD305" i="24"/>
  <c r="AG299" i="24"/>
  <c r="AC299" i="24"/>
  <c r="Y299" i="24"/>
  <c r="AA299" i="24"/>
  <c r="AF299" i="24"/>
  <c r="AG303" i="24"/>
  <c r="AC303" i="24"/>
  <c r="Y303" i="24"/>
  <c r="AA303" i="24"/>
  <c r="AF303" i="24"/>
  <c r="Y304" i="24"/>
  <c r="AI304" i="24"/>
  <c r="AB305" i="24"/>
  <c r="AI305" i="24"/>
  <c r="Y311" i="24"/>
  <c r="AG311" i="24"/>
  <c r="AA311" i="24"/>
  <c r="AF311" i="24"/>
  <c r="AB311" i="24"/>
  <c r="AE311" i="24"/>
  <c r="Z311" i="24"/>
  <c r="AC311" i="24"/>
  <c r="AI311" i="24"/>
  <c r="AH313" i="24"/>
  <c r="AD313" i="24"/>
  <c r="Z313" i="24"/>
  <c r="AF313" i="24"/>
  <c r="AB313" i="24"/>
  <c r="AG313" i="24"/>
  <c r="Y313" i="24"/>
  <c r="AI313" i="24"/>
  <c r="AA313" i="24"/>
  <c r="N328" i="24"/>
  <c r="AC324" i="24"/>
  <c r="AC313" i="24"/>
  <c r="AG305" i="24"/>
  <c r="AC305" i="24"/>
  <c r="Y305" i="24"/>
  <c r="AA305" i="24"/>
  <c r="AF305" i="24"/>
  <c r="Y314" i="24"/>
  <c r="AH315" i="24"/>
  <c r="AD315" i="24"/>
  <c r="Z315" i="24"/>
  <c r="AF315" i="24"/>
  <c r="AB315" i="24"/>
  <c r="AE315" i="24"/>
  <c r="AF314" i="24"/>
  <c r="AB314" i="24"/>
  <c r="AH314" i="24"/>
  <c r="AD314" i="24"/>
  <c r="Z314" i="24"/>
  <c r="AE314" i="24"/>
  <c r="Z325" i="24"/>
  <c r="AD325" i="24"/>
  <c r="AH325" i="24"/>
  <c r="AA325" i="24"/>
  <c r="AE325" i="24"/>
  <c r="AI325" i="24"/>
  <c r="X325" i="24"/>
  <c r="AB325" i="24"/>
  <c r="AG298" i="24" l="1"/>
  <c r="AE302" i="24"/>
  <c r="AC294" i="24"/>
  <c r="AF294" i="24"/>
  <c r="AI292" i="24"/>
  <c r="N307" i="24"/>
  <c r="I307" i="24"/>
  <c r="AF237" i="24"/>
  <c r="AD237" i="24"/>
  <c r="AC237" i="24"/>
  <c r="AC169" i="24"/>
  <c r="AF169" i="24"/>
  <c r="AC161" i="24"/>
  <c r="AF161" i="24"/>
  <c r="AC153" i="24"/>
  <c r="AF153" i="24"/>
  <c r="AC145" i="24"/>
  <c r="AF145" i="24"/>
  <c r="AI175" i="24"/>
  <c r="AI161" i="24"/>
  <c r="AE153" i="24"/>
  <c r="AI145" i="24"/>
  <c r="AB115" i="24"/>
  <c r="AE145" i="24"/>
  <c r="AH123" i="24"/>
  <c r="AH119" i="24"/>
  <c r="AG81" i="24"/>
  <c r="AE81" i="24"/>
  <c r="AG73" i="24"/>
  <c r="AE73" i="24"/>
  <c r="AG65" i="24"/>
  <c r="AE65" i="24"/>
  <c r="AG57" i="24"/>
  <c r="AE57" i="24"/>
  <c r="AG49" i="24"/>
  <c r="AE49" i="24"/>
  <c r="AG41" i="24"/>
  <c r="AE41" i="24"/>
  <c r="AG33" i="24"/>
  <c r="AE33" i="24"/>
  <c r="AB76" i="24"/>
  <c r="AH70" i="24"/>
  <c r="AB60" i="24"/>
  <c r="AH54" i="24"/>
  <c r="AB44" i="24"/>
  <c r="AH38" i="24"/>
  <c r="AG78" i="24"/>
  <c r="AG70" i="24"/>
  <c r="AG62" i="24"/>
  <c r="AG54" i="24"/>
  <c r="AC47" i="24"/>
  <c r="AA47" i="24"/>
  <c r="AE46" i="24"/>
  <c r="AC44" i="24"/>
  <c r="AE44" i="24"/>
  <c r="AC36" i="24"/>
  <c r="V390" i="23"/>
  <c r="AD317" i="23"/>
  <c r="AE343" i="23"/>
  <c r="AD309" i="23"/>
  <c r="AG299" i="23"/>
  <c r="AE272" i="23"/>
  <c r="AH309" i="23"/>
  <c r="V260" i="23"/>
  <c r="AE195" i="23"/>
  <c r="Q307" i="24"/>
  <c r="AE298" i="24"/>
  <c r="V312" i="24"/>
  <c r="AD298" i="24"/>
  <c r="AF243" i="24"/>
  <c r="AG237" i="24"/>
  <c r="AH169" i="24"/>
  <c r="AH161" i="24"/>
  <c r="AH153" i="24"/>
  <c r="AH145" i="24"/>
  <c r="AH175" i="24"/>
  <c r="AB175" i="24"/>
  <c r="AD115" i="24"/>
  <c r="AG98" i="24"/>
  <c r="AE98" i="24"/>
  <c r="V53" i="24"/>
  <c r="V37" i="24"/>
  <c r="AB33" i="24"/>
  <c r="AI33" i="24"/>
  <c r="AB54" i="24"/>
  <c r="AB38" i="24"/>
  <c r="AB396" i="23"/>
  <c r="AI396" i="23"/>
  <c r="AB388" i="23"/>
  <c r="AI388" i="23"/>
  <c r="AK388" i="23" s="1"/>
  <c r="AB380" i="23"/>
  <c r="AI380" i="23"/>
  <c r="AB372" i="23"/>
  <c r="AI372" i="23"/>
  <c r="AB364" i="23"/>
  <c r="AI364" i="23"/>
  <c r="AA331" i="23"/>
  <c r="AF52" i="24"/>
  <c r="AF44" i="24"/>
  <c r="AF36" i="24"/>
  <c r="AE397" i="23"/>
  <c r="AC395" i="23"/>
  <c r="AE387" i="23"/>
  <c r="AE381" i="23"/>
  <c r="AE379" i="23"/>
  <c r="AC374" i="23"/>
  <c r="AA374" i="23"/>
  <c r="AC366" i="23"/>
  <c r="AA366" i="23"/>
  <c r="AE365" i="23"/>
  <c r="AE363" i="23"/>
  <c r="AC358" i="23"/>
  <c r="AI31" i="24"/>
  <c r="AB31" i="24"/>
  <c r="AG31" i="24"/>
  <c r="AE317" i="23"/>
  <c r="AH317" i="23"/>
  <c r="AD338" i="23"/>
  <c r="AA338" i="23"/>
  <c r="AF326" i="23"/>
  <c r="AA326" i="23"/>
  <c r="AB279" i="23"/>
  <c r="AA272" i="23"/>
  <c r="AC309" i="23"/>
  <c r="AI294" i="23"/>
  <c r="AA302" i="23"/>
  <c r="V199" i="23"/>
  <c r="V143" i="23"/>
  <c r="AB288" i="24"/>
  <c r="AC288" i="24"/>
  <c r="AB298" i="24"/>
  <c r="AI294" i="24"/>
  <c r="AI153" i="24"/>
  <c r="V90" i="24"/>
  <c r="AH81" i="24"/>
  <c r="I101" i="24"/>
  <c r="AB62" i="24"/>
  <c r="AB46" i="24"/>
  <c r="AD54" i="24"/>
  <c r="AD46" i="24"/>
  <c r="AD38" i="24"/>
  <c r="V398" i="23"/>
  <c r="AH343" i="23"/>
  <c r="AE315" i="23"/>
  <c r="AF315" i="23"/>
  <c r="V329" i="23"/>
  <c r="AI309" i="23"/>
  <c r="AA294" i="23"/>
  <c r="AI302" i="23"/>
  <c r="AB231" i="23"/>
  <c r="AI231" i="23"/>
  <c r="AJ225" i="23"/>
  <c r="L77" i="17" s="1"/>
  <c r="M77" i="17" s="1"/>
  <c r="F59" i="7" s="1"/>
  <c r="O59" i="7" s="1"/>
  <c r="AA215" i="23"/>
  <c r="AB199" i="23"/>
  <c r="AI199" i="23"/>
  <c r="AA183" i="23"/>
  <c r="AH162" i="23"/>
  <c r="AB159" i="23"/>
  <c r="AI159" i="23"/>
  <c r="AH146" i="23"/>
  <c r="AB143" i="23"/>
  <c r="AI143" i="23"/>
  <c r="AC236" i="23"/>
  <c r="AE75" i="23"/>
  <c r="AD66" i="23"/>
  <c r="AC58" i="23"/>
  <c r="AC42" i="23"/>
  <c r="AI33" i="23"/>
  <c r="AC26" i="23"/>
  <c r="AC20" i="23"/>
  <c r="AC161" i="23"/>
  <c r="AC133" i="23"/>
  <c r="AA133" i="23"/>
  <c r="AD129" i="23"/>
  <c r="AC117" i="23"/>
  <c r="AA117" i="23"/>
  <c r="AC80" i="23"/>
  <c r="AD72" i="23"/>
  <c r="AH68" i="23"/>
  <c r="AC64" i="23"/>
  <c r="AF64" i="23"/>
  <c r="AH13" i="23"/>
  <c r="AC56" i="23"/>
  <c r="AE165" i="23"/>
  <c r="AD297" i="24"/>
  <c r="AB304" i="24"/>
  <c r="AG304" i="24"/>
  <c r="AF302" i="24"/>
  <c r="AD302" i="24"/>
  <c r="AA302" i="24"/>
  <c r="AI297" i="24"/>
  <c r="AB297" i="24"/>
  <c r="AE294" i="24"/>
  <c r="AD292" i="24"/>
  <c r="AE285" i="24"/>
  <c r="AH294" i="24"/>
  <c r="AC293" i="24"/>
  <c r="AE284" i="24"/>
  <c r="AA294" i="24"/>
  <c r="AA284" i="24"/>
  <c r="AE241" i="24"/>
  <c r="AD241" i="24"/>
  <c r="AJ221" i="24"/>
  <c r="AJ211" i="24"/>
  <c r="AJ207" i="24"/>
  <c r="AJ203" i="24"/>
  <c r="AJ199" i="24"/>
  <c r="AE229" i="24"/>
  <c r="AJ138" i="24"/>
  <c r="AJ136" i="24"/>
  <c r="AJ134" i="24"/>
  <c r="AJ132" i="24"/>
  <c r="AJ130" i="24"/>
  <c r="AJ128" i="24"/>
  <c r="AJ126" i="24"/>
  <c r="AG175" i="24"/>
  <c r="AF175" i="24"/>
  <c r="AB123" i="24"/>
  <c r="AG115" i="24"/>
  <c r="AF115" i="24"/>
  <c r="AE123" i="24"/>
  <c r="AH97" i="24"/>
  <c r="AB82" i="24"/>
  <c r="AI82" i="24"/>
  <c r="AA145" i="24"/>
  <c r="AC123" i="24"/>
  <c r="AC119" i="24"/>
  <c r="AH115" i="24"/>
  <c r="AH100" i="24"/>
  <c r="AB81" i="24"/>
  <c r="AI81" i="24"/>
  <c r="AB73" i="24"/>
  <c r="AI73" i="24"/>
  <c r="AB65" i="24"/>
  <c r="AI65" i="24"/>
  <c r="AB57" i="24"/>
  <c r="AI57" i="24"/>
  <c r="AB49" i="24"/>
  <c r="AI49" i="24"/>
  <c r="AB41" i="24"/>
  <c r="AI41" i="24"/>
  <c r="AB72" i="24"/>
  <c r="AB70" i="24"/>
  <c r="AH66" i="24"/>
  <c r="AB56" i="24"/>
  <c r="AH50" i="24"/>
  <c r="AB40" i="24"/>
  <c r="AH34" i="24"/>
  <c r="AJ320" i="23"/>
  <c r="AH118" i="24"/>
  <c r="AH293" i="24"/>
  <c r="AG297" i="24"/>
  <c r="AF297" i="24"/>
  <c r="AB293" i="24"/>
  <c r="AF292" i="24"/>
  <c r="AH290" i="24"/>
  <c r="AI285" i="24"/>
  <c r="AI284" i="24"/>
  <c r="AA297" i="24"/>
  <c r="AA293" i="24"/>
  <c r="AG290" i="24"/>
  <c r="AG74" i="24"/>
  <c r="AG66" i="24"/>
  <c r="AG58" i="24"/>
  <c r="AC80" i="24"/>
  <c r="AE80" i="24"/>
  <c r="AE74" i="24"/>
  <c r="AC72" i="24"/>
  <c r="AE72" i="24"/>
  <c r="AE66" i="24"/>
  <c r="AC64" i="24"/>
  <c r="AE64" i="24"/>
  <c r="AC297" i="24"/>
  <c r="AI293" i="24"/>
  <c r="AF284" i="24"/>
  <c r="AJ197" i="24"/>
  <c r="AD304" i="24"/>
  <c r="AF304" i="24"/>
  <c r="AE304" i="24"/>
  <c r="AB302" i="24"/>
  <c r="AG302" i="24"/>
  <c r="AJ280" i="24"/>
  <c r="AJ278" i="24"/>
  <c r="AJ276" i="24"/>
  <c r="AJ274" i="24"/>
  <c r="AJ272" i="24"/>
  <c r="AE297" i="24"/>
  <c r="AE293" i="24"/>
  <c r="AD284" i="24"/>
  <c r="AA290" i="24"/>
  <c r="AE243" i="24"/>
  <c r="AB241" i="24"/>
  <c r="AG241" i="24"/>
  <c r="AJ224" i="24"/>
  <c r="AJ214" i="24"/>
  <c r="AJ210" i="24"/>
  <c r="AJ208" i="24"/>
  <c r="AJ202" i="24"/>
  <c r="AJ198" i="24"/>
  <c r="AJ194" i="24"/>
  <c r="AJ186" i="24"/>
  <c r="AJ182" i="24"/>
  <c r="AA161" i="24"/>
  <c r="AE169" i="24"/>
  <c r="AA123" i="24"/>
  <c r="AG119" i="24"/>
  <c r="AF119" i="24"/>
  <c r="AB80" i="24"/>
  <c r="AB78" i="24"/>
  <c r="AH74" i="24"/>
  <c r="AB64" i="24"/>
  <c r="AH58" i="24"/>
  <c r="AB48" i="24"/>
  <c r="AH42" i="24"/>
  <c r="AB58" i="24"/>
  <c r="AB42" i="24"/>
  <c r="AI118" i="24"/>
  <c r="AC118" i="24"/>
  <c r="AF118" i="24"/>
  <c r="AF80" i="24"/>
  <c r="AD78" i="24"/>
  <c r="AF72" i="24"/>
  <c r="AD70" i="24"/>
  <c r="AF64" i="24"/>
  <c r="AD62" i="24"/>
  <c r="AF56" i="24"/>
  <c r="AF48" i="24"/>
  <c r="AF40" i="24"/>
  <c r="AH80" i="24"/>
  <c r="AI80" i="24"/>
  <c r="AF74" i="24"/>
  <c r="AI74" i="24"/>
  <c r="AH72" i="24"/>
  <c r="AI72" i="24"/>
  <c r="AF66" i="24"/>
  <c r="AI66" i="24"/>
  <c r="AH64" i="24"/>
  <c r="AI64" i="24"/>
  <c r="AA60" i="24"/>
  <c r="AF58" i="24"/>
  <c r="AI58" i="24"/>
  <c r="AH56" i="24"/>
  <c r="AI56" i="24"/>
  <c r="AC54" i="24"/>
  <c r="AA54" i="24"/>
  <c r="AC46" i="24"/>
  <c r="AA44" i="24"/>
  <c r="AF42" i="24"/>
  <c r="AI42" i="24"/>
  <c r="AH40" i="24"/>
  <c r="AI40" i="24"/>
  <c r="AE19" i="24"/>
  <c r="AH14" i="24"/>
  <c r="AE23" i="24"/>
  <c r="AC398" i="23"/>
  <c r="AD394" i="23"/>
  <c r="AD386" i="23"/>
  <c r="AI386" i="23"/>
  <c r="AK386" i="23" s="1"/>
  <c r="AD378" i="23"/>
  <c r="AD370" i="23"/>
  <c r="AI370" i="23"/>
  <c r="AD362" i="23"/>
  <c r="AI362" i="23"/>
  <c r="AI15" i="24"/>
  <c r="Z336" i="23"/>
  <c r="AH306" i="23"/>
  <c r="AI298" i="23"/>
  <c r="AD271" i="23"/>
  <c r="AI306" i="23"/>
  <c r="AC248" i="23"/>
  <c r="AI246" i="23"/>
  <c r="AI221" i="23"/>
  <c r="AC175" i="23"/>
  <c r="AC171" i="23"/>
  <c r="AB163" i="23"/>
  <c r="AB147" i="23"/>
  <c r="AI147" i="23"/>
  <c r="AB135" i="23"/>
  <c r="AI135" i="23"/>
  <c r="AB127" i="23"/>
  <c r="AI127" i="23"/>
  <c r="AB119" i="23"/>
  <c r="AI119" i="23"/>
  <c r="AG158" i="23"/>
  <c r="AI158" i="23"/>
  <c r="AB142" i="23"/>
  <c r="AI142" i="23"/>
  <c r="AB252" i="23"/>
  <c r="AB248" i="23"/>
  <c r="AC228" i="23"/>
  <c r="AG160" i="23"/>
  <c r="AF160" i="23"/>
  <c r="AI160" i="23"/>
  <c r="AG144" i="23"/>
  <c r="AF144" i="23"/>
  <c r="AI144" i="23"/>
  <c r="AC30" i="23"/>
  <c r="AC14" i="23"/>
  <c r="AA118" i="24"/>
  <c r="AH78" i="24"/>
  <c r="AB68" i="24"/>
  <c r="AB66" i="24"/>
  <c r="AH62" i="24"/>
  <c r="AB50" i="24"/>
  <c r="AB34" i="24"/>
  <c r="AG400" i="23"/>
  <c r="AE400" i="23"/>
  <c r="AG392" i="23"/>
  <c r="AE392" i="23"/>
  <c r="AG384" i="23"/>
  <c r="AE384" i="23"/>
  <c r="AG376" i="23"/>
  <c r="AE376" i="23"/>
  <c r="AG368" i="23"/>
  <c r="AE368" i="23"/>
  <c r="AE360" i="23"/>
  <c r="AD331" i="23"/>
  <c r="AE331" i="23"/>
  <c r="AA114" i="24"/>
  <c r="AF79" i="24"/>
  <c r="AF76" i="24"/>
  <c r="AD74" i="24"/>
  <c r="AF68" i="24"/>
  <c r="AD66" i="24"/>
  <c r="AF60" i="24"/>
  <c r="AD58" i="24"/>
  <c r="AD50" i="24"/>
  <c r="AD42" i="24"/>
  <c r="AC66" i="24"/>
  <c r="AC58" i="24"/>
  <c r="AA56" i="24"/>
  <c r="AC50" i="24"/>
  <c r="AA50" i="24"/>
  <c r="AE47" i="24"/>
  <c r="AF46" i="24"/>
  <c r="AI46" i="24"/>
  <c r="AH44" i="24"/>
  <c r="AH36" i="24"/>
  <c r="AI36" i="24"/>
  <c r="AI27" i="24"/>
  <c r="AB27" i="24"/>
  <c r="AG27" i="24"/>
  <c r="AF391" i="23"/>
  <c r="AI23" i="24"/>
  <c r="AE401" i="23"/>
  <c r="AC399" i="23"/>
  <c r="AD398" i="23"/>
  <c r="AE393" i="23"/>
  <c r="AC391" i="23"/>
  <c r="AE391" i="23"/>
  <c r="AD390" i="23"/>
  <c r="AI390" i="23"/>
  <c r="AE385" i="23"/>
  <c r="AC383" i="23"/>
  <c r="AE383" i="23"/>
  <c r="AD382" i="23"/>
  <c r="AD374" i="23"/>
  <c r="AC370" i="23"/>
  <c r="AA370" i="23"/>
  <c r="AC362" i="23"/>
  <c r="AA362" i="23"/>
  <c r="AB15" i="24"/>
  <c r="AG15" i="24"/>
  <c r="AB19" i="24"/>
  <c r="AG19" i="24"/>
  <c r="AB333" i="23"/>
  <c r="AE333" i="23"/>
  <c r="AD327" i="23"/>
  <c r="AG344" i="23"/>
  <c r="AB326" i="23"/>
  <c r="AE326" i="23"/>
  <c r="AA316" i="23"/>
  <c r="AA298" i="23"/>
  <c r="AF136" i="23"/>
  <c r="AI136" i="23"/>
  <c r="AH134" i="23"/>
  <c r="AH126" i="23"/>
  <c r="AI126" i="23"/>
  <c r="AF120" i="23"/>
  <c r="AI120" i="23"/>
  <c r="AE58" i="24"/>
  <c r="AC56" i="24"/>
  <c r="AE56" i="24"/>
  <c r="AE50" i="24"/>
  <c r="AC40" i="24"/>
  <c r="AE40" i="24"/>
  <c r="AA23" i="24"/>
  <c r="AA15" i="24"/>
  <c r="AH23" i="24"/>
  <c r="AA19" i="24"/>
  <c r="AE394" i="23"/>
  <c r="AH391" i="23"/>
  <c r="AI391" i="23"/>
  <c r="AE386" i="23"/>
  <c r="AF385" i="23"/>
  <c r="AI385" i="23"/>
  <c r="AH383" i="23"/>
  <c r="AI383" i="23"/>
  <c r="AE378" i="23"/>
  <c r="AE370" i="23"/>
  <c r="AE362" i="23"/>
  <c r="AH359" i="23"/>
  <c r="AF342" i="23"/>
  <c r="AI342" i="23"/>
  <c r="AD15" i="24"/>
  <c r="AH15" i="24"/>
  <c r="AD19" i="24"/>
  <c r="AH19" i="24"/>
  <c r="AC333" i="23"/>
  <c r="AG333" i="23"/>
  <c r="AF344" i="23"/>
  <c r="AE344" i="23"/>
  <c r="AG336" i="23"/>
  <c r="AC326" i="23"/>
  <c r="AG326" i="23"/>
  <c r="AI326" i="23"/>
  <c r="AF316" i="23"/>
  <c r="AE316" i="23"/>
  <c r="AF298" i="23"/>
  <c r="AE298" i="23"/>
  <c r="AI293" i="23"/>
  <c r="AA280" i="23"/>
  <c r="AC293" i="23"/>
  <c r="AH271" i="23"/>
  <c r="AF306" i="23"/>
  <c r="AE306" i="23"/>
  <c r="AC250" i="23"/>
  <c r="AI248" i="23"/>
  <c r="AD228" i="23"/>
  <c r="AI220" i="23"/>
  <c r="AC158" i="23"/>
  <c r="AC142" i="23"/>
  <c r="AE142" i="23"/>
  <c r="AG252" i="23"/>
  <c r="AJ247" i="23"/>
  <c r="L111" i="17" s="1"/>
  <c r="M111" i="17" s="1"/>
  <c r="AG246" i="23"/>
  <c r="AJ245" i="23"/>
  <c r="L41" i="17" s="1"/>
  <c r="M41" i="17" s="1"/>
  <c r="AH228" i="23"/>
  <c r="AC227" i="23"/>
  <c r="AH221" i="23"/>
  <c r="AC220" i="23"/>
  <c r="AG227" i="23"/>
  <c r="AE227" i="23"/>
  <c r="AB205" i="23"/>
  <c r="AI205" i="23"/>
  <c r="AH203" i="23"/>
  <c r="AA203" i="23"/>
  <c r="AB189" i="23"/>
  <c r="AI189" i="23"/>
  <c r="AH187" i="23"/>
  <c r="AA187" i="23"/>
  <c r="AG156" i="23"/>
  <c r="AF156" i="23"/>
  <c r="AI156" i="23"/>
  <c r="AB213" i="23"/>
  <c r="AI213" i="23"/>
  <c r="AH211" i="23"/>
  <c r="AA211" i="23"/>
  <c r="AF197" i="23"/>
  <c r="AH181" i="23"/>
  <c r="AD179" i="23"/>
  <c r="AI179" i="23"/>
  <c r="AD157" i="23"/>
  <c r="AA141" i="23"/>
  <c r="AB306" i="23"/>
  <c r="AB295" i="23"/>
  <c r="AH293" i="23"/>
  <c r="Z346" i="23"/>
  <c r="AA306" i="23"/>
  <c r="AC252" i="23"/>
  <c r="AI250" i="23"/>
  <c r="AI237" i="23"/>
  <c r="AI228" i="23"/>
  <c r="AB223" i="23"/>
  <c r="AI223" i="23"/>
  <c r="AD219" i="23"/>
  <c r="AG215" i="23"/>
  <c r="AE215" i="23"/>
  <c r="AB191" i="23"/>
  <c r="AI191" i="23"/>
  <c r="AG183" i="23"/>
  <c r="AE183" i="23"/>
  <c r="AC162" i="23"/>
  <c r="AH158" i="23"/>
  <c r="AB155" i="23"/>
  <c r="AI155" i="23"/>
  <c r="AC146" i="23"/>
  <c r="AH142" i="23"/>
  <c r="AB139" i="23"/>
  <c r="AI139" i="23"/>
  <c r="AB131" i="23"/>
  <c r="AI131" i="23"/>
  <c r="AB123" i="23"/>
  <c r="AI123" i="23"/>
  <c r="AI115" i="23"/>
  <c r="AA158" i="23"/>
  <c r="AG150" i="23"/>
  <c r="AI150" i="23"/>
  <c r="AA142" i="23"/>
  <c r="AH227" i="23"/>
  <c r="AH220" i="23"/>
  <c r="AC219" i="23"/>
  <c r="AB235" i="23"/>
  <c r="AI235" i="23"/>
  <c r="AB219" i="23"/>
  <c r="AI219" i="23"/>
  <c r="AA160" i="23"/>
  <c r="AB156" i="23"/>
  <c r="AD144" i="23"/>
  <c r="AA144" i="23"/>
  <c r="AD90" i="23"/>
  <c r="AI61" i="23"/>
  <c r="AI45" i="23"/>
  <c r="AD33" i="23"/>
  <c r="AD17" i="23"/>
  <c r="AD32" i="23"/>
  <c r="AC25" i="23"/>
  <c r="AA61" i="23"/>
  <c r="AH60" i="23"/>
  <c r="AH205" i="23"/>
  <c r="AG203" i="23"/>
  <c r="AE203" i="23"/>
  <c r="AH189" i="23"/>
  <c r="AG187" i="23"/>
  <c r="AE187" i="23"/>
  <c r="AC136" i="23"/>
  <c r="AA136" i="23"/>
  <c r="AA134" i="23"/>
  <c r="AE133" i="23"/>
  <c r="AC128" i="23"/>
  <c r="AC120" i="23"/>
  <c r="AA120" i="23"/>
  <c r="AA118" i="23"/>
  <c r="AE117" i="23"/>
  <c r="AH64" i="23"/>
  <c r="AA52" i="23"/>
  <c r="AB197" i="23"/>
  <c r="AI197" i="23"/>
  <c r="AH179" i="23"/>
  <c r="AA179" i="23"/>
  <c r="AG141" i="23"/>
  <c r="AE141" i="23"/>
  <c r="AE160" i="23"/>
  <c r="AE152" i="23"/>
  <c r="AE144" i="23"/>
  <c r="AD136" i="23"/>
  <c r="AF133" i="23"/>
  <c r="AD128" i="23"/>
  <c r="AF125" i="23"/>
  <c r="AD120" i="23"/>
  <c r="AF117" i="23"/>
  <c r="AE76" i="23"/>
  <c r="AD74" i="23"/>
  <c r="AE67" i="23"/>
  <c r="AH62" i="23"/>
  <c r="AD61" i="23"/>
  <c r="AI57" i="23"/>
  <c r="AE52" i="23"/>
  <c r="AC50" i="23"/>
  <c r="AH46" i="23"/>
  <c r="AD45" i="23"/>
  <c r="AC34" i="23"/>
  <c r="AH30" i="23"/>
  <c r="AI25" i="23"/>
  <c r="AE20" i="23"/>
  <c r="AC18" i="23"/>
  <c r="AH14" i="23"/>
  <c r="AD13" i="23"/>
  <c r="AI52" i="23"/>
  <c r="AI48" i="23"/>
  <c r="AC45" i="23"/>
  <c r="AI20" i="23"/>
  <c r="AH17" i="23"/>
  <c r="AC60" i="23"/>
  <c r="AG21" i="23"/>
  <c r="AF21" i="23"/>
  <c r="AG40" i="23"/>
  <c r="AF40" i="23"/>
  <c r="AF205" i="23"/>
  <c r="AC205" i="23"/>
  <c r="AD203" i="23"/>
  <c r="AI203" i="23"/>
  <c r="AF189" i="23"/>
  <c r="AD187" i="23"/>
  <c r="AH161" i="23"/>
  <c r="AA161" i="23"/>
  <c r="AH156" i="23"/>
  <c r="AC145" i="23"/>
  <c r="AD145" i="23"/>
  <c r="AI145" i="23"/>
  <c r="AC137" i="23"/>
  <c r="AA137" i="23"/>
  <c r="AE136" i="23"/>
  <c r="AC134" i="23"/>
  <c r="AE134" i="23"/>
  <c r="AD133" i="23"/>
  <c r="AI133" i="23"/>
  <c r="AC121" i="23"/>
  <c r="AA121" i="23"/>
  <c r="AE120" i="23"/>
  <c r="AC118" i="23"/>
  <c r="AE118" i="23"/>
  <c r="AD117" i="23"/>
  <c r="AI117" i="23"/>
  <c r="AC72" i="23"/>
  <c r="AF72" i="23"/>
  <c r="AD64" i="23"/>
  <c r="AD56" i="23"/>
  <c r="AH25" i="23"/>
  <c r="AC40" i="23"/>
  <c r="AH32" i="23"/>
  <c r="AG24" i="23"/>
  <c r="AF24" i="23"/>
  <c r="AE156" i="23"/>
  <c r="AC52" i="23"/>
  <c r="AC24" i="23"/>
  <c r="AH188" i="23"/>
  <c r="AB181" i="23"/>
  <c r="AG179" i="23"/>
  <c r="AE179" i="23"/>
  <c r="AC157" i="23"/>
  <c r="AA157" i="23"/>
  <c r="AC141" i="23"/>
  <c r="AD141" i="23"/>
  <c r="AI141" i="23"/>
  <c r="AI300" i="24"/>
  <c r="AH304" i="24"/>
  <c r="V303" i="24"/>
  <c r="AE301" i="24"/>
  <c r="AH302" i="24"/>
  <c r="AB301" i="24"/>
  <c r="AB300" i="24"/>
  <c r="AC300" i="24"/>
  <c r="V298" i="24"/>
  <c r="AH298" i="24"/>
  <c r="AA301" i="24"/>
  <c r="AE290" i="24"/>
  <c r="AD288" i="24"/>
  <c r="AE281" i="24"/>
  <c r="Y307" i="24"/>
  <c r="AJ299" i="24"/>
  <c r="AB294" i="24"/>
  <c r="AD293" i="24"/>
  <c r="AF293" i="24"/>
  <c r="AE292" i="24"/>
  <c r="AD290" i="24"/>
  <c r="AB289" i="24"/>
  <c r="AF288" i="24"/>
  <c r="AH286" i="24"/>
  <c r="AC285" i="24"/>
  <c r="AC284" i="24"/>
  <c r="AB284" i="24"/>
  <c r="AC282" i="24"/>
  <c r="AF282" i="24"/>
  <c r="AI281" i="24"/>
  <c r="AF300" i="24"/>
  <c r="AH292" i="24"/>
  <c r="AA289" i="24"/>
  <c r="AA286" i="24"/>
  <c r="AI282" i="24"/>
  <c r="AJ279" i="24"/>
  <c r="V275" i="24"/>
  <c r="AG289" i="24"/>
  <c r="V276" i="24"/>
  <c r="R307" i="24"/>
  <c r="V243" i="24"/>
  <c r="AG284" i="24"/>
  <c r="V272" i="24"/>
  <c r="AE245" i="24"/>
  <c r="AD243" i="24"/>
  <c r="AB245" i="24"/>
  <c r="AG245" i="24"/>
  <c r="AI244" i="24"/>
  <c r="AI243" i="24"/>
  <c r="AA243" i="24"/>
  <c r="AF241" i="24"/>
  <c r="V234" i="24"/>
  <c r="AA233" i="24"/>
  <c r="AE233" i="24"/>
  <c r="AC233" i="24"/>
  <c r="AB229" i="24"/>
  <c r="V229" i="24"/>
  <c r="AG229" i="24"/>
  <c r="V221" i="24"/>
  <c r="V208" i="24"/>
  <c r="V218" i="24"/>
  <c r="V207" i="24"/>
  <c r="V305" i="24"/>
  <c r="AA300" i="24"/>
  <c r="Z270" i="24"/>
  <c r="V270" i="24"/>
  <c r="J307" i="24"/>
  <c r="Y242" i="24"/>
  <c r="V242" i="24"/>
  <c r="AA304" i="24"/>
  <c r="AB290" i="24"/>
  <c r="AD289" i="24"/>
  <c r="AF289" i="24"/>
  <c r="AE288" i="24"/>
  <c r="AB285" i="24"/>
  <c r="AH282" i="24"/>
  <c r="AC281" i="24"/>
  <c r="AF298" i="24"/>
  <c r="AA292" i="24"/>
  <c r="AH288" i="24"/>
  <c r="AA285" i="24"/>
  <c r="AA282" i="24"/>
  <c r="AH301" i="24"/>
  <c r="AJ277" i="24"/>
  <c r="AG288" i="24"/>
  <c r="AA244" i="24"/>
  <c r="AH285" i="24"/>
  <c r="AJ271" i="24"/>
  <c r="AF245" i="24"/>
  <c r="L307" i="24"/>
  <c r="V277" i="24"/>
  <c r="AJ270" i="24"/>
  <c r="AH245" i="24"/>
  <c r="AB244" i="24"/>
  <c r="AB243" i="24"/>
  <c r="AC243" i="24"/>
  <c r="Y241" i="24"/>
  <c r="V241" i="24"/>
  <c r="Z223" i="24"/>
  <c r="AJ223" i="24" s="1"/>
  <c r="V223" i="24"/>
  <c r="Z219" i="24"/>
  <c r="AJ219" i="24" s="1"/>
  <c r="V219" i="24"/>
  <c r="Z217" i="24"/>
  <c r="AJ217" i="24" s="1"/>
  <c r="V217" i="24"/>
  <c r="Z215" i="24"/>
  <c r="AJ215" i="24" s="1"/>
  <c r="V215" i="24"/>
  <c r="Z213" i="24"/>
  <c r="AJ213" i="24" s="1"/>
  <c r="V213" i="24"/>
  <c r="Z209" i="24"/>
  <c r="AJ209" i="24" s="1"/>
  <c r="V209" i="24"/>
  <c r="Z205" i="24"/>
  <c r="AJ205" i="24" s="1"/>
  <c r="V205" i="24"/>
  <c r="Z201" i="24"/>
  <c r="AJ201" i="24" s="1"/>
  <c r="V201" i="24"/>
  <c r="Z195" i="24"/>
  <c r="AJ195" i="24" s="1"/>
  <c r="V195" i="24"/>
  <c r="Z193" i="24"/>
  <c r="AJ193" i="24" s="1"/>
  <c r="V193" i="24"/>
  <c r="Z191" i="24"/>
  <c r="AJ191" i="24" s="1"/>
  <c r="V191" i="24"/>
  <c r="Z189" i="24"/>
  <c r="AJ189" i="24" s="1"/>
  <c r="V189" i="24"/>
  <c r="Z187" i="24"/>
  <c r="AJ187" i="24" s="1"/>
  <c r="V187" i="24"/>
  <c r="Z185" i="24"/>
  <c r="AJ185" i="24" s="1"/>
  <c r="V185" i="24"/>
  <c r="Z183" i="24"/>
  <c r="AJ183" i="24" s="1"/>
  <c r="V183" i="24"/>
  <c r="Z181" i="24"/>
  <c r="AJ181" i="24" s="1"/>
  <c r="V181" i="24"/>
  <c r="Z179" i="24"/>
  <c r="AJ179" i="24" s="1"/>
  <c r="V179" i="24"/>
  <c r="AA245" i="24"/>
  <c r="AB233" i="24"/>
  <c r="V233" i="24"/>
  <c r="AG233" i="24"/>
  <c r="Y231" i="24"/>
  <c r="AJ231" i="24" s="1"/>
  <c r="V231" i="24"/>
  <c r="V214" i="24"/>
  <c r="V210" i="24"/>
  <c r="V198" i="24"/>
  <c r="AA241" i="24"/>
  <c r="V211" i="24"/>
  <c r="AJ325" i="24"/>
  <c r="AC301" i="24"/>
  <c r="AG300" i="24"/>
  <c r="AJ298" i="24"/>
  <c r="AC304" i="24"/>
  <c r="AJ303" i="24"/>
  <c r="V304" i="24"/>
  <c r="AD300" i="24"/>
  <c r="AC302" i="24"/>
  <c r="AD301" i="24"/>
  <c r="AG301" i="24"/>
  <c r="AE300" i="24"/>
  <c r="AC298" i="24"/>
  <c r="AJ305" i="24"/>
  <c r="AA298" i="24"/>
  <c r="AE289" i="24"/>
  <c r="AE282" i="24"/>
  <c r="AJ238" i="24"/>
  <c r="AC292" i="24"/>
  <c r="AB292" i="24"/>
  <c r="AC290" i="24"/>
  <c r="AF290" i="24"/>
  <c r="AI289" i="24"/>
  <c r="AI288" i="24"/>
  <c r="AB286" i="24"/>
  <c r="AD285" i="24"/>
  <c r="AF285" i="24"/>
  <c r="AD282" i="24"/>
  <c r="AB281" i="24"/>
  <c r="AA281" i="24"/>
  <c r="V300" i="24"/>
  <c r="AJ275" i="24"/>
  <c r="T307" i="24"/>
  <c r="AG281" i="24"/>
  <c r="AG307" i="24" s="1"/>
  <c r="M307" i="24"/>
  <c r="AF244" i="24"/>
  <c r="V279" i="24"/>
  <c r="AJ273" i="24"/>
  <c r="V271" i="24"/>
  <c r="AE244" i="24"/>
  <c r="V274" i="24"/>
  <c r="AD245" i="24"/>
  <c r="AC244" i="24"/>
  <c r="AG243" i="24"/>
  <c r="AC241" i="24"/>
  <c r="AJ234" i="24"/>
  <c r="AB237" i="24"/>
  <c r="AJ237" i="24" s="1"/>
  <c r="V237" i="24"/>
  <c r="Y235" i="24"/>
  <c r="AJ235" i="24" s="1"/>
  <c r="V235" i="24"/>
  <c r="V202" i="24"/>
  <c r="AI233" i="24"/>
  <c r="V199" i="24"/>
  <c r="V197" i="24"/>
  <c r="V194" i="24"/>
  <c r="AA177" i="24"/>
  <c r="AF177" i="24"/>
  <c r="AC177" i="24"/>
  <c r="AH177" i="24"/>
  <c r="AJ304" i="24"/>
  <c r="AI301" i="24"/>
  <c r="P307" i="24"/>
  <c r="V299" i="24"/>
  <c r="AC289" i="24"/>
  <c r="AB282" i="24"/>
  <c r="AD281" i="24"/>
  <c r="AF281" i="24"/>
  <c r="V280" i="24"/>
  <c r="V278" i="24"/>
  <c r="V273" i="24"/>
  <c r="S307" i="24"/>
  <c r="AC245" i="24"/>
  <c r="AD244" i="24"/>
  <c r="AG244" i="24"/>
  <c r="Y239" i="24"/>
  <c r="V239" i="24"/>
  <c r="Z227" i="24"/>
  <c r="V227" i="24"/>
  <c r="Z226" i="24"/>
  <c r="AJ226" i="24" s="1"/>
  <c r="V226" i="24"/>
  <c r="Z222" i="24"/>
  <c r="AJ222" i="24" s="1"/>
  <c r="V222" i="24"/>
  <c r="Z220" i="24"/>
  <c r="AJ220" i="24" s="1"/>
  <c r="V220" i="24"/>
  <c r="Z216" i="24"/>
  <c r="AJ216" i="24" s="1"/>
  <c r="V216" i="24"/>
  <c r="Z212" i="24"/>
  <c r="AJ212" i="24" s="1"/>
  <c r="V212" i="24"/>
  <c r="Z206" i="24"/>
  <c r="AJ206" i="24" s="1"/>
  <c r="V206" i="24"/>
  <c r="Z204" i="24"/>
  <c r="AJ204" i="24" s="1"/>
  <c r="V204" i="24"/>
  <c r="Z200" i="24"/>
  <c r="AJ200" i="24" s="1"/>
  <c r="V200" i="24"/>
  <c r="Z196" i="24"/>
  <c r="AJ196" i="24" s="1"/>
  <c r="V196" i="24"/>
  <c r="Z192" i="24"/>
  <c r="AJ192" i="24" s="1"/>
  <c r="V192" i="24"/>
  <c r="Z190" i="24"/>
  <c r="AJ190" i="24" s="1"/>
  <c r="V190" i="24"/>
  <c r="Z188" i="24"/>
  <c r="AJ188" i="24" s="1"/>
  <c r="V188" i="24"/>
  <c r="Z184" i="24"/>
  <c r="AJ184" i="24" s="1"/>
  <c r="V184" i="24"/>
  <c r="V238" i="24"/>
  <c r="AA229" i="24"/>
  <c r="AI229" i="24"/>
  <c r="AC229" i="24"/>
  <c r="AJ225" i="24"/>
  <c r="V225" i="24"/>
  <c r="V224" i="24"/>
  <c r="V203" i="24"/>
  <c r="V186" i="24"/>
  <c r="AG177" i="24"/>
  <c r="AD177" i="24"/>
  <c r="AD173" i="24"/>
  <c r="AD165" i="24"/>
  <c r="AD157" i="24"/>
  <c r="V178" i="24"/>
  <c r="AA173" i="24"/>
  <c r="AA165" i="24"/>
  <c r="AA149" i="24"/>
  <c r="AE165" i="24"/>
  <c r="AE149" i="24"/>
  <c r="V134" i="24"/>
  <c r="V126" i="24"/>
  <c r="J247" i="24"/>
  <c r="AA141" i="24"/>
  <c r="AJ135" i="24"/>
  <c r="AJ131" i="24"/>
  <c r="AJ127" i="24"/>
  <c r="AD122" i="24"/>
  <c r="AC82" i="24"/>
  <c r="AE13" i="24"/>
  <c r="P85" i="24"/>
  <c r="AA384" i="23"/>
  <c r="V384" i="23"/>
  <c r="AA376" i="23"/>
  <c r="V376" i="23"/>
  <c r="AA368" i="23"/>
  <c r="V368" i="23"/>
  <c r="AA360" i="23"/>
  <c r="V360" i="23"/>
  <c r="AF97" i="24"/>
  <c r="V129" i="24"/>
  <c r="AH98" i="24"/>
  <c r="AD97" i="24"/>
  <c r="AD69" i="24"/>
  <c r="AD53" i="24"/>
  <c r="AD37" i="24"/>
  <c r="AD33" i="24"/>
  <c r="AI119" i="24"/>
  <c r="S247" i="24"/>
  <c r="S262" i="24" s="1"/>
  <c r="AD82" i="24"/>
  <c r="AD63" i="24"/>
  <c r="AI63" i="24"/>
  <c r="AD55" i="24"/>
  <c r="AI55" i="24"/>
  <c r="AH52" i="24"/>
  <c r="AI52" i="24"/>
  <c r="V34" i="24"/>
  <c r="Y21" i="24"/>
  <c r="V21" i="24"/>
  <c r="Y13" i="24"/>
  <c r="V13" i="24"/>
  <c r="AF77" i="24"/>
  <c r="V29" i="24"/>
  <c r="AF98" i="24"/>
  <c r="AJ25" i="24"/>
  <c r="AE14" i="24"/>
  <c r="AE11" i="24"/>
  <c r="AA11" i="24"/>
  <c r="I404" i="23"/>
  <c r="I413" i="23" s="1"/>
  <c r="AB173" i="24"/>
  <c r="AB165" i="24"/>
  <c r="AB157" i="24"/>
  <c r="AB149" i="24"/>
  <c r="AB141" i="24"/>
  <c r="AJ89" i="24"/>
  <c r="AI157" i="24"/>
  <c r="AI141" i="24"/>
  <c r="AJ139" i="24"/>
  <c r="AB122" i="24"/>
  <c r="AG173" i="24"/>
  <c r="V133" i="24"/>
  <c r="V128" i="24"/>
  <c r="AC92" i="24"/>
  <c r="AA53" i="24"/>
  <c r="AA45" i="24"/>
  <c r="AA37" i="24"/>
  <c r="Y328" i="23"/>
  <c r="V328" i="23"/>
  <c r="AD81" i="24"/>
  <c r="AH73" i="24"/>
  <c r="AH65" i="24"/>
  <c r="AH57" i="24"/>
  <c r="AH49" i="24"/>
  <c r="AH41" i="24"/>
  <c r="AH33" i="24"/>
  <c r="Y16" i="24"/>
  <c r="AJ16" i="24" s="1"/>
  <c r="V16" i="24"/>
  <c r="AC396" i="23"/>
  <c r="AF396" i="23"/>
  <c r="AH396" i="23"/>
  <c r="AH388" i="23"/>
  <c r="AC388" i="23"/>
  <c r="AF388" i="23"/>
  <c r="AH380" i="23"/>
  <c r="AC380" i="23"/>
  <c r="AF380" i="23"/>
  <c r="AD372" i="23"/>
  <c r="AH372" i="23"/>
  <c r="AC372" i="23"/>
  <c r="AF372" i="23"/>
  <c r="AD364" i="23"/>
  <c r="AF364" i="23"/>
  <c r="AH364" i="23"/>
  <c r="AC364" i="23"/>
  <c r="AG360" i="23"/>
  <c r="R404" i="23"/>
  <c r="R413" i="23" s="1"/>
  <c r="Y323" i="23"/>
  <c r="AJ323" i="23" s="1"/>
  <c r="V323" i="23"/>
  <c r="V320" i="23"/>
  <c r="N247" i="24"/>
  <c r="Y101" i="24"/>
  <c r="AD73" i="24"/>
  <c r="AD57" i="24"/>
  <c r="AD41" i="24"/>
  <c r="AB114" i="24"/>
  <c r="AF100" i="24"/>
  <c r="AG92" i="24"/>
  <c r="AF81" i="24"/>
  <c r="AC78" i="24"/>
  <c r="AA78" i="24"/>
  <c r="AA76" i="24"/>
  <c r="AC70" i="24"/>
  <c r="AA70" i="24"/>
  <c r="AA68" i="24"/>
  <c r="AC62" i="24"/>
  <c r="AA62" i="24"/>
  <c r="AC51" i="24"/>
  <c r="AA51" i="24"/>
  <c r="AA48" i="24"/>
  <c r="AC38" i="24"/>
  <c r="AA38" i="24"/>
  <c r="AC35" i="24"/>
  <c r="AA35" i="24"/>
  <c r="AC34" i="24"/>
  <c r="AA34" i="24"/>
  <c r="AC69" i="24"/>
  <c r="AF45" i="24"/>
  <c r="AJ29" i="24"/>
  <c r="AH27" i="24"/>
  <c r="AC73" i="24"/>
  <c r="AC49" i="24"/>
  <c r="AC33" i="24"/>
  <c r="AC14" i="24"/>
  <c r="AI401" i="23"/>
  <c r="AE399" i="23"/>
  <c r="AI398" i="23"/>
  <c r="AE395" i="23"/>
  <c r="AI394" i="23"/>
  <c r="AF393" i="23"/>
  <c r="AI393" i="23"/>
  <c r="AJ180" i="24"/>
  <c r="AJ178" i="24"/>
  <c r="AH233" i="24"/>
  <c r="AH229" i="24"/>
  <c r="AJ137" i="24"/>
  <c r="AJ133" i="24"/>
  <c r="AJ129" i="24"/>
  <c r="V180" i="24"/>
  <c r="AI177" i="24"/>
  <c r="AE177" i="24"/>
  <c r="AC173" i="24"/>
  <c r="AF173" i="24"/>
  <c r="AC165" i="24"/>
  <c r="AF165" i="24"/>
  <c r="AC157" i="24"/>
  <c r="AF157" i="24"/>
  <c r="AC149" i="24"/>
  <c r="AF149" i="24"/>
  <c r="AC141" i="24"/>
  <c r="AF141" i="24"/>
  <c r="AI169" i="24"/>
  <c r="AA157" i="24"/>
  <c r="AE175" i="24"/>
  <c r="AE173" i="24"/>
  <c r="AE157" i="24"/>
  <c r="V138" i="24"/>
  <c r="V130" i="24"/>
  <c r="AH122" i="24"/>
  <c r="T247" i="24"/>
  <c r="V139" i="24"/>
  <c r="AG122" i="24"/>
  <c r="AF122" i="24"/>
  <c r="V137" i="24"/>
  <c r="V132" i="24"/>
  <c r="K101" i="24"/>
  <c r="AA82" i="24"/>
  <c r="AG77" i="24"/>
  <c r="AE77" i="24"/>
  <c r="AG69" i="24"/>
  <c r="AE69" i="24"/>
  <c r="AG61" i="24"/>
  <c r="AE61" i="24"/>
  <c r="AG53" i="24"/>
  <c r="AE53" i="24"/>
  <c r="AG45" i="24"/>
  <c r="AE45" i="24"/>
  <c r="AG37" i="24"/>
  <c r="AE37" i="24"/>
  <c r="V135" i="24"/>
  <c r="P247" i="24"/>
  <c r="V89" i="24"/>
  <c r="AA396" i="23"/>
  <c r="AA388" i="23"/>
  <c r="V388" i="23"/>
  <c r="AA380" i="23"/>
  <c r="V380" i="23"/>
  <c r="AA372" i="23"/>
  <c r="V372" i="23"/>
  <c r="AA364" i="23"/>
  <c r="V364" i="23"/>
  <c r="AB360" i="23"/>
  <c r="M404" i="23"/>
  <c r="M413" i="23" s="1"/>
  <c r="V331" i="23"/>
  <c r="AJ322" i="23"/>
  <c r="AE118" i="24"/>
  <c r="AI115" i="24"/>
  <c r="J101" i="24"/>
  <c r="V98" i="24"/>
  <c r="AD77" i="24"/>
  <c r="AD61" i="24"/>
  <c r="AD45" i="24"/>
  <c r="V35" i="24"/>
  <c r="AI114" i="24"/>
  <c r="AC114" i="24"/>
  <c r="AF114" i="24"/>
  <c r="AA99" i="24"/>
  <c r="AB92" i="24"/>
  <c r="AC79" i="24"/>
  <c r="AA79" i="24"/>
  <c r="AE78" i="24"/>
  <c r="AC76" i="24"/>
  <c r="AE76" i="24"/>
  <c r="AI75" i="24"/>
  <c r="AC71" i="24"/>
  <c r="AA71" i="24"/>
  <c r="AE70" i="24"/>
  <c r="AC68" i="24"/>
  <c r="AE68" i="24"/>
  <c r="AD67" i="24"/>
  <c r="AI67" i="24"/>
  <c r="AC63" i="24"/>
  <c r="AA63" i="24"/>
  <c r="AE62" i="24"/>
  <c r="AC60" i="24"/>
  <c r="AE60" i="24"/>
  <c r="AD59" i="24"/>
  <c r="AI59" i="24"/>
  <c r="AC55" i="24"/>
  <c r="AA55" i="24"/>
  <c r="AE54" i="24"/>
  <c r="AA52" i="24"/>
  <c r="AE51" i="24"/>
  <c r="AF50" i="24"/>
  <c r="AI50" i="24"/>
  <c r="AC48" i="24"/>
  <c r="AE48" i="24"/>
  <c r="AD47" i="24"/>
  <c r="AI47" i="24"/>
  <c r="V45" i="24"/>
  <c r="AI44" i="24"/>
  <c r="AC42" i="24"/>
  <c r="AA42" i="24"/>
  <c r="AC39" i="24"/>
  <c r="AA39" i="24"/>
  <c r="AE38" i="24"/>
  <c r="AA36" i="24"/>
  <c r="AE35" i="24"/>
  <c r="AE34" i="24"/>
  <c r="Y17" i="24"/>
  <c r="V17" i="24"/>
  <c r="Y419" i="23"/>
  <c r="AJ419" i="23" s="1"/>
  <c r="V419" i="23"/>
  <c r="AF61" i="24"/>
  <c r="AE27" i="24"/>
  <c r="K422" i="23"/>
  <c r="T404" i="23"/>
  <c r="T413" i="23" s="1"/>
  <c r="AF65" i="24"/>
  <c r="AC23" i="24"/>
  <c r="AF14" i="24"/>
  <c r="AD14" i="24"/>
  <c r="AG14" i="24"/>
  <c r="V401" i="23"/>
  <c r="AH401" i="23"/>
  <c r="AG401" i="23"/>
  <c r="V400" i="23"/>
  <c r="AH399" i="23"/>
  <c r="AI399" i="23"/>
  <c r="AF398" i="23"/>
  <c r="AH398" i="23"/>
  <c r="AG398" i="23"/>
  <c r="V397" i="23"/>
  <c r="AH397" i="23"/>
  <c r="AG397" i="23"/>
  <c r="V396" i="23"/>
  <c r="AI395" i="23"/>
  <c r="AF394" i="23"/>
  <c r="AH394" i="23"/>
  <c r="AG394" i="23"/>
  <c r="V393" i="23"/>
  <c r="AG393" i="23"/>
  <c r="AH393" i="23"/>
  <c r="V392" i="23"/>
  <c r="AH241" i="24"/>
  <c r="AJ239" i="24"/>
  <c r="AJ242" i="24"/>
  <c r="AJ227" i="24"/>
  <c r="AD233" i="24"/>
  <c r="AJ233" i="24" s="1"/>
  <c r="AD229" i="24"/>
  <c r="AJ218" i="24"/>
  <c r="V182" i="24"/>
  <c r="AB177" i="24"/>
  <c r="AH173" i="24"/>
  <c r="AB169" i="24"/>
  <c r="AH165" i="24"/>
  <c r="AB161" i="24"/>
  <c r="AH157" i="24"/>
  <c r="AB153" i="24"/>
  <c r="AH149" i="24"/>
  <c r="AB145" i="24"/>
  <c r="AH141" i="24"/>
  <c r="AJ90" i="24"/>
  <c r="AA169" i="24"/>
  <c r="AI165" i="24"/>
  <c r="AA153" i="24"/>
  <c r="AI149" i="24"/>
  <c r="AC175" i="24"/>
  <c r="AE161" i="24"/>
  <c r="AC122" i="24"/>
  <c r="AA119" i="24"/>
  <c r="O247" i="24"/>
  <c r="AD98" i="24"/>
  <c r="AA122" i="24"/>
  <c r="AE141" i="24"/>
  <c r="V136" i="24"/>
  <c r="AA98" i="24"/>
  <c r="AJ98" i="24" s="1"/>
  <c r="N101" i="24"/>
  <c r="AG82" i="24"/>
  <c r="AE82" i="24"/>
  <c r="AI122" i="24"/>
  <c r="AA81" i="24"/>
  <c r="AB77" i="24"/>
  <c r="AI77" i="24"/>
  <c r="AB69" i="24"/>
  <c r="AI69" i="24"/>
  <c r="AB61" i="24"/>
  <c r="AI61" i="24"/>
  <c r="AB53" i="24"/>
  <c r="AI53" i="24"/>
  <c r="AA49" i="24"/>
  <c r="AB45" i="24"/>
  <c r="AI45" i="24"/>
  <c r="AA41" i="24"/>
  <c r="AB37" i="24"/>
  <c r="AI37" i="24"/>
  <c r="AA33" i="24"/>
  <c r="AJ33" i="24" s="1"/>
  <c r="Z408" i="23"/>
  <c r="AJ408" i="23" s="1"/>
  <c r="V408" i="23"/>
  <c r="V410" i="23" s="1"/>
  <c r="V356" i="23"/>
  <c r="AH77" i="24"/>
  <c r="AH69" i="24"/>
  <c r="AH61" i="24"/>
  <c r="AH53" i="24"/>
  <c r="AH45" i="24"/>
  <c r="AH37" i="24"/>
  <c r="AA12" i="24"/>
  <c r="L85" i="24"/>
  <c r="AE419" i="23"/>
  <c r="P422" i="23"/>
  <c r="AH400" i="23"/>
  <c r="AF400" i="23"/>
  <c r="AC400" i="23"/>
  <c r="AG396" i="23"/>
  <c r="AE396" i="23"/>
  <c r="AF392" i="23"/>
  <c r="AH392" i="23"/>
  <c r="AC392" i="23"/>
  <c r="AG388" i="23"/>
  <c r="AE388" i="23"/>
  <c r="AC384" i="23"/>
  <c r="AH384" i="23"/>
  <c r="AF384" i="23"/>
  <c r="AG380" i="23"/>
  <c r="AE380" i="23"/>
  <c r="AD376" i="23"/>
  <c r="AH376" i="23"/>
  <c r="AC376" i="23"/>
  <c r="AF376" i="23"/>
  <c r="AG372" i="23"/>
  <c r="AE372" i="23"/>
  <c r="AC368" i="23"/>
  <c r="AD368" i="23"/>
  <c r="AH368" i="23"/>
  <c r="AF368" i="23"/>
  <c r="AG364" i="23"/>
  <c r="AE364" i="23"/>
  <c r="AF360" i="23"/>
  <c r="AD360" i="23"/>
  <c r="AH360" i="23"/>
  <c r="AC360" i="23"/>
  <c r="AH331" i="23"/>
  <c r="AG331" i="23"/>
  <c r="AF331" i="23"/>
  <c r="AB331" i="23"/>
  <c r="V322" i="23"/>
  <c r="Y321" i="23"/>
  <c r="AJ321" i="23" s="1"/>
  <c r="V321" i="23"/>
  <c r="AB118" i="24"/>
  <c r="V131" i="24"/>
  <c r="S101" i="24"/>
  <c r="AH82" i="24"/>
  <c r="AD65" i="24"/>
  <c r="AD49" i="24"/>
  <c r="V127" i="24"/>
  <c r="AH114" i="24"/>
  <c r="AD99" i="24"/>
  <c r="AC99" i="24"/>
  <c r="AE99" i="24"/>
  <c r="AA80" i="24"/>
  <c r="AE79" i="24"/>
  <c r="AF78" i="24"/>
  <c r="AI78" i="24"/>
  <c r="AH76" i="24"/>
  <c r="AI76" i="24"/>
  <c r="AC74" i="24"/>
  <c r="AA74" i="24"/>
  <c r="AA72" i="24"/>
  <c r="AE71" i="24"/>
  <c r="AF70" i="24"/>
  <c r="AI70" i="24"/>
  <c r="AH68" i="24"/>
  <c r="AI68" i="24"/>
  <c r="AA66" i="24"/>
  <c r="AA64" i="24"/>
  <c r="AE63" i="24"/>
  <c r="AF62" i="24"/>
  <c r="AI62" i="24"/>
  <c r="AH60" i="24"/>
  <c r="AI60" i="24"/>
  <c r="AA58" i="24"/>
  <c r="AE55" i="24"/>
  <c r="AF54" i="24"/>
  <c r="AI54" i="24"/>
  <c r="AC52" i="24"/>
  <c r="AE52" i="24"/>
  <c r="AD51" i="24"/>
  <c r="AI51" i="24"/>
  <c r="V49" i="24"/>
  <c r="AH48" i="24"/>
  <c r="AI48" i="24"/>
  <c r="AA46" i="24"/>
  <c r="AA43" i="24"/>
  <c r="AE42" i="24"/>
  <c r="AA40" i="24"/>
  <c r="AE39" i="24"/>
  <c r="AF38" i="24"/>
  <c r="AI38" i="24"/>
  <c r="AE36" i="24"/>
  <c r="AD35" i="24"/>
  <c r="AI35" i="24"/>
  <c r="AF34" i="24"/>
  <c r="AI34" i="24"/>
  <c r="AC53" i="24"/>
  <c r="AC37" i="24"/>
  <c r="AF27" i="24"/>
  <c r="AA27" i="24"/>
  <c r="AC27" i="24"/>
  <c r="AC57" i="24"/>
  <c r="AF41" i="24"/>
  <c r="V25" i="24"/>
  <c r="AB23" i="24"/>
  <c r="AG23" i="24"/>
  <c r="AI14" i="24"/>
  <c r="J85" i="24"/>
  <c r="AA401" i="23"/>
  <c r="AG399" i="23"/>
  <c r="AB399" i="23"/>
  <c r="AA398" i="23"/>
  <c r="AB395" i="23"/>
  <c r="AG395" i="23"/>
  <c r="AC394" i="23"/>
  <c r="AA394" i="23"/>
  <c r="AC393" i="23"/>
  <c r="Z389" i="23"/>
  <c r="V389" i="23"/>
  <c r="V385" i="23"/>
  <c r="V381" i="23"/>
  <c r="V377" i="23"/>
  <c r="AA358" i="23"/>
  <c r="AC330" i="23"/>
  <c r="AJ21" i="24"/>
  <c r="AB401" i="23"/>
  <c r="AH390" i="23"/>
  <c r="AH386" i="23"/>
  <c r="AH382" i="23"/>
  <c r="AH378" i="23"/>
  <c r="AH374" i="23"/>
  <c r="AH370" i="23"/>
  <c r="AH366" i="23"/>
  <c r="AG386" i="23"/>
  <c r="AF390" i="23"/>
  <c r="AB385" i="23"/>
  <c r="AG379" i="23"/>
  <c r="AB365" i="23"/>
  <c r="AG385" i="23"/>
  <c r="AD343" i="23"/>
  <c r="AC343" i="23"/>
  <c r="Y338" i="23"/>
  <c r="AA336" i="23"/>
  <c r="Y333" i="23"/>
  <c r="V326" i="23"/>
  <c r="V374" i="23"/>
  <c r="AG366" i="23"/>
  <c r="AB358" i="23"/>
  <c r="AC342" i="23"/>
  <c r="AB339" i="23"/>
  <c r="Y339" i="23"/>
  <c r="AF333" i="23"/>
  <c r="AA330" i="23"/>
  <c r="AF327" i="23"/>
  <c r="AB359" i="23"/>
  <c r="AF374" i="23"/>
  <c r="AI344" i="23"/>
  <c r="AH329" i="23"/>
  <c r="AI315" i="23"/>
  <c r="AA310" i="23"/>
  <c r="AJ303" i="23"/>
  <c r="V286" i="23"/>
  <c r="V284" i="23"/>
  <c r="AJ281" i="23"/>
  <c r="AI279" i="23"/>
  <c r="AJ277" i="23"/>
  <c r="AI275" i="23"/>
  <c r="AJ273" i="23"/>
  <c r="AF358" i="23"/>
  <c r="V310" i="23"/>
  <c r="AE297" i="23"/>
  <c r="AF297" i="23"/>
  <c r="AA293" i="23"/>
  <c r="V281" i="23"/>
  <c r="AC272" i="23"/>
  <c r="K346" i="23"/>
  <c r="V261" i="23"/>
  <c r="AC313" i="23"/>
  <c r="AH313" i="23"/>
  <c r="AD297" i="23"/>
  <c r="AD295" i="23"/>
  <c r="AG275" i="23"/>
  <c r="AC312" i="23"/>
  <c r="AA295" i="23"/>
  <c r="AA251" i="23"/>
  <c r="V251" i="23"/>
  <c r="AF239" i="23"/>
  <c r="AC239" i="23"/>
  <c r="AH239" i="23"/>
  <c r="AD239" i="23"/>
  <c r="AA393" i="23"/>
  <c r="AC390" i="23"/>
  <c r="AA390" i="23"/>
  <c r="AC389" i="23"/>
  <c r="AA389" i="23"/>
  <c r="AC386" i="23"/>
  <c r="AA386" i="23"/>
  <c r="AC385" i="23"/>
  <c r="AA385" i="23"/>
  <c r="AC382" i="23"/>
  <c r="AA382" i="23"/>
  <c r="AC381" i="23"/>
  <c r="AA381" i="23"/>
  <c r="AC378" i="23"/>
  <c r="AA378" i="23"/>
  <c r="AC377" i="23"/>
  <c r="AA377" i="23"/>
  <c r="AA375" i="23"/>
  <c r="AE374" i="23"/>
  <c r="AF373" i="23"/>
  <c r="AI373" i="23"/>
  <c r="AH371" i="23"/>
  <c r="AI371" i="23"/>
  <c r="AC369" i="23"/>
  <c r="AA369" i="23"/>
  <c r="AA367" i="23"/>
  <c r="AE366" i="23"/>
  <c r="AF365" i="23"/>
  <c r="AI365" i="23"/>
  <c r="AH363" i="23"/>
  <c r="AI363" i="23"/>
  <c r="AC361" i="23"/>
  <c r="AA361" i="23"/>
  <c r="AA359" i="23"/>
  <c r="AE358" i="23"/>
  <c r="AF357" i="23"/>
  <c r="AI357" i="23"/>
  <c r="AA342" i="23"/>
  <c r="AH340" i="23"/>
  <c r="AI340" i="23"/>
  <c r="AB330" i="23"/>
  <c r="AG330" i="23"/>
  <c r="AC15" i="24"/>
  <c r="AJ13" i="24"/>
  <c r="AB394" i="23"/>
  <c r="AB390" i="23"/>
  <c r="AB386" i="23"/>
  <c r="AB382" i="23"/>
  <c r="AB378" i="23"/>
  <c r="AB374" i="23"/>
  <c r="AJ374" i="23" s="1"/>
  <c r="AB370" i="23"/>
  <c r="AB366" i="23"/>
  <c r="AE31" i="24"/>
  <c r="AI19" i="24"/>
  <c r="AJ17" i="24"/>
  <c r="AG382" i="23"/>
  <c r="AB389" i="23"/>
  <c r="AG383" i="23"/>
  <c r="AB377" i="23"/>
  <c r="V362" i="23"/>
  <c r="AH358" i="23"/>
  <c r="AI333" i="23"/>
  <c r="AB327" i="23"/>
  <c r="AC327" i="23"/>
  <c r="AH327" i="23"/>
  <c r="V358" i="23"/>
  <c r="P404" i="23"/>
  <c r="P413" i="23" s="1"/>
  <c r="AH342" i="23"/>
  <c r="AB338" i="23"/>
  <c r="AF338" i="23"/>
  <c r="AI338" i="23"/>
  <c r="AE330" i="23"/>
  <c r="AB329" i="23"/>
  <c r="AE329" i="23"/>
  <c r="AJ326" i="23"/>
  <c r="AG381" i="23"/>
  <c r="V373" i="23"/>
  <c r="V369" i="23"/>
  <c r="V365" i="23"/>
  <c r="AB362" i="23"/>
  <c r="N404" i="23"/>
  <c r="N413" i="23" s="1"/>
  <c r="AA343" i="23"/>
  <c r="AG343" i="23"/>
  <c r="AD336" i="23"/>
  <c r="AC336" i="23"/>
  <c r="AE336" i="23"/>
  <c r="V318" i="23"/>
  <c r="AI316" i="23"/>
  <c r="AJ308" i="23"/>
  <c r="AJ292" i="23"/>
  <c r="AJ284" i="23"/>
  <c r="AD373" i="23"/>
  <c r="V370" i="23"/>
  <c r="AH362" i="23"/>
  <c r="AD357" i="23"/>
  <c r="AI339" i="23"/>
  <c r="AC339" i="23"/>
  <c r="AI334" i="23"/>
  <c r="Y334" i="23"/>
  <c r="AG357" i="23"/>
  <c r="AC317" i="23"/>
  <c r="AB312" i="23"/>
  <c r="AE312" i="23"/>
  <c r="AB299" i="23"/>
  <c r="AG298" i="23"/>
  <c r="AD298" i="23"/>
  <c r="AC298" i="23"/>
  <c r="AH297" i="23"/>
  <c r="AE276" i="23"/>
  <c r="AG369" i="23"/>
  <c r="AG338" i="23"/>
  <c r="AF310" i="23"/>
  <c r="AE310" i="23"/>
  <c r="AF299" i="23"/>
  <c r="AG297" i="23"/>
  <c r="AH280" i="23"/>
  <c r="AE279" i="23"/>
  <c r="AH276" i="23"/>
  <c r="AE275" i="23"/>
  <c r="AH272" i="23"/>
  <c r="AJ261" i="23"/>
  <c r="AG365" i="23"/>
  <c r="AA344" i="23"/>
  <c r="V314" i="23"/>
  <c r="AD310" i="23"/>
  <c r="AD299" i="23"/>
  <c r="AG280" i="23"/>
  <c r="V277" i="23"/>
  <c r="AG313" i="23"/>
  <c r="AI313" i="23"/>
  <c r="V312" i="23"/>
  <c r="AE295" i="23"/>
  <c r="AH295" i="23"/>
  <c r="AG279" i="23"/>
  <c r="AF276" i="23"/>
  <c r="AC275" i="23"/>
  <c r="AF272" i="23"/>
  <c r="Q346" i="23"/>
  <c r="V267" i="23"/>
  <c r="Z238" i="23"/>
  <c r="V238" i="23"/>
  <c r="Z230" i="23"/>
  <c r="V230" i="23"/>
  <c r="Z222" i="23"/>
  <c r="V222" i="23"/>
  <c r="Z214" i="23"/>
  <c r="V214" i="23"/>
  <c r="Z206" i="23"/>
  <c r="V206" i="23"/>
  <c r="Z198" i="23"/>
  <c r="V198" i="23"/>
  <c r="Z190" i="23"/>
  <c r="V190" i="23"/>
  <c r="Z182" i="23"/>
  <c r="V182" i="23"/>
  <c r="Z166" i="23"/>
  <c r="V166" i="23"/>
  <c r="Z99" i="23"/>
  <c r="V99" i="23"/>
  <c r="V97" i="23"/>
  <c r="AG309" i="23"/>
  <c r="AA239" i="23"/>
  <c r="V239" i="23"/>
  <c r="AE377" i="23"/>
  <c r="AC375" i="23"/>
  <c r="AE375" i="23"/>
  <c r="AI374" i="23"/>
  <c r="AE369" i="23"/>
  <c r="AC367" i="23"/>
  <c r="AE367" i="23"/>
  <c r="AD366" i="23"/>
  <c r="AI366" i="23"/>
  <c r="AE361" i="23"/>
  <c r="AC359" i="23"/>
  <c r="AE359" i="23"/>
  <c r="AD358" i="23"/>
  <c r="AI358" i="23"/>
  <c r="AE342" i="23"/>
  <c r="AF330" i="23"/>
  <c r="AH330" i="23"/>
  <c r="AJ318" i="23"/>
  <c r="V420" i="23"/>
  <c r="AB398" i="23"/>
  <c r="AB393" i="23"/>
  <c r="AH389" i="23"/>
  <c r="AH381" i="23"/>
  <c r="AH377" i="23"/>
  <c r="AH373" i="23"/>
  <c r="AH369" i="23"/>
  <c r="AH365" i="23"/>
  <c r="AC31" i="24"/>
  <c r="AC19" i="24"/>
  <c r="AG387" i="23"/>
  <c r="AB373" i="23"/>
  <c r="AJ373" i="23" s="1"/>
  <c r="AF363" i="23"/>
  <c r="AH361" i="23"/>
  <c r="Q404" i="23"/>
  <c r="Q413" i="23" s="1"/>
  <c r="AD340" i="23"/>
  <c r="AI327" i="23"/>
  <c r="AF359" i="23"/>
  <c r="AH357" i="23"/>
  <c r="J404" i="23"/>
  <c r="J413" i="23" s="1"/>
  <c r="AC344" i="23"/>
  <c r="AB340" i="23"/>
  <c r="AG329" i="23"/>
  <c r="AI329" i="23"/>
  <c r="AF378" i="23"/>
  <c r="AD361" i="23"/>
  <c r="AB343" i="23"/>
  <c r="AF343" i="23"/>
  <c r="Y336" i="23"/>
  <c r="AH336" i="23"/>
  <c r="AI336" i="23"/>
  <c r="Y329" i="23"/>
  <c r="AB317" i="23"/>
  <c r="AG316" i="23"/>
  <c r="AB316" i="23"/>
  <c r="AC315" i="23"/>
  <c r="AD369" i="23"/>
  <c r="V366" i="23"/>
  <c r="AF340" i="23"/>
  <c r="AA339" i="23"/>
  <c r="AG339" i="23"/>
  <c r="AC334" i="23"/>
  <c r="AG317" i="23"/>
  <c r="AG312" i="23"/>
  <c r="AI312" i="23"/>
  <c r="AC297" i="23"/>
  <c r="AE280" i="23"/>
  <c r="AA276" i="23"/>
  <c r="AH333" i="23"/>
  <c r="AE313" i="23"/>
  <c r="AI310" i="23"/>
  <c r="AI346" i="23" s="1"/>
  <c r="V308" i="23"/>
  <c r="V303" i="23"/>
  <c r="AA299" i="23"/>
  <c r="AA297" i="23"/>
  <c r="AF294" i="23"/>
  <c r="AE294" i="23"/>
  <c r="AJ286" i="23"/>
  <c r="AD280" i="23"/>
  <c r="AA279" i="23"/>
  <c r="AD276" i="23"/>
  <c r="AA275" i="23"/>
  <c r="AD272" i="23"/>
  <c r="AB363" i="23"/>
  <c r="V317" i="23"/>
  <c r="AJ314" i="23"/>
  <c r="AE299" i="23"/>
  <c r="AH299" i="23"/>
  <c r="V294" i="23"/>
  <c r="AC280" i="23"/>
  <c r="AG276" i="23"/>
  <c r="V273" i="23"/>
  <c r="S346" i="23"/>
  <c r="AH338" i="23"/>
  <c r="AA313" i="23"/>
  <c r="AB309" i="23"/>
  <c r="AB302" i="23"/>
  <c r="AG302" i="23"/>
  <c r="AC299" i="23"/>
  <c r="AH294" i="23"/>
  <c r="AB293" i="23"/>
  <c r="AF280" i="23"/>
  <c r="AC279" i="23"/>
  <c r="AB276" i="23"/>
  <c r="AB272" i="23"/>
  <c r="Y241" i="23"/>
  <c r="V241" i="23"/>
  <c r="AG239" i="23"/>
  <c r="AI382" i="23"/>
  <c r="AI381" i="23"/>
  <c r="AI378" i="23"/>
  <c r="AJ378" i="23" s="1"/>
  <c r="AF377" i="23"/>
  <c r="AI377" i="23"/>
  <c r="AH375" i="23"/>
  <c r="AI375" i="23"/>
  <c r="AF369" i="23"/>
  <c r="AI369" i="23"/>
  <c r="AH367" i="23"/>
  <c r="AI367" i="23"/>
  <c r="AF361" i="23"/>
  <c r="AI361" i="23"/>
  <c r="AI359" i="23"/>
  <c r="AB397" i="23"/>
  <c r="AJ397" i="23" s="1"/>
  <c r="AA14" i="24"/>
  <c r="AG391" i="23"/>
  <c r="AG362" i="23"/>
  <c r="AJ360" i="23"/>
  <c r="L404" i="23"/>
  <c r="L413" i="23" s="1"/>
  <c r="V361" i="23"/>
  <c r="Y404" i="23"/>
  <c r="AE339" i="23"/>
  <c r="AA327" i="23"/>
  <c r="V357" i="23"/>
  <c r="Y343" i="23"/>
  <c r="AD339" i="23"/>
  <c r="AA317" i="23"/>
  <c r="AI317" i="23"/>
  <c r="AD315" i="23"/>
  <c r="AG315" i="23"/>
  <c r="AG370" i="23"/>
  <c r="AI343" i="23"/>
  <c r="Z339" i="23"/>
  <c r="AF339" i="23"/>
  <c r="AJ328" i="23"/>
  <c r="AB336" i="23"/>
  <c r="AA315" i="23"/>
  <c r="AB361" i="23"/>
  <c r="AD316" i="23"/>
  <c r="V298" i="23"/>
  <c r="V292" i="23"/>
  <c r="AH279" i="23"/>
  <c r="AD279" i="23"/>
  <c r="AF279" i="23"/>
  <c r="AD275" i="23"/>
  <c r="AF275" i="23"/>
  <c r="AH275" i="23"/>
  <c r="AF329" i="23"/>
  <c r="V316" i="23"/>
  <c r="AD312" i="23"/>
  <c r="AH298" i="23"/>
  <c r="AB297" i="23"/>
  <c r="AD294" i="23"/>
  <c r="AC276" i="23"/>
  <c r="AG272" i="23"/>
  <c r="O346" i="23"/>
  <c r="AD313" i="23"/>
  <c r="AE309" i="23"/>
  <c r="AF309" i="23"/>
  <c r="AE293" i="23"/>
  <c r="AF293" i="23"/>
  <c r="AB280" i="23"/>
  <c r="Z242" i="23"/>
  <c r="V242" i="23"/>
  <c r="Z234" i="23"/>
  <c r="V234" i="23"/>
  <c r="Z226" i="23"/>
  <c r="AJ226" i="23" s="1"/>
  <c r="L78" i="17" s="1"/>
  <c r="M78" i="17" s="1"/>
  <c r="F63" i="7" s="1"/>
  <c r="O63" i="7" s="1"/>
  <c r="V226" i="23"/>
  <c r="Z218" i="23"/>
  <c r="V218" i="23"/>
  <c r="Z210" i="23"/>
  <c r="V210" i="23"/>
  <c r="Z202" i="23"/>
  <c r="V202" i="23"/>
  <c r="Z194" i="23"/>
  <c r="V194" i="23"/>
  <c r="Z186" i="23"/>
  <c r="V186" i="23"/>
  <c r="Z178" i="23"/>
  <c r="V178" i="23"/>
  <c r="Z100" i="23"/>
  <c r="AJ100" i="23" s="1"/>
  <c r="V100" i="23"/>
  <c r="Z98" i="23"/>
  <c r="AJ98" i="23" s="1"/>
  <c r="V98" i="23"/>
  <c r="AB298" i="23"/>
  <c r="AJ298" i="23" s="1"/>
  <c r="AB239" i="23"/>
  <c r="AF207" i="23"/>
  <c r="AC207" i="23"/>
  <c r="AH207" i="23"/>
  <c r="Y193" i="23"/>
  <c r="V193" i="23"/>
  <c r="AD171" i="23"/>
  <c r="AA171" i="23"/>
  <c r="AE171" i="23"/>
  <c r="AF163" i="23"/>
  <c r="AD163" i="23"/>
  <c r="AC163" i="23"/>
  <c r="AA151" i="23"/>
  <c r="AF147" i="23"/>
  <c r="AC147" i="23"/>
  <c r="AD147" i="23"/>
  <c r="AH135" i="23"/>
  <c r="AF135" i="23"/>
  <c r="AC135" i="23"/>
  <c r="AF127" i="23"/>
  <c r="AC127" i="23"/>
  <c r="AH119" i="23"/>
  <c r="AF119" i="23"/>
  <c r="AC119" i="23"/>
  <c r="AG115" i="23"/>
  <c r="R257" i="23"/>
  <c r="AF171" i="23"/>
  <c r="AA162" i="23"/>
  <c r="AG154" i="23"/>
  <c r="AI154" i="23"/>
  <c r="AE150" i="23"/>
  <c r="AA146" i="23"/>
  <c r="V249" i="23"/>
  <c r="AB246" i="23"/>
  <c r="AB237" i="23"/>
  <c r="AB229" i="23"/>
  <c r="AB221" i="23"/>
  <c r="AB175" i="23"/>
  <c r="AA252" i="23"/>
  <c r="AF246" i="23"/>
  <c r="AF237" i="23"/>
  <c r="AG237" i="23"/>
  <c r="AB236" i="23"/>
  <c r="AC229" i="23"/>
  <c r="AB227" i="23"/>
  <c r="AI227" i="23"/>
  <c r="AF221" i="23"/>
  <c r="AG221" i="23"/>
  <c r="AB220" i="23"/>
  <c r="AE252" i="23"/>
  <c r="AH252" i="23"/>
  <c r="AE248" i="23"/>
  <c r="AH248" i="23"/>
  <c r="AF167" i="23"/>
  <c r="AC167" i="23"/>
  <c r="AH160" i="23"/>
  <c r="AB160" i="23"/>
  <c r="AD159" i="23"/>
  <c r="AD152" i="23"/>
  <c r="AA152" i="23"/>
  <c r="AF150" i="23"/>
  <c r="AD115" i="23"/>
  <c r="V90" i="23"/>
  <c r="AH90" i="23"/>
  <c r="AD78" i="23"/>
  <c r="AG74" i="23"/>
  <c r="AA74" i="23"/>
  <c r="AE71" i="23"/>
  <c r="AH67" i="23"/>
  <c r="AG67" i="23"/>
  <c r="AC62" i="23"/>
  <c r="AG50" i="23"/>
  <c r="AD50" i="23"/>
  <c r="AE50" i="23"/>
  <c r="AI34" i="23"/>
  <c r="AD34" i="23"/>
  <c r="AG34" i="23"/>
  <c r="AE34" i="23"/>
  <c r="AB50" i="23"/>
  <c r="AA38" i="23"/>
  <c r="AA34" i="23"/>
  <c r="AG30" i="23"/>
  <c r="AB26" i="23"/>
  <c r="AB22" i="23"/>
  <c r="AC17" i="23"/>
  <c r="AF14" i="23"/>
  <c r="AH127" i="23"/>
  <c r="AB49" i="23"/>
  <c r="AC212" i="23"/>
  <c r="AI212" i="23"/>
  <c r="AD207" i="23"/>
  <c r="AC196" i="23"/>
  <c r="AI196" i="23"/>
  <c r="AC180" i="23"/>
  <c r="AI180" i="23"/>
  <c r="AD175" i="23"/>
  <c r="AI171" i="23"/>
  <c r="AE167" i="23"/>
  <c r="AA153" i="23"/>
  <c r="V151" i="23"/>
  <c r="AF145" i="23"/>
  <c r="AB145" i="23"/>
  <c r="AA138" i="23"/>
  <c r="AG132" i="23"/>
  <c r="AB132" i="23"/>
  <c r="AH132" i="23"/>
  <c r="V131" i="23"/>
  <c r="AH129" i="23"/>
  <c r="AG129" i="23"/>
  <c r="AA128" i="23"/>
  <c r="AB126" i="23"/>
  <c r="AG126" i="23"/>
  <c r="AC125" i="23"/>
  <c r="AA125" i="23"/>
  <c r="AA122" i="23"/>
  <c r="AG116" i="23"/>
  <c r="AB116" i="23"/>
  <c r="AH116" i="23"/>
  <c r="V115" i="23"/>
  <c r="AG113" i="23"/>
  <c r="AB113" i="23"/>
  <c r="AF80" i="23"/>
  <c r="AI79" i="23"/>
  <c r="AI78" i="23"/>
  <c r="AI76" i="23"/>
  <c r="AG76" i="23"/>
  <c r="AB76" i="23"/>
  <c r="AD75" i="23"/>
  <c r="AF75" i="23"/>
  <c r="AE74" i="23"/>
  <c r="AB71" i="23"/>
  <c r="AF70" i="23"/>
  <c r="AC67" i="23"/>
  <c r="AC66" i="23"/>
  <c r="AB66" i="23"/>
  <c r="AH61" i="23"/>
  <c r="AE61" i="23"/>
  <c r="AB58" i="23"/>
  <c r="AF231" i="23"/>
  <c r="AC231" i="23"/>
  <c r="AA207" i="23"/>
  <c r="V207" i="23"/>
  <c r="AF199" i="23"/>
  <c r="AD199" i="23"/>
  <c r="AA163" i="23"/>
  <c r="V163" i="23"/>
  <c r="AF159" i="23"/>
  <c r="AH159" i="23"/>
  <c r="AG151" i="23"/>
  <c r="AE151" i="23"/>
  <c r="AA147" i="23"/>
  <c r="V147" i="23"/>
  <c r="AF143" i="23"/>
  <c r="AH143" i="23"/>
  <c r="AA135" i="23"/>
  <c r="AA127" i="23"/>
  <c r="AA119" i="23"/>
  <c r="AB115" i="23"/>
  <c r="M257" i="23"/>
  <c r="AG171" i="23"/>
  <c r="AE162" i="23"/>
  <c r="AB154" i="23"/>
  <c r="AD154" i="23"/>
  <c r="AF154" i="23"/>
  <c r="AE146" i="23"/>
  <c r="AG250" i="23"/>
  <c r="V247" i="23"/>
  <c r="V233" i="23"/>
  <c r="V225" i="23"/>
  <c r="AG175" i="23"/>
  <c r="AF175" i="23"/>
  <c r="AF248" i="23"/>
  <c r="AA246" i="23"/>
  <c r="AA237" i="23"/>
  <c r="AG236" i="23"/>
  <c r="AF236" i="23"/>
  <c r="AF229" i="23"/>
  <c r="AG229" i="23"/>
  <c r="AB228" i="23"/>
  <c r="AA221" i="23"/>
  <c r="AG220" i="23"/>
  <c r="AF220" i="23"/>
  <c r="AD250" i="23"/>
  <c r="AD246" i="23"/>
  <c r="V215" i="23"/>
  <c r="V183" i="23"/>
  <c r="AE175" i="23"/>
  <c r="AD167" i="23"/>
  <c r="AG167" i="23"/>
  <c r="AH163" i="23"/>
  <c r="Y160" i="23"/>
  <c r="V160" i="23"/>
  <c r="AF158" i="23"/>
  <c r="AD135" i="23"/>
  <c r="AD119" i="23"/>
  <c r="AG78" i="23"/>
  <c r="AH78" i="23"/>
  <c r="AA78" i="23"/>
  <c r="AH71" i="23"/>
  <c r="AA71" i="23"/>
  <c r="AG71" i="23"/>
  <c r="AE62" i="23"/>
  <c r="AD62" i="23"/>
  <c r="AI62" i="23"/>
  <c r="AH54" i="23"/>
  <c r="AD46" i="23"/>
  <c r="AI46" i="23"/>
  <c r="AH38" i="23"/>
  <c r="AA30" i="23"/>
  <c r="AD30" i="23"/>
  <c r="AE30" i="23"/>
  <c r="AH22" i="23"/>
  <c r="AG14" i="23"/>
  <c r="AE14" i="23"/>
  <c r="AD14" i="23"/>
  <c r="AB54" i="23"/>
  <c r="AF50" i="23"/>
  <c r="AG46" i="23"/>
  <c r="AB42" i="23"/>
  <c r="AH37" i="23"/>
  <c r="AF26" i="23"/>
  <c r="AF22" i="23"/>
  <c r="AA14" i="23"/>
  <c r="P84" i="23"/>
  <c r="AA67" i="23"/>
  <c r="AG49" i="23"/>
  <c r="AF49" i="23"/>
  <c r="AI50" i="23"/>
  <c r="AI18" i="23"/>
  <c r="AH212" i="23"/>
  <c r="AH196" i="23"/>
  <c r="AC189" i="23"/>
  <c r="AI187" i="23"/>
  <c r="AH180" i="23"/>
  <c r="AG170" i="23"/>
  <c r="AB170" i="23"/>
  <c r="AD161" i="23"/>
  <c r="AI161" i="23"/>
  <c r="AD158" i="23"/>
  <c r="AG153" i="23"/>
  <c r="AE153" i="23"/>
  <c r="AA145" i="23"/>
  <c r="AC138" i="23"/>
  <c r="AE138" i="23"/>
  <c r="AD137" i="23"/>
  <c r="AI137" i="23"/>
  <c r="AH136" i="23"/>
  <c r="AG136" i="23"/>
  <c r="AB136" i="23"/>
  <c r="V135" i="23"/>
  <c r="AI134" i="23"/>
  <c r="AG133" i="23"/>
  <c r="AH133" i="23"/>
  <c r="AC132" i="23"/>
  <c r="AA132" i="23"/>
  <c r="AB130" i="23"/>
  <c r="AG130" i="23"/>
  <c r="AC129" i="23"/>
  <c r="AA129" i="23"/>
  <c r="AE128" i="23"/>
  <c r="AA126" i="23"/>
  <c r="AE125" i="23"/>
  <c r="AI124" i="23"/>
  <c r="AC122" i="23"/>
  <c r="AE122" i="23"/>
  <c r="AD121" i="23"/>
  <c r="AI121" i="23"/>
  <c r="AG120" i="23"/>
  <c r="AB120" i="23"/>
  <c r="V119" i="23"/>
  <c r="AH118" i="23"/>
  <c r="AI118" i="23"/>
  <c r="AH117" i="23"/>
  <c r="AG117" i="23"/>
  <c r="AC116" i="23"/>
  <c r="AA116" i="23"/>
  <c r="AB114" i="23"/>
  <c r="AG114" i="23"/>
  <c r="AH92" i="23"/>
  <c r="AH80" i="23"/>
  <c r="AC79" i="23"/>
  <c r="AC78" i="23"/>
  <c r="AB78" i="23"/>
  <c r="AC76" i="23"/>
  <c r="AF76" i="23"/>
  <c r="AI75" i="23"/>
  <c r="AI74" i="23"/>
  <c r="AG72" i="23"/>
  <c r="AA72" i="23"/>
  <c r="AI72" i="23"/>
  <c r="AB72" i="23"/>
  <c r="AD71" i="23"/>
  <c r="AF71" i="23"/>
  <c r="AE70" i="23"/>
  <c r="AD68" i="23"/>
  <c r="AB67" i="23"/>
  <c r="AE239" i="23"/>
  <c r="AA231" i="23"/>
  <c r="AF223" i="23"/>
  <c r="AC223" i="23"/>
  <c r="AH223" i="23"/>
  <c r="AB215" i="23"/>
  <c r="AI215" i="23"/>
  <c r="Y209" i="23"/>
  <c r="V209" i="23"/>
  <c r="AG207" i="23"/>
  <c r="AE207" i="23"/>
  <c r="AA199" i="23"/>
  <c r="AF191" i="23"/>
  <c r="AH191" i="23"/>
  <c r="AC191" i="23"/>
  <c r="AB183" i="23"/>
  <c r="AI183" i="23"/>
  <c r="Y177" i="23"/>
  <c r="V177" i="23"/>
  <c r="AH175" i="23"/>
  <c r="AH171" i="23"/>
  <c r="AG163" i="23"/>
  <c r="AE163" i="23"/>
  <c r="AA159" i="23"/>
  <c r="AF155" i="23"/>
  <c r="AD155" i="23"/>
  <c r="AC155" i="23"/>
  <c r="AB151" i="23"/>
  <c r="AI151" i="23"/>
  <c r="AG147" i="23"/>
  <c r="AE147" i="23"/>
  <c r="AA143" i="23"/>
  <c r="AF139" i="23"/>
  <c r="AC139" i="23"/>
  <c r="AD139" i="23"/>
  <c r="AG135" i="23"/>
  <c r="AE135" i="23"/>
  <c r="AC131" i="23"/>
  <c r="AF131" i="23"/>
  <c r="AH131" i="23"/>
  <c r="AG127" i="23"/>
  <c r="AE127" i="23"/>
  <c r="AC123" i="23"/>
  <c r="AH123" i="23"/>
  <c r="AF123" i="23"/>
  <c r="AG119" i="23"/>
  <c r="AE119" i="23"/>
  <c r="AC115" i="23"/>
  <c r="AF115" i="23"/>
  <c r="AG162" i="23"/>
  <c r="AI162" i="23"/>
  <c r="AE158" i="23"/>
  <c r="AA154" i="23"/>
  <c r="AB146" i="23"/>
  <c r="AI146" i="23"/>
  <c r="AB250" i="23"/>
  <c r="AG248" i="23"/>
  <c r="V245" i="23"/>
  <c r="AA175" i="23"/>
  <c r="AF250" i="23"/>
  <c r="AA248" i="23"/>
  <c r="AA236" i="23"/>
  <c r="V231" i="23"/>
  <c r="AA229" i="23"/>
  <c r="AG228" i="23"/>
  <c r="AF228" i="23"/>
  <c r="AA227" i="23"/>
  <c r="AA220" i="23"/>
  <c r="AE250" i="23"/>
  <c r="AH250" i="23"/>
  <c r="AE246" i="23"/>
  <c r="AH246" i="23"/>
  <c r="AH231" i="23"/>
  <c r="V217" i="23"/>
  <c r="V201" i="23"/>
  <c r="AC199" i="23"/>
  <c r="V185" i="23"/>
  <c r="AH167" i="23"/>
  <c r="AI167" i="23"/>
  <c r="AL167" i="23" s="1"/>
  <c r="AG152" i="23"/>
  <c r="AF152" i="23"/>
  <c r="AI152" i="23"/>
  <c r="Y144" i="23"/>
  <c r="V144" i="23"/>
  <c r="AH144" i="23"/>
  <c r="AB144" i="23"/>
  <c r="AD143" i="23"/>
  <c r="AH139" i="23"/>
  <c r="AD123" i="23"/>
  <c r="AA90" i="23"/>
  <c r="AI90" i="23"/>
  <c r="AE90" i="23"/>
  <c r="AC90" i="23"/>
  <c r="AE92" i="23"/>
  <c r="AI92" i="23"/>
  <c r="AE79" i="23"/>
  <c r="AH75" i="23"/>
  <c r="AA75" i="23"/>
  <c r="AG75" i="23"/>
  <c r="AD70" i="23"/>
  <c r="AG66" i="23"/>
  <c r="AH66" i="23"/>
  <c r="AA66" i="23"/>
  <c r="AD58" i="23"/>
  <c r="AI58" i="23"/>
  <c r="AC54" i="23"/>
  <c r="AH50" i="23"/>
  <c r="AD42" i="23"/>
  <c r="AE42" i="23"/>
  <c r="AA42" i="23"/>
  <c r="AI42" i="23"/>
  <c r="AC38" i="23"/>
  <c r="AH34" i="23"/>
  <c r="AD26" i="23"/>
  <c r="AG26" i="23"/>
  <c r="AI26" i="23"/>
  <c r="AC22" i="23"/>
  <c r="AH18" i="23"/>
  <c r="Z12" i="23"/>
  <c r="K84" i="23"/>
  <c r="AF54" i="23"/>
  <c r="AA50" i="23"/>
  <c r="AH45" i="23"/>
  <c r="AF42" i="23"/>
  <c r="AC37" i="23"/>
  <c r="AB34" i="23"/>
  <c r="AB30" i="23"/>
  <c r="AA26" i="23"/>
  <c r="AG22" i="23"/>
  <c r="AA18" i="23"/>
  <c r="AD12" i="23"/>
  <c r="O84" i="23"/>
  <c r="S257" i="23"/>
  <c r="P92" i="23"/>
  <c r="AH74" i="23"/>
  <c r="AA49" i="23"/>
  <c r="AH48" i="23"/>
  <c r="AE46" i="23"/>
  <c r="AH20" i="23"/>
  <c r="AE18" i="23"/>
  <c r="AE49" i="23"/>
  <c r="AI30" i="23"/>
  <c r="AI14" i="23"/>
  <c r="V223" i="23"/>
  <c r="AG212" i="23"/>
  <c r="AB212" i="23"/>
  <c r="AA205" i="23"/>
  <c r="AE205" i="23"/>
  <c r="AD205" i="23"/>
  <c r="AG205" i="23"/>
  <c r="AF203" i="23"/>
  <c r="AB203" i="23"/>
  <c r="AG196" i="23"/>
  <c r="AB196" i="23"/>
  <c r="AA189" i="23"/>
  <c r="AE189" i="23"/>
  <c r="AD189" i="23"/>
  <c r="AG189" i="23"/>
  <c r="AF187" i="23"/>
  <c r="AB187" i="23"/>
  <c r="AG180" i="23"/>
  <c r="AB180" i="23"/>
  <c r="AH173" i="23"/>
  <c r="AA170" i="23"/>
  <c r="AE170" i="23"/>
  <c r="AD170" i="23"/>
  <c r="AF170" i="23"/>
  <c r="AF161" i="23"/>
  <c r="AB161" i="23"/>
  <c r="AC160" i="23"/>
  <c r="AC153" i="23"/>
  <c r="AD153" i="23"/>
  <c r="AI153" i="23"/>
  <c r="AD150" i="23"/>
  <c r="AG145" i="23"/>
  <c r="AE145" i="23"/>
  <c r="AC143" i="23"/>
  <c r="AH138" i="23"/>
  <c r="AI138" i="23"/>
  <c r="AB137" i="23"/>
  <c r="AG137" i="23"/>
  <c r="AH137" i="23"/>
  <c r="AB134" i="23"/>
  <c r="AG134" i="23"/>
  <c r="AE132" i="23"/>
  <c r="AA130" i="23"/>
  <c r="AE129" i="23"/>
  <c r="AF128" i="23"/>
  <c r="AI128" i="23"/>
  <c r="AC126" i="23"/>
  <c r="AE126" i="23"/>
  <c r="AD125" i="23"/>
  <c r="AI125" i="23"/>
  <c r="AG124" i="23"/>
  <c r="AB124" i="23"/>
  <c r="AH124" i="23"/>
  <c r="V123" i="23"/>
  <c r="AH122" i="23"/>
  <c r="AI122" i="23"/>
  <c r="AB121" i="23"/>
  <c r="AG121" i="23"/>
  <c r="AH121" i="23"/>
  <c r="AB118" i="23"/>
  <c r="AG118" i="23"/>
  <c r="Z116" i="23"/>
  <c r="Z257" i="23" s="1"/>
  <c r="K257" i="23"/>
  <c r="AE116" i="23"/>
  <c r="O92" i="23"/>
  <c r="S92" i="23"/>
  <c r="AD80" i="23"/>
  <c r="AB79" i="23"/>
  <c r="AF78" i="23"/>
  <c r="AH76" i="23"/>
  <c r="AC75" i="23"/>
  <c r="AC74" i="23"/>
  <c r="AB74" i="23"/>
  <c r="AI71" i="23"/>
  <c r="AI70" i="23"/>
  <c r="AG68" i="23"/>
  <c r="AA68" i="23"/>
  <c r="AB68" i="23"/>
  <c r="AD67" i="23"/>
  <c r="AF67" i="23"/>
  <c r="AE66" i="23"/>
  <c r="AG62" i="23"/>
  <c r="AF62" i="23"/>
  <c r="AI239" i="23"/>
  <c r="AG231" i="23"/>
  <c r="AE231" i="23"/>
  <c r="AF215" i="23"/>
  <c r="AD215" i="23"/>
  <c r="AB207" i="23"/>
  <c r="AI207" i="23"/>
  <c r="AG199" i="23"/>
  <c r="AE199" i="23"/>
  <c r="AF183" i="23"/>
  <c r="AD183" i="23"/>
  <c r="AI163" i="23"/>
  <c r="AA155" i="23"/>
  <c r="V155" i="23"/>
  <c r="AF151" i="23"/>
  <c r="AH151" i="23"/>
  <c r="AA139" i="23"/>
  <c r="V139" i="23"/>
  <c r="AB171" i="23"/>
  <c r="AF162" i="23"/>
  <c r="AB162" i="23"/>
  <c r="AD162" i="23"/>
  <c r="AD146" i="23"/>
  <c r="AG146" i="23"/>
  <c r="AF146" i="23"/>
  <c r="AF252" i="23"/>
  <c r="AA250" i="23"/>
  <c r="AC237" i="23"/>
  <c r="AD231" i="23"/>
  <c r="AA228" i="23"/>
  <c r="AD223" i="23"/>
  <c r="AC221" i="23"/>
  <c r="AD252" i="23"/>
  <c r="AD248" i="23"/>
  <c r="Y152" i="23"/>
  <c r="V152" i="23"/>
  <c r="AB152" i="23"/>
  <c r="AH152" i="23"/>
  <c r="AD151" i="23"/>
  <c r="AH147" i="23"/>
  <c r="AF142" i="23"/>
  <c r="AD127" i="23"/>
  <c r="Y88" i="23"/>
  <c r="V88" i="23"/>
  <c r="T92" i="23"/>
  <c r="AH79" i="23"/>
  <c r="AG79" i="23"/>
  <c r="AG70" i="23"/>
  <c r="AH70" i="23"/>
  <c r="AI54" i="23"/>
  <c r="AG54" i="23"/>
  <c r="AD54" i="23"/>
  <c r="AE54" i="23"/>
  <c r="AD38" i="23"/>
  <c r="AI38" i="23"/>
  <c r="AI84" i="23" s="1"/>
  <c r="AA22" i="23"/>
  <c r="AE22" i="23"/>
  <c r="AD22" i="23"/>
  <c r="AG42" i="23"/>
  <c r="AG38" i="23"/>
  <c r="AF34" i="23"/>
  <c r="AF30" i="23"/>
  <c r="AB14" i="23"/>
  <c r="AB101" i="23"/>
  <c r="AA70" i="23"/>
  <c r="AE38" i="23"/>
  <c r="AH215" i="23"/>
  <c r="AD212" i="23"/>
  <c r="AF212" i="23"/>
  <c r="AH199" i="23"/>
  <c r="AE196" i="23"/>
  <c r="AA196" i="23"/>
  <c r="AD196" i="23"/>
  <c r="AF196" i="23"/>
  <c r="AH183" i="23"/>
  <c r="AE180" i="23"/>
  <c r="AA180" i="23"/>
  <c r="AD180" i="23"/>
  <c r="AF180" i="23"/>
  <c r="V159" i="23"/>
  <c r="AB153" i="23"/>
  <c r="AF153" i="23"/>
  <c r="AC152" i="23"/>
  <c r="AD142" i="23"/>
  <c r="AB138" i="23"/>
  <c r="AG138" i="23"/>
  <c r="AI129" i="23"/>
  <c r="AG128" i="23"/>
  <c r="AH128" i="23"/>
  <c r="AB128" i="23"/>
  <c r="V127" i="23"/>
  <c r="AG125" i="23"/>
  <c r="AB125" i="23"/>
  <c r="AB122" i="23"/>
  <c r="AG122" i="23"/>
  <c r="J84" i="23"/>
  <c r="AG80" i="23"/>
  <c r="AA80" i="23"/>
  <c r="AB80" i="23"/>
  <c r="AD79" i="23"/>
  <c r="AF79" i="23"/>
  <c r="AE78" i="23"/>
  <c r="AD76" i="23"/>
  <c r="AB75" i="23"/>
  <c r="AF74" i="23"/>
  <c r="AC71" i="23"/>
  <c r="AC70" i="23"/>
  <c r="AB70" i="23"/>
  <c r="AC68" i="23"/>
  <c r="AF68" i="23"/>
  <c r="AI67" i="23"/>
  <c r="AI66" i="23"/>
  <c r="AB64" i="23"/>
  <c r="AA62" i="23"/>
  <c r="AC61" i="23"/>
  <c r="AC57" i="23"/>
  <c r="AC53" i="23"/>
  <c r="AD48" i="23"/>
  <c r="AB46" i="23"/>
  <c r="AC41" i="23"/>
  <c r="AH33" i="23"/>
  <c r="AG18" i="23"/>
  <c r="Y85" i="23"/>
  <c r="AA57" i="23"/>
  <c r="AH56" i="23"/>
  <c r="AB45" i="23"/>
  <c r="AA41" i="23"/>
  <c r="AH40" i="23"/>
  <c r="AG33" i="23"/>
  <c r="AF33" i="23"/>
  <c r="AA17" i="23"/>
  <c r="AH16" i="23"/>
  <c r="AG60" i="23"/>
  <c r="AF60" i="23"/>
  <c r="AB28" i="23"/>
  <c r="AA20" i="23"/>
  <c r="AG16" i="23"/>
  <c r="AF16" i="23"/>
  <c r="AG173" i="23"/>
  <c r="AF173" i="23"/>
  <c r="AG164" i="23"/>
  <c r="AF164" i="23"/>
  <c r="AI164" i="23"/>
  <c r="AA156" i="23"/>
  <c r="AG148" i="23"/>
  <c r="AF148" i="23"/>
  <c r="AI148" i="23"/>
  <c r="AD140" i="23"/>
  <c r="AA140" i="23"/>
  <c r="AG53" i="23"/>
  <c r="AF53" i="23"/>
  <c r="AB37" i="23"/>
  <c r="AA13" i="23"/>
  <c r="AC12" i="23"/>
  <c r="AA48" i="23"/>
  <c r="AD213" i="23"/>
  <c r="AG213" i="23"/>
  <c r="AD204" i="23"/>
  <c r="AF204" i="23"/>
  <c r="AD197" i="23"/>
  <c r="AG197" i="23"/>
  <c r="AA195" i="23"/>
  <c r="AC188" i="23"/>
  <c r="AI188" i="23"/>
  <c r="AI181" i="23"/>
  <c r="AC174" i="23"/>
  <c r="AD174" i="23"/>
  <c r="AF174" i="23"/>
  <c r="AA165" i="23"/>
  <c r="AD149" i="23"/>
  <c r="AI149" i="23"/>
  <c r="AB56" i="23"/>
  <c r="AA32" i="23"/>
  <c r="AH21" i="23"/>
  <c r="AH85" i="23" s="1"/>
  <c r="AH86" i="23" s="1"/>
  <c r="AF46" i="23"/>
  <c r="AC33" i="23"/>
  <c r="AG45" i="23"/>
  <c r="AF45" i="23"/>
  <c r="AA33" i="23"/>
  <c r="AA60" i="23"/>
  <c r="AG28" i="23"/>
  <c r="AF28" i="23"/>
  <c r="AA16" i="23"/>
  <c r="AE173" i="23"/>
  <c r="AJ99" i="23"/>
  <c r="AA53" i="23"/>
  <c r="AG37" i="23"/>
  <c r="AF37" i="23"/>
  <c r="AB25" i="23"/>
  <c r="AA212" i="23"/>
  <c r="AI174" i="23"/>
  <c r="AJ160" i="23"/>
  <c r="L95" i="17" s="1"/>
  <c r="AG56" i="23"/>
  <c r="AF56" i="23"/>
  <c r="AG64" i="23"/>
  <c r="AF66" i="23"/>
  <c r="AB62" i="23"/>
  <c r="AI60" i="23"/>
  <c r="AG58" i="23"/>
  <c r="AF58" i="23"/>
  <c r="AA54" i="23"/>
  <c r="AA46" i="23"/>
  <c r="AB38" i="23"/>
  <c r="AB18" i="23"/>
  <c r="AB57" i="23"/>
  <c r="AA45" i="23"/>
  <c r="AB41" i="23"/>
  <c r="AC32" i="23"/>
  <c r="AB17" i="23"/>
  <c r="AA28" i="23"/>
  <c r="AB20" i="23"/>
  <c r="AI173" i="23"/>
  <c r="AA164" i="23"/>
  <c r="AD148" i="23"/>
  <c r="AA148" i="23"/>
  <c r="AI140" i="23"/>
  <c r="AA37" i="23"/>
  <c r="AC36" i="23"/>
  <c r="AG25" i="23"/>
  <c r="AF25" i="23"/>
  <c r="AB13" i="23"/>
  <c r="AB48" i="23"/>
  <c r="AJ222" i="23"/>
  <c r="L74" i="17" s="1"/>
  <c r="M74" i="17" s="1"/>
  <c r="F51" i="7" s="1"/>
  <c r="O51" i="7" s="1"/>
  <c r="AH204" i="23"/>
  <c r="AH197" i="23"/>
  <c r="AD195" i="23"/>
  <c r="AI195" i="23"/>
  <c r="AG188" i="23"/>
  <c r="AB188" i="23"/>
  <c r="AF181" i="23"/>
  <c r="AC181" i="23"/>
  <c r="AH174" i="23"/>
  <c r="AD165" i="23"/>
  <c r="AI165" i="23"/>
  <c r="AG157" i="23"/>
  <c r="AE157" i="23"/>
  <c r="AC149" i="23"/>
  <c r="AA149" i="23"/>
  <c r="AA56" i="23"/>
  <c r="AB32" i="23"/>
  <c r="AD60" i="23"/>
  <c r="AA58" i="23"/>
  <c r="AH57" i="23"/>
  <c r="AH53" i="23"/>
  <c r="AC49" i="23"/>
  <c r="AH41" i="23"/>
  <c r="AF38" i="23"/>
  <c r="AD20" i="23"/>
  <c r="AF18" i="23"/>
  <c r="AG57" i="23"/>
  <c r="AF57" i="23"/>
  <c r="AG41" i="23"/>
  <c r="AF41" i="23"/>
  <c r="AB33" i="23"/>
  <c r="AG17" i="23"/>
  <c r="AF17" i="23"/>
  <c r="AB60" i="23"/>
  <c r="AG20" i="23"/>
  <c r="AF20" i="23"/>
  <c r="AB16" i="23"/>
  <c r="AD173" i="23"/>
  <c r="AB173" i="23"/>
  <c r="AJ166" i="23"/>
  <c r="L106" i="17" s="1"/>
  <c r="AE164" i="23"/>
  <c r="AE148" i="23"/>
  <c r="AG101" i="23"/>
  <c r="AB53" i="23"/>
  <c r="AA25" i="23"/>
  <c r="AG13" i="23"/>
  <c r="AG85" i="23" s="1"/>
  <c r="AF13" i="23"/>
  <c r="T84" i="23"/>
  <c r="T105" i="23" s="1"/>
  <c r="AG48" i="23"/>
  <c r="AF48" i="23"/>
  <c r="AB204" i="23"/>
  <c r="AC197" i="23"/>
  <c r="AD188" i="23"/>
  <c r="AF188" i="23"/>
  <c r="AD181" i="23"/>
  <c r="AG181" i="23"/>
  <c r="AG174" i="23"/>
  <c r="AB174" i="23"/>
  <c r="AI157" i="23"/>
  <c r="AG149" i="23"/>
  <c r="AE149" i="23"/>
  <c r="AJ144" i="23"/>
  <c r="L110" i="17" s="1"/>
  <c r="N84" i="23"/>
  <c r="AG32" i="23"/>
  <c r="AF32" i="23"/>
  <c r="S84" i="23"/>
  <c r="Y84" i="23"/>
  <c r="AB307" i="24"/>
  <c r="AH307" i="24"/>
  <c r="AH101" i="24"/>
  <c r="V92" i="24"/>
  <c r="AI404" i="23"/>
  <c r="AC346" i="23"/>
  <c r="AC307" i="24"/>
  <c r="AA307" i="24"/>
  <c r="AF307" i="24"/>
  <c r="AC101" i="24"/>
  <c r="AD101" i="24"/>
  <c r="AC404" i="23"/>
  <c r="AA85" i="24"/>
  <c r="AE85" i="24"/>
  <c r="AI85" i="23"/>
  <c r="AI86" i="23" s="1"/>
  <c r="AF404" i="23"/>
  <c r="V263" i="23"/>
  <c r="AD346" i="23"/>
  <c r="AE84" i="23"/>
  <c r="AB85" i="23"/>
  <c r="S105" i="23"/>
  <c r="J105" i="24"/>
  <c r="AA404" i="23"/>
  <c r="P105" i="23"/>
  <c r="V101" i="23"/>
  <c r="AC85" i="23"/>
  <c r="R328" i="24"/>
  <c r="AG324" i="24"/>
  <c r="J328" i="24"/>
  <c r="Y324" i="24"/>
  <c r="V314" i="24"/>
  <c r="X314" i="24"/>
  <c r="AJ314" i="24" s="1"/>
  <c r="P328" i="24"/>
  <c r="AE324" i="24"/>
  <c r="I328" i="24"/>
  <c r="X324" i="24"/>
  <c r="M328" i="24"/>
  <c r="AB324" i="24"/>
  <c r="Q328" i="24"/>
  <c r="AF324" i="24"/>
  <c r="Z324" i="24"/>
  <c r="K328" i="24"/>
  <c r="AD324" i="24"/>
  <c r="O328" i="24"/>
  <c r="AH324" i="24"/>
  <c r="S328" i="24"/>
  <c r="T328" i="24"/>
  <c r="AI324" i="24"/>
  <c r="L328" i="24"/>
  <c r="AA324" i="24"/>
  <c r="V315" i="24"/>
  <c r="X315" i="24"/>
  <c r="AJ315" i="24" s="1"/>
  <c r="V313" i="24"/>
  <c r="X313" i="24"/>
  <c r="AJ313" i="24" s="1"/>
  <c r="V311" i="24"/>
  <c r="X311" i="24"/>
  <c r="AJ311" i="24" s="1"/>
  <c r="X302" i="24"/>
  <c r="AJ302" i="24" s="1"/>
  <c r="V302" i="24"/>
  <c r="O316" i="24"/>
  <c r="AD310" i="24"/>
  <c r="X301" i="24"/>
  <c r="AJ301" i="24" s="1"/>
  <c r="V301" i="24"/>
  <c r="V296" i="24"/>
  <c r="X296" i="24"/>
  <c r="AJ296" i="24" s="1"/>
  <c r="J316" i="24"/>
  <c r="J319" i="24" s="1"/>
  <c r="Y310" i="24"/>
  <c r="AE310" i="24"/>
  <c r="P316" i="24"/>
  <c r="P319" i="24" s="1"/>
  <c r="K316" i="24"/>
  <c r="Z310" i="24"/>
  <c r="S316" i="24"/>
  <c r="S319" i="24" s="1"/>
  <c r="AH310" i="24"/>
  <c r="N316" i="24"/>
  <c r="N319" i="24" s="1"/>
  <c r="AC310" i="24"/>
  <c r="AI310" i="24"/>
  <c r="T316" i="24"/>
  <c r="T319" i="24" s="1"/>
  <c r="AA310" i="24"/>
  <c r="L316" i="24"/>
  <c r="L319" i="24" s="1"/>
  <c r="R316" i="24"/>
  <c r="R319" i="24" s="1"/>
  <c r="AG310" i="24"/>
  <c r="V310" i="24"/>
  <c r="I316" i="24"/>
  <c r="I319" i="24" s="1"/>
  <c r="X310" i="24"/>
  <c r="M316" i="24"/>
  <c r="M319" i="24" s="1"/>
  <c r="AB310" i="24"/>
  <c r="Q316" i="24"/>
  <c r="Q319" i="24" s="1"/>
  <c r="AF310" i="24"/>
  <c r="V295" i="24"/>
  <c r="X295" i="24"/>
  <c r="AJ295" i="24" s="1"/>
  <c r="V291" i="24"/>
  <c r="X291" i="24"/>
  <c r="AJ291" i="24" s="1"/>
  <c r="V287" i="24"/>
  <c r="X287" i="24"/>
  <c r="AJ287" i="24" s="1"/>
  <c r="V283" i="24"/>
  <c r="X283" i="24"/>
  <c r="AJ283" i="24" s="1"/>
  <c r="O307" i="24"/>
  <c r="AD269" i="24"/>
  <c r="AD307" i="24" s="1"/>
  <c r="K307" i="24"/>
  <c r="Z269" i="24"/>
  <c r="V297" i="24"/>
  <c r="X297" i="24"/>
  <c r="AJ297" i="24" s="1"/>
  <c r="R259" i="24"/>
  <c r="AG257" i="24"/>
  <c r="AA257" i="24"/>
  <c r="L259" i="24"/>
  <c r="V257" i="24"/>
  <c r="V259" i="24" s="1"/>
  <c r="X257" i="24"/>
  <c r="I259" i="24"/>
  <c r="M259" i="24"/>
  <c r="AB257" i="24"/>
  <c r="Q259" i="24"/>
  <c r="AF257" i="24"/>
  <c r="V294" i="24"/>
  <c r="X294" i="24"/>
  <c r="AJ294" i="24" s="1"/>
  <c r="V293" i="24"/>
  <c r="X293" i="24"/>
  <c r="AJ293" i="24" s="1"/>
  <c r="V292" i="24"/>
  <c r="X292" i="24"/>
  <c r="AJ292" i="24" s="1"/>
  <c r="V290" i="24"/>
  <c r="X290" i="24"/>
  <c r="AJ290" i="24" s="1"/>
  <c r="V289" i="24"/>
  <c r="X289" i="24"/>
  <c r="AJ289" i="24" s="1"/>
  <c r="V288" i="24"/>
  <c r="X288" i="24"/>
  <c r="AJ288" i="24" s="1"/>
  <c r="V286" i="24"/>
  <c r="X286" i="24"/>
  <c r="AJ286" i="24" s="1"/>
  <c r="V285" i="24"/>
  <c r="X285" i="24"/>
  <c r="AJ285" i="24" s="1"/>
  <c r="V284" i="24"/>
  <c r="X284" i="24"/>
  <c r="AJ284" i="24" s="1"/>
  <c r="V282" i="24"/>
  <c r="X282" i="24"/>
  <c r="AJ282" i="24" s="1"/>
  <c r="V281" i="24"/>
  <c r="X281" i="24"/>
  <c r="AJ281" i="24" s="1"/>
  <c r="AC250" i="24"/>
  <c r="N252" i="24"/>
  <c r="N262" i="24" s="1"/>
  <c r="J252" i="24"/>
  <c r="J262" i="24" s="1"/>
  <c r="Y250" i="24"/>
  <c r="AD250" i="24"/>
  <c r="O252" i="24"/>
  <c r="O262" i="24" s="1"/>
  <c r="T252" i="24"/>
  <c r="T262" i="24" s="1"/>
  <c r="AI250" i="24"/>
  <c r="V250" i="24"/>
  <c r="V252" i="24" s="1"/>
  <c r="X250" i="24"/>
  <c r="I252" i="24"/>
  <c r="AB250" i="24"/>
  <c r="M252" i="24"/>
  <c r="Q252" i="24"/>
  <c r="AF250" i="24"/>
  <c r="L252" i="24"/>
  <c r="AA250" i="24"/>
  <c r="AG250" i="24"/>
  <c r="R252" i="24"/>
  <c r="K252" i="24"/>
  <c r="Z250" i="24"/>
  <c r="X245" i="24"/>
  <c r="AJ245" i="24" s="1"/>
  <c r="V245" i="24"/>
  <c r="P252" i="24"/>
  <c r="P262" i="24" s="1"/>
  <c r="AE250" i="24"/>
  <c r="X244" i="24"/>
  <c r="AJ244" i="24" s="1"/>
  <c r="V244" i="24"/>
  <c r="X240" i="24"/>
  <c r="AJ240" i="24" s="1"/>
  <c r="V240" i="24"/>
  <c r="Y230" i="24"/>
  <c r="AJ230" i="24" s="1"/>
  <c r="V230" i="24"/>
  <c r="X236" i="24"/>
  <c r="AJ236" i="24" s="1"/>
  <c r="V236" i="24"/>
  <c r="X232" i="24"/>
  <c r="AJ232" i="24" s="1"/>
  <c r="V232" i="24"/>
  <c r="X228" i="24"/>
  <c r="AJ228" i="24" s="1"/>
  <c r="V228" i="24"/>
  <c r="V174" i="24"/>
  <c r="X174" i="24"/>
  <c r="AJ174" i="24" s="1"/>
  <c r="V170" i="24"/>
  <c r="X170" i="24"/>
  <c r="AJ170" i="24" s="1"/>
  <c r="V166" i="24"/>
  <c r="X166" i="24"/>
  <c r="AJ166" i="24" s="1"/>
  <c r="V162" i="24"/>
  <c r="X162" i="24"/>
  <c r="AJ162" i="24" s="1"/>
  <c r="V158" i="24"/>
  <c r="X158" i="24"/>
  <c r="AJ158" i="24" s="1"/>
  <c r="V154" i="24"/>
  <c r="X154" i="24"/>
  <c r="AJ154" i="24" s="1"/>
  <c r="V150" i="24"/>
  <c r="X150" i="24"/>
  <c r="AJ150" i="24" s="1"/>
  <c r="V146" i="24"/>
  <c r="X146" i="24"/>
  <c r="AJ146" i="24" s="1"/>
  <c r="V142" i="24"/>
  <c r="X142" i="24"/>
  <c r="AJ142" i="24" s="1"/>
  <c r="V176" i="24"/>
  <c r="X176" i="24"/>
  <c r="AJ176" i="24" s="1"/>
  <c r="V177" i="24"/>
  <c r="X177" i="24"/>
  <c r="AJ177" i="24" s="1"/>
  <c r="V173" i="24"/>
  <c r="X173" i="24"/>
  <c r="AJ173" i="24" s="1"/>
  <c r="V172" i="24"/>
  <c r="X172" i="24"/>
  <c r="AJ172" i="24" s="1"/>
  <c r="V171" i="24"/>
  <c r="X171" i="24"/>
  <c r="AJ171" i="24" s="1"/>
  <c r="V169" i="24"/>
  <c r="X169" i="24"/>
  <c r="AJ169" i="24" s="1"/>
  <c r="V168" i="24"/>
  <c r="X168" i="24"/>
  <c r="AJ168" i="24" s="1"/>
  <c r="V167" i="24"/>
  <c r="X167" i="24"/>
  <c r="AJ167" i="24" s="1"/>
  <c r="V165" i="24"/>
  <c r="X165" i="24"/>
  <c r="AJ165" i="24" s="1"/>
  <c r="V164" i="24"/>
  <c r="X164" i="24"/>
  <c r="AJ164" i="24" s="1"/>
  <c r="V163" i="24"/>
  <c r="X163" i="24"/>
  <c r="AJ163" i="24" s="1"/>
  <c r="V161" i="24"/>
  <c r="X161" i="24"/>
  <c r="AJ161" i="24" s="1"/>
  <c r="V160" i="24"/>
  <c r="X160" i="24"/>
  <c r="AJ160" i="24" s="1"/>
  <c r="V159" i="24"/>
  <c r="X159" i="24"/>
  <c r="AJ159" i="24" s="1"/>
  <c r="V157" i="24"/>
  <c r="X157" i="24"/>
  <c r="AJ157" i="24" s="1"/>
  <c r="V156" i="24"/>
  <c r="X156" i="24"/>
  <c r="AJ156" i="24" s="1"/>
  <c r="V155" i="24"/>
  <c r="X155" i="24"/>
  <c r="AJ155" i="24" s="1"/>
  <c r="V153" i="24"/>
  <c r="X153" i="24"/>
  <c r="AJ153" i="24" s="1"/>
  <c r="V152" i="24"/>
  <c r="X152" i="24"/>
  <c r="AJ152" i="24" s="1"/>
  <c r="V151" i="24"/>
  <c r="X151" i="24"/>
  <c r="AJ151" i="24" s="1"/>
  <c r="V149" i="24"/>
  <c r="X149" i="24"/>
  <c r="AJ149" i="24" s="1"/>
  <c r="V148" i="24"/>
  <c r="X148" i="24"/>
  <c r="AJ148" i="24" s="1"/>
  <c r="V147" i="24"/>
  <c r="X147" i="24"/>
  <c r="AJ147" i="24" s="1"/>
  <c r="V145" i="24"/>
  <c r="X145" i="24"/>
  <c r="AJ145" i="24" s="1"/>
  <c r="V144" i="24"/>
  <c r="X144" i="24"/>
  <c r="AJ144" i="24" s="1"/>
  <c r="V143" i="24"/>
  <c r="X143" i="24"/>
  <c r="AJ143" i="24" s="1"/>
  <c r="V141" i="24"/>
  <c r="X141" i="24"/>
  <c r="AJ141" i="24" s="1"/>
  <c r="V140" i="24"/>
  <c r="X140" i="24"/>
  <c r="AJ140" i="24" s="1"/>
  <c r="O92" i="24"/>
  <c r="AD88" i="24"/>
  <c r="AD92" i="24" s="1"/>
  <c r="K92" i="24"/>
  <c r="Z88" i="24"/>
  <c r="V175" i="24"/>
  <c r="X175" i="24"/>
  <c r="AJ175" i="24" s="1"/>
  <c r="V123" i="24"/>
  <c r="X123" i="24"/>
  <c r="AJ123" i="24" s="1"/>
  <c r="V119" i="24"/>
  <c r="X119" i="24"/>
  <c r="AJ119" i="24" s="1"/>
  <c r="V115" i="24"/>
  <c r="X115" i="24"/>
  <c r="AJ115" i="24" s="1"/>
  <c r="V122" i="24"/>
  <c r="X122" i="24"/>
  <c r="AJ122" i="24" s="1"/>
  <c r="V125" i="24"/>
  <c r="X125" i="24"/>
  <c r="AJ125" i="24" s="1"/>
  <c r="V121" i="24"/>
  <c r="X121" i="24"/>
  <c r="AJ121" i="24" s="1"/>
  <c r="V117" i="24"/>
  <c r="X117" i="24"/>
  <c r="AJ117" i="24" s="1"/>
  <c r="R247" i="24"/>
  <c r="AG113" i="24"/>
  <c r="L247" i="24"/>
  <c r="AA113" i="24"/>
  <c r="I247" i="24"/>
  <c r="V113" i="24"/>
  <c r="X113" i="24"/>
  <c r="M247" i="24"/>
  <c r="AB113" i="24"/>
  <c r="Q247" i="24"/>
  <c r="AF113" i="24"/>
  <c r="V124" i="24"/>
  <c r="X124" i="24"/>
  <c r="AJ124" i="24" s="1"/>
  <c r="V120" i="24"/>
  <c r="X120" i="24"/>
  <c r="AJ120" i="24" s="1"/>
  <c r="V116" i="24"/>
  <c r="X116" i="24"/>
  <c r="AJ116" i="24" s="1"/>
  <c r="K247" i="24"/>
  <c r="Z113" i="24"/>
  <c r="V100" i="24"/>
  <c r="X100" i="24"/>
  <c r="AJ100" i="24" s="1"/>
  <c r="R101" i="24"/>
  <c r="AG97" i="24"/>
  <c r="AG101" i="24" s="1"/>
  <c r="M101" i="24"/>
  <c r="AB97" i="24"/>
  <c r="AB101" i="24" s="1"/>
  <c r="AA97" i="24"/>
  <c r="L101" i="24"/>
  <c r="L105" i="24" s="1"/>
  <c r="V97" i="24"/>
  <c r="P101" i="24"/>
  <c r="P105" i="24" s="1"/>
  <c r="AE97" i="24"/>
  <c r="AE101" i="24" s="1"/>
  <c r="AI97" i="24"/>
  <c r="AI101" i="24" s="1"/>
  <c r="T101" i="24"/>
  <c r="AA77" i="24"/>
  <c r="AJ77" i="24" s="1"/>
  <c r="AA73" i="24"/>
  <c r="AJ73" i="24" s="1"/>
  <c r="AA69" i="24"/>
  <c r="AJ69" i="24" s="1"/>
  <c r="AA65" i="24"/>
  <c r="AJ65" i="24" s="1"/>
  <c r="AA61" i="24"/>
  <c r="AJ61" i="24" s="1"/>
  <c r="AA57" i="24"/>
  <c r="AJ57" i="24" s="1"/>
  <c r="V57" i="24"/>
  <c r="O410" i="23"/>
  <c r="AD407" i="23"/>
  <c r="K410" i="23"/>
  <c r="Z407" i="23"/>
  <c r="O404" i="23"/>
  <c r="O413" i="23" s="1"/>
  <c r="AD356" i="23"/>
  <c r="AD404" i="23" s="1"/>
  <c r="K404" i="23"/>
  <c r="K413" i="23" s="1"/>
  <c r="Z356" i="23"/>
  <c r="Z404" i="23" s="1"/>
  <c r="Y324" i="23"/>
  <c r="AJ324" i="23" s="1"/>
  <c r="V324" i="23"/>
  <c r="Y319" i="23"/>
  <c r="AJ319" i="23" s="1"/>
  <c r="V319" i="23"/>
  <c r="V83" i="24"/>
  <c r="X83" i="24"/>
  <c r="AJ83" i="24" s="1"/>
  <c r="Y32" i="24"/>
  <c r="AJ32" i="24" s="1"/>
  <c r="V32" i="24"/>
  <c r="X30" i="24"/>
  <c r="AJ30" i="24" s="1"/>
  <c r="V30" i="24"/>
  <c r="Y28" i="24"/>
  <c r="AJ28" i="24" s="1"/>
  <c r="V28" i="24"/>
  <c r="X26" i="24"/>
  <c r="AJ26" i="24" s="1"/>
  <c r="V26" i="24"/>
  <c r="Y24" i="24"/>
  <c r="AJ24" i="24" s="1"/>
  <c r="V24" i="24"/>
  <c r="X22" i="24"/>
  <c r="AJ22" i="24" s="1"/>
  <c r="V22" i="24"/>
  <c r="Y20" i="24"/>
  <c r="AJ20" i="24" s="1"/>
  <c r="V20" i="24"/>
  <c r="X12" i="24"/>
  <c r="X11" i="24"/>
  <c r="Y12" i="24"/>
  <c r="V12" i="24"/>
  <c r="Y11" i="24"/>
  <c r="AF418" i="23"/>
  <c r="Q422" i="23"/>
  <c r="AA418" i="23"/>
  <c r="L422" i="23"/>
  <c r="X341" i="23"/>
  <c r="AJ341" i="23" s="1"/>
  <c r="V341" i="23"/>
  <c r="X337" i="23"/>
  <c r="AJ337" i="23" s="1"/>
  <c r="V337" i="23"/>
  <c r="V335" i="23"/>
  <c r="X335" i="23"/>
  <c r="AJ335" i="23" s="1"/>
  <c r="F331" i="23"/>
  <c r="AC331" i="23"/>
  <c r="V118" i="24"/>
  <c r="X118" i="24"/>
  <c r="AJ118" i="24" s="1"/>
  <c r="AJ79" i="24"/>
  <c r="AJ78" i="24"/>
  <c r="AJ75" i="24"/>
  <c r="AJ74" i="24"/>
  <c r="AJ71" i="24"/>
  <c r="AJ70" i="24"/>
  <c r="AJ67" i="24"/>
  <c r="AJ66" i="24"/>
  <c r="AJ63" i="24"/>
  <c r="AJ62" i="24"/>
  <c r="AJ59" i="24"/>
  <c r="AJ58" i="24"/>
  <c r="V55" i="24"/>
  <c r="X55" i="24"/>
  <c r="AJ55" i="24" s="1"/>
  <c r="X54" i="24"/>
  <c r="AJ54" i="24" s="1"/>
  <c r="V54" i="24"/>
  <c r="V51" i="24"/>
  <c r="X51" i="24"/>
  <c r="AJ51" i="24" s="1"/>
  <c r="X50" i="24"/>
  <c r="AJ50" i="24" s="1"/>
  <c r="V50" i="24"/>
  <c r="V47" i="24"/>
  <c r="X47" i="24"/>
  <c r="AJ47" i="24" s="1"/>
  <c r="X46" i="24"/>
  <c r="AJ46" i="24" s="1"/>
  <c r="V46" i="24"/>
  <c r="V43" i="24"/>
  <c r="X43" i="24"/>
  <c r="AJ43" i="24" s="1"/>
  <c r="L112" i="17" s="1"/>
  <c r="X42" i="24"/>
  <c r="AJ42" i="24" s="1"/>
  <c r="V42" i="24"/>
  <c r="V39" i="24"/>
  <c r="X39" i="24"/>
  <c r="AJ39" i="24" s="1"/>
  <c r="X38" i="24"/>
  <c r="AJ38" i="24" s="1"/>
  <c r="L116" i="17" s="1"/>
  <c r="V38" i="24"/>
  <c r="V114" i="24"/>
  <c r="X114" i="24"/>
  <c r="AJ114" i="24" s="1"/>
  <c r="X99" i="24"/>
  <c r="AJ99" i="24" s="1"/>
  <c r="V99" i="24"/>
  <c r="AJ80" i="24"/>
  <c r="AJ76" i="24"/>
  <c r="AJ72" i="24"/>
  <c r="AJ68" i="24"/>
  <c r="AJ64" i="24"/>
  <c r="AJ60" i="24"/>
  <c r="V56" i="24"/>
  <c r="X56" i="24"/>
  <c r="AJ56" i="24" s="1"/>
  <c r="V52" i="24"/>
  <c r="X52" i="24"/>
  <c r="AJ52" i="24" s="1"/>
  <c r="V48" i="24"/>
  <c r="X48" i="24"/>
  <c r="AJ48" i="24" s="1"/>
  <c r="V44" i="24"/>
  <c r="X44" i="24"/>
  <c r="AJ44" i="24" s="1"/>
  <c r="L113" i="17" s="1"/>
  <c r="V40" i="24"/>
  <c r="X40" i="24"/>
  <c r="AJ40" i="24" s="1"/>
  <c r="V36" i="24"/>
  <c r="X36" i="24"/>
  <c r="AJ36" i="24" s="1"/>
  <c r="S422" i="23"/>
  <c r="AH418" i="23"/>
  <c r="AB418" i="23"/>
  <c r="M422" i="23"/>
  <c r="J422" i="23"/>
  <c r="Y418" i="23"/>
  <c r="V418" i="23"/>
  <c r="V422" i="23" s="1"/>
  <c r="N422" i="23"/>
  <c r="AC418" i="23"/>
  <c r="R422" i="23"/>
  <c r="AG418" i="23"/>
  <c r="X27" i="24"/>
  <c r="AJ27" i="24" s="1"/>
  <c r="V27" i="24"/>
  <c r="K85" i="24"/>
  <c r="K105" i="24" s="1"/>
  <c r="Z11" i="24"/>
  <c r="Z85" i="24" s="1"/>
  <c r="X23" i="24"/>
  <c r="AJ23" i="24" s="1"/>
  <c r="V23" i="24"/>
  <c r="X14" i="24"/>
  <c r="AJ14" i="24" s="1"/>
  <c r="V14" i="24"/>
  <c r="Q85" i="24"/>
  <c r="Q105" i="24" s="1"/>
  <c r="AF11" i="24"/>
  <c r="AF85" i="24" s="1"/>
  <c r="I85" i="24"/>
  <c r="I105" i="24" s="1"/>
  <c r="V11" i="24"/>
  <c r="O85" i="24"/>
  <c r="O105" i="24" s="1"/>
  <c r="AD11" i="24"/>
  <c r="AD85" i="24" s="1"/>
  <c r="T85" i="24"/>
  <c r="AI11" i="24"/>
  <c r="AI85" i="24" s="1"/>
  <c r="M85" i="24"/>
  <c r="AB11" i="24"/>
  <c r="AB85" i="24" s="1"/>
  <c r="S85" i="24"/>
  <c r="S105" i="24" s="1"/>
  <c r="AH11" i="24"/>
  <c r="AH85" i="24" s="1"/>
  <c r="N85" i="24"/>
  <c r="N105" i="24" s="1"/>
  <c r="AC11" i="24"/>
  <c r="AC85" i="24" s="1"/>
  <c r="R85" i="24"/>
  <c r="AG11" i="24"/>
  <c r="AG85" i="24" s="1"/>
  <c r="V402" i="23"/>
  <c r="X402" i="23"/>
  <c r="AJ402" i="23" s="1"/>
  <c r="X399" i="23"/>
  <c r="AJ399" i="23" s="1"/>
  <c r="V399" i="23"/>
  <c r="X395" i="23"/>
  <c r="AJ395" i="23" s="1"/>
  <c r="V395" i="23"/>
  <c r="X391" i="23"/>
  <c r="AJ391" i="23" s="1"/>
  <c r="V391" i="23"/>
  <c r="X387" i="23"/>
  <c r="AJ387" i="23" s="1"/>
  <c r="V387" i="23"/>
  <c r="X383" i="23"/>
  <c r="AJ383" i="23" s="1"/>
  <c r="V383" i="23"/>
  <c r="X379" i="23"/>
  <c r="AJ379" i="23" s="1"/>
  <c r="V379" i="23"/>
  <c r="X375" i="23"/>
  <c r="V375" i="23"/>
  <c r="AG375" i="23"/>
  <c r="AB375" i="23"/>
  <c r="X371" i="23"/>
  <c r="V371" i="23"/>
  <c r="AG371" i="23"/>
  <c r="AB371" i="23"/>
  <c r="X367" i="23"/>
  <c r="V367" i="23"/>
  <c r="AG367" i="23"/>
  <c r="AG404" i="23" s="1"/>
  <c r="AB367" i="23"/>
  <c r="AB404" i="23" s="1"/>
  <c r="X363" i="23"/>
  <c r="AJ363" i="23" s="1"/>
  <c r="V363" i="23"/>
  <c r="X359" i="23"/>
  <c r="AJ359" i="23" s="1"/>
  <c r="V359" i="23"/>
  <c r="AB342" i="23"/>
  <c r="F342" i="23"/>
  <c r="X342" i="23" s="1"/>
  <c r="X340" i="23"/>
  <c r="AJ340" i="23" s="1"/>
  <c r="V340" i="23"/>
  <c r="X332" i="23"/>
  <c r="AJ332" i="23" s="1"/>
  <c r="V332" i="23"/>
  <c r="F330" i="23"/>
  <c r="X330" i="23" s="1"/>
  <c r="AI330" i="23"/>
  <c r="V330" i="23"/>
  <c r="V325" i="23"/>
  <c r="X325" i="23"/>
  <c r="AJ325" i="23" s="1"/>
  <c r="X18" i="24"/>
  <c r="AJ18" i="24" s="1"/>
  <c r="V18" i="24"/>
  <c r="X15" i="24"/>
  <c r="AJ15" i="24" s="1"/>
  <c r="V15" i="24"/>
  <c r="X31" i="24"/>
  <c r="AJ31" i="24" s="1"/>
  <c r="L115" i="17" s="1"/>
  <c r="V31" i="24"/>
  <c r="X19" i="24"/>
  <c r="AJ19" i="24" s="1"/>
  <c r="V19" i="24"/>
  <c r="X344" i="23"/>
  <c r="AJ344" i="23" s="1"/>
  <c r="V344" i="23"/>
  <c r="X343" i="23"/>
  <c r="AJ343" i="23" s="1"/>
  <c r="V343" i="23"/>
  <c r="X339" i="23"/>
  <c r="AJ339" i="23" s="1"/>
  <c r="V339" i="23"/>
  <c r="X334" i="23"/>
  <c r="AJ334" i="23" s="1"/>
  <c r="V334" i="23"/>
  <c r="X333" i="23"/>
  <c r="AJ333" i="23" s="1"/>
  <c r="V333" i="23"/>
  <c r="X327" i="23"/>
  <c r="AJ327" i="23" s="1"/>
  <c r="V327" i="23"/>
  <c r="V315" i="23"/>
  <c r="X315" i="23"/>
  <c r="AJ315" i="23" s="1"/>
  <c r="X338" i="23"/>
  <c r="AJ338" i="23" s="1"/>
  <c r="V338" i="23"/>
  <c r="V336" i="23"/>
  <c r="X336" i="23"/>
  <c r="AJ336" i="23" s="1"/>
  <c r="Y304" i="23"/>
  <c r="AJ304" i="23" s="1"/>
  <c r="V304" i="23"/>
  <c r="Y300" i="23"/>
  <c r="AJ300" i="23" s="1"/>
  <c r="V300" i="23"/>
  <c r="V296" i="23"/>
  <c r="Y296" i="23"/>
  <c r="AJ296" i="23" s="1"/>
  <c r="Y288" i="23"/>
  <c r="AJ288" i="23" s="1"/>
  <c r="V288" i="23"/>
  <c r="X306" i="23"/>
  <c r="AJ306" i="23" s="1"/>
  <c r="V306" i="23"/>
  <c r="V305" i="23"/>
  <c r="X305" i="23"/>
  <c r="AJ305" i="23" s="1"/>
  <c r="X295" i="23"/>
  <c r="AJ295" i="23" s="1"/>
  <c r="V295" i="23"/>
  <c r="X290" i="23"/>
  <c r="AJ290" i="23" s="1"/>
  <c r="V290" i="23"/>
  <c r="V283" i="23"/>
  <c r="X283" i="23"/>
  <c r="AJ283" i="23" s="1"/>
  <c r="V279" i="23"/>
  <c r="X279" i="23"/>
  <c r="AJ279" i="23" s="1"/>
  <c r="V275" i="23"/>
  <c r="X275" i="23"/>
  <c r="AJ275" i="23" s="1"/>
  <c r="M346" i="23"/>
  <c r="M349" i="23" s="1"/>
  <c r="AB271" i="23"/>
  <c r="I346" i="23"/>
  <c r="V271" i="23"/>
  <c r="X271" i="23"/>
  <c r="O263" i="23"/>
  <c r="AD260" i="23"/>
  <c r="AD263" i="23" s="1"/>
  <c r="K263" i="23"/>
  <c r="K349" i="23" s="1"/>
  <c r="Z260" i="23"/>
  <c r="Z263" i="23" s="1"/>
  <c r="V311" i="23"/>
  <c r="X311" i="23"/>
  <c r="AJ311" i="23" s="1"/>
  <c r="AH310" i="23"/>
  <c r="AH346" i="23" s="1"/>
  <c r="AB310" i="23"/>
  <c r="AG310" i="23"/>
  <c r="V307" i="23"/>
  <c r="X307" i="23"/>
  <c r="AJ307" i="23" s="1"/>
  <c r="V302" i="23"/>
  <c r="X302" i="23"/>
  <c r="AJ302" i="23" s="1"/>
  <c r="V301" i="23"/>
  <c r="X301" i="23"/>
  <c r="AJ301" i="23" s="1"/>
  <c r="AG294" i="23"/>
  <c r="AB294" i="23"/>
  <c r="V291" i="23"/>
  <c r="X291" i="23"/>
  <c r="AJ291" i="23" s="1"/>
  <c r="V289" i="23"/>
  <c r="X289" i="23"/>
  <c r="AJ289" i="23" s="1"/>
  <c r="X282" i="23"/>
  <c r="AJ282" i="23" s="1"/>
  <c r="V282" i="23"/>
  <c r="X278" i="23"/>
  <c r="AJ278" i="23" s="1"/>
  <c r="V278" i="23"/>
  <c r="X274" i="23"/>
  <c r="AJ274" i="23" s="1"/>
  <c r="V274" i="23"/>
  <c r="T346" i="23"/>
  <c r="AI271" i="23"/>
  <c r="P346" i="23"/>
  <c r="AE271" i="23"/>
  <c r="L346" i="23"/>
  <c r="AA271" i="23"/>
  <c r="X263" i="23"/>
  <c r="AG260" i="23"/>
  <c r="AG263" i="23" s="1"/>
  <c r="R263" i="23"/>
  <c r="AC260" i="23"/>
  <c r="AC263" i="23" s="1"/>
  <c r="N263" i="23"/>
  <c r="Y260" i="23"/>
  <c r="Y263" i="23" s="1"/>
  <c r="J263" i="23"/>
  <c r="V297" i="23"/>
  <c r="X297" i="23"/>
  <c r="AJ297" i="23" s="1"/>
  <c r="X313" i="23"/>
  <c r="AJ313" i="23" s="1"/>
  <c r="V313" i="23"/>
  <c r="V309" i="23"/>
  <c r="X309" i="23"/>
  <c r="AJ309" i="23" s="1"/>
  <c r="X299" i="23"/>
  <c r="AJ299" i="23" s="1"/>
  <c r="V299" i="23"/>
  <c r="V293" i="23"/>
  <c r="X293" i="23"/>
  <c r="AJ293" i="23" s="1"/>
  <c r="X287" i="23"/>
  <c r="AJ287" i="23" s="1"/>
  <c r="V287" i="23"/>
  <c r="V285" i="23"/>
  <c r="X285" i="23"/>
  <c r="AJ285" i="23" s="1"/>
  <c r="X280" i="23"/>
  <c r="AJ280" i="23" s="1"/>
  <c r="V280" i="23"/>
  <c r="X276" i="23"/>
  <c r="AJ276" i="23" s="1"/>
  <c r="V276" i="23"/>
  <c r="X272" i="23"/>
  <c r="AJ272" i="23" s="1"/>
  <c r="V272" i="23"/>
  <c r="R346" i="23"/>
  <c r="AG271" i="23"/>
  <c r="N346" i="23"/>
  <c r="AC271" i="23"/>
  <c r="J346" i="23"/>
  <c r="Y271" i="23"/>
  <c r="O101" i="23"/>
  <c r="O105" i="23" s="1"/>
  <c r="AD97" i="23"/>
  <c r="AD101" i="23" s="1"/>
  <c r="K101" i="23"/>
  <c r="Z97" i="23"/>
  <c r="Z101" i="23" s="1"/>
  <c r="X252" i="23"/>
  <c r="V252" i="23"/>
  <c r="X250" i="23"/>
  <c r="V250" i="23"/>
  <c r="X248" i="23"/>
  <c r="AJ248" i="23" s="1"/>
  <c r="L91" i="17" s="1"/>
  <c r="M91" i="17" s="1"/>
  <c r="F74" i="7" s="1"/>
  <c r="V248" i="23"/>
  <c r="X246" i="23"/>
  <c r="AJ246" i="23" s="1"/>
  <c r="L58" i="17" s="1"/>
  <c r="M58" i="17" s="1"/>
  <c r="V246" i="23"/>
  <c r="V240" i="23"/>
  <c r="X240" i="23"/>
  <c r="X237" i="23"/>
  <c r="V237" i="23"/>
  <c r="V232" i="23"/>
  <c r="X232" i="23"/>
  <c r="X229" i="23"/>
  <c r="V229" i="23"/>
  <c r="V224" i="23"/>
  <c r="X224" i="23"/>
  <c r="AJ224" i="23" s="1"/>
  <c r="L76" i="17" s="1"/>
  <c r="M76" i="17" s="1"/>
  <c r="F55" i="7" s="1"/>
  <c r="O55" i="7" s="1"/>
  <c r="X221" i="23"/>
  <c r="V221" i="23"/>
  <c r="V216" i="23"/>
  <c r="X216" i="23"/>
  <c r="V208" i="23"/>
  <c r="X208" i="23"/>
  <c r="V200" i="23"/>
  <c r="X200" i="23"/>
  <c r="V192" i="23"/>
  <c r="X192" i="23"/>
  <c r="AA191" i="23"/>
  <c r="V191" i="23"/>
  <c r="V184" i="23"/>
  <c r="X184" i="23"/>
  <c r="V176" i="23"/>
  <c r="X176" i="23"/>
  <c r="V172" i="23"/>
  <c r="X172" i="23"/>
  <c r="AJ172" i="23" s="1"/>
  <c r="L54" i="17" s="1"/>
  <c r="V168" i="23"/>
  <c r="X168" i="23"/>
  <c r="AJ168" i="23" s="1"/>
  <c r="L89" i="17" s="1"/>
  <c r="X162" i="23"/>
  <c r="AJ162" i="23" s="1"/>
  <c r="L103" i="17" s="1"/>
  <c r="V162" i="23"/>
  <c r="X158" i="23"/>
  <c r="AJ158" i="23" s="1"/>
  <c r="L99" i="17" s="1"/>
  <c r="V158" i="23"/>
  <c r="X154" i="23"/>
  <c r="AJ154" i="23" s="1"/>
  <c r="L90" i="17" s="1"/>
  <c r="V154" i="23"/>
  <c r="X150" i="23"/>
  <c r="AJ150" i="23" s="1"/>
  <c r="L85" i="17" s="1"/>
  <c r="V150" i="23"/>
  <c r="X146" i="23"/>
  <c r="AJ146" i="23" s="1"/>
  <c r="V146" i="23"/>
  <c r="X142" i="23"/>
  <c r="AJ142" i="23" s="1"/>
  <c r="L108" i="17" s="1"/>
  <c r="V142" i="23"/>
  <c r="AF87" i="23"/>
  <c r="AF92" i="23" s="1"/>
  <c r="Q92" i="23"/>
  <c r="L92" i="23"/>
  <c r="AA87" i="23"/>
  <c r="Y87" i="23"/>
  <c r="Y92" i="23" s="1"/>
  <c r="J92" i="23"/>
  <c r="J105" i="23" s="1"/>
  <c r="V87" i="23"/>
  <c r="V92" i="23" s="1"/>
  <c r="N92" i="23"/>
  <c r="N105" i="23" s="1"/>
  <c r="AC87" i="23"/>
  <c r="AC92" i="23" s="1"/>
  <c r="AG87" i="23"/>
  <c r="AG92" i="23" s="1"/>
  <c r="R92" i="23"/>
  <c r="AJ81" i="23"/>
  <c r="AJ77" i="23"/>
  <c r="AJ73" i="23"/>
  <c r="AJ69" i="23"/>
  <c r="AJ65" i="23"/>
  <c r="V171" i="23"/>
  <c r="X171" i="23"/>
  <c r="AJ171" i="23" s="1"/>
  <c r="L49" i="17" s="1"/>
  <c r="V235" i="23"/>
  <c r="X235" i="23"/>
  <c r="V227" i="23"/>
  <c r="X227" i="23"/>
  <c r="AJ227" i="23" s="1"/>
  <c r="L79" i="17" s="1"/>
  <c r="M79" i="17" s="1"/>
  <c r="F67" i="7" s="1"/>
  <c r="O67" i="7" s="1"/>
  <c r="V219" i="23"/>
  <c r="X219" i="23"/>
  <c r="V175" i="23"/>
  <c r="X175" i="23"/>
  <c r="AJ175" i="23" s="1"/>
  <c r="L66" i="17" s="1"/>
  <c r="V236" i="23"/>
  <c r="X236" i="23"/>
  <c r="V228" i="23"/>
  <c r="X228" i="23"/>
  <c r="V220" i="23"/>
  <c r="X220" i="23"/>
  <c r="V169" i="23"/>
  <c r="X169" i="23"/>
  <c r="AJ169" i="23" s="1"/>
  <c r="L96" i="17" s="1"/>
  <c r="X167" i="23"/>
  <c r="V167" i="23"/>
  <c r="V137" i="23"/>
  <c r="X137" i="23"/>
  <c r="AJ137" i="23" s="1"/>
  <c r="L70" i="17" s="1"/>
  <c r="X136" i="23"/>
  <c r="AJ136" i="23" s="1"/>
  <c r="L69" i="17" s="1"/>
  <c r="V136" i="23"/>
  <c r="V133" i="23"/>
  <c r="X133" i="23"/>
  <c r="AJ133" i="23" s="1"/>
  <c r="L71" i="17" s="1"/>
  <c r="X132" i="23"/>
  <c r="AJ132" i="23" s="1"/>
  <c r="L64" i="17" s="1"/>
  <c r="V132" i="23"/>
  <c r="V129" i="23"/>
  <c r="X129" i="23"/>
  <c r="AJ129" i="23" s="1"/>
  <c r="L68" i="17" s="1"/>
  <c r="X128" i="23"/>
  <c r="AJ128" i="23" s="1"/>
  <c r="L57" i="17" s="1"/>
  <c r="V128" i="23"/>
  <c r="V125" i="23"/>
  <c r="X125" i="23"/>
  <c r="AJ125" i="23" s="1"/>
  <c r="L61" i="17" s="1"/>
  <c r="X124" i="23"/>
  <c r="AJ124" i="23" s="1"/>
  <c r="L52" i="17" s="1"/>
  <c r="V124" i="23"/>
  <c r="V121" i="23"/>
  <c r="X121" i="23"/>
  <c r="AJ121" i="23" s="1"/>
  <c r="L60" i="17" s="1"/>
  <c r="X120" i="23"/>
  <c r="AJ120" i="23" s="1"/>
  <c r="L53" i="17" s="1"/>
  <c r="V120" i="23"/>
  <c r="V117" i="23"/>
  <c r="X117" i="23"/>
  <c r="AJ117" i="23" s="1"/>
  <c r="L44" i="17" s="1"/>
  <c r="X116" i="23"/>
  <c r="AJ116" i="23" s="1"/>
  <c r="L48" i="17" s="1"/>
  <c r="V116" i="23"/>
  <c r="Q257" i="23"/>
  <c r="Q349" i="23" s="1"/>
  <c r="AF113" i="23"/>
  <c r="AF257" i="23" s="1"/>
  <c r="I257" i="23"/>
  <c r="V113" i="23"/>
  <c r="X113" i="23"/>
  <c r="X101" i="23"/>
  <c r="X89" i="23"/>
  <c r="AJ89" i="23" s="1"/>
  <c r="V89" i="23"/>
  <c r="AB88" i="23"/>
  <c r="AB86" i="23" s="1"/>
  <c r="M92" i="23"/>
  <c r="Z88" i="23"/>
  <c r="AJ88" i="23" s="1"/>
  <c r="K92" i="23"/>
  <c r="AJ82" i="23"/>
  <c r="AJ63" i="23"/>
  <c r="AJ59" i="23"/>
  <c r="V55" i="23"/>
  <c r="X55" i="23"/>
  <c r="AJ55" i="23" s="1"/>
  <c r="V51" i="23"/>
  <c r="X51" i="23"/>
  <c r="AJ51" i="23" s="1"/>
  <c r="V47" i="23"/>
  <c r="X47" i="23"/>
  <c r="AJ47" i="23" s="1"/>
  <c r="V43" i="23"/>
  <c r="X43" i="23"/>
  <c r="AJ43" i="23" s="1"/>
  <c r="L35" i="17" s="1"/>
  <c r="V39" i="23"/>
  <c r="X39" i="23"/>
  <c r="AJ39" i="23" s="1"/>
  <c r="L32" i="17" s="1"/>
  <c r="V35" i="23"/>
  <c r="X35" i="23"/>
  <c r="AJ35" i="23" s="1"/>
  <c r="L28" i="17" s="1"/>
  <c r="V31" i="23"/>
  <c r="X31" i="23"/>
  <c r="AJ31" i="23" s="1"/>
  <c r="L25" i="17" s="1"/>
  <c r="V27" i="23"/>
  <c r="X27" i="23"/>
  <c r="AJ27" i="23" s="1"/>
  <c r="L21" i="17" s="1"/>
  <c r="V23" i="23"/>
  <c r="X23" i="23"/>
  <c r="AJ23" i="23" s="1"/>
  <c r="L14" i="17" s="1"/>
  <c r="V19" i="23"/>
  <c r="X19" i="23"/>
  <c r="AJ19" i="23" s="1"/>
  <c r="L10" i="17" s="1"/>
  <c r="V15" i="23"/>
  <c r="X15" i="23"/>
  <c r="AJ15" i="23" s="1"/>
  <c r="L8" i="17" s="1"/>
  <c r="R84" i="23"/>
  <c r="AG84" i="23"/>
  <c r="L84" i="23"/>
  <c r="AA11" i="23"/>
  <c r="AA84" i="23" s="1"/>
  <c r="V11" i="23"/>
  <c r="X11" i="23"/>
  <c r="I84" i="23"/>
  <c r="I105" i="23" s="1"/>
  <c r="M84" i="23"/>
  <c r="AB11" i="23"/>
  <c r="AB84" i="23" s="1"/>
  <c r="Q84" i="23"/>
  <c r="Q105" i="23" s="1"/>
  <c r="AF11" i="23"/>
  <c r="AF84" i="23" s="1"/>
  <c r="V54" i="23"/>
  <c r="X54" i="23"/>
  <c r="AJ54" i="23" s="1"/>
  <c r="V50" i="23"/>
  <c r="X50" i="23"/>
  <c r="AJ50" i="23" s="1"/>
  <c r="L3" i="17" s="1"/>
  <c r="M3" i="17" s="1"/>
  <c r="F8" i="7" s="1"/>
  <c r="V42" i="23"/>
  <c r="X42" i="23"/>
  <c r="AJ42" i="23" s="1"/>
  <c r="L34" i="17" s="1"/>
  <c r="V34" i="23"/>
  <c r="X34" i="23"/>
  <c r="AJ34" i="23" s="1"/>
  <c r="V30" i="23"/>
  <c r="X30" i="23"/>
  <c r="AJ30" i="23" s="1"/>
  <c r="L24" i="17" s="1"/>
  <c r="V26" i="23"/>
  <c r="X26" i="23"/>
  <c r="AJ26" i="23" s="1"/>
  <c r="L20" i="17" s="1"/>
  <c r="V22" i="23"/>
  <c r="X22" i="23"/>
  <c r="AJ22" i="23" s="1"/>
  <c r="L13" i="17" s="1"/>
  <c r="V14" i="23"/>
  <c r="X14" i="23"/>
  <c r="AJ14" i="23" s="1"/>
  <c r="L7" i="17" s="1"/>
  <c r="AJ61" i="23"/>
  <c r="V49" i="23"/>
  <c r="X49" i="23"/>
  <c r="AJ49" i="23" s="1"/>
  <c r="L2" i="17" s="1"/>
  <c r="M2" i="17" s="1"/>
  <c r="F7" i="7" s="1"/>
  <c r="V29" i="23"/>
  <c r="X29" i="23"/>
  <c r="AJ29" i="23" s="1"/>
  <c r="L23" i="17" s="1"/>
  <c r="V21" i="23"/>
  <c r="X21" i="23"/>
  <c r="AJ21" i="23" s="1"/>
  <c r="L12" i="17" s="1"/>
  <c r="V44" i="23"/>
  <c r="X44" i="23"/>
  <c r="AJ44" i="23" s="1"/>
  <c r="L36" i="17" s="1"/>
  <c r="V40" i="23"/>
  <c r="X40" i="23"/>
  <c r="AJ40" i="23" s="1"/>
  <c r="L33" i="17" s="1"/>
  <c r="V36" i="23"/>
  <c r="X36" i="23"/>
  <c r="AJ36" i="23" s="1"/>
  <c r="L29" i="17" s="1"/>
  <c r="V212" i="23"/>
  <c r="X212" i="23"/>
  <c r="X205" i="23"/>
  <c r="V205" i="23"/>
  <c r="V203" i="23"/>
  <c r="X203" i="23"/>
  <c r="V196" i="23"/>
  <c r="X196" i="23"/>
  <c r="X189" i="23"/>
  <c r="V189" i="23"/>
  <c r="V187" i="23"/>
  <c r="X187" i="23"/>
  <c r="V180" i="23"/>
  <c r="X180" i="23"/>
  <c r="V170" i="23"/>
  <c r="X170" i="23"/>
  <c r="AJ170" i="23" s="1"/>
  <c r="L43" i="17" s="1"/>
  <c r="X164" i="23"/>
  <c r="AJ164" i="23" s="1"/>
  <c r="L105" i="17" s="1"/>
  <c r="V164" i="23"/>
  <c r="V161" i="23"/>
  <c r="X161" i="23"/>
  <c r="AJ161" i="23" s="1"/>
  <c r="L102" i="17" s="1"/>
  <c r="X156" i="23"/>
  <c r="AJ156" i="23" s="1"/>
  <c r="L92" i="17" s="1"/>
  <c r="V156" i="23"/>
  <c r="V153" i="23"/>
  <c r="X153" i="23"/>
  <c r="AJ153" i="23" s="1"/>
  <c r="L87" i="17" s="1"/>
  <c r="X148" i="23"/>
  <c r="AJ148" i="23" s="1"/>
  <c r="L81" i="17" s="1"/>
  <c r="V148" i="23"/>
  <c r="V145" i="23"/>
  <c r="X145" i="23"/>
  <c r="AJ145" i="23" s="1"/>
  <c r="X140" i="23"/>
  <c r="AJ140" i="23" s="1"/>
  <c r="L107" i="17" s="1"/>
  <c r="V140" i="23"/>
  <c r="X138" i="23"/>
  <c r="AJ138" i="23" s="1"/>
  <c r="L73" i="17" s="1"/>
  <c r="V138" i="23"/>
  <c r="X134" i="23"/>
  <c r="AJ134" i="23" s="1"/>
  <c r="L72" i="17" s="1"/>
  <c r="V134" i="23"/>
  <c r="X130" i="23"/>
  <c r="AJ130" i="23" s="1"/>
  <c r="L62" i="17" s="1"/>
  <c r="V130" i="23"/>
  <c r="X126" i="23"/>
  <c r="AJ126" i="23" s="1"/>
  <c r="L55" i="17" s="1"/>
  <c r="V126" i="23"/>
  <c r="V122" i="23"/>
  <c r="X122" i="23"/>
  <c r="AJ122" i="23" s="1"/>
  <c r="L50" i="17" s="1"/>
  <c r="X118" i="23"/>
  <c r="AJ118" i="23" s="1"/>
  <c r="L45" i="17" s="1"/>
  <c r="V118" i="23"/>
  <c r="X114" i="23"/>
  <c r="AJ114" i="23" s="1"/>
  <c r="L39" i="17" s="1"/>
  <c r="V114" i="23"/>
  <c r="N257" i="23"/>
  <c r="AC113" i="23"/>
  <c r="AC257" i="23" s="1"/>
  <c r="J257" i="23"/>
  <c r="Y113" i="23"/>
  <c r="Y257" i="23" s="1"/>
  <c r="O257" i="23"/>
  <c r="AD113" i="23"/>
  <c r="AD257" i="23" s="1"/>
  <c r="L257" i="23"/>
  <c r="AA113" i="23"/>
  <c r="AA257" i="23" s="1"/>
  <c r="P257" i="23"/>
  <c r="AE113" i="23"/>
  <c r="AE257" i="23" s="1"/>
  <c r="T257" i="23"/>
  <c r="AI113" i="23"/>
  <c r="AI257" i="23" s="1"/>
  <c r="AJ80" i="23"/>
  <c r="AJ79" i="23"/>
  <c r="AJ78" i="23"/>
  <c r="AJ76" i="23"/>
  <c r="AJ75" i="23"/>
  <c r="AJ74" i="23"/>
  <c r="AJ72" i="23"/>
  <c r="AJ71" i="23"/>
  <c r="AJ70" i="23"/>
  <c r="AJ68" i="23"/>
  <c r="AJ67" i="23"/>
  <c r="AJ66" i="23"/>
  <c r="AJ64" i="23"/>
  <c r="AJ62" i="23"/>
  <c r="AJ58" i="23"/>
  <c r="V46" i="23"/>
  <c r="X46" i="23"/>
  <c r="AJ46" i="23" s="1"/>
  <c r="V38" i="23"/>
  <c r="X38" i="23"/>
  <c r="AJ38" i="23" s="1"/>
  <c r="L31" i="17" s="1"/>
  <c r="V18" i="23"/>
  <c r="X18" i="23"/>
  <c r="AJ18" i="23" s="1"/>
  <c r="V57" i="23"/>
  <c r="X57" i="23"/>
  <c r="AJ57" i="23" s="1"/>
  <c r="V45" i="23"/>
  <c r="X45" i="23"/>
  <c r="AJ45" i="23" s="1"/>
  <c r="L37" i="17" s="1"/>
  <c r="V41" i="23"/>
  <c r="X41" i="23"/>
  <c r="AJ41" i="23" s="1"/>
  <c r="V33" i="23"/>
  <c r="X33" i="23"/>
  <c r="AJ33" i="23" s="1"/>
  <c r="L27" i="17" s="1"/>
  <c r="V17" i="23"/>
  <c r="X17" i="23"/>
  <c r="AJ17" i="23" s="1"/>
  <c r="AJ60" i="23"/>
  <c r="V52" i="23"/>
  <c r="X52" i="23"/>
  <c r="AJ52" i="23" s="1"/>
  <c r="V28" i="23"/>
  <c r="X28" i="23"/>
  <c r="AJ28" i="23" s="1"/>
  <c r="L22" i="17" s="1"/>
  <c r="V24" i="23"/>
  <c r="X24" i="23"/>
  <c r="AJ24" i="23" s="1"/>
  <c r="L15" i="17" s="1"/>
  <c r="V20" i="23"/>
  <c r="X20" i="23"/>
  <c r="AJ20" i="23" s="1"/>
  <c r="L11" i="17" s="1"/>
  <c r="V16" i="23"/>
  <c r="X16" i="23"/>
  <c r="AJ16" i="23" s="1"/>
  <c r="L9" i="17" s="1"/>
  <c r="V12" i="23"/>
  <c r="X12" i="23"/>
  <c r="AJ12" i="23" s="1"/>
  <c r="L5" i="17" s="1"/>
  <c r="V173" i="23"/>
  <c r="X173" i="23"/>
  <c r="AJ173" i="23" s="1"/>
  <c r="L59" i="17" s="1"/>
  <c r="X92" i="23"/>
  <c r="V53" i="23"/>
  <c r="X53" i="23"/>
  <c r="AJ53" i="23" s="1"/>
  <c r="V37" i="23"/>
  <c r="X37" i="23"/>
  <c r="AJ37" i="23" s="1"/>
  <c r="L30" i="17" s="1"/>
  <c r="V25" i="23"/>
  <c r="X25" i="23"/>
  <c r="AJ25" i="23" s="1"/>
  <c r="V13" i="23"/>
  <c r="X13" i="23"/>
  <c r="AJ13" i="23" s="1"/>
  <c r="L6" i="17" s="1"/>
  <c r="V48" i="23"/>
  <c r="X48" i="23"/>
  <c r="AJ48" i="23" s="1"/>
  <c r="X213" i="23"/>
  <c r="V213" i="23"/>
  <c r="V211" i="23"/>
  <c r="X211" i="23"/>
  <c r="V204" i="23"/>
  <c r="X204" i="23"/>
  <c r="X197" i="23"/>
  <c r="V197" i="23"/>
  <c r="V195" i="23"/>
  <c r="X195" i="23"/>
  <c r="V188" i="23"/>
  <c r="X188" i="23"/>
  <c r="X181" i="23"/>
  <c r="V181" i="23"/>
  <c r="V179" i="23"/>
  <c r="X179" i="23"/>
  <c r="V174" i="23"/>
  <c r="X174" i="23"/>
  <c r="AJ174" i="23" s="1"/>
  <c r="L65" i="17" s="1"/>
  <c r="V165" i="23"/>
  <c r="X165" i="23"/>
  <c r="V157" i="23"/>
  <c r="X157" i="23"/>
  <c r="AJ157" i="23" s="1"/>
  <c r="L93" i="17" s="1"/>
  <c r="V149" i="23"/>
  <c r="X149" i="23"/>
  <c r="AJ149" i="23" s="1"/>
  <c r="L84" i="17" s="1"/>
  <c r="V141" i="23"/>
  <c r="X141" i="23"/>
  <c r="AJ141" i="23" s="1"/>
  <c r="L100" i="17" s="1"/>
  <c r="V56" i="23"/>
  <c r="X56" i="23"/>
  <c r="AJ56" i="23" s="1"/>
  <c r="V32" i="23"/>
  <c r="X32" i="23"/>
  <c r="AJ32" i="23" s="1"/>
  <c r="L26" i="17" s="1"/>
  <c r="H59" i="7" l="1"/>
  <c r="V101" i="24"/>
  <c r="AK166" i="23"/>
  <c r="AH257" i="23"/>
  <c r="AJ362" i="23"/>
  <c r="AJ381" i="23"/>
  <c r="AJ365" i="23"/>
  <c r="AJ82" i="24"/>
  <c r="AA85" i="23"/>
  <c r="AB257" i="23"/>
  <c r="AJ115" i="23"/>
  <c r="L40" i="17" s="1"/>
  <c r="AJ123" i="23"/>
  <c r="L51" i="17" s="1"/>
  <c r="AJ131" i="23"/>
  <c r="L63" i="17" s="1"/>
  <c r="AJ223" i="23"/>
  <c r="L75" i="17" s="1"/>
  <c r="M75" i="17" s="1"/>
  <c r="F47" i="7" s="1"/>
  <c r="O47" i="7" s="1"/>
  <c r="AJ361" i="23"/>
  <c r="AJ317" i="23"/>
  <c r="AJ329" i="23"/>
  <c r="AJ392" i="23"/>
  <c r="AJ81" i="24"/>
  <c r="AJ229" i="24"/>
  <c r="H7" i="7"/>
  <c r="O7" i="7"/>
  <c r="H8" i="7"/>
  <c r="O8" i="7"/>
  <c r="AJ310" i="23"/>
  <c r="Y330" i="23"/>
  <c r="AJ418" i="23"/>
  <c r="AH84" i="23"/>
  <c r="AG257" i="23"/>
  <c r="AJ382" i="23"/>
  <c r="AJ369" i="23"/>
  <c r="AJ385" i="23"/>
  <c r="AJ393" i="23"/>
  <c r="AJ394" i="23"/>
  <c r="AJ398" i="23"/>
  <c r="AJ300" i="24"/>
  <c r="O74" i="7"/>
  <c r="H74" i="7"/>
  <c r="AJ377" i="23"/>
  <c r="AJ366" i="23"/>
  <c r="AJ243" i="24"/>
  <c r="AI307" i="24"/>
  <c r="AE307" i="24"/>
  <c r="R105" i="23"/>
  <c r="AC84" i="23"/>
  <c r="AD85" i="23"/>
  <c r="AD86" i="23" s="1"/>
  <c r="AD84" i="23"/>
  <c r="AE85" i="23"/>
  <c r="AE86" i="23" s="1"/>
  <c r="AJ316" i="23"/>
  <c r="AJ357" i="23"/>
  <c r="AJ370" i="23"/>
  <c r="AJ386" i="23"/>
  <c r="AJ390" i="23"/>
  <c r="AJ41" i="24"/>
  <c r="AJ294" i="23"/>
  <c r="AJ97" i="24"/>
  <c r="AJ257" i="24"/>
  <c r="AJ269" i="24"/>
  <c r="AF85" i="23"/>
  <c r="AJ152" i="23"/>
  <c r="L86" i="17" s="1"/>
  <c r="AJ90" i="23"/>
  <c r="AJ312" i="23"/>
  <c r="AJ358" i="23"/>
  <c r="AJ401" i="23"/>
  <c r="AJ35" i="24"/>
  <c r="AJ400" i="23"/>
  <c r="AJ34" i="24"/>
  <c r="H67" i="7"/>
  <c r="M105" i="23"/>
  <c r="M427" i="23" s="1"/>
  <c r="K105" i="23"/>
  <c r="K427" i="23" s="1"/>
  <c r="AJ113" i="23"/>
  <c r="L38" i="17" s="1"/>
  <c r="M105" i="24"/>
  <c r="AJ113" i="24"/>
  <c r="AJ250" i="24"/>
  <c r="AJ324" i="24"/>
  <c r="H51" i="7"/>
  <c r="AJ97" i="23"/>
  <c r="AJ101" i="23" s="1"/>
  <c r="AJ135" i="23"/>
  <c r="L67" i="17" s="1"/>
  <c r="AJ147" i="23"/>
  <c r="L80" i="17" s="1"/>
  <c r="AF346" i="23"/>
  <c r="AA346" i="23"/>
  <c r="AH404" i="23"/>
  <c r="AE404" i="23"/>
  <c r="AJ49" i="24"/>
  <c r="AJ396" i="23"/>
  <c r="AJ53" i="24"/>
  <c r="AJ376" i="23"/>
  <c r="O349" i="23"/>
  <c r="O427" i="23" s="1"/>
  <c r="AJ11" i="24"/>
  <c r="AJ310" i="24"/>
  <c r="AJ139" i="23"/>
  <c r="L82" i="17" s="1"/>
  <c r="AJ155" i="23"/>
  <c r="L98" i="17" s="1"/>
  <c r="Z85" i="23"/>
  <c r="Z86" i="23" s="1"/>
  <c r="Z84" i="23"/>
  <c r="AJ143" i="23"/>
  <c r="L109" i="17" s="1"/>
  <c r="AJ159" i="23"/>
  <c r="L94" i="17" s="1"/>
  <c r="S349" i="23"/>
  <c r="S427" i="23" s="1"/>
  <c r="AJ260" i="23"/>
  <c r="AJ389" i="23"/>
  <c r="AJ364" i="23"/>
  <c r="AJ380" i="23"/>
  <c r="AJ165" i="23"/>
  <c r="L101" i="17" s="1"/>
  <c r="AJ11" i="23"/>
  <c r="L4" i="17" s="1"/>
  <c r="O36" i="17" s="1"/>
  <c r="AJ167" i="23"/>
  <c r="L88" i="17" s="1"/>
  <c r="H55" i="7"/>
  <c r="AG346" i="23"/>
  <c r="AJ271" i="23"/>
  <c r="AJ367" i="23"/>
  <c r="AJ371" i="23"/>
  <c r="AJ375" i="23"/>
  <c r="R105" i="24"/>
  <c r="T105" i="24"/>
  <c r="T333" i="24" s="1"/>
  <c r="Y85" i="24"/>
  <c r="AJ12" i="24"/>
  <c r="P333" i="24"/>
  <c r="K319" i="24"/>
  <c r="AJ119" i="23"/>
  <c r="L46" i="17" s="1"/>
  <c r="AJ163" i="23"/>
  <c r="L104" i="17" s="1"/>
  <c r="AJ151" i="23"/>
  <c r="L83" i="17" s="1"/>
  <c r="AE346" i="23"/>
  <c r="AJ37" i="24"/>
  <c r="AF101" i="24"/>
  <c r="AJ368" i="23"/>
  <c r="AJ384" i="23"/>
  <c r="V404" i="23"/>
  <c r="V413" i="23" s="1"/>
  <c r="AJ407" i="23"/>
  <c r="AJ88" i="24"/>
  <c r="V307" i="24"/>
  <c r="AJ87" i="23"/>
  <c r="AJ92" i="23" s="1"/>
  <c r="AJ127" i="23"/>
  <c r="L56" i="17" s="1"/>
  <c r="H63" i="7"/>
  <c r="AJ372" i="23"/>
  <c r="AJ388" i="23"/>
  <c r="AJ45" i="24"/>
  <c r="L114" i="17" s="1"/>
  <c r="AJ241" i="24"/>
  <c r="Q427" i="23"/>
  <c r="AA92" i="23"/>
  <c r="AA86" i="23"/>
  <c r="V85" i="24"/>
  <c r="X101" i="24"/>
  <c r="AJ101" i="24" s="1"/>
  <c r="AA101" i="24"/>
  <c r="V247" i="24"/>
  <c r="V262" i="24" s="1"/>
  <c r="Q262" i="24"/>
  <c r="Z307" i="24"/>
  <c r="AG86" i="23"/>
  <c r="AB92" i="23"/>
  <c r="Y346" i="23"/>
  <c r="V84" i="23"/>
  <c r="V105" i="23" s="1"/>
  <c r="N349" i="23"/>
  <c r="N427" i="23" s="1"/>
  <c r="L349" i="23"/>
  <c r="T349" i="23"/>
  <c r="T427" i="23" s="1"/>
  <c r="S333" i="24"/>
  <c r="K262" i="24"/>
  <c r="K333" i="24" s="1"/>
  <c r="X307" i="24"/>
  <c r="R262" i="24"/>
  <c r="R333" i="24" s="1"/>
  <c r="AF86" i="23"/>
  <c r="J333" i="24"/>
  <c r="AC86" i="23"/>
  <c r="Y86" i="23"/>
  <c r="AB346" i="23"/>
  <c r="V346" i="23"/>
  <c r="Z331" i="23"/>
  <c r="X331" i="23"/>
  <c r="Z92" i="24"/>
  <c r="AJ92" i="24" s="1"/>
  <c r="M262" i="24"/>
  <c r="M333" i="24" s="1"/>
  <c r="L262" i="24"/>
  <c r="L333" i="24" s="1"/>
  <c r="V316" i="24"/>
  <c r="Z342" i="23"/>
  <c r="Y331" i="23"/>
  <c r="L105" i="23"/>
  <c r="Z92" i="23"/>
  <c r="V257" i="23"/>
  <c r="J349" i="23"/>
  <c r="J427" i="23" s="1"/>
  <c r="R349" i="23"/>
  <c r="R427" i="23" s="1"/>
  <c r="AJ263" i="23"/>
  <c r="P349" i="23"/>
  <c r="P427" i="23" s="1"/>
  <c r="X346" i="23"/>
  <c r="I349" i="23"/>
  <c r="I427" i="23" s="1"/>
  <c r="AJ404" i="23"/>
  <c r="X404" i="23"/>
  <c r="N333" i="24"/>
  <c r="Q333" i="24"/>
  <c r="I262" i="24"/>
  <c r="I333" i="24" s="1"/>
  <c r="O319" i="24"/>
  <c r="O333" i="24" s="1"/>
  <c r="Z330" i="23"/>
  <c r="Y342" i="23"/>
  <c r="AJ85" i="23"/>
  <c r="AJ86" i="23" s="1"/>
  <c r="X85" i="23"/>
  <c r="X86" i="23" s="1"/>
  <c r="X84" i="23"/>
  <c r="X257" i="23"/>
  <c r="AJ257" i="23"/>
  <c r="X85" i="24"/>
  <c r="AJ85" i="24" s="1"/>
  <c r="AJ342" i="23" l="1"/>
  <c r="AK167" i="23"/>
  <c r="AJ330" i="23"/>
  <c r="AJ346" i="23"/>
  <c r="L427" i="23"/>
  <c r="AJ307" i="24"/>
  <c r="V105" i="24"/>
  <c r="H47" i="7"/>
  <c r="AJ331" i="23"/>
  <c r="V319" i="24"/>
  <c r="AK165" i="23"/>
  <c r="V333" i="24"/>
  <c r="J432" i="23" s="1"/>
  <c r="V349" i="23"/>
  <c r="V427" i="23" s="1"/>
  <c r="J431" i="23" s="1"/>
  <c r="AJ84" i="23"/>
  <c r="J434" i="23" l="1"/>
  <c r="G120" i="7"/>
  <c r="J90" i="17"/>
  <c r="G119" i="7" s="1"/>
  <c r="J87" i="17"/>
  <c r="J86" i="17"/>
  <c r="J83" i="17"/>
  <c r="G118" i="7" s="1"/>
  <c r="J85" i="17"/>
  <c r="J84" i="17"/>
  <c r="J81" i="17"/>
  <c r="J80" i="17"/>
  <c r="G68" i="7" s="1"/>
  <c r="J97" i="17"/>
  <c r="G121" i="7" s="1"/>
  <c r="J42" i="17"/>
  <c r="G116" i="7" s="1"/>
  <c r="G35" i="7"/>
  <c r="N99" i="17"/>
  <c r="L123" i="7" s="1"/>
  <c r="E93" i="22" s="1"/>
  <c r="J114" i="17"/>
  <c r="J113" i="17"/>
  <c r="J112" i="17"/>
  <c r="G38" i="7" s="1"/>
  <c r="J110" i="17"/>
  <c r="J109" i="17"/>
  <c r="J108" i="17"/>
  <c r="J100" i="17"/>
  <c r="G124" i="7" s="1"/>
  <c r="J107" i="17"/>
  <c r="K19" i="17"/>
  <c r="M19" i="17" s="1"/>
  <c r="F114" i="7" s="1"/>
  <c r="K18" i="17"/>
  <c r="K17" i="17"/>
  <c r="M17" i="17" s="1"/>
  <c r="F112" i="7" s="1"/>
  <c r="K16" i="17"/>
  <c r="M16" i="17" s="1"/>
  <c r="F111" i="7" s="1"/>
  <c r="J19" i="17"/>
  <c r="G114" i="7" s="1"/>
  <c r="H19" i="17"/>
  <c r="E114" i="7" s="1"/>
  <c r="M18" i="17"/>
  <c r="F113" i="7" s="1"/>
  <c r="J18" i="17"/>
  <c r="G113" i="7" s="1"/>
  <c r="H18" i="17"/>
  <c r="E113" i="7" s="1"/>
  <c r="J17" i="17"/>
  <c r="G112" i="7" s="1"/>
  <c r="H17" i="17"/>
  <c r="J16" i="17"/>
  <c r="G111" i="7" s="1"/>
  <c r="H16" i="17"/>
  <c r="E111" i="7" s="1"/>
  <c r="G71" i="7" l="1"/>
  <c r="G90" i="7"/>
  <c r="G70" i="7"/>
  <c r="O111" i="7"/>
  <c r="O112" i="7"/>
  <c r="H113" i="7"/>
  <c r="O113" i="7"/>
  <c r="H114" i="7"/>
  <c r="O114" i="7"/>
  <c r="H112" i="7"/>
  <c r="G40" i="7"/>
  <c r="D17" i="22"/>
  <c r="E112" i="7"/>
  <c r="H111" i="7"/>
  <c r="G39" i="7"/>
  <c r="K82" i="17"/>
  <c r="K72" i="17"/>
  <c r="K68" i="17"/>
  <c r="K60" i="17"/>
  <c r="K101" i="17"/>
  <c r="K88" i="17"/>
  <c r="K105" i="17"/>
  <c r="K104" i="17"/>
  <c r="K95" i="17"/>
  <c r="K94" i="17"/>
  <c r="K35" i="17"/>
  <c r="K34" i="17"/>
  <c r="M34" i="17" s="1"/>
  <c r="F33" i="7" s="1"/>
  <c r="K29" i="17"/>
  <c r="M29" i="17" s="1"/>
  <c r="K28" i="17"/>
  <c r="M28" i="17" s="1"/>
  <c r="F27" i="7" s="1"/>
  <c r="K21" i="17"/>
  <c r="M21" i="17" s="1"/>
  <c r="F20" i="7" s="1"/>
  <c r="K42" i="17"/>
  <c r="K97" i="17"/>
  <c r="K47" i="17"/>
  <c r="K54" i="17"/>
  <c r="K49" i="17"/>
  <c r="K43" i="17"/>
  <c r="K37" i="17"/>
  <c r="K36" i="17"/>
  <c r="K66" i="17"/>
  <c r="K65" i="17"/>
  <c r="K59" i="17"/>
  <c r="K90" i="17"/>
  <c r="K87" i="17"/>
  <c r="K86" i="17"/>
  <c r="K61" i="17"/>
  <c r="K15" i="17"/>
  <c r="K14" i="17"/>
  <c r="K13" i="17"/>
  <c r="K12" i="17"/>
  <c r="K99" i="17"/>
  <c r="K23" i="17"/>
  <c r="M23" i="17" s="1"/>
  <c r="F22" i="7" s="1"/>
  <c r="K85" i="17"/>
  <c r="K11" i="17"/>
  <c r="K10" i="17"/>
  <c r="K73" i="17"/>
  <c r="K71" i="17"/>
  <c r="K53" i="17"/>
  <c r="K48" i="17"/>
  <c r="K64" i="17"/>
  <c r="K70" i="17"/>
  <c r="K57" i="17"/>
  <c r="K52" i="17"/>
  <c r="K46" i="17"/>
  <c r="K40" i="17"/>
  <c r="K114" i="17"/>
  <c r="M114" i="17" s="1"/>
  <c r="F40" i="7" s="1"/>
  <c r="K112" i="17"/>
  <c r="M112" i="17" s="1"/>
  <c r="F38" i="7" s="1"/>
  <c r="K69" i="17"/>
  <c r="K110" i="17"/>
  <c r="K63" i="17"/>
  <c r="K108" i="17"/>
  <c r="K56" i="17"/>
  <c r="K51" i="17"/>
  <c r="K45" i="17"/>
  <c r="K39" i="17"/>
  <c r="O33" i="7" l="1"/>
  <c r="O20" i="7"/>
  <c r="O27" i="7"/>
  <c r="F28" i="7"/>
  <c r="O22" i="7"/>
  <c r="K98" i="17"/>
  <c r="K31" i="17"/>
  <c r="M31" i="17" s="1"/>
  <c r="F30" i="7" s="1"/>
  <c r="K30" i="17"/>
  <c r="M30" i="17" s="1"/>
  <c r="F29" i="7" s="1"/>
  <c r="K25" i="17"/>
  <c r="M25" i="17" s="1"/>
  <c r="F24" i="7" s="1"/>
  <c r="K24" i="17"/>
  <c r="M24" i="17" s="1"/>
  <c r="F23" i="7" s="1"/>
  <c r="K20" i="17"/>
  <c r="M20" i="17" s="1"/>
  <c r="F19" i="7" s="1"/>
  <c r="K7" i="17"/>
  <c r="K6" i="17"/>
  <c r="K113" i="17"/>
  <c r="M113" i="17" s="1"/>
  <c r="F39" i="7" s="1"/>
  <c r="K116" i="17"/>
  <c r="M116" i="17" s="1"/>
  <c r="F42" i="7" s="1"/>
  <c r="K115" i="17"/>
  <c r="M115" i="17" s="1"/>
  <c r="F41" i="7" s="1"/>
  <c r="K103" i="17"/>
  <c r="K102" i="17"/>
  <c r="K93" i="17"/>
  <c r="K92" i="17"/>
  <c r="K67" i="17"/>
  <c r="K109" i="17"/>
  <c r="K62" i="17"/>
  <c r="K83" i="17"/>
  <c r="K84" i="17"/>
  <c r="K81" i="17"/>
  <c r="K80" i="17"/>
  <c r="K100" i="17"/>
  <c r="K55" i="17"/>
  <c r="K107" i="17"/>
  <c r="K50" i="17"/>
  <c r="K44" i="17"/>
  <c r="K38" i="17"/>
  <c r="K33" i="17"/>
  <c r="M33" i="17" s="1"/>
  <c r="K32" i="17"/>
  <c r="M32" i="17" s="1"/>
  <c r="F31" i="7" s="1"/>
  <c r="K27" i="17"/>
  <c r="M27" i="17" s="1"/>
  <c r="K26" i="17"/>
  <c r="M26" i="17" s="1"/>
  <c r="F25" i="7" s="1"/>
  <c r="K22" i="17"/>
  <c r="M22" i="17" s="1"/>
  <c r="F21" i="7" s="1"/>
  <c r="K9" i="17"/>
  <c r="K8" i="17"/>
  <c r="K5" i="17"/>
  <c r="K4" i="17"/>
  <c r="M4" i="17" s="1"/>
  <c r="F9" i="7" s="1"/>
  <c r="J69" i="17"/>
  <c r="J70" i="17"/>
  <c r="J73" i="17"/>
  <c r="J82" i="17"/>
  <c r="J67" i="17"/>
  <c r="J63" i="17"/>
  <c r="J64" i="17"/>
  <c r="J71" i="17"/>
  <c r="J72" i="17"/>
  <c r="G72" i="7"/>
  <c r="G73" i="7"/>
  <c r="J65" i="17"/>
  <c r="G62" i="7" s="1"/>
  <c r="G117" i="7"/>
  <c r="J62" i="17"/>
  <c r="J56" i="17"/>
  <c r="J57" i="17"/>
  <c r="J68" i="17"/>
  <c r="J59" i="17"/>
  <c r="G58" i="7" s="1"/>
  <c r="J55" i="17"/>
  <c r="J54" i="17"/>
  <c r="G54" i="7" s="1"/>
  <c r="J61" i="17"/>
  <c r="J52" i="17"/>
  <c r="J51" i="17"/>
  <c r="J50" i="17"/>
  <c r="J49" i="17"/>
  <c r="G50" i="7" s="1"/>
  <c r="J60" i="17"/>
  <c r="J53" i="17"/>
  <c r="J46" i="17"/>
  <c r="J45" i="17"/>
  <c r="J44" i="17"/>
  <c r="J43" i="17"/>
  <c r="G46" i="7" s="1"/>
  <c r="J48" i="17"/>
  <c r="J40" i="17"/>
  <c r="J39" i="17"/>
  <c r="J38" i="17"/>
  <c r="J116" i="17"/>
  <c r="J106" i="17"/>
  <c r="G91" i="7" s="1"/>
  <c r="J105" i="17"/>
  <c r="G89" i="7" s="1"/>
  <c r="J104" i="17"/>
  <c r="G88" i="7" s="1"/>
  <c r="J103" i="17"/>
  <c r="G87" i="7" s="1"/>
  <c r="J102" i="17"/>
  <c r="G86" i="7" s="1"/>
  <c r="J35" i="17"/>
  <c r="G34" i="7" s="1"/>
  <c r="J34" i="17"/>
  <c r="G33" i="7" s="1"/>
  <c r="J33" i="17"/>
  <c r="J32" i="17"/>
  <c r="G31" i="7" s="1"/>
  <c r="J31" i="17"/>
  <c r="G30" i="7" s="1"/>
  <c r="J30" i="17"/>
  <c r="G29" i="7" s="1"/>
  <c r="J115" i="17"/>
  <c r="J101" i="17"/>
  <c r="G82" i="7" s="1"/>
  <c r="J95" i="17"/>
  <c r="J94" i="17"/>
  <c r="J99" i="17"/>
  <c r="G123" i="7" s="1"/>
  <c r="J93" i="17"/>
  <c r="G79" i="7" s="1"/>
  <c r="J92" i="17"/>
  <c r="J98" i="17"/>
  <c r="G122" i="7" s="1"/>
  <c r="J29" i="17"/>
  <c r="G28" i="7" s="1"/>
  <c r="J28" i="17"/>
  <c r="G27" i="7" s="1"/>
  <c r="J27" i="17"/>
  <c r="J26" i="17"/>
  <c r="G25" i="7" s="1"/>
  <c r="J25" i="17"/>
  <c r="G24" i="7" s="1"/>
  <c r="O24" i="7" l="1"/>
  <c r="O29" i="7"/>
  <c r="O28" i="7"/>
  <c r="O19" i="7"/>
  <c r="O30" i="7"/>
  <c r="O23" i="7"/>
  <c r="H27" i="7"/>
  <c r="H33" i="7"/>
  <c r="O9" i="7"/>
  <c r="G81" i="7"/>
  <c r="G80" i="7"/>
  <c r="G83" i="7"/>
  <c r="G69" i="7"/>
  <c r="G78" i="7"/>
  <c r="G77" i="7"/>
  <c r="H29" i="7"/>
  <c r="G32" i="7"/>
  <c r="G42" i="7"/>
  <c r="G85" i="7"/>
  <c r="G75" i="7"/>
  <c r="G76" i="7"/>
  <c r="H31" i="7"/>
  <c r="H30" i="7"/>
  <c r="H28" i="7"/>
  <c r="G26" i="7"/>
  <c r="G41" i="7"/>
  <c r="G84" i="7"/>
  <c r="F32" i="7"/>
  <c r="F26" i="7"/>
  <c r="O26" i="7" s="1"/>
  <c r="H25" i="7"/>
  <c r="O25" i="7"/>
  <c r="H24" i="7"/>
  <c r="O21" i="7"/>
  <c r="J24" i="17"/>
  <c r="G23" i="7" s="1"/>
  <c r="G22" i="7"/>
  <c r="J22" i="17"/>
  <c r="G21" i="7" s="1"/>
  <c r="H21" i="7" s="1"/>
  <c r="J21" i="17"/>
  <c r="G20" i="7" s="1"/>
  <c r="J20" i="17"/>
  <c r="G19" i="7" s="1"/>
  <c r="J15" i="17"/>
  <c r="G18" i="7" s="1"/>
  <c r="J14" i="17"/>
  <c r="G17" i="7" s="1"/>
  <c r="J13" i="17"/>
  <c r="G16" i="7" s="1"/>
  <c r="J12" i="17"/>
  <c r="G110" i="7" s="1"/>
  <c r="J11" i="17"/>
  <c r="G15" i="7" s="1"/>
  <c r="J10" i="17"/>
  <c r="G14" i="7" s="1"/>
  <c r="J9" i="17"/>
  <c r="G13" i="7" s="1"/>
  <c r="J8" i="17"/>
  <c r="G12" i="7" s="1"/>
  <c r="J7" i="17"/>
  <c r="G11" i="7" s="1"/>
  <c r="J6" i="17"/>
  <c r="G10" i="7" s="1"/>
  <c r="H22" i="7" l="1"/>
  <c r="H19" i="7"/>
  <c r="H23" i="7"/>
  <c r="H20" i="7"/>
  <c r="H32" i="7"/>
  <c r="H26" i="7"/>
  <c r="H8" i="17"/>
  <c r="E12" i="7" s="1"/>
  <c r="H9" i="17"/>
  <c r="E13" i="7" s="1"/>
  <c r="H10" i="17"/>
  <c r="E14" i="7" s="1"/>
  <c r="H11" i="17"/>
  <c r="E15" i="7" s="1"/>
  <c r="H12" i="17"/>
  <c r="E110" i="7" s="1"/>
  <c r="H13" i="17"/>
  <c r="E16" i="7" s="1"/>
  <c r="H14" i="17"/>
  <c r="E17" i="7" s="1"/>
  <c r="H15" i="17"/>
  <c r="E18" i="7" s="1"/>
  <c r="H20" i="17"/>
  <c r="E19" i="7" s="1"/>
  <c r="H21" i="17"/>
  <c r="E20" i="7" s="1"/>
  <c r="H22" i="17"/>
  <c r="E21" i="7" s="1"/>
  <c r="H23" i="17"/>
  <c r="E22" i="7" s="1"/>
  <c r="H24" i="17"/>
  <c r="E23" i="7" s="1"/>
  <c r="H25" i="17"/>
  <c r="E24" i="7" s="1"/>
  <c r="H26" i="17"/>
  <c r="E25" i="7" s="1"/>
  <c r="H27" i="17"/>
  <c r="D100" i="22" s="1"/>
  <c r="H28" i="17"/>
  <c r="E27" i="7" s="1"/>
  <c r="H29" i="17"/>
  <c r="E28" i="7" s="1"/>
  <c r="H30" i="17"/>
  <c r="E29" i="7" s="1"/>
  <c r="H31" i="17"/>
  <c r="E30" i="7" s="1"/>
  <c r="H32" i="17"/>
  <c r="E31" i="7" s="1"/>
  <c r="H33" i="17"/>
  <c r="D101" i="22" s="1"/>
  <c r="H34" i="17"/>
  <c r="E33" i="7" s="1"/>
  <c r="H35" i="17"/>
  <c r="E34" i="7" s="1"/>
  <c r="H36" i="17"/>
  <c r="E35" i="7" s="1"/>
  <c r="H37" i="17"/>
  <c r="E36" i="7" s="1"/>
  <c r="H48" i="17"/>
  <c r="H44" i="17"/>
  <c r="H45" i="17"/>
  <c r="H46" i="17"/>
  <c r="H53" i="17"/>
  <c r="H60" i="17"/>
  <c r="H50" i="17"/>
  <c r="H51" i="17"/>
  <c r="H52" i="17"/>
  <c r="H61" i="17"/>
  <c r="H55" i="17"/>
  <c r="H56" i="17"/>
  <c r="H57" i="17"/>
  <c r="H68" i="17"/>
  <c r="H62" i="17"/>
  <c r="H63" i="17"/>
  <c r="H64" i="17"/>
  <c r="H71" i="17"/>
  <c r="H72" i="17"/>
  <c r="H67" i="17"/>
  <c r="H69" i="17"/>
  <c r="H70" i="17"/>
  <c r="H73" i="17"/>
  <c r="H82" i="17"/>
  <c r="H107" i="17"/>
  <c r="D94" i="22" s="1"/>
  <c r="H108" i="17"/>
  <c r="D95" i="22" s="1"/>
  <c r="H109" i="17"/>
  <c r="D96" i="22" s="1"/>
  <c r="H110" i="17"/>
  <c r="H80" i="17"/>
  <c r="H81" i="17"/>
  <c r="H84" i="17"/>
  <c r="D69" i="22" s="1"/>
  <c r="H85" i="17"/>
  <c r="D70" i="22" s="1"/>
  <c r="H83" i="17"/>
  <c r="H86" i="17"/>
  <c r="D71" i="22" s="1"/>
  <c r="H87" i="17"/>
  <c r="D72" i="22" s="1"/>
  <c r="H90" i="17"/>
  <c r="H98" i="17"/>
  <c r="H92" i="17"/>
  <c r="D73" i="22" s="1"/>
  <c r="H93" i="17"/>
  <c r="D74" i="22" s="1"/>
  <c r="H99" i="17"/>
  <c r="H94" i="17"/>
  <c r="H95" i="17"/>
  <c r="H102" i="17"/>
  <c r="D77" i="22" s="1"/>
  <c r="H103" i="17"/>
  <c r="H104" i="17"/>
  <c r="H105" i="17"/>
  <c r="H101" i="17"/>
  <c r="D81" i="22" s="1"/>
  <c r="H106" i="17"/>
  <c r="H88" i="17"/>
  <c r="D82" i="22" s="1"/>
  <c r="H89" i="17"/>
  <c r="D86" i="22" s="1"/>
  <c r="H96" i="17"/>
  <c r="H43" i="17"/>
  <c r="E46" i="7" s="1"/>
  <c r="H49" i="17"/>
  <c r="E50" i="7" s="1"/>
  <c r="H54" i="17"/>
  <c r="E54" i="7" s="1"/>
  <c r="H59" i="17"/>
  <c r="E58" i="7" s="1"/>
  <c r="H65" i="17"/>
  <c r="E62" i="7" s="1"/>
  <c r="H66" i="17"/>
  <c r="H47" i="17"/>
  <c r="H97" i="17"/>
  <c r="H42" i="17"/>
  <c r="D41" i="22" s="1"/>
  <c r="H115" i="17"/>
  <c r="H116" i="17"/>
  <c r="H112" i="17"/>
  <c r="H113" i="17"/>
  <c r="H114" i="17"/>
  <c r="D97" i="22" l="1"/>
  <c r="E90" i="7"/>
  <c r="E66" i="7"/>
  <c r="D65" i="22"/>
  <c r="E122" i="7"/>
  <c r="D92" i="22"/>
  <c r="E118" i="7"/>
  <c r="D88" i="22"/>
  <c r="E124" i="7"/>
  <c r="D98" i="22"/>
  <c r="E38" i="7"/>
  <c r="D133" i="22"/>
  <c r="E121" i="7"/>
  <c r="D91" i="22"/>
  <c r="E120" i="7"/>
  <c r="D90" i="22"/>
  <c r="E117" i="7"/>
  <c r="D42" i="22"/>
  <c r="E40" i="7"/>
  <c r="D135" i="22"/>
  <c r="E39" i="7"/>
  <c r="D134" i="22"/>
  <c r="D87" i="22"/>
  <c r="E87" i="7"/>
  <c r="D78" i="22"/>
  <c r="E123" i="7"/>
  <c r="D93" i="22"/>
  <c r="E119" i="7"/>
  <c r="D89" i="22"/>
  <c r="E116" i="7"/>
  <c r="E73" i="7"/>
  <c r="E89" i="7"/>
  <c r="E83" i="7"/>
  <c r="E32" i="7"/>
  <c r="E42" i="7"/>
  <c r="E26" i="7"/>
  <c r="E41" i="7"/>
  <c r="E84" i="7"/>
  <c r="E81" i="7"/>
  <c r="E88" i="7"/>
  <c r="E78" i="7"/>
  <c r="E85" i="7"/>
  <c r="E72" i="7"/>
  <c r="E80" i="7"/>
  <c r="E77" i="7"/>
  <c r="E71" i="7"/>
  <c r="E76" i="7"/>
  <c r="E69" i="7"/>
  <c r="E82" i="7"/>
  <c r="E86" i="7"/>
  <c r="E79" i="7"/>
  <c r="E70" i="7"/>
  <c r="E75" i="7"/>
  <c r="E68" i="7"/>
  <c r="H5" i="17" l="1"/>
  <c r="E109" i="7" s="1"/>
  <c r="H6" i="17"/>
  <c r="E10" i="7" s="1"/>
  <c r="H7" i="17"/>
  <c r="E11" i="7" s="1"/>
  <c r="H4" i="17"/>
  <c r="G52" i="7" l="1"/>
  <c r="E9" i="7"/>
  <c r="G61" i="7"/>
  <c r="G53" i="7"/>
  <c r="G45" i="7"/>
  <c r="G60" i="7"/>
  <c r="G65" i="7"/>
  <c r="G57" i="7"/>
  <c r="G49" i="7"/>
  <c r="G44" i="7"/>
  <c r="G64" i="7"/>
  <c r="G56" i="7"/>
  <c r="G48" i="7"/>
  <c r="D4" i="22"/>
  <c r="E100" i="7" l="1"/>
  <c r="M93" i="17"/>
  <c r="F76" i="7" s="1"/>
  <c r="M99" i="17"/>
  <c r="F123" i="7" s="1"/>
  <c r="H123" i="7" s="1"/>
  <c r="M94" i="17"/>
  <c r="F77" i="7" s="1"/>
  <c r="M95" i="17"/>
  <c r="F78" i="7" s="1"/>
  <c r="M102" i="17"/>
  <c r="F79" i="7" s="1"/>
  <c r="M103" i="17"/>
  <c r="F80" i="7" s="1"/>
  <c r="M104" i="17"/>
  <c r="F81" i="7" s="1"/>
  <c r="M92" i="17"/>
  <c r="F75" i="7" s="1"/>
  <c r="M50" i="17"/>
  <c r="O77" i="7" l="1"/>
  <c r="O81" i="7"/>
  <c r="O79" i="7"/>
  <c r="O76" i="7"/>
  <c r="O80" i="7"/>
  <c r="O75" i="7"/>
  <c r="O78" i="7"/>
  <c r="H81" i="7"/>
  <c r="H77" i="7"/>
  <c r="H80" i="7"/>
  <c r="H79" i="7"/>
  <c r="H76" i="7"/>
  <c r="H75" i="7"/>
  <c r="H78" i="7"/>
  <c r="D33" i="22"/>
  <c r="D24" i="22"/>
  <c r="D25" i="22"/>
  <c r="D35" i="22"/>
  <c r="D40" i="22"/>
  <c r="D27" i="22"/>
  <c r="D36" i="22"/>
  <c r="D23" i="22"/>
  <c r="D28" i="22"/>
  <c r="D31" i="22"/>
  <c r="D30" i="22"/>
  <c r="D22" i="22"/>
  <c r="D32" i="22"/>
  <c r="D26" i="22"/>
  <c r="D29" i="22"/>
  <c r="D21" i="22"/>
  <c r="D34" i="22"/>
  <c r="D5" i="22"/>
  <c r="D9" i="22"/>
  <c r="D13" i="22"/>
  <c r="D6" i="22"/>
  <c r="D10" i="22"/>
  <c r="D14" i="22"/>
  <c r="D18" i="22"/>
  <c r="D7" i="22"/>
  <c r="D11" i="22"/>
  <c r="D15" i="22"/>
  <c r="D19" i="22"/>
  <c r="D8" i="22"/>
  <c r="D12" i="22"/>
  <c r="D16" i="22"/>
  <c r="D20" i="22"/>
  <c r="M40" i="17" l="1"/>
  <c r="M39" i="17"/>
  <c r="C67" i="4" l="1"/>
  <c r="M81" i="17" l="1"/>
  <c r="F69" i="7" s="1"/>
  <c r="M98" i="17"/>
  <c r="F122" i="7" s="1"/>
  <c r="H122" i="7" s="1"/>
  <c r="M43" i="17"/>
  <c r="F46" i="7" s="1"/>
  <c r="O46" i="7" s="1"/>
  <c r="M49" i="17"/>
  <c r="F50" i="7" s="1"/>
  <c r="O50" i="7" s="1"/>
  <c r="M54" i="17"/>
  <c r="F54" i="7" s="1"/>
  <c r="O54" i="7" s="1"/>
  <c r="M59" i="17"/>
  <c r="F58" i="7" s="1"/>
  <c r="O58" i="7" s="1"/>
  <c r="M65" i="17"/>
  <c r="F62" i="7" s="1"/>
  <c r="O62" i="7" s="1"/>
  <c r="M66" i="17"/>
  <c r="F66" i="7" s="1"/>
  <c r="O66" i="7" s="1"/>
  <c r="M42" i="17"/>
  <c r="F116" i="7" s="1"/>
  <c r="H116" i="7" s="1"/>
  <c r="M36" i="17"/>
  <c r="F35" i="7" s="1"/>
  <c r="H35" i="7" s="1"/>
  <c r="M35" i="17"/>
  <c r="F34" i="7" s="1"/>
  <c r="M15" i="17"/>
  <c r="F18" i="7" s="1"/>
  <c r="M14" i="17"/>
  <c r="F17" i="7" s="1"/>
  <c r="H34" i="7" l="1"/>
  <c r="O34" i="7"/>
  <c r="O17" i="7"/>
  <c r="O69" i="7"/>
  <c r="H66" i="7"/>
  <c r="H50" i="7"/>
  <c r="H62" i="7"/>
  <c r="H46" i="7"/>
  <c r="H58" i="7"/>
  <c r="H54" i="7"/>
  <c r="O116" i="7"/>
  <c r="H69" i="7"/>
  <c r="O18" i="7"/>
  <c r="H18" i="7"/>
  <c r="H17" i="7"/>
  <c r="M62" i="17"/>
  <c r="M71" i="17"/>
  <c r="M60" i="17"/>
  <c r="M44" i="17"/>
  <c r="M84" i="17"/>
  <c r="F70" i="7" s="1"/>
  <c r="M55" i="17"/>
  <c r="M109" i="17"/>
  <c r="F89" i="7" s="1"/>
  <c r="M73" i="17"/>
  <c r="M87" i="17"/>
  <c r="F73" i="7" s="1"/>
  <c r="M80" i="17"/>
  <c r="F68" i="7" s="1"/>
  <c r="O68" i="7" s="1"/>
  <c r="M64" i="17"/>
  <c r="M38" i="17"/>
  <c r="M48" i="17"/>
  <c r="M110" i="17"/>
  <c r="M47" i="17"/>
  <c r="F117" i="7" s="1"/>
  <c r="M7" i="17"/>
  <c r="F11" i="7" s="1"/>
  <c r="M100" i="17"/>
  <c r="F124" i="7" s="1"/>
  <c r="H124" i="7" s="1"/>
  <c r="M37" i="17"/>
  <c r="F36" i="7" s="1"/>
  <c r="M8" i="17"/>
  <c r="F12" i="7" s="1"/>
  <c r="M69" i="17"/>
  <c r="M82" i="17"/>
  <c r="M105" i="17"/>
  <c r="F82" i="7" s="1"/>
  <c r="M5" i="17"/>
  <c r="F109" i="7" s="1"/>
  <c r="M56" i="17"/>
  <c r="M11" i="17"/>
  <c r="F15" i="7" s="1"/>
  <c r="M6" i="17"/>
  <c r="F10" i="7" s="1"/>
  <c r="M97" i="17"/>
  <c r="F121" i="7" s="1"/>
  <c r="H121" i="7" s="1"/>
  <c r="M85" i="17"/>
  <c r="F71" i="7" s="1"/>
  <c r="M68" i="17"/>
  <c r="M88" i="17"/>
  <c r="F84" i="7" s="1"/>
  <c r="M12" i="17"/>
  <c r="F110" i="7" s="1"/>
  <c r="M83" i="17"/>
  <c r="F118" i="7" s="1"/>
  <c r="H118" i="7" s="1"/>
  <c r="M72" i="17"/>
  <c r="O11" i="7" l="1"/>
  <c r="O10" i="7"/>
  <c r="O89" i="7"/>
  <c r="O15" i="7"/>
  <c r="O70" i="7"/>
  <c r="O73" i="7"/>
  <c r="O71" i="7"/>
  <c r="O82" i="7"/>
  <c r="F91" i="7"/>
  <c r="F90" i="7"/>
  <c r="F44" i="7"/>
  <c r="O44" i="7" s="1"/>
  <c r="H117" i="7"/>
  <c r="O117" i="7"/>
  <c r="H110" i="7"/>
  <c r="O110" i="7"/>
  <c r="H82" i="7"/>
  <c r="H68" i="7"/>
  <c r="H84" i="7"/>
  <c r="O84" i="7"/>
  <c r="H73" i="7"/>
  <c r="H70" i="7"/>
  <c r="H71" i="7"/>
  <c r="H89" i="7"/>
  <c r="H11" i="7"/>
  <c r="H12" i="7"/>
  <c r="O12" i="7"/>
  <c r="H10" i="7"/>
  <c r="H15" i="7"/>
  <c r="M63" i="17"/>
  <c r="M67" i="17"/>
  <c r="M9" i="17"/>
  <c r="F13" i="7" s="1"/>
  <c r="M86" i="17"/>
  <c r="F72" i="7" s="1"/>
  <c r="M52" i="17"/>
  <c r="M46" i="17"/>
  <c r="M51" i="17"/>
  <c r="M13" i="17"/>
  <c r="F16" i="7" s="1"/>
  <c r="M45" i="17"/>
  <c r="M108" i="17"/>
  <c r="F88" i="7" s="1"/>
  <c r="M57" i="17"/>
  <c r="M70" i="17"/>
  <c r="M107" i="17"/>
  <c r="F87" i="7" s="1"/>
  <c r="M90" i="17"/>
  <c r="F119" i="7" s="1"/>
  <c r="H119" i="7" s="1"/>
  <c r="M53" i="17"/>
  <c r="M101" i="17"/>
  <c r="F83" i="7" s="1"/>
  <c r="M61" i="17"/>
  <c r="M10" i="17"/>
  <c r="F14" i="7" s="1"/>
  <c r="O91" i="7" l="1"/>
  <c r="O88" i="7"/>
  <c r="O87" i="7"/>
  <c r="O90" i="7"/>
  <c r="H91" i="7"/>
  <c r="O14" i="7"/>
  <c r="O16" i="7"/>
  <c r="O72" i="7"/>
  <c r="H90" i="7"/>
  <c r="F37" i="7"/>
  <c r="F52" i="7"/>
  <c r="O52" i="7" s="1"/>
  <c r="F45" i="7"/>
  <c r="O45" i="7" s="1"/>
  <c r="H44" i="7"/>
  <c r="F48" i="7"/>
  <c r="O48" i="7" s="1"/>
  <c r="F64" i="7"/>
  <c r="O64" i="7" s="1"/>
  <c r="F60" i="7"/>
  <c r="O60" i="7" s="1"/>
  <c r="F56" i="7"/>
  <c r="O56" i="7" s="1"/>
  <c r="H87" i="7"/>
  <c r="H72" i="7"/>
  <c r="H83" i="7"/>
  <c r="O83" i="7"/>
  <c r="H88" i="7"/>
  <c r="H16" i="7"/>
  <c r="H13" i="7"/>
  <c r="O13" i="7"/>
  <c r="H14" i="7"/>
  <c r="R8" i="17"/>
  <c r="R7" i="17"/>
  <c r="T7" i="17" s="1"/>
  <c r="R6" i="17"/>
  <c r="S7" i="17" l="1"/>
  <c r="S8" i="17"/>
  <c r="T8" i="17"/>
  <c r="S6" i="17"/>
  <c r="T6" i="17"/>
  <c r="H52" i="7"/>
  <c r="F53" i="7"/>
  <c r="O53" i="7" s="1"/>
  <c r="F61" i="7"/>
  <c r="O61" i="7" s="1"/>
  <c r="H60" i="7"/>
  <c r="H45" i="7"/>
  <c r="F65" i="7"/>
  <c r="O65" i="7" s="1"/>
  <c r="H64" i="7"/>
  <c r="F57" i="7"/>
  <c r="O57" i="7" s="1"/>
  <c r="H56" i="7"/>
  <c r="F49" i="7"/>
  <c r="O49" i="7" s="1"/>
  <c r="H48" i="7"/>
  <c r="K106" i="17"/>
  <c r="J37" i="17"/>
  <c r="G36" i="7" s="1"/>
  <c r="H36" i="7" s="1"/>
  <c r="J4" i="17"/>
  <c r="G9" i="7" s="1"/>
  <c r="J5" i="17"/>
  <c r="G109" i="7" s="1"/>
  <c r="H109" i="7" l="1"/>
  <c r="H9" i="7"/>
  <c r="H37" i="7" s="1"/>
  <c r="H53" i="7"/>
  <c r="H65" i="7"/>
  <c r="H49" i="7"/>
  <c r="H57" i="7"/>
  <c r="H61" i="7"/>
  <c r="M106" i="17"/>
  <c r="F86" i="7" s="1"/>
  <c r="M96" i="17"/>
  <c r="F120" i="7" s="1"/>
  <c r="H120" i="7" s="1"/>
  <c r="M89" i="17"/>
  <c r="F85" i="7" s="1"/>
  <c r="O38" i="7"/>
  <c r="O41" i="7"/>
  <c r="O32" i="7"/>
  <c r="O39" i="7"/>
  <c r="O42" i="7"/>
  <c r="O31" i="7"/>
  <c r="O40" i="7"/>
  <c r="H85" i="7" l="1"/>
  <c r="O85" i="7"/>
  <c r="H86" i="7"/>
  <c r="O86" i="7"/>
  <c r="F115" i="7"/>
  <c r="F125" i="7"/>
  <c r="F92" i="7"/>
  <c r="O36" i="7"/>
  <c r="O35" i="7"/>
  <c r="O124" i="7"/>
  <c r="O123" i="7"/>
  <c r="H41" i="7"/>
  <c r="O122" i="7"/>
  <c r="O121" i="7"/>
  <c r="O120" i="7"/>
  <c r="O109" i="7"/>
  <c r="H40" i="7"/>
  <c r="O118" i="7"/>
  <c r="H42" i="7"/>
  <c r="H38" i="7"/>
  <c r="O119" i="7"/>
  <c r="H39" i="7"/>
  <c r="F43" i="7"/>
  <c r="H60" i="4"/>
  <c r="H92" i="7" l="1"/>
  <c r="F93" i="7"/>
  <c r="O92" i="7"/>
  <c r="J101" i="7" s="1"/>
  <c r="O115" i="7"/>
  <c r="O125" i="7"/>
  <c r="H125" i="7"/>
  <c r="H115" i="7"/>
  <c r="O37" i="7"/>
  <c r="H43" i="7"/>
  <c r="E105" i="7" s="1"/>
  <c r="O43" i="7"/>
  <c r="J100" i="7" s="1"/>
  <c r="C40" i="4"/>
  <c r="J99" i="7" l="1"/>
  <c r="F126" i="22"/>
  <c r="F118" i="22"/>
  <c r="F110" i="22"/>
  <c r="F102" i="22"/>
  <c r="F130" i="22"/>
  <c r="F122" i="22"/>
  <c r="F114" i="22"/>
  <c r="F106" i="22"/>
  <c r="F129" i="22"/>
  <c r="F113" i="22"/>
  <c r="F105" i="22"/>
  <c r="F121" i="22"/>
  <c r="F125" i="22"/>
  <c r="F117" i="22"/>
  <c r="F109" i="22"/>
  <c r="I41" i="7"/>
  <c r="I42" i="7"/>
  <c r="I40" i="7"/>
  <c r="I39" i="7"/>
  <c r="I38" i="7"/>
  <c r="H93" i="7"/>
  <c r="E101" i="7" s="1"/>
  <c r="C61" i="4"/>
  <c r="F111" i="22" l="1"/>
  <c r="F112" i="22"/>
  <c r="F119" i="22"/>
  <c r="F120" i="22"/>
  <c r="F107" i="22"/>
  <c r="F108" i="22"/>
  <c r="F115" i="22"/>
  <c r="F116" i="22"/>
  <c r="F123" i="22"/>
  <c r="F124" i="22"/>
  <c r="F131" i="22"/>
  <c r="F132" i="22"/>
  <c r="F127" i="22"/>
  <c r="F128" i="22"/>
  <c r="I90" i="7"/>
  <c r="J90" i="7" s="1"/>
  <c r="K90" i="7" s="1"/>
  <c r="M90" i="7" s="1"/>
  <c r="N90" i="7" s="1"/>
  <c r="I74" i="7"/>
  <c r="J74" i="7" s="1"/>
  <c r="K74" i="7" s="1"/>
  <c r="I7" i="7"/>
  <c r="I8" i="7"/>
  <c r="J8" i="7" s="1"/>
  <c r="K8" i="7" s="1"/>
  <c r="M8" i="7" s="1"/>
  <c r="N8" i="7" s="1"/>
  <c r="I9" i="7"/>
  <c r="J9" i="7" s="1"/>
  <c r="K9" i="7" s="1"/>
  <c r="M9" i="7" s="1"/>
  <c r="N9" i="7" s="1"/>
  <c r="P9" i="7" s="1"/>
  <c r="Q9" i="7" s="1"/>
  <c r="E61" i="4"/>
  <c r="I47" i="7"/>
  <c r="I52" i="7"/>
  <c r="I55" i="7"/>
  <c r="I60" i="7"/>
  <c r="I63" i="7"/>
  <c r="I50" i="7"/>
  <c r="I53" i="7"/>
  <c r="I58" i="7"/>
  <c r="I61" i="7"/>
  <c r="I66" i="7"/>
  <c r="I48" i="7"/>
  <c r="I51" i="7"/>
  <c r="I56" i="7"/>
  <c r="I59" i="7"/>
  <c r="I64" i="7"/>
  <c r="I67" i="7"/>
  <c r="I49" i="7"/>
  <c r="I54" i="7"/>
  <c r="I57" i="7"/>
  <c r="I62" i="7"/>
  <c r="I65" i="7"/>
  <c r="I45" i="7"/>
  <c r="I44" i="7"/>
  <c r="I46" i="7"/>
  <c r="I110" i="7"/>
  <c r="I113" i="7"/>
  <c r="I111" i="7"/>
  <c r="I112" i="7"/>
  <c r="I116" i="7"/>
  <c r="I114" i="7"/>
  <c r="I109" i="7"/>
  <c r="I71" i="7"/>
  <c r="I85" i="7"/>
  <c r="I78" i="7"/>
  <c r="I81" i="7"/>
  <c r="I88" i="7"/>
  <c r="I70" i="7"/>
  <c r="I84" i="7"/>
  <c r="I77" i="7"/>
  <c r="I80" i="7"/>
  <c r="I87" i="7"/>
  <c r="I69" i="7"/>
  <c r="I73" i="7"/>
  <c r="I76" i="7"/>
  <c r="I79" i="7"/>
  <c r="I86" i="7"/>
  <c r="I91" i="7"/>
  <c r="I68" i="7"/>
  <c r="I72" i="7"/>
  <c r="I75" i="7"/>
  <c r="I83" i="7"/>
  <c r="I82" i="7"/>
  <c r="I89" i="7"/>
  <c r="I10" i="7"/>
  <c r="J10" i="7" s="1"/>
  <c r="I13" i="7"/>
  <c r="J13" i="7" s="1"/>
  <c r="I18" i="7"/>
  <c r="J18" i="7" s="1"/>
  <c r="I21" i="7"/>
  <c r="J21" i="7" s="1"/>
  <c r="I26" i="7"/>
  <c r="J26" i="7" s="1"/>
  <c r="I11" i="7"/>
  <c r="J11" i="7" s="1"/>
  <c r="I12" i="7"/>
  <c r="J12" i="7" s="1"/>
  <c r="I19" i="7"/>
  <c r="J19" i="7" s="1"/>
  <c r="I20" i="7"/>
  <c r="J20" i="7" s="1"/>
  <c r="I27" i="7"/>
  <c r="J27" i="7" s="1"/>
  <c r="I14" i="7"/>
  <c r="J14" i="7" s="1"/>
  <c r="I17" i="7"/>
  <c r="J17" i="7" s="1"/>
  <c r="I22" i="7"/>
  <c r="J22" i="7" s="1"/>
  <c r="I25" i="7"/>
  <c r="J25" i="7" s="1"/>
  <c r="I15" i="7"/>
  <c r="J15" i="7" s="1"/>
  <c r="I16" i="7"/>
  <c r="J16" i="7" s="1"/>
  <c r="I23" i="7"/>
  <c r="J23" i="7" s="1"/>
  <c r="I24" i="7"/>
  <c r="J24" i="7" s="1"/>
  <c r="I34" i="7"/>
  <c r="J34" i="7" s="1"/>
  <c r="C54" i="4"/>
  <c r="C53" i="4"/>
  <c r="C51" i="4"/>
  <c r="C50" i="4"/>
  <c r="C49" i="4"/>
  <c r="C47" i="4"/>
  <c r="C46" i="4"/>
  <c r="C45" i="4"/>
  <c r="C44" i="4"/>
  <c r="C42" i="4"/>
  <c r="C41" i="4"/>
  <c r="F97" i="22" l="1"/>
  <c r="P90" i="7"/>
  <c r="Q90" i="7" s="1"/>
  <c r="R90" i="7"/>
  <c r="M74" i="7"/>
  <c r="R74" i="7" s="1"/>
  <c r="R8" i="7"/>
  <c r="R9" i="7"/>
  <c r="P8" i="7"/>
  <c r="Q8" i="7" s="1"/>
  <c r="F3" i="22"/>
  <c r="J7" i="7"/>
  <c r="K7" i="7" s="1"/>
  <c r="M7" i="7" s="1"/>
  <c r="R7" i="7" s="1"/>
  <c r="I115" i="7"/>
  <c r="C7" i="4"/>
  <c r="C8" i="4"/>
  <c r="C9" i="4"/>
  <c r="C10" i="4"/>
  <c r="N74" i="7" l="1"/>
  <c r="E9" i="4"/>
  <c r="D8" i="4"/>
  <c r="F8" i="4"/>
  <c r="H8" i="4"/>
  <c r="G9" i="4"/>
  <c r="D9" i="4"/>
  <c r="E8" i="4"/>
  <c r="G8" i="4"/>
  <c r="I8" i="4"/>
  <c r="D10" i="4"/>
  <c r="I10" i="4"/>
  <c r="F9" i="4"/>
  <c r="H9" i="4"/>
  <c r="I9" i="4"/>
  <c r="D7" i="4"/>
  <c r="E7" i="4"/>
  <c r="F7" i="4"/>
  <c r="G7" i="4"/>
  <c r="H7" i="4"/>
  <c r="I7" i="4"/>
  <c r="P74" i="7" l="1"/>
  <c r="Q74" i="7" s="1"/>
  <c r="H10" i="4"/>
  <c r="G10" i="4"/>
  <c r="F10" i="4"/>
  <c r="E10" i="4"/>
  <c r="H59" i="4" l="1"/>
  <c r="D60" i="4"/>
  <c r="D59" i="4"/>
  <c r="C13" i="4"/>
  <c r="C12" i="4"/>
  <c r="C11" i="4"/>
  <c r="D61" i="4" l="1"/>
  <c r="C65" i="4"/>
  <c r="I12" i="4"/>
  <c r="H12" i="4"/>
  <c r="G12" i="4"/>
  <c r="F12" i="4"/>
  <c r="E12" i="4"/>
  <c r="D12" i="4"/>
  <c r="I11" i="4"/>
  <c r="D11" i="4"/>
  <c r="H11" i="4"/>
  <c r="G11" i="4"/>
  <c r="F11" i="4"/>
  <c r="E11" i="4"/>
  <c r="I13" i="4"/>
  <c r="H13" i="4"/>
  <c r="G13" i="4"/>
  <c r="F13" i="4"/>
  <c r="E13" i="4"/>
  <c r="D13" i="4"/>
  <c r="H62" i="4"/>
  <c r="H64" i="4" s="1"/>
  <c r="K20" i="7" l="1"/>
  <c r="J59" i="7"/>
  <c r="K59" i="7" s="1"/>
  <c r="M59" i="7" s="1"/>
  <c r="N59" i="7" s="1"/>
  <c r="P59" i="7" s="1"/>
  <c r="K21" i="7"/>
  <c r="M21" i="7" s="1"/>
  <c r="N21" i="7" s="1"/>
  <c r="J87" i="7"/>
  <c r="K87" i="7" s="1"/>
  <c r="M87" i="7" s="1"/>
  <c r="J65" i="7"/>
  <c r="K65" i="7" s="1"/>
  <c r="M65" i="7" s="1"/>
  <c r="N65" i="7" s="1"/>
  <c r="P65" i="7" s="1"/>
  <c r="J63" i="7"/>
  <c r="K63" i="7" s="1"/>
  <c r="M63" i="7" s="1"/>
  <c r="N63" i="7" s="1"/>
  <c r="P63" i="7" s="1"/>
  <c r="J78" i="7"/>
  <c r="K78" i="7" s="1"/>
  <c r="K24" i="7"/>
  <c r="J82" i="7"/>
  <c r="K82" i="7" s="1"/>
  <c r="J88" i="7"/>
  <c r="K88" i="7" s="1"/>
  <c r="M88" i="7" s="1"/>
  <c r="J62" i="7"/>
  <c r="K62" i="7" s="1"/>
  <c r="M62" i="7" s="1"/>
  <c r="N62" i="7" s="1"/>
  <c r="P62" i="7" s="1"/>
  <c r="J60" i="7"/>
  <c r="K60" i="7" s="1"/>
  <c r="M60" i="7" s="1"/>
  <c r="N60" i="7" s="1"/>
  <c r="P60" i="7" s="1"/>
  <c r="J84" i="7"/>
  <c r="K84" i="7" s="1"/>
  <c r="M84" i="7" s="1"/>
  <c r="N84" i="7" s="1"/>
  <c r="J52" i="7"/>
  <c r="K52" i="7" s="1"/>
  <c r="M52" i="7" s="1"/>
  <c r="N52" i="7" s="1"/>
  <c r="P52" i="7" s="1"/>
  <c r="K11" i="7"/>
  <c r="J73" i="7"/>
  <c r="K73" i="7" s="1"/>
  <c r="J44" i="7"/>
  <c r="K44" i="7" s="1"/>
  <c r="J53" i="7"/>
  <c r="K53" i="7" s="1"/>
  <c r="M53" i="7" s="1"/>
  <c r="N53" i="7" s="1"/>
  <c r="P53" i="7" s="1"/>
  <c r="J85" i="7"/>
  <c r="K85" i="7" s="1"/>
  <c r="M85" i="7" s="1"/>
  <c r="N85" i="7" s="1"/>
  <c r="K12" i="7"/>
  <c r="M12" i="7" s="1"/>
  <c r="N12" i="7" s="1"/>
  <c r="J112" i="7"/>
  <c r="K112" i="7" s="1"/>
  <c r="J54" i="7"/>
  <c r="K54" i="7" s="1"/>
  <c r="M54" i="7" s="1"/>
  <c r="N54" i="7" s="1"/>
  <c r="P54" i="7" s="1"/>
  <c r="J83" i="7"/>
  <c r="K83" i="7" s="1"/>
  <c r="M83" i="7" s="1"/>
  <c r="N83" i="7" s="1"/>
  <c r="J64" i="7"/>
  <c r="K64" i="7" s="1"/>
  <c r="M64" i="7" s="1"/>
  <c r="N64" i="7" s="1"/>
  <c r="P64" i="7" s="1"/>
  <c r="K10" i="7"/>
  <c r="K15" i="7"/>
  <c r="J89" i="7"/>
  <c r="K89" i="7" s="1"/>
  <c r="M89" i="7" s="1"/>
  <c r="J70" i="7"/>
  <c r="K70" i="7" s="1"/>
  <c r="J49" i="7"/>
  <c r="K49" i="7" s="1"/>
  <c r="M49" i="7" s="1"/>
  <c r="N49" i="7" s="1"/>
  <c r="P49" i="7" s="1"/>
  <c r="J47" i="7"/>
  <c r="K47" i="7" s="1"/>
  <c r="M47" i="7" s="1"/>
  <c r="N47" i="7" s="1"/>
  <c r="P47" i="7" s="1"/>
  <c r="J45" i="7"/>
  <c r="K45" i="7" s="1"/>
  <c r="M45" i="7" s="1"/>
  <c r="N45" i="7" s="1"/>
  <c r="P45" i="7" s="1"/>
  <c r="K25" i="7"/>
  <c r="M25" i="7" s="1"/>
  <c r="N25" i="7" s="1"/>
  <c r="J68" i="7"/>
  <c r="K68" i="7" s="1"/>
  <c r="J71" i="7"/>
  <c r="K71" i="7" s="1"/>
  <c r="J67" i="7"/>
  <c r="K67" i="7" s="1"/>
  <c r="M67" i="7" s="1"/>
  <c r="N67" i="7" s="1"/>
  <c r="P67" i="7" s="1"/>
  <c r="K16" i="7"/>
  <c r="J113" i="7"/>
  <c r="K113" i="7" s="1"/>
  <c r="K23" i="7"/>
  <c r="K13" i="7"/>
  <c r="M13" i="7" s="1"/>
  <c r="N13" i="7" s="1"/>
  <c r="J77" i="7"/>
  <c r="K77" i="7" s="1"/>
  <c r="J57" i="7"/>
  <c r="K57" i="7" s="1"/>
  <c r="M57" i="7" s="1"/>
  <c r="N57" i="7" s="1"/>
  <c r="P57" i="7" s="1"/>
  <c r="J55" i="7"/>
  <c r="K55" i="7" s="1"/>
  <c r="M55" i="7" s="1"/>
  <c r="N55" i="7" s="1"/>
  <c r="P55" i="7" s="1"/>
  <c r="J56" i="7"/>
  <c r="K56" i="7" s="1"/>
  <c r="M56" i="7" s="1"/>
  <c r="N56" i="7" s="1"/>
  <c r="P56" i="7" s="1"/>
  <c r="J50" i="7"/>
  <c r="K50" i="7" s="1"/>
  <c r="M50" i="7" s="1"/>
  <c r="N50" i="7" s="1"/>
  <c r="P50" i="7" s="1"/>
  <c r="J76" i="7"/>
  <c r="K76" i="7" s="1"/>
  <c r="K26" i="7"/>
  <c r="M26" i="7" s="1"/>
  <c r="N26" i="7" s="1"/>
  <c r="K22" i="7"/>
  <c r="J81" i="7"/>
  <c r="K81" i="7" s="1"/>
  <c r="J69" i="7"/>
  <c r="K69" i="7" s="1"/>
  <c r="K14" i="7"/>
  <c r="J72" i="7"/>
  <c r="K72" i="7" s="1"/>
  <c r="K17" i="7"/>
  <c r="J51" i="7"/>
  <c r="K51" i="7" s="1"/>
  <c r="M51" i="7" s="1"/>
  <c r="N51" i="7" s="1"/>
  <c r="P51" i="7" s="1"/>
  <c r="J114" i="7"/>
  <c r="K114" i="7" s="1"/>
  <c r="K19" i="7"/>
  <c r="J79" i="7"/>
  <c r="K79" i="7" s="1"/>
  <c r="J110" i="7"/>
  <c r="K110" i="7" s="1"/>
  <c r="J61" i="7"/>
  <c r="K61" i="7" s="1"/>
  <c r="M61" i="7" s="1"/>
  <c r="N61" i="7" s="1"/>
  <c r="P61" i="7" s="1"/>
  <c r="J86" i="7"/>
  <c r="K86" i="7" s="1"/>
  <c r="M86" i="7" s="1"/>
  <c r="N86" i="7" s="1"/>
  <c r="K34" i="7"/>
  <c r="K18" i="7"/>
  <c r="J80" i="7"/>
  <c r="K80" i="7" s="1"/>
  <c r="J46" i="7"/>
  <c r="K46" i="7" s="1"/>
  <c r="M46" i="7" s="1"/>
  <c r="N46" i="7" s="1"/>
  <c r="P46" i="7" s="1"/>
  <c r="J58" i="7"/>
  <c r="K58" i="7" s="1"/>
  <c r="M58" i="7" s="1"/>
  <c r="N58" i="7" s="1"/>
  <c r="P58" i="7" s="1"/>
  <c r="J75" i="7"/>
  <c r="K75" i="7" s="1"/>
  <c r="J66" i="7"/>
  <c r="K66" i="7" s="1"/>
  <c r="M66" i="7" s="1"/>
  <c r="N66" i="7" s="1"/>
  <c r="P66" i="7" s="1"/>
  <c r="K27" i="7"/>
  <c r="J91" i="7"/>
  <c r="K91" i="7" s="1"/>
  <c r="M91" i="7" s="1"/>
  <c r="J111" i="7"/>
  <c r="K111" i="7" s="1"/>
  <c r="J48" i="7"/>
  <c r="K48" i="7" s="1"/>
  <c r="M48" i="7" s="1"/>
  <c r="M22" i="7" l="1"/>
  <c r="M27" i="7"/>
  <c r="M34" i="7"/>
  <c r="M24" i="7"/>
  <c r="M11" i="7"/>
  <c r="M23" i="7"/>
  <c r="M19" i="7"/>
  <c r="M10" i="7"/>
  <c r="M20" i="7"/>
  <c r="N91" i="7"/>
  <c r="N87" i="7"/>
  <c r="N89" i="7"/>
  <c r="G97" i="22"/>
  <c r="N88" i="7"/>
  <c r="R88" i="7"/>
  <c r="M72" i="7"/>
  <c r="R72" i="7" s="1"/>
  <c r="M81" i="7"/>
  <c r="R81" i="7" s="1"/>
  <c r="M77" i="7"/>
  <c r="R77" i="7" s="1"/>
  <c r="M16" i="7"/>
  <c r="R16" i="7" s="1"/>
  <c r="M70" i="7"/>
  <c r="R70" i="7" s="1"/>
  <c r="M73" i="7"/>
  <c r="R73" i="7" s="1"/>
  <c r="M80" i="7"/>
  <c r="R80" i="7" s="1"/>
  <c r="M78" i="7"/>
  <c r="R78" i="7" s="1"/>
  <c r="M114" i="7"/>
  <c r="R114" i="7" s="1"/>
  <c r="M14" i="7"/>
  <c r="R14" i="7" s="1"/>
  <c r="M111" i="7"/>
  <c r="R111" i="7" s="1"/>
  <c r="M75" i="7"/>
  <c r="R75" i="7" s="1"/>
  <c r="M18" i="7"/>
  <c r="R18" i="7" s="1"/>
  <c r="M110" i="7"/>
  <c r="R110" i="7" s="1"/>
  <c r="M69" i="7"/>
  <c r="R69" i="7" s="1"/>
  <c r="M71" i="7"/>
  <c r="R71" i="7" s="1"/>
  <c r="M15" i="7"/>
  <c r="R15" i="7" s="1"/>
  <c r="M79" i="7"/>
  <c r="R79" i="7" s="1"/>
  <c r="M17" i="7"/>
  <c r="R17" i="7" s="1"/>
  <c r="M76" i="7"/>
  <c r="R76" i="7" s="1"/>
  <c r="M113" i="7"/>
  <c r="R113" i="7" s="1"/>
  <c r="M68" i="7"/>
  <c r="R68" i="7" s="1"/>
  <c r="M112" i="7"/>
  <c r="R112" i="7" s="1"/>
  <c r="M82" i="7"/>
  <c r="R82" i="7" s="1"/>
  <c r="R84" i="7"/>
  <c r="R62" i="7"/>
  <c r="R56" i="7"/>
  <c r="R60" i="7"/>
  <c r="R89" i="7"/>
  <c r="R87" i="7"/>
  <c r="R21" i="7"/>
  <c r="R12" i="7"/>
  <c r="Q51" i="7"/>
  <c r="F50" i="22"/>
  <c r="Q66" i="7"/>
  <c r="F65" i="22"/>
  <c r="Q58" i="7"/>
  <c r="F57" i="22"/>
  <c r="P25" i="7"/>
  <c r="Q25" i="7" s="1"/>
  <c r="F26" i="22"/>
  <c r="Q60" i="7"/>
  <c r="F59" i="22"/>
  <c r="Q46" i="7"/>
  <c r="F45" i="22"/>
  <c r="Q50" i="7"/>
  <c r="F49" i="22"/>
  <c r="P13" i="7"/>
  <c r="Q13" i="7" s="1"/>
  <c r="F9" i="22"/>
  <c r="Q67" i="7"/>
  <c r="F66" i="22"/>
  <c r="Q45" i="7"/>
  <c r="F44" i="22"/>
  <c r="Q64" i="7"/>
  <c r="F63" i="22"/>
  <c r="P12" i="7"/>
  <c r="Q12" i="7" s="1"/>
  <c r="F8" i="22"/>
  <c r="Q62" i="7"/>
  <c r="F61" i="22"/>
  <c r="P21" i="7"/>
  <c r="Q21" i="7" s="1"/>
  <c r="F22" i="22"/>
  <c r="P86" i="7"/>
  <c r="Q86" i="7" s="1"/>
  <c r="F87" i="22"/>
  <c r="Q61" i="7"/>
  <c r="F60" i="22"/>
  <c r="Q56" i="7"/>
  <c r="F55" i="22"/>
  <c r="Q55" i="7"/>
  <c r="F54" i="22"/>
  <c r="Q47" i="7"/>
  <c r="F46" i="22"/>
  <c r="P83" i="7"/>
  <c r="Q83" i="7" s="1"/>
  <c r="F81" i="22"/>
  <c r="P85" i="7"/>
  <c r="Q85" i="7" s="1"/>
  <c r="F86" i="22"/>
  <c r="Q53" i="7"/>
  <c r="F52" i="22"/>
  <c r="Q52" i="7"/>
  <c r="F51" i="22"/>
  <c r="Q63" i="7"/>
  <c r="F62" i="22"/>
  <c r="Q59" i="7"/>
  <c r="F58" i="22"/>
  <c r="P26" i="7"/>
  <c r="Q26" i="7" s="1"/>
  <c r="F27" i="22"/>
  <c r="Q57" i="7"/>
  <c r="F56" i="22"/>
  <c r="Q49" i="7"/>
  <c r="F48" i="22"/>
  <c r="Q54" i="7"/>
  <c r="F53" i="22"/>
  <c r="P84" i="7"/>
  <c r="Q84" i="7" s="1"/>
  <c r="F82" i="22"/>
  <c r="Q65" i="7"/>
  <c r="F64" i="22"/>
  <c r="R52" i="7"/>
  <c r="R13" i="7"/>
  <c r="R85" i="7"/>
  <c r="N48" i="7"/>
  <c r="P48" i="7" s="1"/>
  <c r="R66" i="7"/>
  <c r="R50" i="7"/>
  <c r="R48" i="7"/>
  <c r="R26" i="7"/>
  <c r="R58" i="7"/>
  <c r="R54" i="7"/>
  <c r="R83" i="7"/>
  <c r="R86" i="7"/>
  <c r="R25" i="7"/>
  <c r="R91" i="7"/>
  <c r="R46" i="7"/>
  <c r="I31" i="7"/>
  <c r="I122" i="7"/>
  <c r="J122" i="7" s="1"/>
  <c r="K122" i="7" s="1"/>
  <c r="I119" i="7"/>
  <c r="J119" i="7" s="1"/>
  <c r="K119" i="7" s="1"/>
  <c r="M119" i="7" s="1"/>
  <c r="I36" i="7"/>
  <c r="I33" i="7"/>
  <c r="I35" i="7"/>
  <c r="I124" i="7"/>
  <c r="J124" i="7" s="1"/>
  <c r="K124" i="7" s="1"/>
  <c r="M124" i="7" s="1"/>
  <c r="I121" i="7"/>
  <c r="J121" i="7" s="1"/>
  <c r="K121" i="7" s="1"/>
  <c r="M121" i="7" s="1"/>
  <c r="I120" i="7"/>
  <c r="J120" i="7" s="1"/>
  <c r="K120" i="7" s="1"/>
  <c r="M120" i="7" s="1"/>
  <c r="J38" i="7"/>
  <c r="I123" i="7"/>
  <c r="J123" i="7" s="1"/>
  <c r="K123" i="7" s="1"/>
  <c r="M123" i="7" s="1"/>
  <c r="I118" i="7"/>
  <c r="J118" i="7" s="1"/>
  <c r="K118" i="7" s="1"/>
  <c r="M118" i="7" s="1"/>
  <c r="I30" i="7"/>
  <c r="I117" i="7"/>
  <c r="J117" i="7" s="1"/>
  <c r="K117" i="7" s="1"/>
  <c r="M117" i="7" s="1"/>
  <c r="I28" i="7"/>
  <c r="I29" i="7"/>
  <c r="I32" i="7"/>
  <c r="F94" i="22" l="1"/>
  <c r="G94" i="22" s="1"/>
  <c r="P87" i="7"/>
  <c r="N10" i="7"/>
  <c r="P10" i="7" s="1"/>
  <c r="Q10" i="7" s="1"/>
  <c r="R10" i="7"/>
  <c r="N24" i="7"/>
  <c r="F25" i="22" s="1"/>
  <c r="F37" i="22" s="1"/>
  <c r="R24" i="7"/>
  <c r="N19" i="7"/>
  <c r="P19" i="7" s="1"/>
  <c r="Q19" i="7" s="1"/>
  <c r="R19" i="7"/>
  <c r="N34" i="7"/>
  <c r="P34" i="7" s="1"/>
  <c r="Q34" i="7" s="1"/>
  <c r="R34" i="7"/>
  <c r="F96" i="22"/>
  <c r="G96" i="22" s="1"/>
  <c r="P89" i="7"/>
  <c r="Q89" i="7" s="1"/>
  <c r="F99" i="22"/>
  <c r="G99" i="22" s="1"/>
  <c r="P91" i="7"/>
  <c r="Q91" i="7" s="1"/>
  <c r="N23" i="7"/>
  <c r="R23" i="7"/>
  <c r="N27" i="7"/>
  <c r="F28" i="22" s="1"/>
  <c r="R27" i="7"/>
  <c r="F95" i="22"/>
  <c r="G95" i="22" s="1"/>
  <c r="P88" i="7"/>
  <c r="Q88" i="7" s="1"/>
  <c r="N20" i="7"/>
  <c r="R20" i="7"/>
  <c r="N11" i="7"/>
  <c r="R11" i="7"/>
  <c r="N22" i="7"/>
  <c r="P22" i="7" s="1"/>
  <c r="Q22" i="7" s="1"/>
  <c r="R22" i="7"/>
  <c r="F20" i="22"/>
  <c r="Q87" i="7"/>
  <c r="F83" i="22"/>
  <c r="F85" i="22"/>
  <c r="F84" i="22"/>
  <c r="N82" i="7"/>
  <c r="N68" i="7"/>
  <c r="N76" i="7"/>
  <c r="N79" i="7"/>
  <c r="N71" i="7"/>
  <c r="N110" i="7"/>
  <c r="N75" i="7"/>
  <c r="N14" i="7"/>
  <c r="N78" i="7"/>
  <c r="N73" i="7"/>
  <c r="N16" i="7"/>
  <c r="N81" i="7"/>
  <c r="N112" i="7"/>
  <c r="N113" i="7"/>
  <c r="N17" i="7"/>
  <c r="N15" i="7"/>
  <c r="N69" i="7"/>
  <c r="N18" i="7"/>
  <c r="N111" i="7"/>
  <c r="N114" i="7"/>
  <c r="N80" i="7"/>
  <c r="N70" i="7"/>
  <c r="N77" i="7"/>
  <c r="N72" i="7"/>
  <c r="I37" i="7"/>
  <c r="J35" i="7"/>
  <c r="K35" i="7" s="1"/>
  <c r="M35" i="7" s="1"/>
  <c r="J32" i="7"/>
  <c r="K32" i="7" s="1"/>
  <c r="M32" i="7" s="1"/>
  <c r="R32" i="7" s="1"/>
  <c r="J30" i="7"/>
  <c r="K30" i="7" s="1"/>
  <c r="M30" i="7" s="1"/>
  <c r="R30" i="7" s="1"/>
  <c r="J33" i="7"/>
  <c r="K33" i="7" s="1"/>
  <c r="J31" i="7"/>
  <c r="K31" i="7" s="1"/>
  <c r="M31" i="7" s="1"/>
  <c r="J29" i="7"/>
  <c r="K29" i="7" s="1"/>
  <c r="J39" i="7"/>
  <c r="K39" i="7" s="1"/>
  <c r="M39" i="7" s="1"/>
  <c r="R39" i="7" s="1"/>
  <c r="J36" i="7"/>
  <c r="K36" i="7" s="1"/>
  <c r="M36" i="7" s="1"/>
  <c r="R36" i="7" s="1"/>
  <c r="J28" i="7"/>
  <c r="K28" i="7" s="1"/>
  <c r="M28" i="7" s="1"/>
  <c r="R28" i="7" s="1"/>
  <c r="J41" i="7"/>
  <c r="K41" i="7" s="1"/>
  <c r="M41" i="7" s="1"/>
  <c r="R41" i="7" s="1"/>
  <c r="J40" i="7"/>
  <c r="K40" i="7" s="1"/>
  <c r="M40" i="7" s="1"/>
  <c r="R40" i="7" s="1"/>
  <c r="J42" i="7"/>
  <c r="K42" i="7" s="1"/>
  <c r="M42" i="7" s="1"/>
  <c r="R42" i="7" s="1"/>
  <c r="Q48" i="7"/>
  <c r="F47" i="22"/>
  <c r="N121" i="7"/>
  <c r="F91" i="22" s="1"/>
  <c r="R121" i="7"/>
  <c r="N120" i="7"/>
  <c r="F90" i="22" s="1"/>
  <c r="R120" i="7"/>
  <c r="N124" i="7"/>
  <c r="F98" i="22" s="1"/>
  <c r="G98" i="22" s="1"/>
  <c r="R124" i="7"/>
  <c r="N119" i="7"/>
  <c r="F89" i="22" s="1"/>
  <c r="R119" i="7"/>
  <c r="N117" i="7"/>
  <c r="F42" i="22" s="1"/>
  <c r="R117" i="7"/>
  <c r="N123" i="7"/>
  <c r="F93" i="22" s="1"/>
  <c r="R123" i="7"/>
  <c r="N118" i="7"/>
  <c r="F88" i="22" s="1"/>
  <c r="R118" i="7"/>
  <c r="M122" i="7"/>
  <c r="I43" i="7"/>
  <c r="I125" i="7"/>
  <c r="J116" i="7"/>
  <c r="J109" i="7"/>
  <c r="I92" i="7"/>
  <c r="F35" i="22" l="1"/>
  <c r="G35" i="22" s="1"/>
  <c r="F6" i="22"/>
  <c r="P11" i="7"/>
  <c r="Q11" i="7" s="1"/>
  <c r="F24" i="22"/>
  <c r="P23" i="7"/>
  <c r="Q23" i="7" s="1"/>
  <c r="F21" i="22"/>
  <c r="P20" i="7"/>
  <c r="Q20" i="7" s="1"/>
  <c r="P27" i="7"/>
  <c r="Q27" i="7" s="1"/>
  <c r="P24" i="7"/>
  <c r="Q24" i="7" s="1"/>
  <c r="F7" i="22"/>
  <c r="F23" i="22"/>
  <c r="M29" i="7"/>
  <c r="R29" i="7" s="1"/>
  <c r="M33" i="7"/>
  <c r="R33" i="7" s="1"/>
  <c r="P72" i="7"/>
  <c r="Q72" i="7" s="1"/>
  <c r="F71" i="22"/>
  <c r="P114" i="7"/>
  <c r="Q114" i="7" s="1"/>
  <c r="F19" i="22"/>
  <c r="P15" i="7"/>
  <c r="Q15" i="7" s="1"/>
  <c r="F11" i="22"/>
  <c r="P81" i="7"/>
  <c r="Q81" i="7" s="1"/>
  <c r="F79" i="22"/>
  <c r="P14" i="7"/>
  <c r="Q14" i="7" s="1"/>
  <c r="F10" i="22"/>
  <c r="P79" i="7"/>
  <c r="Q79" i="7" s="1"/>
  <c r="F77" i="22"/>
  <c r="P77" i="7"/>
  <c r="Q77" i="7" s="1"/>
  <c r="F75" i="22"/>
  <c r="F16" i="22"/>
  <c r="P111" i="7"/>
  <c r="Q111" i="7" s="1"/>
  <c r="P17" i="7"/>
  <c r="Q17" i="7" s="1"/>
  <c r="F14" i="22"/>
  <c r="P16" i="7"/>
  <c r="Q16" i="7" s="1"/>
  <c r="F13" i="22"/>
  <c r="P75" i="7"/>
  <c r="Q75" i="7" s="1"/>
  <c r="F73" i="22"/>
  <c r="P76" i="7"/>
  <c r="Q76" i="7" s="1"/>
  <c r="F74" i="22"/>
  <c r="P70" i="7"/>
  <c r="Q70" i="7" s="1"/>
  <c r="F69" i="22"/>
  <c r="P18" i="7"/>
  <c r="Q18" i="7" s="1"/>
  <c r="F15" i="22"/>
  <c r="P113" i="7"/>
  <c r="Q113" i="7" s="1"/>
  <c r="F18" i="22"/>
  <c r="P73" i="7"/>
  <c r="Q73" i="7" s="1"/>
  <c r="F72" i="22"/>
  <c r="F12" i="22"/>
  <c r="P110" i="7"/>
  <c r="Q110" i="7" s="1"/>
  <c r="P68" i="7"/>
  <c r="Q68" i="7" s="1"/>
  <c r="F67" i="22"/>
  <c r="P80" i="7"/>
  <c r="Q80" i="7" s="1"/>
  <c r="F78" i="22"/>
  <c r="P69" i="7"/>
  <c r="Q69" i="7" s="1"/>
  <c r="F68" i="22"/>
  <c r="P112" i="7"/>
  <c r="Q112" i="7" s="1"/>
  <c r="F17" i="22"/>
  <c r="P78" i="7"/>
  <c r="Q78" i="7" s="1"/>
  <c r="F76" i="22"/>
  <c r="P71" i="7"/>
  <c r="Q71" i="7" s="1"/>
  <c r="F70" i="22"/>
  <c r="P82" i="7"/>
  <c r="Q82" i="7" s="1"/>
  <c r="F80" i="22"/>
  <c r="J43" i="7"/>
  <c r="N41" i="7"/>
  <c r="P41" i="7" s="1"/>
  <c r="Q41" i="7" s="1"/>
  <c r="N42" i="7"/>
  <c r="F101" i="22" s="1"/>
  <c r="F104" i="22" s="1"/>
  <c r="N28" i="7"/>
  <c r="R35" i="7"/>
  <c r="N35" i="7"/>
  <c r="N40" i="7"/>
  <c r="P40" i="7" s="1"/>
  <c r="Q40" i="7" s="1"/>
  <c r="N30" i="7"/>
  <c r="R31" i="7"/>
  <c r="N31" i="7"/>
  <c r="P31" i="7" s="1"/>
  <c r="Q31" i="7" s="1"/>
  <c r="N39" i="7"/>
  <c r="P39" i="7" s="1"/>
  <c r="Q39" i="7" s="1"/>
  <c r="N36" i="7"/>
  <c r="N32" i="7"/>
  <c r="P32" i="7" s="1"/>
  <c r="Q32" i="7" s="1"/>
  <c r="N29" i="7"/>
  <c r="J37" i="7"/>
  <c r="P118" i="7"/>
  <c r="Q118" i="7" s="1"/>
  <c r="P123" i="7"/>
  <c r="Q123" i="7" s="1"/>
  <c r="P119" i="7"/>
  <c r="Q119" i="7" s="1"/>
  <c r="P120" i="7"/>
  <c r="Q120" i="7" s="1"/>
  <c r="P117" i="7"/>
  <c r="Q117" i="7" s="1"/>
  <c r="P124" i="7"/>
  <c r="Q124" i="7" s="1"/>
  <c r="P121" i="7"/>
  <c r="Q121" i="7" s="1"/>
  <c r="N122" i="7"/>
  <c r="F92" i="22" s="1"/>
  <c r="R122" i="7"/>
  <c r="K38" i="7"/>
  <c r="J92" i="7"/>
  <c r="J115" i="7"/>
  <c r="K109" i="7"/>
  <c r="M109" i="7" s="1"/>
  <c r="R109" i="7" s="1"/>
  <c r="J125" i="7"/>
  <c r="K116" i="7"/>
  <c r="F33" i="22" l="1"/>
  <c r="G33" i="22" s="1"/>
  <c r="N33" i="7"/>
  <c r="P33" i="7" s="1"/>
  <c r="Q33" i="7" s="1"/>
  <c r="F36" i="22"/>
  <c r="F39" i="22" s="1"/>
  <c r="P36" i="7"/>
  <c r="Q36" i="7" s="1"/>
  <c r="P30" i="7"/>
  <c r="Q30" i="7" s="1"/>
  <c r="P28" i="7"/>
  <c r="Q28" i="7" s="1"/>
  <c r="P29" i="7"/>
  <c r="Q29" i="7" s="1"/>
  <c r="F40" i="22"/>
  <c r="P35" i="7"/>
  <c r="Q35" i="7" s="1"/>
  <c r="F100" i="22"/>
  <c r="F103" i="22" s="1"/>
  <c r="F135" i="22"/>
  <c r="F29" i="22"/>
  <c r="F32" i="22"/>
  <c r="G32" i="22" s="1"/>
  <c r="F30" i="22"/>
  <c r="G30" i="22" s="1"/>
  <c r="P42" i="7"/>
  <c r="Q42" i="7" s="1"/>
  <c r="F34" i="22"/>
  <c r="G34" i="22" s="1"/>
  <c r="F31" i="22"/>
  <c r="F134" i="22"/>
  <c r="K43" i="7"/>
  <c r="M38" i="7"/>
  <c r="R38" i="7" s="1"/>
  <c r="K37" i="7"/>
  <c r="P122" i="7"/>
  <c r="Q122" i="7" s="1"/>
  <c r="K125" i="7"/>
  <c r="M116" i="7"/>
  <c r="K92" i="7"/>
  <c r="M44" i="7"/>
  <c r="K115" i="7"/>
  <c r="F38" i="22" l="1"/>
  <c r="G31" i="22"/>
  <c r="N7" i="7"/>
  <c r="F2" i="22" s="1"/>
  <c r="N109" i="7"/>
  <c r="N116" i="7"/>
  <c r="F41" i="22" s="1"/>
  <c r="R116" i="7"/>
  <c r="N44" i="7"/>
  <c r="P44" i="7" s="1"/>
  <c r="R44" i="7"/>
  <c r="N38" i="7"/>
  <c r="F4" i="22" l="1"/>
  <c r="F5" i="22" s="1"/>
  <c r="P7" i="7"/>
  <c r="Q7" i="7" s="1"/>
  <c r="Q37" i="7" s="1"/>
  <c r="R37" i="7" s="1"/>
  <c r="F43" i="22"/>
  <c r="P38" i="7"/>
  <c r="Q38" i="7" s="1"/>
  <c r="Q43" i="7" s="1"/>
  <c r="R43" i="7" s="1"/>
  <c r="F133" i="22"/>
  <c r="P92" i="7"/>
  <c r="L101" i="7" s="1"/>
  <c r="K101" i="7" s="1"/>
  <c r="P116" i="7"/>
  <c r="Q116" i="7" s="1"/>
  <c r="Q125" i="7" s="1"/>
  <c r="R125" i="7" s="1"/>
  <c r="P109" i="7"/>
  <c r="I93" i="7"/>
  <c r="K93" i="7"/>
  <c r="J93" i="7"/>
  <c r="O93" i="7"/>
  <c r="J102" i="7"/>
  <c r="P43" i="7" l="1"/>
  <c r="L100" i="7" s="1"/>
  <c r="K100" i="7" s="1"/>
  <c r="Q44" i="7"/>
  <c r="Q92" i="7" s="1"/>
  <c r="P125" i="7"/>
  <c r="P37" i="7"/>
  <c r="P115" i="7"/>
  <c r="Q109" i="7"/>
  <c r="Q115" i="7" s="1"/>
  <c r="R115" i="7" s="1"/>
  <c r="R92" i="7" l="1"/>
  <c r="L99" i="7"/>
  <c r="K99" i="7" s="1"/>
  <c r="P93" i="7"/>
  <c r="Q93" i="7" l="1"/>
  <c r="R93" i="7" s="1"/>
  <c r="L102" i="7"/>
  <c r="C85" i="4" s="1"/>
  <c r="C86" i="4" s="1"/>
  <c r="K102" i="7" l="1"/>
</calcChain>
</file>

<file path=xl/comments1.xml><?xml version="1.0" encoding="utf-8"?>
<comments xmlns="http://schemas.openxmlformats.org/spreadsheetml/2006/main">
  <authors>
    <author>Chelsea Paschke</author>
  </authors>
  <commentList>
    <comment ref="L1" authorId="0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look up by service code because the standard service code repeats</t>
        </r>
      </text>
    </comment>
  </commentList>
</comments>
</file>

<file path=xl/comments2.xml><?xml version="1.0" encoding="utf-8"?>
<comments xmlns="http://schemas.openxmlformats.org/spreadsheetml/2006/main">
  <authors>
    <author>LauraKa</author>
    <author>Brittany Mani</author>
    <author>Laurag</author>
  </authors>
  <commentList>
    <comment ref="A13" authorId="0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Reg = 999999</t>
        </r>
      </text>
    </comment>
    <comment ref="C69" authorId="1">
      <text>
        <r>
          <rPr>
            <b/>
            <sz val="9"/>
            <color indexed="81"/>
            <rFont val="Tahoma"/>
            <family val="2"/>
          </rPr>
          <t>Brittany Mani:</t>
        </r>
        <r>
          <rPr>
            <sz val="9"/>
            <color indexed="81"/>
            <rFont val="Tahoma"/>
            <family val="2"/>
          </rPr>
          <t xml:space="preserve">
Note: $18 Min at SR - per ton rate is $58.70</t>
        </r>
      </text>
    </comment>
    <comment ref="A73" authorId="2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31005</t>
        </r>
      </text>
    </comment>
    <comment ref="A78" authorId="0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40109</t>
        </r>
      </text>
    </comment>
    <comment ref="A82" authorId="1">
      <text>
        <r>
          <rPr>
            <b/>
            <sz val="9"/>
            <color indexed="81"/>
            <rFont val="Tahoma"/>
            <family val="2"/>
          </rPr>
          <t>Brittany Mani:</t>
        </r>
        <r>
          <rPr>
            <sz val="9"/>
            <color indexed="81"/>
            <rFont val="Tahoma"/>
            <family val="2"/>
          </rPr>
          <t xml:space="preserve">
40109-000-04 - White Wood and YW at Sales Road</t>
        </r>
      </text>
    </comment>
    <comment ref="A86" authorId="2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31005</t>
        </r>
      </text>
    </comment>
    <comment ref="A102" authorId="0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To Recovery 1 from JBLM contract boxes</t>
        </r>
      </text>
    </comment>
    <comment ref="A108" authorId="0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To L&amp;S from JBLM contract boxes</t>
        </r>
      </text>
    </comment>
    <comment ref="A113" authorId="0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Mt Rainier boxes to Cedar Grove</t>
        </r>
      </text>
    </comment>
  </commentList>
</comments>
</file>

<file path=xl/sharedStrings.xml><?xml version="1.0" encoding="utf-8"?>
<sst xmlns="http://schemas.openxmlformats.org/spreadsheetml/2006/main" count="3548" uniqueCount="1082">
  <si>
    <t>Gross Up</t>
  </si>
  <si>
    <t>Totals</t>
  </si>
  <si>
    <t>Increase per ton</t>
  </si>
  <si>
    <t>Per Ton</t>
  </si>
  <si>
    <t>Per Pound</t>
  </si>
  <si>
    <t xml:space="preserve">Current Rate </t>
  </si>
  <si>
    <t>New Rate per ton</t>
  </si>
  <si>
    <t>Increase</t>
  </si>
  <si>
    <t>Meeks Weights</t>
  </si>
  <si>
    <t>Adjustment factor</t>
  </si>
  <si>
    <t>Collected Revenue Excess/(Deficiency)</t>
  </si>
  <si>
    <t>Commercial</t>
  </si>
  <si>
    <t>Tariff Page</t>
  </si>
  <si>
    <t>Total</t>
  </si>
  <si>
    <t>Monthly Factor</t>
  </si>
  <si>
    <t>Lbs. per ton</t>
  </si>
  <si>
    <t>Yds. Per ton</t>
  </si>
  <si>
    <t>Weekly Pickup (WG)</t>
  </si>
  <si>
    <t>Monthly (MG)</t>
  </si>
  <si>
    <t>Every Other Week (EOWG)</t>
  </si>
  <si>
    <t>Grossed Up Increase per ton</t>
  </si>
  <si>
    <t>Gross Up Factors</t>
  </si>
  <si>
    <t>B&amp;O tax</t>
  </si>
  <si>
    <t>WUTC fees</t>
  </si>
  <si>
    <t>Factor</t>
  </si>
  <si>
    <t>Disposal Fee Revenue Increase</t>
  </si>
  <si>
    <t>Extras</t>
  </si>
  <si>
    <t>Total Pounds</t>
  </si>
  <si>
    <t>Calculated Annual Pounds</t>
  </si>
  <si>
    <t>Adjusted Annual Pounds</t>
  </si>
  <si>
    <t>Company Current Tariff</t>
  </si>
  <si>
    <t>Company Current Revenue</t>
  </si>
  <si>
    <t>Tariff Rate Increase</t>
  </si>
  <si>
    <t>Revised Revenue Increase</t>
  </si>
  <si>
    <t>1 unit</t>
  </si>
  <si>
    <t>2 units</t>
  </si>
  <si>
    <t>3 units</t>
  </si>
  <si>
    <t>n/a</t>
  </si>
  <si>
    <t>4 units</t>
  </si>
  <si>
    <t>5 units</t>
  </si>
  <si>
    <t>6 units</t>
  </si>
  <si>
    <t>Bad Debts</t>
  </si>
  <si>
    <t>Res'l</t>
  </si>
  <si>
    <t>7 unit</t>
  </si>
  <si>
    <t>5 Times per Week</t>
  </si>
  <si>
    <t>3 Times per Week</t>
  </si>
  <si>
    <t>2 Times per Week</t>
  </si>
  <si>
    <t>Pickups:</t>
  </si>
  <si>
    <t>1 can</t>
  </si>
  <si>
    <t>2 cans</t>
  </si>
  <si>
    <t>3 cans</t>
  </si>
  <si>
    <t>4 cans</t>
  </si>
  <si>
    <t>5 cans</t>
  </si>
  <si>
    <t>6 cans</t>
  </si>
  <si>
    <t>Supercan 60</t>
  </si>
  <si>
    <t>Supercan 90</t>
  </si>
  <si>
    <t>Once a month</t>
  </si>
  <si>
    <t>Com'l</t>
  </si>
  <si>
    <t>Cans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</si>
  <si>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</si>
  <si>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</si>
  <si>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</si>
  <si>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</si>
  <si>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</si>
  <si>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</si>
  <si>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</si>
  <si>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3 yd packer/compactor</t>
  </si>
  <si>
    <t>2 yd packer/compactor</t>
  </si>
  <si>
    <t>4 yd packer/compactor</t>
  </si>
  <si>
    <t>6 yd packer/compactor</t>
  </si>
  <si>
    <t>Yards</t>
  </si>
  <si>
    <t>Pounds per Pickup</t>
  </si>
  <si>
    <t>20 gal minican</t>
  </si>
  <si>
    <t>*</t>
  </si>
  <si>
    <t>Annual</t>
  </si>
  <si>
    <t>Res'l &amp; Com'l</t>
  </si>
  <si>
    <t>Revenue Inc from Co Proposed Rates</t>
  </si>
  <si>
    <t>Company Proposed Rates</t>
  </si>
  <si>
    <t>Adjustment Factor Calculation</t>
  </si>
  <si>
    <t>4 Times per Week</t>
  </si>
  <si>
    <t>Murrey's Disposal Co., Inc.  G-9</t>
  </si>
  <si>
    <t>American Disposal Co., Inc. G-87</t>
  </si>
  <si>
    <t>WG-R</t>
  </si>
  <si>
    <t>WG-NR</t>
  </si>
  <si>
    <t>MG</t>
  </si>
  <si>
    <t>Extra Units</t>
  </si>
  <si>
    <t>Each</t>
  </si>
  <si>
    <t>1 yard</t>
  </si>
  <si>
    <t>1.5 yard</t>
  </si>
  <si>
    <t>2 yard</t>
  </si>
  <si>
    <t>4 yard</t>
  </si>
  <si>
    <t>6 yard</t>
  </si>
  <si>
    <t>3 yard</t>
  </si>
  <si>
    <t>RESIDENTIAL</t>
  </si>
  <si>
    <t>Pierce County</t>
  </si>
  <si>
    <t>Compaction Ratio:   3:1</t>
  </si>
  <si>
    <t>Compaction Ratio:   2:25</t>
  </si>
  <si>
    <t>Compaction Ratio:   4:1</t>
  </si>
  <si>
    <t>Compaction Ratio:   5:1</t>
  </si>
  <si>
    <t>COMMERCIAL</t>
  </si>
  <si>
    <t>40 gallon Can</t>
  </si>
  <si>
    <t xml:space="preserve"> Calculated Rate</t>
  </si>
  <si>
    <t>Proposed Revenue</t>
  </si>
  <si>
    <t xml:space="preserve">* not on meeks - for compactors </t>
  </si>
  <si>
    <t xml:space="preserve">   calculated weight times compaction ratio</t>
  </si>
  <si>
    <t>Dump Fee Calc References</t>
  </si>
  <si>
    <t>Dump Fee Calculation</t>
  </si>
  <si>
    <t>20 Gallon Cart</t>
  </si>
  <si>
    <t>35 Gallon Cart</t>
  </si>
  <si>
    <t>65 Gallon Cart</t>
  </si>
  <si>
    <t>95 Gallon Cart</t>
  </si>
  <si>
    <t>Service Code</t>
  </si>
  <si>
    <t>Resi</t>
  </si>
  <si>
    <t>Item/Page</t>
  </si>
  <si>
    <t>LOB</t>
  </si>
  <si>
    <t>SERVICE CODE</t>
  </si>
  <si>
    <t>SERVICE</t>
  </si>
  <si>
    <t>FREQUENCY</t>
  </si>
  <si>
    <t>MEEKS WEIGHT</t>
  </si>
  <si>
    <t>Regular</t>
  </si>
  <si>
    <t>Extra</t>
  </si>
  <si>
    <t>SIZE</t>
  </si>
  <si>
    <t>20 Gal</t>
  </si>
  <si>
    <t>35 Gal</t>
  </si>
  <si>
    <t>65 Gal</t>
  </si>
  <si>
    <t>95 Gal</t>
  </si>
  <si>
    <t>1 YD</t>
  </si>
  <si>
    <t xml:space="preserve">1.5 YD </t>
  </si>
  <si>
    <t>4 YD</t>
  </si>
  <si>
    <t>6 YD</t>
  </si>
  <si>
    <t>3 YD</t>
  </si>
  <si>
    <t>2 YD</t>
  </si>
  <si>
    <t>STANDARD SERVICE CODE</t>
  </si>
  <si>
    <t>TYPE</t>
  </si>
  <si>
    <t>ANNUAL CUSTOMERS</t>
  </si>
  <si>
    <t>ANNUAL PICKUPS</t>
  </si>
  <si>
    <t>Scheduled Service -   As shown on Tariff</t>
  </si>
  <si>
    <t>Annual Pick Ups</t>
  </si>
  <si>
    <t>Revenue Price Out by Service Level and Line of Business</t>
  </si>
  <si>
    <t>Revenue</t>
  </si>
  <si>
    <t>Customer Count</t>
  </si>
  <si>
    <t>Service Code Description</t>
  </si>
  <si>
    <t>RESIDENTIAL GARBAGE</t>
  </si>
  <si>
    <t>TOTAL RESIDENTIAL GARBAGE</t>
  </si>
  <si>
    <t>RESIDENTIAL RECYCLING</t>
  </si>
  <si>
    <t>RECYCLE SERVICE ONLY</t>
  </si>
  <si>
    <t>TOTAL RESIDENTIAL RECYCLING</t>
  </si>
  <si>
    <t>RESIDENTIAL YARD WASTE</t>
  </si>
  <si>
    <t>TOTAL RESIDENTIAL YARD WASTE</t>
  </si>
  <si>
    <t>COMMERCIAL GARBAGE</t>
  </si>
  <si>
    <t>TOTAL COMMERCIAL GARBAGE</t>
  </si>
  <si>
    <t>MULTI-FAMILY RECYCLING</t>
  </si>
  <si>
    <t>TOTAL MULTI-FAMILY RECYCLING</t>
  </si>
  <si>
    <t>DROP BOX SERVICES</t>
  </si>
  <si>
    <t>DROP BOX HAULS/RENTAL</t>
  </si>
  <si>
    <t>TOTAL DROP BOX HAULS/RENTAL</t>
  </si>
  <si>
    <t>PASSTHROUGH DISPOSAL</t>
  </si>
  <si>
    <t>TOTAL PASSTHROUGH DISPOSAL</t>
  </si>
  <si>
    <t>Check</t>
  </si>
  <si>
    <t>Residential</t>
  </si>
  <si>
    <t>Summary</t>
  </si>
  <si>
    <t>Current Revenue</t>
  </si>
  <si>
    <t>Comm</t>
  </si>
  <si>
    <t>INPUT CELLS</t>
  </si>
  <si>
    <t>Immaterial</t>
  </si>
  <si>
    <t>Customers</t>
  </si>
  <si>
    <t>Monthly</t>
  </si>
  <si>
    <t>Commericial</t>
  </si>
  <si>
    <t>NEW RATES</t>
  </si>
  <si>
    <t>Current</t>
  </si>
  <si>
    <t>Proposed</t>
  </si>
  <si>
    <t>SERVICE CODES WITH NO CURRENT CUSTOMERS LISTED BELOW</t>
  </si>
  <si>
    <t>Effective 3/1/2020</t>
  </si>
  <si>
    <t>Temp</t>
  </si>
  <si>
    <t>As Shown In Tariff</t>
  </si>
  <si>
    <t>Harold LeMay Enterprises, Inc., G-98</t>
  </si>
  <si>
    <t>dba Pierce County Refuse</t>
  </si>
  <si>
    <t>RL020.0G1W001</t>
  </si>
  <si>
    <t>20 GL 1X WK 1</t>
  </si>
  <si>
    <t>RL020.0G1W001NOREC</t>
  </si>
  <si>
    <t>20 GL 1X WK NO RECY 1</t>
  </si>
  <si>
    <t>RL032.0G1M001NOREC</t>
  </si>
  <si>
    <t>32 GL 1X MO NO RECY 1</t>
  </si>
  <si>
    <t>RL032.0G1M001WREC</t>
  </si>
  <si>
    <t>32 GL 1X MO W/RECY 1</t>
  </si>
  <si>
    <t>RL032.0G1W001NOREC</t>
  </si>
  <si>
    <t>32 GL 1X WK NO RECY 1</t>
  </si>
  <si>
    <t>RL032.0G1W001WREC</t>
  </si>
  <si>
    <t>32 GL 1X WK W/RECY 1</t>
  </si>
  <si>
    <t>RL032.0G1W002NOREC</t>
  </si>
  <si>
    <t>32 GL 1X WK NO RECY 2</t>
  </si>
  <si>
    <t>RL032.0G1W002WREC</t>
  </si>
  <si>
    <t>32 GL 1X WK W/RECY 2</t>
  </si>
  <si>
    <t>RL032.0G1W003NOREC</t>
  </si>
  <si>
    <t>32 GL 1X WK NO RECY 3</t>
  </si>
  <si>
    <t>RL032.0G1W003WREC</t>
  </si>
  <si>
    <t>32 GL 1X WK W/RECY 3</t>
  </si>
  <si>
    <t>RL032.0G1W004NOREC</t>
  </si>
  <si>
    <t>32 GL 1X WK NO RECY 4</t>
  </si>
  <si>
    <t>RL032.0G1W004WREC</t>
  </si>
  <si>
    <t>32 GL 1X WK W/RECY 4</t>
  </si>
  <si>
    <t>SL035.0G1M001WREC</t>
  </si>
  <si>
    <t>35 GL 1X MO W/ RECY 1</t>
  </si>
  <si>
    <t>SL035.0GEO001WREC</t>
  </si>
  <si>
    <t>35 GL EOW W/RECY 1</t>
  </si>
  <si>
    <t>SL035.0G1W001WREC</t>
  </si>
  <si>
    <t>35 GL 1X WK W/ RECY 1</t>
  </si>
  <si>
    <t>SL035.0G1W002WREC</t>
  </si>
  <si>
    <t>35 GL 1X WK W/RECY 2</t>
  </si>
  <si>
    <t>SL065.0G1M001NOREC</t>
  </si>
  <si>
    <t>65 GL 1X MO NO RECY 1</t>
  </si>
  <si>
    <t>SL065.0G1M001WREC</t>
  </si>
  <si>
    <t>65 GL 1X MO W/RECY 1</t>
  </si>
  <si>
    <t>SL065.0G1W001NOREC</t>
  </si>
  <si>
    <t>65 GL 1X WK NO RECY 1</t>
  </si>
  <si>
    <t>SL065.0G1W001WREC</t>
  </si>
  <si>
    <t>65 GL 1X WK W/RECY 1</t>
  </si>
  <si>
    <t>SL065.0GEO001NOREC</t>
  </si>
  <si>
    <t>65 GL EOW NO RECY 1</t>
  </si>
  <si>
    <t>SL065.0GEO001WREC</t>
  </si>
  <si>
    <t>65 GL EOW W/RECY 1</t>
  </si>
  <si>
    <t>SL095.0G1M001NOREC</t>
  </si>
  <si>
    <t>95 GL 1X MO NO RECY 1</t>
  </si>
  <si>
    <t>SL095.0G1M001WREC</t>
  </si>
  <si>
    <t>95 GL 1X MO W/RECY 1</t>
  </si>
  <si>
    <t>SL095.0G1W001NOREC</t>
  </si>
  <si>
    <t>95 GL 1X WK NO RECY 1</t>
  </si>
  <si>
    <t>SL095.0G1W001WREC</t>
  </si>
  <si>
    <t>95 GL 1X WK W/RECY 1</t>
  </si>
  <si>
    <t>SL095.0GEO001</t>
  </si>
  <si>
    <t>95 GL EOW 1</t>
  </si>
  <si>
    <t>SL095.0GEO001NOREC</t>
  </si>
  <si>
    <t>95 GL EOW NO RECY 1</t>
  </si>
  <si>
    <t>SL095.0GEO001WREC</t>
  </si>
  <si>
    <t>95 GL EOW W/RECY 1</t>
  </si>
  <si>
    <t>BULKY-RES</t>
  </si>
  <si>
    <t>BULKY ITEM PICK UP - RES</t>
  </si>
  <si>
    <t>EXTRA-RES</t>
  </si>
  <si>
    <t>EXTRA CAN, BAG, BOX - RES</t>
  </si>
  <si>
    <t>FL001.0Y1W001</t>
  </si>
  <si>
    <t>1 YD 1X WK 1</t>
  </si>
  <si>
    <t>FL001.0Y2W001</t>
  </si>
  <si>
    <t>1 YD 2X WK 1</t>
  </si>
  <si>
    <t>FL001.0Y3W001</t>
  </si>
  <si>
    <t>1 YD 3X WK 1</t>
  </si>
  <si>
    <t>FL001.0Y4W001</t>
  </si>
  <si>
    <t>1 YD 4X WK 1</t>
  </si>
  <si>
    <t>FL001.5Y1W001</t>
  </si>
  <si>
    <t>1.5 YD 1X WK 1</t>
  </si>
  <si>
    <t>FL001.5Y2W001</t>
  </si>
  <si>
    <t>1.5 YD 2X WK 1</t>
  </si>
  <si>
    <t>FL001.5Y3W001</t>
  </si>
  <si>
    <t>1.5 YD 3X WK 1</t>
  </si>
  <si>
    <t>FL001.5Y4W001</t>
  </si>
  <si>
    <t>1.5 YD 4X WK 1</t>
  </si>
  <si>
    <t>FL001.5Y5W001</t>
  </si>
  <si>
    <t>1.5 YD 5X WK 1</t>
  </si>
  <si>
    <t>FL002.0Y1W001</t>
  </si>
  <si>
    <t>2 YD 1X WK 1</t>
  </si>
  <si>
    <t>FL002.0Y2W001</t>
  </si>
  <si>
    <t>2 YD 2X WK 1</t>
  </si>
  <si>
    <t>FL002.0Y3W001</t>
  </si>
  <si>
    <t>2 YD 3X WK 1</t>
  </si>
  <si>
    <t>FL002.0Y5W001</t>
  </si>
  <si>
    <t>2 YD 5X WK 1</t>
  </si>
  <si>
    <t>FL003.0Y1W001</t>
  </si>
  <si>
    <t>3 YD 1X WK 1</t>
  </si>
  <si>
    <t>FL003.0Y2W001</t>
  </si>
  <si>
    <t>3 YD 2X WK 1</t>
  </si>
  <si>
    <t>FL003.0Y3W001</t>
  </si>
  <si>
    <t>3 YD 3X WK 1</t>
  </si>
  <si>
    <t>FL003.0Y5W001</t>
  </si>
  <si>
    <t>3 YD 5X WK 1</t>
  </si>
  <si>
    <t>FL004.0Y1W001</t>
  </si>
  <si>
    <t>4 YD 1X WK 1</t>
  </si>
  <si>
    <t>FL004.0Y2W001</t>
  </si>
  <si>
    <t>4 YD 2X WK 1</t>
  </si>
  <si>
    <t>FL004.0Y3W001</t>
  </si>
  <si>
    <t>4 YD 3X WK 1</t>
  </si>
  <si>
    <t>FL004.0Y4W001</t>
  </si>
  <si>
    <t>4 YD 4X WK 1</t>
  </si>
  <si>
    <t>FL004.0Y5W001</t>
  </si>
  <si>
    <t>4 YD 5X WK 1</t>
  </si>
  <si>
    <t>FL006.0Y1W001</t>
  </si>
  <si>
    <t>6 YD 1X WK 1</t>
  </si>
  <si>
    <t>FL006.0Y2W001</t>
  </si>
  <si>
    <t>6 YD 2X WK 1</t>
  </si>
  <si>
    <t>FL006.0Y3W001</t>
  </si>
  <si>
    <t>6 YD 3X WK 1</t>
  </si>
  <si>
    <t>FL006.0Y4W001</t>
  </si>
  <si>
    <t>6 YD 4X WK 1</t>
  </si>
  <si>
    <t>FL006.0Y5W001</t>
  </si>
  <si>
    <t>6 YD 5X WK 1</t>
  </si>
  <si>
    <t>FL002.0Y1W001CMP</t>
  </si>
  <si>
    <t>2 YD 1X WK COMP 1</t>
  </si>
  <si>
    <t>FL003.0Y1W001CMP</t>
  </si>
  <si>
    <t>3 YD 1X WK COMP 1</t>
  </si>
  <si>
    <t>FL003.0Y2W001CMP</t>
  </si>
  <si>
    <t>3 YD 2X WK COMP 1</t>
  </si>
  <si>
    <t>FL004.0Y1W001CMP</t>
  </si>
  <si>
    <t>4 YD 1X WK COMP 1</t>
  </si>
  <si>
    <t>FL004.0Y2W001CMP</t>
  </si>
  <si>
    <t>4 YD 2X WK COMP 1</t>
  </si>
  <si>
    <t>RL032.0G1W001NORECC</t>
  </si>
  <si>
    <t>32 GL 1X WK NO RECY COMM</t>
  </si>
  <si>
    <t>RL032.0G1W001WRECC</t>
  </si>
  <si>
    <t>32 GL 1X WK W/RECY COMM 1</t>
  </si>
  <si>
    <t>RL032.0G1W002NORECC</t>
  </si>
  <si>
    <t>RL032.0G1W002WRECC</t>
  </si>
  <si>
    <t>32 GL 1X WK W/RECY COMM 2</t>
  </si>
  <si>
    <t>RL032.0G1W003NORECC</t>
  </si>
  <si>
    <t>RL032.0G1W003WRECC</t>
  </si>
  <si>
    <t>32 GL 1X WK W/RECY COMM 3</t>
  </si>
  <si>
    <t>RL032.0G1W004WRECC</t>
  </si>
  <si>
    <t>32 GL 1X WK W/RECY COMM 4</t>
  </si>
  <si>
    <t>RL032.0G1W005WRECC</t>
  </si>
  <si>
    <t>32 GL 1X WK W/RECY COMM 5</t>
  </si>
  <si>
    <t>SL065.0G1M001WRECC</t>
  </si>
  <si>
    <t>65 GL 1X MO W/ RECY COMM</t>
  </si>
  <si>
    <t>SL065.0G1W001NORECC</t>
  </si>
  <si>
    <t>65 GL 1X WK NO RECY COMM</t>
  </si>
  <si>
    <t>SL065.0G1W001WRECC</t>
  </si>
  <si>
    <t>65 GL 1X WK W/RECY COMM 1</t>
  </si>
  <si>
    <t>SL065.0G1W002NORECC</t>
  </si>
  <si>
    <t>65 GL 1X WK NO REC COMM 2</t>
  </si>
  <si>
    <t>SL065.0GEO001NORECC</t>
  </si>
  <si>
    <t>65 GL EOW NO RECY COMM 1</t>
  </si>
  <si>
    <t>SL065.0GEO001WRECC</t>
  </si>
  <si>
    <t>65 GL EOW W/RECY COMM 1</t>
  </si>
  <si>
    <t>SL095.0G1W001NORECC</t>
  </si>
  <si>
    <t>95 GL 1X WK NO RECY COMM</t>
  </si>
  <si>
    <t>SL095.0G1W001WRECC</t>
  </si>
  <si>
    <t>95 GL 1X WK W/RECY COMM 1</t>
  </si>
  <si>
    <t>SL095.0GEO001NORECC</t>
  </si>
  <si>
    <t>95 GL EOW NO RECY COMM 1</t>
  </si>
  <si>
    <t>SL095.0GEO001WRECC</t>
  </si>
  <si>
    <t>95 GL EOW W/RECY COMM 1</t>
  </si>
  <si>
    <t>CANCOUNT65-COMM</t>
  </si>
  <si>
    <t>CAN COUNT 65 GL - COMM</t>
  </si>
  <si>
    <t>CANCOUNT95-COMM</t>
  </si>
  <si>
    <t>CAN COUNT 95 GL - COMM</t>
  </si>
  <si>
    <t>CANCOUNT-COMM</t>
  </si>
  <si>
    <t>CAN COUNT - COMM</t>
  </si>
  <si>
    <t>DIST4CAN-COMM</t>
  </si>
  <si>
    <t>DISTRIBUTED 4 CANS - COMM</t>
  </si>
  <si>
    <t>DIST5CAN-COMM</t>
  </si>
  <si>
    <t>DISTRIBUTED 5 CANS - COMM</t>
  </si>
  <si>
    <t>FL001.0YXX001TEMPC</t>
  </si>
  <si>
    <t>1 YD TEMP</t>
  </si>
  <si>
    <t>FL001.5YXX001TEMPC</t>
  </si>
  <si>
    <t>1.5 YD TEMP</t>
  </si>
  <si>
    <t>FL002.0YXX001TEMPC</t>
  </si>
  <si>
    <t>2 YD TEMP</t>
  </si>
  <si>
    <t>FL003.0YXX001TEMPC</t>
  </si>
  <si>
    <t>3 YD TEMP</t>
  </si>
  <si>
    <t>FL004.0YXX001TEMPC</t>
  </si>
  <si>
    <t>4 YD TEMP 1</t>
  </si>
  <si>
    <t>FL006.0YXX001TEMPC</t>
  </si>
  <si>
    <t>6 YD TEMP 1</t>
  </si>
  <si>
    <t>ADD32GLCOMM</t>
  </si>
  <si>
    <t>ADDITIONAL 32 GL COMM</t>
  </si>
  <si>
    <t>BULKY-COMM</t>
  </si>
  <si>
    <t>BULKY ITEM PICK UP - COMM</t>
  </si>
  <si>
    <t>EP96GW-COMM</t>
  </si>
  <si>
    <t>EXTRA PICK UP 96 GW -COMM</t>
  </si>
  <si>
    <t>EXTRA-COMM</t>
  </si>
  <si>
    <t>EXTRA CAN, BAG, BOX - COM</t>
  </si>
  <si>
    <t>EXTRAYDG-COM</t>
  </si>
  <si>
    <t>EXTRA YARDAGE - COMM</t>
  </si>
  <si>
    <t>JBLM</t>
  </si>
  <si>
    <t>FL004.0Y2W001MF</t>
  </si>
  <si>
    <t>4 YD 2X WK MULTI-FAMILY 1</t>
  </si>
  <si>
    <t>FL006.0Y1W001MF</t>
  </si>
  <si>
    <t>6 YD 1X WK MULTI-FAMILY 1</t>
  </si>
  <si>
    <t>FL006.0Y2W001MF</t>
  </si>
  <si>
    <t>6 YD 2X WK MULTI-FAMILY 1</t>
  </si>
  <si>
    <t>PDBAG-COMM</t>
  </si>
  <si>
    <t>PREPAID BAG - COM</t>
  </si>
  <si>
    <t>32 Gallon Cart</t>
  </si>
  <si>
    <t>MG-NR</t>
  </si>
  <si>
    <t>32 Gal</t>
  </si>
  <si>
    <t>Item 100, pg 22</t>
  </si>
  <si>
    <t>Item 100, pg 21</t>
  </si>
  <si>
    <t>WG</t>
  </si>
  <si>
    <t>EOWG</t>
  </si>
  <si>
    <t>EOWG-NR</t>
  </si>
  <si>
    <t>EOWG-R</t>
  </si>
  <si>
    <t>MG-R</t>
  </si>
  <si>
    <t>EOW-R</t>
  </si>
  <si>
    <t>Item 105, pg 24-A</t>
  </si>
  <si>
    <t>Item 105, pg 24-C</t>
  </si>
  <si>
    <t>Item 120, pg 26</t>
  </si>
  <si>
    <t>Item 240, pg 33</t>
  </si>
  <si>
    <t>Details</t>
  </si>
  <si>
    <t>Compacted</t>
  </si>
  <si>
    <t>Item 245, pg 35</t>
  </si>
  <si>
    <t>Current Charged Rate</t>
  </si>
  <si>
    <t>RL032.0G1W005NOREC</t>
  </si>
  <si>
    <t>RL032.0G1W005WREC</t>
  </si>
  <si>
    <t>32 GL 1X WK NO RECY 5</t>
  </si>
  <si>
    <t>32 GL 1X WK W/RECY 5</t>
  </si>
  <si>
    <t>RL032.0G1W006NOREC</t>
  </si>
  <si>
    <t>RL032.0G1W006WREC</t>
  </si>
  <si>
    <t>32 GL 1X WK NO RECY 6</t>
  </si>
  <si>
    <t>32 GL 1X WK W/RECY 6</t>
  </si>
  <si>
    <t>Item 150, pg 26</t>
  </si>
  <si>
    <t>Item 245, pg 34</t>
  </si>
  <si>
    <t>Pierce County Regulated</t>
  </si>
  <si>
    <t>PIERCE UTC</t>
  </si>
  <si>
    <t>December 2018 - November 2019</t>
  </si>
  <si>
    <t>GL Account</t>
  </si>
  <si>
    <t>Tariff Rate Effective 3/1/2018</t>
  </si>
  <si>
    <t>Tariff Rate Effective 3/1/2019</t>
  </si>
  <si>
    <t>Dec 2018 - Nov 2019</t>
  </si>
  <si>
    <t>RESIDENTIAL SERVICES (billed per month unless noted)</t>
  </si>
  <si>
    <t>Concatenate (Area &amp;LOB &amp; Service Code)</t>
  </si>
  <si>
    <t>Resi MSW</t>
  </si>
  <si>
    <t>RL032.0G1W001WRECSPCL</t>
  </si>
  <si>
    <t>32 GL 1X WK S/D W/RECY 1</t>
  </si>
  <si>
    <t>RL032.0G1W002WRECSPCL</t>
  </si>
  <si>
    <t>32 GL 1X WK S/D W/RECY 2</t>
  </si>
  <si>
    <t>SL032.0G1W001WREC</t>
  </si>
  <si>
    <t>SL065.0GEO001</t>
  </si>
  <si>
    <t>65 GL EOW 1</t>
  </si>
  <si>
    <t>Resi MSW Extra</t>
  </si>
  <si>
    <t>EXTRAGRAD1-RES</t>
  </si>
  <si>
    <t>EXTRAS GRADUATED 1-2 - RES</t>
  </si>
  <si>
    <t>EXTRAGRAD2-RES</t>
  </si>
  <si>
    <t>EXTRAYDG-RES</t>
  </si>
  <si>
    <t>EXTRA YARDAGE - RES</t>
  </si>
  <si>
    <t>OS-RES</t>
  </si>
  <si>
    <t>OVERSIZE CAN - RES</t>
  </si>
  <si>
    <t>OW-RES</t>
  </si>
  <si>
    <t>OVERFILL / OVERWEIGHT CAN</t>
  </si>
  <si>
    <t>SPCL32-RES</t>
  </si>
  <si>
    <t>SPECIAL 32 GL - RES</t>
  </si>
  <si>
    <t>SPCL65-RES</t>
  </si>
  <si>
    <t>SPECIAL 65 GL - RES</t>
  </si>
  <si>
    <t>SPCL95-RES</t>
  </si>
  <si>
    <t>SPECIAL 95 GL - RES</t>
  </si>
  <si>
    <t>SP65-RES</t>
  </si>
  <si>
    <t>SPECIAL PICK UP 65 GL - RES</t>
  </si>
  <si>
    <t>SP95-RES</t>
  </si>
  <si>
    <t>SPECIAL PICK UP 95 GL - R</t>
  </si>
  <si>
    <t>SPGRAD1-RES</t>
  </si>
  <si>
    <t>SPREC-RES</t>
  </si>
  <si>
    <t>SPECIAL PICK UP RECYCLE - RES</t>
  </si>
  <si>
    <t>WI1-RES</t>
  </si>
  <si>
    <t>WALK IN 6-25' - RES</t>
  </si>
  <si>
    <t>WI2-RES</t>
  </si>
  <si>
    <t>WALK IN 26-50' - RES</t>
  </si>
  <si>
    <t>WI3-RES</t>
  </si>
  <si>
    <t>WALK IN 51-75' - RES</t>
  </si>
  <si>
    <t>WI4-RES</t>
  </si>
  <si>
    <t>WALK IN 76-100' - RES</t>
  </si>
  <si>
    <t>WI5-RES</t>
  </si>
  <si>
    <t>WALK IN 101-125' - RES</t>
  </si>
  <si>
    <t>WI9-RES</t>
  </si>
  <si>
    <t>WALK IN 201-225' - RES</t>
  </si>
  <si>
    <t>DRIVEIN1-RES</t>
  </si>
  <si>
    <t>DRIVE IN 1 - RES</t>
  </si>
  <si>
    <t>DRIVEIN2-RES</t>
  </si>
  <si>
    <t>DRIVE IN 2 - RES</t>
  </si>
  <si>
    <t>DRIVEIN4-RES</t>
  </si>
  <si>
    <t>DRIVE IN 3 - RES</t>
  </si>
  <si>
    <t>DRIVEIN-RES</t>
  </si>
  <si>
    <t>DRIVE IN SERVICE - RES</t>
  </si>
  <si>
    <t>ACCESS-RES</t>
  </si>
  <si>
    <t>ACCESS FEE - RES</t>
  </si>
  <si>
    <t>APPLIANCER</t>
  </si>
  <si>
    <t>APPLIANCE REMOVAL - RES</t>
  </si>
  <si>
    <t>PDBAG-RES</t>
  </si>
  <si>
    <t>PREPAID BAG - RES</t>
  </si>
  <si>
    <t>LCKR</t>
  </si>
  <si>
    <t>LOCK CHARGE - RES</t>
  </si>
  <si>
    <t>OC-RES</t>
  </si>
  <si>
    <t>ON CALL SERVICE - RES</t>
  </si>
  <si>
    <t>REDEL-RES</t>
  </si>
  <si>
    <t>REDELIVER FEE - RES</t>
  </si>
  <si>
    <t>REINSTATE-RES</t>
  </si>
  <si>
    <t>REINSTATE FEE - RES</t>
  </si>
  <si>
    <t>RTRNCART32-RES</t>
  </si>
  <si>
    <t>RETURN TRIP 32 GL - RES</t>
  </si>
  <si>
    <t>RTRNCART65-RES</t>
  </si>
  <si>
    <t>RETURN TRIP 65 GL - RES</t>
  </si>
  <si>
    <t>RTRNCART95-RES</t>
  </si>
  <si>
    <t>RETURN TRIP 95 GL - RES</t>
  </si>
  <si>
    <t>RTRNTRIP-RES</t>
  </si>
  <si>
    <t>RETURN TRIP FEE - RES</t>
  </si>
  <si>
    <t>TIME-RES</t>
  </si>
  <si>
    <t>TIME FEE 1 - RES</t>
  </si>
  <si>
    <t>TIRESM-RES</t>
  </si>
  <si>
    <t>UNRETURN-RES</t>
  </si>
  <si>
    <t>CONTAINER UNRETURNED FEE</t>
  </si>
  <si>
    <t>ADJ-RES</t>
  </si>
  <si>
    <t>Garbage customers</t>
  </si>
  <si>
    <t>Customers w/o recycling</t>
  </si>
  <si>
    <t>Resi Recycle Count</t>
  </si>
  <si>
    <t>RECBINONLYR</t>
  </si>
  <si>
    <t>Resi Recycle</t>
  </si>
  <si>
    <t>RECPROGADJ-RES</t>
  </si>
  <si>
    <t>RECYCLING PROGRAM ADJUSTM</t>
  </si>
  <si>
    <t>RTRNCART96REC-RES</t>
  </si>
  <si>
    <t>SPCLREC-RES</t>
  </si>
  <si>
    <t>SPECIAL RECYCLE - RES</t>
  </si>
  <si>
    <t>Commodity Credit</t>
  </si>
  <si>
    <t>March Comm Credit</t>
  </si>
  <si>
    <t>RECVALRES</t>
  </si>
  <si>
    <t>RECYCLABLES VALUE - RES</t>
  </si>
  <si>
    <t>Deferred from Feb</t>
  </si>
  <si>
    <t>$ prorate from Feb (half deferred into May in RM tool)</t>
  </si>
  <si>
    <t>Billed at Mar rate</t>
  </si>
  <si>
    <t>S/B total April</t>
  </si>
  <si>
    <t>S/B total May</t>
  </si>
  <si>
    <t>Total Cust Count for March</t>
  </si>
  <si>
    <t>Total Cust Count for April</t>
  </si>
  <si>
    <t>Total Cust Count for May</t>
  </si>
  <si>
    <t>GWRES</t>
  </si>
  <si>
    <t>GREENWASTE SERVICE - RES</t>
  </si>
  <si>
    <t>Resi YW</t>
  </si>
  <si>
    <t>EXTRAGWC-RES</t>
  </si>
  <si>
    <t>EXTRA GREENWASTE FEE - RE</t>
  </si>
  <si>
    <t>EP96GWC-RES</t>
  </si>
  <si>
    <t>EXTRA PICK UP 96 GW - RES</t>
  </si>
  <si>
    <t>SPGWSPCL-RES</t>
  </si>
  <si>
    <t>SPECIAL PICK UP GW S/D - RES</t>
  </si>
  <si>
    <t>Subtotal Residential</t>
  </si>
  <si>
    <t>COMMERCIAL SERVICES (Billed per pickup unless noted)</t>
  </si>
  <si>
    <t>Comm MSW</t>
  </si>
  <si>
    <t>RL020.0G1W001COMM</t>
  </si>
  <si>
    <t>20 GL 1X WK COMM 1</t>
  </si>
  <si>
    <t>RL032.0G1W001MFNR</t>
  </si>
  <si>
    <t>RENT1.5TEMP-COMM</t>
  </si>
  <si>
    <t>RENT 1.5 YD TEMP - COMM</t>
  </si>
  <si>
    <t>RENT1TEMP-COMM</t>
  </si>
  <si>
    <t>RENT 1 YD TEMP - COMM</t>
  </si>
  <si>
    <t>RENT2TEMP-COMM</t>
  </si>
  <si>
    <t>RENT 2 YD TEMP - COMM</t>
  </si>
  <si>
    <t>RENT3TEMP-COMM</t>
  </si>
  <si>
    <t>RENT 3 YD TEMP - COMM</t>
  </si>
  <si>
    <t>RENT4TEMP-COMM</t>
  </si>
  <si>
    <t>RENT 4 YD TEMP - COMM</t>
  </si>
  <si>
    <t>RENT6TEMP-COMM</t>
  </si>
  <si>
    <t>RENT 6 YD TEMP - COMM</t>
  </si>
  <si>
    <t>Comm MSW Extra</t>
  </si>
  <si>
    <t>EXTRAGWC-COMM</t>
  </si>
  <si>
    <t>EXTRA GREENWASTE FEE - CO</t>
  </si>
  <si>
    <t>OC-COMM</t>
  </si>
  <si>
    <t>ON CALL SERVICE - COMM</t>
  </si>
  <si>
    <t>OFOWCONT-COMM</t>
  </si>
  <si>
    <t>OS-COMM</t>
  </si>
  <si>
    <t>OVERSIZE CAN - COMM</t>
  </si>
  <si>
    <t>ACCESS-COMM</t>
  </si>
  <si>
    <t>ACCESS FEE - COMM</t>
  </si>
  <si>
    <t>ACCESS-MF</t>
  </si>
  <si>
    <t>ACCESS FEE - MF</t>
  </si>
  <si>
    <t>APPLIANCEC</t>
  </si>
  <si>
    <t>APPLIANCE REMOVAL - COMM</t>
  </si>
  <si>
    <t>DISP-COMM</t>
  </si>
  <si>
    <t>DISPOSAL FEE - COMM</t>
  </si>
  <si>
    <t>DRIVEIN1-COMM</t>
  </si>
  <si>
    <t>DRIVE IN 125-250' - COMM</t>
  </si>
  <si>
    <t>DRIVEIN2-COMM</t>
  </si>
  <si>
    <t>DRIVE IN 251-778' - COMM</t>
  </si>
  <si>
    <t>EQUIP-COMM</t>
  </si>
  <si>
    <t>EQUIPMENT CHARGE - COMM</t>
  </si>
  <si>
    <t>ROLL-COMM</t>
  </si>
  <si>
    <t>ROLL OUT CHARGE - COMM</t>
  </si>
  <si>
    <t>WI1-COMM</t>
  </si>
  <si>
    <t>WALK IN 6-25' - COMM</t>
  </si>
  <si>
    <t>WI2-COMM</t>
  </si>
  <si>
    <t>WALK IN 26-50' - COMM</t>
  </si>
  <si>
    <t>WI4-COMM</t>
  </si>
  <si>
    <t>WALK IN 76-100' - COMM</t>
  </si>
  <si>
    <t>WI5-COMM</t>
  </si>
  <si>
    <t>WALK IN 101-125' - COMM</t>
  </si>
  <si>
    <t>CLEAN1.5-COMM</t>
  </si>
  <si>
    <t>CLEANING FEE 1.5 YD - COM</t>
  </si>
  <si>
    <t>CLEAN1-COMM</t>
  </si>
  <si>
    <t>CLEANING FEE 1 YD - COMM</t>
  </si>
  <si>
    <t>CLEAN2-COMM</t>
  </si>
  <si>
    <t>CLEANING FEE 2 YD - COMM</t>
  </si>
  <si>
    <t>CLEAN3-COMM</t>
  </si>
  <si>
    <t>CLEANING FEE 3 YD - COMM</t>
  </si>
  <si>
    <t>CLEAN4-COMM</t>
  </si>
  <si>
    <t>CLEANING FEE 4 YD - COMM</t>
  </si>
  <si>
    <t>CLEAN6-COMM</t>
  </si>
  <si>
    <t>CLEANING FEE 6 YD - COMM</t>
  </si>
  <si>
    <t>CLEAN-COMM</t>
  </si>
  <si>
    <t>CONTAINER CLEANING FEE -</t>
  </si>
  <si>
    <t>DEL1.5TEMP-COMM</t>
  </si>
  <si>
    <t>DELIVERY FEE 1.5 YD TEMP</t>
  </si>
  <si>
    <t>DEL1TEMP-COMM</t>
  </si>
  <si>
    <t>DELIVERY FEE 1 YD TEMP -</t>
  </si>
  <si>
    <t>DEL2TEMP-COMM</t>
  </si>
  <si>
    <t>DELIVERY FEE 2 YD TEMP -</t>
  </si>
  <si>
    <t>DEL3TEMP-COMM</t>
  </si>
  <si>
    <t>DELIVERY FEE 3 YD TEMP - COMM</t>
  </si>
  <si>
    <t>DEL4TEMP-COMM</t>
  </si>
  <si>
    <t>DELIVERY FEE 4 YD TEMP - COMM</t>
  </si>
  <si>
    <t>DEL6TEMP-COMM</t>
  </si>
  <si>
    <t>DELIVERY FEE 6 YD TEMP -</t>
  </si>
  <si>
    <t>DEL-COMM</t>
  </si>
  <si>
    <t>DELIVERY FEE - COMM</t>
  </si>
  <si>
    <t>REINSTATE-COMM</t>
  </si>
  <si>
    <t>REINSTATE FEE - COMM</t>
  </si>
  <si>
    <t>RTRNCAN-COMM</t>
  </si>
  <si>
    <t>RETURN TRIP FEE CAN - COM</t>
  </si>
  <si>
    <t>RTRNCART65-COMM</t>
  </si>
  <si>
    <t>RETURN TRIP 65 GL - COMM</t>
  </si>
  <si>
    <t>RTRNCART95-COMM</t>
  </si>
  <si>
    <t>RETURN TRIP 95 GL - COMM</t>
  </si>
  <si>
    <t>RTRNTRIP-COMM</t>
  </si>
  <si>
    <t>RETURN TRIP FEE - COMM</t>
  </si>
  <si>
    <t>SP1.5-COMM</t>
  </si>
  <si>
    <t>SPECIAL PICK UP 1.5 YD -</t>
  </si>
  <si>
    <t>SP1-COMM</t>
  </si>
  <si>
    <t>SPECIAL PICK UP 1 YD - CO</t>
  </si>
  <si>
    <t>SP2-COMM</t>
  </si>
  <si>
    <t>SPECIAL PICK UP 2 YD - CO</t>
  </si>
  <si>
    <t>SP3-COMM</t>
  </si>
  <si>
    <t>SPECIAL PICK UP 3 YD - CO</t>
  </si>
  <si>
    <t>SP4-COMM</t>
  </si>
  <si>
    <t>SPECIAL PICK UP 4 YD - CO</t>
  </si>
  <si>
    <t>SP6-COMM</t>
  </si>
  <si>
    <t>SPECIAL PICK UP 6 YD - CO</t>
  </si>
  <si>
    <t>SPCL65-COMM</t>
  </si>
  <si>
    <t>SPECIAL 65 GL - COMM</t>
  </si>
  <si>
    <t>SPCL95-COMM</t>
  </si>
  <si>
    <t>SPECIAL 95 GL - COMM</t>
  </si>
  <si>
    <t>SPCLREC-COMM</t>
  </si>
  <si>
    <t>SPECIAL RECYCLE - COMM</t>
  </si>
  <si>
    <t>SPGRAD1S-COMM</t>
  </si>
  <si>
    <t>SPGRAD2S-COMM</t>
  </si>
  <si>
    <t>SPGRAD1-COMM</t>
  </si>
  <si>
    <t>SPGRAD2-COMM</t>
  </si>
  <si>
    <t>TIME-COMM</t>
  </si>
  <si>
    <t>TIME FEE 1 - COMM</t>
  </si>
  <si>
    <t>UNRETURN-COMM</t>
  </si>
  <si>
    <t>LCKC</t>
  </si>
  <si>
    <t>LOCK CHARGE - COMM</t>
  </si>
  <si>
    <t>REDEL-COMM</t>
  </si>
  <si>
    <t>REDELIVER FEE LVL 1 - COM</t>
  </si>
  <si>
    <t>ADJ-COMM</t>
  </si>
  <si>
    <t>EXTRAGRAD1-COMM</t>
  </si>
  <si>
    <t>EXTRAGRAD2-COMM</t>
  </si>
  <si>
    <t>SP2CMP-COMM</t>
  </si>
  <si>
    <t>PIERCE UTCCommercialSP4CMP-COMM</t>
  </si>
  <si>
    <t>SP4CMP-COMM</t>
  </si>
  <si>
    <t>PIERCE UTCCOMMERCIALCANCOUNTFD65-COMM</t>
  </si>
  <si>
    <t>CANCOUNTFD65-COMM</t>
  </si>
  <si>
    <t>FL001.0YEO001</t>
  </si>
  <si>
    <t>FL003.0Y4W001</t>
  </si>
  <si>
    <t>FL006.0Y2W001CMP</t>
  </si>
  <si>
    <t>RL035.0G1W001WRECC</t>
  </si>
  <si>
    <t>RTRNCART32-COMM</t>
  </si>
  <si>
    <t>RTRNCART35-COMM</t>
  </si>
  <si>
    <t>SP5CMP-COMM</t>
  </si>
  <si>
    <t>SURCHGC</t>
  </si>
  <si>
    <t>MFNBINS</t>
  </si>
  <si>
    <t>MULTI-FAMILY NO BINS</t>
  </si>
  <si>
    <t>MFWBINS</t>
  </si>
  <si>
    <t>MULTI-FAMILY RECYCLE WITH BINS</t>
  </si>
  <si>
    <t>Comm Recycling</t>
  </si>
  <si>
    <t>Commercial Yardwaste</t>
  </si>
  <si>
    <t>GWCOMM</t>
  </si>
  <si>
    <t>GREENWASTE SERVICE - COMM</t>
  </si>
  <si>
    <t>COMMERCIAL RECYCLING</t>
  </si>
  <si>
    <t>ACCESSCREC-COMM</t>
  </si>
  <si>
    <t>COMDESKREC</t>
  </si>
  <si>
    <t>FL002.0Y1M001BCMGL</t>
  </si>
  <si>
    <t>FL002.0Y1W001BCMGL</t>
  </si>
  <si>
    <t>FL002.0Y1W001BOCC</t>
  </si>
  <si>
    <t>FL002.0Y3W001BOCC</t>
  </si>
  <si>
    <t>FL002.0Y1W001SCMGL</t>
  </si>
  <si>
    <t>FL002.0Y1W001SOCC</t>
  </si>
  <si>
    <t>FL002.0Y2W001BCMGL</t>
  </si>
  <si>
    <t>FL002.0Y2W001BOCC</t>
  </si>
  <si>
    <t>FL002.0Y2W001SCMGL</t>
  </si>
  <si>
    <t>FL002.0Y2W001SOCC</t>
  </si>
  <si>
    <t>FL002.0Y5W001BOCC</t>
  </si>
  <si>
    <t>FL005.0Y1W001BOCC</t>
  </si>
  <si>
    <t>FL005.0Y1W001SOCC</t>
  </si>
  <si>
    <t>FL005.0Y2W001BOCC</t>
  </si>
  <si>
    <t>FL005.0Y2W001SOCC</t>
  </si>
  <si>
    <t>FL005.0Y3W001BOCC</t>
  </si>
  <si>
    <t>FL005.0Y4W001BOCC</t>
  </si>
  <si>
    <t>FL005.0Y5W001BOCC</t>
  </si>
  <si>
    <t>FL006.0Y1W001BCMGL</t>
  </si>
  <si>
    <t>FL006.0Y1W001SCMGL</t>
  </si>
  <si>
    <t>FL006.0Y2W001BCMGL</t>
  </si>
  <si>
    <t>FL006.0Y3W001BCMGL</t>
  </si>
  <si>
    <t>RECBINSCOMSVC</t>
  </si>
  <si>
    <t>RECCOMSVC</t>
  </si>
  <si>
    <t>RENTRECCNT-COMM</t>
  </si>
  <si>
    <t>SL064.0G1M001BCMGLIN</t>
  </si>
  <si>
    <t>SL064.0G1M001BCMGLOUT</t>
  </si>
  <si>
    <t>SL064.0G1W001BCMGLOUT</t>
  </si>
  <si>
    <t>SL064.0G1W001SCMGLOUT</t>
  </si>
  <si>
    <t>SL064.0GEO001BCMGLIN</t>
  </si>
  <si>
    <t>SL064.0GEO001BCMGLOUT</t>
  </si>
  <si>
    <t>SL064.0GEO001SCMGLOUT</t>
  </si>
  <si>
    <t>SL096.0G1M001BCMGLIN</t>
  </si>
  <si>
    <t>SL096.0G1M001BCMGLOUT</t>
  </si>
  <si>
    <t>SL096.0G1W001BCMGLIN</t>
  </si>
  <si>
    <t>SL096.0G1W001BCMGLOUT</t>
  </si>
  <si>
    <t>SL096.0G1W001SCMGLOUT</t>
  </si>
  <si>
    <t>SL096.0GEO001BCMGLIN</t>
  </si>
  <si>
    <t>SL096.0GEO001BCMGLOUT</t>
  </si>
  <si>
    <t>SL096.0GEO001SCMGLIN</t>
  </si>
  <si>
    <t>SL096.0GEO001SCMGLOUT</t>
  </si>
  <si>
    <t>RTRNCART96REC-COMM</t>
  </si>
  <si>
    <t>SP2BCMGL-COMM</t>
  </si>
  <si>
    <t>SP2SCMGL-COMM</t>
  </si>
  <si>
    <t>SP2OCC-COMM</t>
  </si>
  <si>
    <t>SP2SOCC-COMM</t>
  </si>
  <si>
    <t>SP5OCC-COMM</t>
  </si>
  <si>
    <t>SPGRAD1REC-COMM</t>
  </si>
  <si>
    <t>SPGRAD2REC-COMM</t>
  </si>
  <si>
    <t>SP6SCMGL-COMM</t>
  </si>
  <si>
    <t>SP6BCMGL-COMM</t>
  </si>
  <si>
    <t>FL002.0Y1W001OCC</t>
  </si>
  <si>
    <t>FL002.0Y3W001BCMGL</t>
  </si>
  <si>
    <t>FL002.0Y3W001SOCC</t>
  </si>
  <si>
    <t>FL002.0Y4W001BCMGL</t>
  </si>
  <si>
    <t>FL002.0Y4W001BOCC</t>
  </si>
  <si>
    <t>FL004.0Y1W001CMGL</t>
  </si>
  <si>
    <t>FL004.0Y1W001SCMGL</t>
  </si>
  <si>
    <t>FL004.0Y2W001CMGL</t>
  </si>
  <si>
    <t>FL004.0Y3W001BCMGL</t>
  </si>
  <si>
    <t>FL004.0Y4W001BCMGL</t>
  </si>
  <si>
    <t>FL004.0Y5W001BCMGL</t>
  </si>
  <si>
    <t>FL005.0Y1W001OCC</t>
  </si>
  <si>
    <t>FL005.0Y2W001OCC</t>
  </si>
  <si>
    <t>FL006.0Y2W001SCMGL</t>
  </si>
  <si>
    <t>ROLL-REC</t>
  </si>
  <si>
    <t>SL096.0G1M001SCMGLOUT</t>
  </si>
  <si>
    <t>SL096.0G1W001RECC</t>
  </si>
  <si>
    <t>SL096.0G1W001SCMGLIN</t>
  </si>
  <si>
    <t>SP4CMGL-COM</t>
  </si>
  <si>
    <t>SP4SCMGL-COM</t>
  </si>
  <si>
    <t>COMMODITY SURCHARGE</t>
  </si>
  <si>
    <t>TOTAL COMMERCIAL RECYCLING</t>
  </si>
  <si>
    <t>Subtotal Commercial</t>
  </si>
  <si>
    <t>HAUL15-RO</t>
  </si>
  <si>
    <t>HAUL 15 YD - RO</t>
  </si>
  <si>
    <t>RO Perm</t>
  </si>
  <si>
    <t>HAUL20-RO</t>
  </si>
  <si>
    <t>HAUL 20 YD - RO</t>
  </si>
  <si>
    <t>HAUL30-RO</t>
  </si>
  <si>
    <t>HAUL 30 YD - RO</t>
  </si>
  <si>
    <t>HAUL40-RO</t>
  </si>
  <si>
    <t>HAUL 40 YD - RO</t>
  </si>
  <si>
    <t>HAUL20CUST-RO</t>
  </si>
  <si>
    <t>HAUL30CUST-RO</t>
  </si>
  <si>
    <t>FINAL20-RO</t>
  </si>
  <si>
    <t>FINAL PULL 20 YD - RO</t>
  </si>
  <si>
    <t>FINAL30-RO</t>
  </si>
  <si>
    <t>FINAL PULL 30 YD - RO</t>
  </si>
  <si>
    <t>FINAL40-RO</t>
  </si>
  <si>
    <t>FINAL PULL 40 YD - RO</t>
  </si>
  <si>
    <t>HAUL10-CP</t>
  </si>
  <si>
    <t>COMPACTOR HAUL 10 YD</t>
  </si>
  <si>
    <t>HAUL15-CP</t>
  </si>
  <si>
    <t>COMPACTOR HAUL 15 YD</t>
  </si>
  <si>
    <t>HAUL20-CP</t>
  </si>
  <si>
    <t>COMPACTOR HAUL 20 YD - RO</t>
  </si>
  <si>
    <t>HAUL25-CP</t>
  </si>
  <si>
    <t>COMPACTOR HAUL 25 YD - RO</t>
  </si>
  <si>
    <t>HAUL26-CP</t>
  </si>
  <si>
    <t>COMPACTOR HAUL 26 YD - RO</t>
  </si>
  <si>
    <t>HAUL30-CP</t>
  </si>
  <si>
    <t>COMPACTOR HAUL 30 YD</t>
  </si>
  <si>
    <t>HAUL35-CP</t>
  </si>
  <si>
    <t>COMPACTOR HAUL 35 YD - RO</t>
  </si>
  <si>
    <t>HAUL40-CP</t>
  </si>
  <si>
    <t>COMPACTOR HAUL 40 YD</t>
  </si>
  <si>
    <t>DEL20TEMP-RO</t>
  </si>
  <si>
    <t>DELIVERY FEE 20 YD TEMP -</t>
  </si>
  <si>
    <t>RO Temp</t>
  </si>
  <si>
    <t>DEL30TEMP-RO</t>
  </si>
  <si>
    <t>DELIVERY FEE 30 YD TEMP -</t>
  </si>
  <si>
    <t>DEL40TEMP-RO</t>
  </si>
  <si>
    <t>DELIVERY FEE 40 YD TEMP -</t>
  </si>
  <si>
    <t>FINAL20TEMP-RO</t>
  </si>
  <si>
    <t>FINAL PULL 20 YD TEMP - R</t>
  </si>
  <si>
    <t>FINAL30TEMP-RO</t>
  </si>
  <si>
    <t>FINAL PULL 30 YD TEMP - R</t>
  </si>
  <si>
    <t>FINAL40TEMP-RO</t>
  </si>
  <si>
    <t>FINAL PULL 40 YD TEMP - R</t>
  </si>
  <si>
    <t>HAUL20TEMP-RO</t>
  </si>
  <si>
    <t>HAUL 20 YD TEMP - RO</t>
  </si>
  <si>
    <t>HAUL30TEMP-RO</t>
  </si>
  <si>
    <t>HAUL 30 YD TEMP - RO</t>
  </si>
  <si>
    <t>HAUL40TEMP-RO</t>
  </si>
  <si>
    <t>HAUL 40 YD TEMP - RO</t>
  </si>
  <si>
    <t>RENT15MO-RO</t>
  </si>
  <si>
    <t>RENTAL FEE 15 YD MONTHLY</t>
  </si>
  <si>
    <t>RO Rent</t>
  </si>
  <si>
    <t>RENT20MO-RO</t>
  </si>
  <si>
    <t>RENTAL FEE 20 YD MONTHLY</t>
  </si>
  <si>
    <t>RENT30MO-RO</t>
  </si>
  <si>
    <t>RENTAL FEE 30 YD MONTHLY</t>
  </si>
  <si>
    <t>RENT40MO-RO</t>
  </si>
  <si>
    <t>RENTAL FEE 40 YD MONTHLY</t>
  </si>
  <si>
    <t>RENT20TEMP-RO</t>
  </si>
  <si>
    <t>RENTAL FEE 20 YD TEMP - R</t>
  </si>
  <si>
    <t>RENT30TEMP-RO</t>
  </si>
  <si>
    <t>RENTAL FEE 30 YD TEMP - R</t>
  </si>
  <si>
    <t>RENT40TEMP-RO</t>
  </si>
  <si>
    <t>RENTAL FEE 40 YD TEMP - R</t>
  </si>
  <si>
    <t>CLEAN10-RO</t>
  </si>
  <si>
    <t>CLEANING FEE 10 YD - RO</t>
  </si>
  <si>
    <t>CLEAN20-RO</t>
  </si>
  <si>
    <t>CLEANING FEE 20 YD - RO</t>
  </si>
  <si>
    <t>CLEAN25-RO</t>
  </si>
  <si>
    <t>CLEANING FEE 25 YD - RO</t>
  </si>
  <si>
    <t>CLEAN30-RO</t>
  </si>
  <si>
    <t>CLEANING FEE 30 YD - RO</t>
  </si>
  <si>
    <t>DISCO-CP</t>
  </si>
  <si>
    <t>COMPACTOR DISCONNECT FEE</t>
  </si>
  <si>
    <t>EXWGHT-RO</t>
  </si>
  <si>
    <t>EXCESS WEIGHT - RO</t>
  </si>
  <si>
    <t>EXTRAYDG-RO</t>
  </si>
  <si>
    <t>EXTRA YARDAGE - RO</t>
  </si>
  <si>
    <t>FERRY-RO</t>
  </si>
  <si>
    <t>FERRY FEE - RO</t>
  </si>
  <si>
    <t>LIDRO</t>
  </si>
  <si>
    <t>LID CHARGE - RO</t>
  </si>
  <si>
    <t>LOCK-RO</t>
  </si>
  <si>
    <t>LOCK CHARGE - RO</t>
  </si>
  <si>
    <t>MILE-RO</t>
  </si>
  <si>
    <t>MILEAGE FEE - RO</t>
  </si>
  <si>
    <t>RTRNTRIP-RO</t>
  </si>
  <si>
    <t>RETURN TRIP FEE - RO</t>
  </si>
  <si>
    <t>TIME-RO</t>
  </si>
  <si>
    <t>TIME FEE - RO</t>
  </si>
  <si>
    <t>ADJ-RO</t>
  </si>
  <si>
    <t>DISP-RO</t>
  </si>
  <si>
    <t>DISPOSAL CHARGE - RO</t>
  </si>
  <si>
    <t>RO Disposal</t>
  </si>
  <si>
    <t>DISPFEDMSW-RO</t>
  </si>
  <si>
    <t>Subtotal Drop Box</t>
  </si>
  <si>
    <t>Service Charges</t>
  </si>
  <si>
    <t>ADJ-FIN</t>
  </si>
  <si>
    <t>ADJUSTMENT FINANCE CHARGE</t>
  </si>
  <si>
    <t>RETCKC</t>
  </si>
  <si>
    <t>RETURN CHECK CHARGE</t>
  </si>
  <si>
    <t>EATONVILLE DISCOUNT</t>
  </si>
  <si>
    <t>Subtotal Service Charges</t>
  </si>
  <si>
    <t>Grand Total District Operations</t>
  </si>
  <si>
    <t>Total of Reg.</t>
  </si>
  <si>
    <t>Total of EQR</t>
  </si>
  <si>
    <t>Total of Ftl</t>
  </si>
  <si>
    <t>Pierce County - Equity</t>
  </si>
  <si>
    <t>JBLM HOUSING</t>
  </si>
  <si>
    <t>RL010.0G1W001WREC</t>
  </si>
  <si>
    <t>10 GL 1X WK W/ RECY1</t>
  </si>
  <si>
    <t>35 GL 1X MO W/RECY 1</t>
  </si>
  <si>
    <t>FL004.0Y1W001MF</t>
  </si>
  <si>
    <t>4 YD 1X WK MULTI-FAMILY 1</t>
  </si>
  <si>
    <t>RL004.0Y1W001</t>
  </si>
  <si>
    <t>RL006.0Y1W001</t>
  </si>
  <si>
    <t>DISPFEDMSW-RES</t>
  </si>
  <si>
    <t>DISPOSAL FEE FEDERAL</t>
  </si>
  <si>
    <t>GW3RES</t>
  </si>
  <si>
    <t>GREENWASTE SVC 3 - RES</t>
  </si>
  <si>
    <t>FL001.0Y1W001MF</t>
  </si>
  <si>
    <t>1 YD 1X WK MULTI-FAMILY 1</t>
  </si>
  <si>
    <t>FL001.5Y1W001MF</t>
  </si>
  <si>
    <t>1.5 YD 1X WK MULTI-FAMILY 1</t>
  </si>
  <si>
    <t>FL001.5Y2W001MF</t>
  </si>
  <si>
    <t>1.5 YD 2X WK MULTI-FAMILY 1</t>
  </si>
  <si>
    <t>FL002.0Y1W001MF</t>
  </si>
  <si>
    <t>2 YD 1X WK MULTI-FAMILY 1</t>
  </si>
  <si>
    <t>FL002.0Y2W001MF</t>
  </si>
  <si>
    <t>2 YD 2X WK MULTI-FAMILY 1</t>
  </si>
  <si>
    <t>FL003.0Y1W001MF</t>
  </si>
  <si>
    <t>3 YD 1X WK MULTI-FAMILY 1</t>
  </si>
  <si>
    <t>RL032.0G1W004NORECC</t>
  </si>
  <si>
    <t>32 GL 1X WK NO RECY COMM 4</t>
  </si>
  <si>
    <t>RL032.0G1W006WRECC</t>
  </si>
  <si>
    <t>32 GL 1X WK W/RECY COMM 6</t>
  </si>
  <si>
    <t>RL001.0Y1W001</t>
  </si>
  <si>
    <t>RL001.5Y1W001</t>
  </si>
  <si>
    <t>SL035.0G1M001WRECC</t>
  </si>
  <si>
    <t>35 GL 1X MO W/RECY COMM</t>
  </si>
  <si>
    <t>SL065.0G1M001NORECC</t>
  </si>
  <si>
    <t>65 GL 1X MO NO RECY COMM</t>
  </si>
  <si>
    <t>CONTAINER CLEANING FEE - COMM</t>
  </si>
  <si>
    <t>DEL30-RO</t>
  </si>
  <si>
    <t>DISPDIRT-RO</t>
  </si>
  <si>
    <t>DISPGW-RO</t>
  </si>
  <si>
    <t>DISPITEM-RO</t>
  </si>
  <si>
    <t>24-C</t>
  </si>
  <si>
    <t>24-A</t>
  </si>
  <si>
    <t>Current Tariff Rate - Each Addn'l Container</t>
  </si>
  <si>
    <t>Container Each Addn'l Pick-Up</t>
  </si>
  <si>
    <t xml:space="preserve">Regular </t>
  </si>
  <si>
    <t>1 Yard Regular</t>
  </si>
  <si>
    <t>Additional Pick Up</t>
  </si>
  <si>
    <t>First Pick Up</t>
  </si>
  <si>
    <t>2 Yard Regular</t>
  </si>
  <si>
    <t>1.5 Yard Regular</t>
  </si>
  <si>
    <t>3 Yard Regular</t>
  </si>
  <si>
    <t>4 Yard Regular</t>
  </si>
  <si>
    <t>6 Yard Regular</t>
  </si>
  <si>
    <t>1 Yard Temp</t>
  </si>
  <si>
    <t>1.5 Yard Temp</t>
  </si>
  <si>
    <t>2 Yard Temp</t>
  </si>
  <si>
    <t>3 Yard Temp</t>
  </si>
  <si>
    <t>4 Yard Temp</t>
  </si>
  <si>
    <t>Special</t>
  </si>
  <si>
    <t>RO</t>
  </si>
  <si>
    <t>JBLM Housing</t>
  </si>
  <si>
    <t>JBLM Housing - Federal Rate</t>
  </si>
  <si>
    <t>District 2180: LeMay Pierce County Refuse</t>
  </si>
  <si>
    <t>December 2018 - December 2019</t>
  </si>
  <si>
    <t>Disposal Schedule</t>
  </si>
  <si>
    <t>Regulated:</t>
  </si>
  <si>
    <t xml:space="preserve"> </t>
  </si>
  <si>
    <t>TEST PERIOD</t>
  </si>
  <si>
    <t>Pass Thru</t>
  </si>
  <si>
    <t>TOTALS</t>
  </si>
  <si>
    <t>Tons</t>
  </si>
  <si>
    <t>Tons for DF Filing</t>
  </si>
  <si>
    <t>Rate</t>
  </si>
  <si>
    <t>Regulated Packer Tons</t>
  </si>
  <si>
    <t>Expense</t>
  </si>
  <si>
    <t>Regulated PT Tons</t>
  </si>
  <si>
    <t>JBLM Housing Packer Tons</t>
  </si>
  <si>
    <t>Resi Route Garbage</t>
  </si>
  <si>
    <t>Fed PT Tons</t>
  </si>
  <si>
    <t>Comm Route Garbage</t>
  </si>
  <si>
    <t>Total Dump Fee</t>
  </si>
  <si>
    <t>County/ Ft Lewis</t>
  </si>
  <si>
    <t>Regulated</t>
  </si>
  <si>
    <t>Contract</t>
  </si>
  <si>
    <t>Federal:</t>
  </si>
  <si>
    <t>JBLM Contract</t>
  </si>
  <si>
    <t>Mt Rainier</t>
  </si>
  <si>
    <t>Unregulated other:</t>
  </si>
  <si>
    <t>Wood Waste @SR</t>
  </si>
  <si>
    <t>Yard Waste @SR</t>
  </si>
  <si>
    <t>Non Fed Tons</t>
  </si>
  <si>
    <t>General Ledger</t>
  </si>
  <si>
    <t>Difference</t>
  </si>
  <si>
    <t>Federal</t>
  </si>
  <si>
    <t>Other Interco</t>
  </si>
  <si>
    <t xml:space="preserve"> Pass Thru</t>
  </si>
  <si>
    <t>Net Difference</t>
  </si>
  <si>
    <t>Glass</t>
  </si>
  <si>
    <t>Construction Debris</t>
  </si>
  <si>
    <t>C&amp;D</t>
  </si>
  <si>
    <t>Tires</t>
  </si>
  <si>
    <t>Compost</t>
  </si>
  <si>
    <t>Grand Total</t>
  </si>
  <si>
    <t>Packer Tons Collected</t>
  </si>
  <si>
    <t>Total Non-Fed Tonnage</t>
  </si>
  <si>
    <t>Pass Thru Tons Non-Fed</t>
  </si>
  <si>
    <t>Pass Thru Tons Fed</t>
  </si>
  <si>
    <t>Item 55, pg 16</t>
  </si>
  <si>
    <t>32 Gal Unit</t>
  </si>
  <si>
    <t>Over-Sized</t>
  </si>
  <si>
    <t>Tie to Price Out</t>
  </si>
  <si>
    <t>Over-Weight</t>
  </si>
  <si>
    <t>1 YD EOW 1</t>
  </si>
  <si>
    <t>3 YD 4X WK 1</t>
  </si>
  <si>
    <t>6 YD 2X WK COMP 1</t>
  </si>
  <si>
    <t>35 GL 1X WK W/RECY COMM 1</t>
  </si>
  <si>
    <t>E</t>
  </si>
  <si>
    <t>65 Gallon Extra</t>
  </si>
  <si>
    <t>95 Gallon Extra</t>
  </si>
  <si>
    <t>Prepaid Bag</t>
  </si>
  <si>
    <t>No Current Customers</t>
  </si>
  <si>
    <t>32 Gallon Extra</t>
  </si>
  <si>
    <t>1 Yard First</t>
  </si>
  <si>
    <t>1 Yard Additional</t>
  </si>
  <si>
    <t>1.5 Yard First</t>
  </si>
  <si>
    <t>1.5 Yard Additional</t>
  </si>
  <si>
    <t>2 Yard First</t>
  </si>
  <si>
    <t>2 Yard Additional</t>
  </si>
  <si>
    <t>3 Yard First</t>
  </si>
  <si>
    <t>3 Yard Additional</t>
  </si>
  <si>
    <t>4 Yard First</t>
  </si>
  <si>
    <t>4 Yard Additional</t>
  </si>
  <si>
    <t>6 Yard First</t>
  </si>
  <si>
    <t>6 Yard Additional</t>
  </si>
  <si>
    <t>8 Yard First</t>
  </si>
  <si>
    <t>8 Yard Additional</t>
  </si>
  <si>
    <t>6 Yard Temp</t>
  </si>
  <si>
    <t>8 Yard Temp</t>
  </si>
  <si>
    <t>1 Yard Special</t>
  </si>
  <si>
    <t>1.5 Yard Special</t>
  </si>
  <si>
    <t>2 Yard Special</t>
  </si>
  <si>
    <t>3 Yard Special</t>
  </si>
  <si>
    <t>4 Yard Special</t>
  </si>
  <si>
    <t>6 Yard Special</t>
  </si>
  <si>
    <t>8 Yard Special</t>
  </si>
  <si>
    <t>Can Count - Over 5</t>
  </si>
  <si>
    <t>65 Gallon Monthly Minimum</t>
  </si>
  <si>
    <t>32 Gallon Monthly Minimum</t>
  </si>
  <si>
    <t>95 Gallon Monthly Minimum</t>
  </si>
  <si>
    <t>Special Pickup - 1st</t>
  </si>
  <si>
    <t>Special Pickup - Each Additional</t>
  </si>
  <si>
    <t>CAN COUNT FOOD 65 GL - CO</t>
  </si>
  <si>
    <t>RETURN TRIP 32 GL - COMM</t>
  </si>
  <si>
    <t>RETURN TRIP FEE 35 GL - COMM</t>
  </si>
  <si>
    <t>SPECIAL PICK UP 5 YD COMP</t>
  </si>
  <si>
    <t>SURCHARGE - COMM</t>
  </si>
  <si>
    <t>ACCESS FEE COMM RECY - CO</t>
  </si>
  <si>
    <t>2 YD 1X MO BUS CMGL 1</t>
  </si>
  <si>
    <t>2 YD 1X WK BUS CMGL 1</t>
  </si>
  <si>
    <t>2 YD 1X WK BUS OCC 1</t>
  </si>
  <si>
    <t>2 YD 3X WK BUS OCC 1</t>
  </si>
  <si>
    <t>2 YD 1X WK SCHL CMGL 1</t>
  </si>
  <si>
    <t>2 YD 1X WK SCHOOL OCC</t>
  </si>
  <si>
    <t>2 YD 2X WK BUS CMGL 1</t>
  </si>
  <si>
    <t>2 YD 2X WK BUS OCC 1</t>
  </si>
  <si>
    <t>2 YD 2X WK SCHL CMGL 1</t>
  </si>
  <si>
    <t>2 YD 2X WK SCHOOL OCC</t>
  </si>
  <si>
    <t>2 YD 5X WK BUS OCC 1</t>
  </si>
  <si>
    <t>5 YD 1X WK BUS OCC 1</t>
  </si>
  <si>
    <t>5 YD 1X WK SCHOOL OCC</t>
  </si>
  <si>
    <t>5 YD 2X WK BUS OCC 1</t>
  </si>
  <si>
    <t>5 YD 2X WK SCHOOL OCC</t>
  </si>
  <si>
    <t>5 YD 3X WK BUS OCC 1</t>
  </si>
  <si>
    <t>5 YD 4X WK BUS OCC 1</t>
  </si>
  <si>
    <t>5 YD 5X WK BUS OCC 1</t>
  </si>
  <si>
    <t>6 YD 1X WK BUS COMINGLE 1</t>
  </si>
  <si>
    <t>6 YD 1X WK SCHL CMGL 1</t>
  </si>
  <si>
    <t>6 YD 2X WK BUS COMINGLE 1</t>
  </si>
  <si>
    <t>6 YD 3X WK BUS CMGL 1</t>
  </si>
  <si>
    <t>COMMERCIAL RECYCLE SVC BI</t>
  </si>
  <si>
    <t>RENTAL FEE RECYCLE CONTAI</t>
  </si>
  <si>
    <t>64 GL MTHLY BUS CMGL IN</t>
  </si>
  <si>
    <t>64 GL MTHLY BUS CMGL OUT</t>
  </si>
  <si>
    <t>64 GL WKLY BUS CMGL OUT</t>
  </si>
  <si>
    <t>64 GL WKLY SCHL CMGL OUT</t>
  </si>
  <si>
    <t>64 GL EOW BUS CMGL IN</t>
  </si>
  <si>
    <t>64 GL EOW BUS CMGL OUT</t>
  </si>
  <si>
    <t>64 GL EOW SCHL CMGL OUT</t>
  </si>
  <si>
    <t>96 GL MTHLY BUS CMGL IN</t>
  </si>
  <si>
    <t>96 GL MTHLY BUS CMGL OUT</t>
  </si>
  <si>
    <t>96 GL WKLY BUS CMGL IN</t>
  </si>
  <si>
    <t>96 GL WKLY BUS CMGL OUT</t>
  </si>
  <si>
    <t>96 GL WKLY SCHL CMGL OUT</t>
  </si>
  <si>
    <t>96 GL EOW BUS CMGL IN</t>
  </si>
  <si>
    <t>96 GL EOW BUS CMGL OUT</t>
  </si>
  <si>
    <t>96 GL EOW SCHL CMGL IN</t>
  </si>
  <si>
    <t>96 GL EOW SCHL CMGL OUT</t>
  </si>
  <si>
    <t>RETURN TRIP 96 GL REC - C</t>
  </si>
  <si>
    <t>SPECIAL P/U 2 YD BUS CMGL</t>
  </si>
  <si>
    <t>SPECIAL P/U 2 YD SCHL CMGL</t>
  </si>
  <si>
    <t>SPECIAL PICKUP 2 YD OCC -</t>
  </si>
  <si>
    <t>SPECIAL PU 2 YD SCHOOL OC</t>
  </si>
  <si>
    <t>SPECIAL PICKUP 5 YD OCC -</t>
  </si>
  <si>
    <t>SPECIAL UNIT GRAD1 REC - COMM</t>
  </si>
  <si>
    <t>SPECIAL UNIT GRAD2 REC - COMM</t>
  </si>
  <si>
    <t>SPECIAL P/U 6 YD SCHL CMGL</t>
  </si>
  <si>
    <t>SPECIAL P/U 6 YD BUS CMGL</t>
  </si>
  <si>
    <t>2 YD 1X WK OCC 1</t>
  </si>
  <si>
    <t>2 YD 3X WK BUS CMGL 1</t>
  </si>
  <si>
    <t>2 YD 3X WK SCHOOL OCC</t>
  </si>
  <si>
    <t>2 YD 4X WK BUS CMGL 1</t>
  </si>
  <si>
    <t>2 YD 4X WK BUS OCC 1</t>
  </si>
  <si>
    <t>4 YD 1X WK BUS CMGL 1</t>
  </si>
  <si>
    <t>4 YD 1X WK SCH CMGL 1</t>
  </si>
  <si>
    <t>4 YD 2X WK BUS CMGL 1</t>
  </si>
  <si>
    <t>4 YD 3X WK BUS CMGL 1</t>
  </si>
  <si>
    <t>4 YD 4X WK BUS CMGL 1</t>
  </si>
  <si>
    <t>4 YD 5X WK BUS CMGL 1</t>
  </si>
  <si>
    <t>5 YD 1X WK OCC  1</t>
  </si>
  <si>
    <t>6 YD 2X WK SCHL CMGL 1</t>
  </si>
  <si>
    <t>ROLL OUT CHARGE - RECYCLI</t>
  </si>
  <si>
    <t>96 GL MTHLY SCHL CMGL OUT</t>
  </si>
  <si>
    <t xml:space="preserve">96 GL 1X WK RECYCLE COMM </t>
  </si>
  <si>
    <t>96 GL WKLY SCHL CMGL IN</t>
  </si>
  <si>
    <t>SPECIAL PU 4YD BUS CMGL</t>
  </si>
  <si>
    <t>SPECIAL PU 4 YD SCH CMGL</t>
  </si>
  <si>
    <t>24-B</t>
  </si>
  <si>
    <t>Annual Customer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</si>
</sst>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00000_);_(* \(#,##0.000000\);_(* &quot;-&quot;??_);_(@_)"/>
    <numFmt numFmtId="168" formatCode="0.0000%"/>
    <numFmt numFmtId="169" formatCode="_(&quot;$&quot;* #,##0.000000_);_(&quot;$&quot;* \(#,##0.000000\);_(&quot;$&quot;* &quot;-&quot;??_);_(@_)"/>
    <numFmt numFmtId="170" formatCode="0.000000"/>
    <numFmt numFmtId="171" formatCode="0.0%"/>
    <numFmt numFmtId="172" formatCode="_-* #,##0.00_-;\-* #,##0.00_-;_-* &quot;-&quot;??_-;_-@_-"/>
    <numFmt numFmtId="173" formatCode="&quot;$&quot;#,##0\ ;\(&quot;$&quot;#,##0\)"/>
    <numFmt numFmtId="174" formatCode="_([$€-2]* #,##0.00_);_([$€-2]* \(#,##0.00\);_([$€-2]* &quot;-&quot;??_)"/>
    <numFmt numFmtId="175" formatCode="General_)"/>
    <numFmt numFmtId="176" formatCode="mm\-yy;\-0;;@"/>
    <numFmt numFmtId="177" formatCode=".00#####;\-.00####;;@"/>
    <numFmt numFmtId="178" formatCode="_(&quot;$&quot;* #,##0.0_);_(&quot;$&quot;* \(#,##0.0\);_(&quot;$&quot;* &quot;-&quot;??_);_(@_)"/>
    <numFmt numFmtId="179" formatCode="0.000%"/>
    <numFmt numFmtId="180" formatCode="_(* #,##0.0000_);_(* \(#,##0.0000\);_(* &quot;-&quot;??_);_(@_)"/>
    <numFmt numFmtId="181" formatCode="_(&quot;$&quot;* #,##0.0000_);_(&quot;$&quot;* \(#,##0.0000\);_(&quot;$&quot;* &quot;-&quot;??_);_(@_)"/>
    <numFmt numFmtId="182" formatCode="0.000"/>
    <numFmt numFmtId="183" formatCode="_(* #,##0.00000_);_(* \(#,##0.00000\);_(* &quot;-&quot;??_);_(@_)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51"/>
      <name val="Calibri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i/>
      <sz val="10"/>
      <color indexed="10"/>
      <name val="Arial"/>
      <family val="2"/>
    </font>
    <font>
      <b/>
      <sz val="18"/>
      <color indexed="61"/>
      <name val="Cambri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u/>
      <sz val="11"/>
      <name val="Arial"/>
      <family val="2"/>
    </font>
    <font>
      <sz val="11"/>
      <color theme="3" tint="0.3999755851924192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18"/>
      <name val="Britannic Bold"/>
      <family val="2"/>
    </font>
    <font>
      <sz val="12"/>
      <name val="CG Omega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name val="Bookman Old Style"/>
      <family val="1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entury Gothic"/>
      <family val="2"/>
    </font>
    <font>
      <b/>
      <sz val="14"/>
      <name val="Helv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9"/>
      <color indexed="81"/>
      <name val="Tahoma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50"/>
      <name val="Calibri"/>
      <family val="2"/>
    </font>
    <font>
      <b/>
      <sz val="9"/>
      <color indexed="8"/>
      <name val="Calibri"/>
      <family val="2"/>
    </font>
    <font>
      <sz val="10"/>
      <name val="Calibri"/>
      <family val="2"/>
    </font>
    <font>
      <b/>
      <sz val="10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8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BB3EB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40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756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5" fillId="0" borderId="0" applyNumberFormat="0" applyFont="0" applyFill="0" applyBorder="0">
      <alignment horizontal="left" indent="4"/>
      <protection locked="0"/>
    </xf>
    <xf numFmtId="0" fontId="6" fillId="0" borderId="0" applyNumberFormat="0" applyFont="0" applyFill="0" applyBorder="0" applyAlignment="0" applyProtection="0">
      <alignment horizontal="left"/>
    </xf>
    <xf numFmtId="1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7" fillId="0" borderId="2">
      <alignment horizontal="center"/>
    </xf>
    <xf numFmtId="3" fontId="6" fillId="0" borderId="0" applyFont="0" applyFill="0" applyBorder="0" applyAlignment="0" applyProtection="0"/>
    <xf numFmtId="0" fontId="6" fillId="3" borderId="0" applyNumberFormat="0" applyFont="0" applyBorder="0" applyAlignment="0" applyProtection="0"/>
    <xf numFmtId="166" fontId="4" fillId="4" borderId="0" applyFont="0" applyFill="0" applyBorder="0" applyAlignment="0" applyProtection="0">
      <alignment wrapText="1"/>
    </xf>
    <xf numFmtId="0" fontId="13" fillId="0" borderId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7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3" fontId="2" fillId="0" borderId="0"/>
    <xf numFmtId="3" fontId="2" fillId="0" borderId="0"/>
    <xf numFmtId="3" fontId="2" fillId="0" borderId="0"/>
    <xf numFmtId="3" fontId="2" fillId="0" borderId="0"/>
    <xf numFmtId="0" fontId="16" fillId="24" borderId="3" applyNumberFormat="0" applyAlignment="0" applyProtection="0"/>
    <xf numFmtId="0" fontId="32" fillId="24" borderId="3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2" fillId="27" borderId="0">
      <alignment horizont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8" fillId="0" borderId="0"/>
    <xf numFmtId="0" fontId="33" fillId="0" borderId="0"/>
    <xf numFmtId="0" fontId="33" fillId="0" borderId="0"/>
    <xf numFmtId="0" fontId="34" fillId="28" borderId="1" applyAlignment="0">
      <alignment horizontal="right"/>
      <protection locked="0"/>
    </xf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29" borderId="0">
      <alignment horizontal="right"/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" fontId="35" fillId="29" borderId="0">
      <alignment horizontal="right"/>
      <protection locked="0"/>
    </xf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2" fillId="0" borderId="6" applyNumberFormat="0" applyFill="0" applyAlignment="0" applyProtection="0"/>
    <xf numFmtId="0" fontId="36" fillId="0" borderId="7" applyNumberFormat="0" applyFill="0" applyAlignment="0" applyProtection="0"/>
    <xf numFmtId="0" fontId="23" fillId="0" borderId="8" applyNumberFormat="0" applyFill="0" applyAlignment="0" applyProtection="0"/>
    <xf numFmtId="0" fontId="37" fillId="0" borderId="9" applyNumberFormat="0" applyFill="0" applyAlignment="0" applyProtection="0"/>
    <xf numFmtId="0" fontId="24" fillId="0" borderId="10" applyNumberFormat="0" applyFill="0" applyAlignment="0" applyProtection="0"/>
    <xf numFmtId="0" fontId="38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5" fillId="13" borderId="3" applyNumberFormat="0" applyAlignment="0" applyProtection="0"/>
    <xf numFmtId="0" fontId="41" fillId="13" borderId="3" applyNumberFormat="0" applyAlignment="0" applyProtection="0"/>
    <xf numFmtId="3" fontId="10" fillId="31" borderId="0">
      <protection locked="0"/>
    </xf>
    <xf numFmtId="4" fontId="10" fillId="31" borderId="0">
      <protection locked="0"/>
    </xf>
    <xf numFmtId="0" fontId="26" fillId="0" borderId="12" applyNumberFormat="0" applyFill="0" applyAlignment="0" applyProtection="0"/>
    <xf numFmtId="0" fontId="42" fillId="0" borderId="13" applyNumberFormat="0" applyFill="0" applyAlignment="0" applyProtection="0"/>
    <xf numFmtId="0" fontId="27" fillId="13" borderId="0" applyNumberFormat="0" applyBorder="0" applyAlignment="0" applyProtection="0"/>
    <xf numFmtId="0" fontId="43" fillId="13" borderId="0" applyNumberFormat="0" applyBorder="0" applyAlignment="0" applyProtection="0"/>
    <xf numFmtId="43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8" fillId="10" borderId="14" applyNumberFormat="0" applyFont="0" applyAlignment="0" applyProtection="0"/>
    <xf numFmtId="0" fontId="18" fillId="10" borderId="14" applyNumberFormat="0" applyFont="0" applyAlignment="0" applyProtection="0"/>
    <xf numFmtId="171" fontId="44" fillId="0" borderId="0" applyNumberFormat="0"/>
    <xf numFmtId="0" fontId="29" fillId="24" borderId="15" applyNumberFormat="0" applyAlignment="0" applyProtection="0"/>
    <xf numFmtId="0" fontId="24" fillId="24" borderId="16" applyNumberFormat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 applyNumberFormat="0" applyBorder="0" applyAlignment="0"/>
    <xf numFmtId="0" fontId="3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12" borderId="0" applyNumberFormat="0" applyBorder="0" applyAlignment="0" applyProtection="0"/>
    <xf numFmtId="0" fontId="8" fillId="32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16" borderId="0" applyNumberFormat="0" applyBorder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8" fillId="0" borderId="0" applyFont="0" applyFill="0" applyBorder="0" applyAlignment="0" applyProtection="0"/>
    <xf numFmtId="14" fontId="2" fillId="0" borderId="0"/>
    <xf numFmtId="1" fontId="2" fillId="0" borderId="0">
      <alignment horizontal="center"/>
    </xf>
    <xf numFmtId="0" fontId="22" fillId="0" borderId="24" applyNumberFormat="0" applyFill="0" applyAlignment="0" applyProtection="0"/>
    <xf numFmtId="0" fontId="50" fillId="0" borderId="25" applyNumberFormat="0" applyFill="0" applyAlignment="0" applyProtection="0"/>
    <xf numFmtId="0" fontId="23" fillId="0" borderId="9" applyNumberFormat="0" applyFill="0" applyAlignment="0" applyProtection="0"/>
    <xf numFmtId="0" fontId="51" fillId="0" borderId="9" applyNumberFormat="0" applyFill="0" applyAlignment="0" applyProtection="0"/>
    <xf numFmtId="0" fontId="24" fillId="0" borderId="26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13" borderId="0" applyNumberFormat="0" applyBorder="0" applyAlignment="0" applyProtection="0"/>
    <xf numFmtId="0" fontId="8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9" fontId="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37" fontId="56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0" fontId="2" fillId="0" borderId="0"/>
    <xf numFmtId="43" fontId="8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1" fillId="51" borderId="0" applyNumberFormat="0" applyBorder="0" applyAlignment="0" applyProtection="0"/>
    <xf numFmtId="0" fontId="1" fillId="8" borderId="0" applyNumberFormat="0" applyBorder="0" applyAlignment="0" applyProtection="0"/>
    <xf numFmtId="0" fontId="1" fillId="51" borderId="0" applyNumberFormat="0" applyBorder="0" applyAlignment="0" applyProtection="0"/>
    <xf numFmtId="0" fontId="8" fillId="14" borderId="0" applyNumberFormat="0" applyBorder="0" applyAlignment="0" applyProtection="0"/>
    <xf numFmtId="0" fontId="1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1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55" borderId="0" applyNumberFormat="0" applyBorder="0" applyAlignment="0" applyProtection="0"/>
    <xf numFmtId="0" fontId="8" fillId="30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2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8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1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56" borderId="0" applyNumberFormat="0" applyBorder="0" applyAlignment="0" applyProtection="0"/>
    <xf numFmtId="0" fontId="8" fillId="34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71" fillId="49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71" fillId="5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71" fillId="57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71" fillId="61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21" borderId="0" applyNumberFormat="0" applyBorder="0" applyAlignment="0" applyProtection="0"/>
    <xf numFmtId="0" fontId="14" fillId="11" borderId="0" applyNumberFormat="0" applyBorder="0" applyAlignment="0" applyProtection="0"/>
    <xf numFmtId="0" fontId="71" fillId="65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9" borderId="0" applyNumberFormat="0" applyBorder="0" applyAlignment="0" applyProtection="0"/>
    <xf numFmtId="0" fontId="71" fillId="69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71" fillId="4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71" fillId="50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37" borderId="0" applyNumberFormat="0" applyBorder="0" applyAlignment="0" applyProtection="0"/>
    <xf numFmtId="0" fontId="14" fillId="17" borderId="0" applyNumberFormat="0" applyBorder="0" applyAlignment="0" applyProtection="0"/>
    <xf numFmtId="0" fontId="71" fillId="54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35" borderId="0" applyNumberFormat="0" applyBorder="0" applyAlignment="0" applyProtection="0"/>
    <xf numFmtId="0" fontId="14" fillId="20" borderId="0" applyNumberFormat="0" applyBorder="0" applyAlignment="0" applyProtection="0"/>
    <xf numFmtId="0" fontId="71" fillId="58" borderId="0" applyNumberFormat="0" applyBorder="0" applyAlignment="0" applyProtection="0"/>
    <xf numFmtId="0" fontId="71" fillId="62" borderId="0" applyNumberFormat="0" applyBorder="0" applyAlignment="0" applyProtection="0"/>
    <xf numFmtId="0" fontId="14" fillId="1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71" fillId="62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71" fillId="66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9" fontId="72" fillId="0" borderId="0" applyFill="0" applyBorder="0" applyAlignment="0" applyProtection="0"/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63" fillId="40" borderId="0" applyNumberFormat="0" applyBorder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67" fillId="43" borderId="39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7" fillId="26" borderId="5" applyNumberFormat="0" applyAlignment="0" applyProtection="0"/>
    <xf numFmtId="0" fontId="17" fillId="26" borderId="5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69" fillId="44" borderId="42" applyNumberFormat="0" applyAlignment="0" applyProtection="0"/>
    <xf numFmtId="0" fontId="74" fillId="71" borderId="0" applyNumberFormat="0" applyBorder="0" applyAlignment="0" applyProtection="0">
      <alignment horizontal="center"/>
      <protection hidden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9" fillId="72" borderId="0">
      <alignment horizontal="left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/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62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22" fillId="0" borderId="24" applyNumberFormat="0" applyFill="0" applyAlignment="0" applyProtection="0"/>
    <xf numFmtId="0" fontId="36" fillId="0" borderId="7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59" fillId="0" borderId="36" applyNumberFormat="0" applyFill="0" applyAlignment="0" applyProtection="0"/>
    <xf numFmtId="0" fontId="37" fillId="0" borderId="9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60" fillId="0" borderId="37" applyNumberFormat="0" applyFill="0" applyAlignment="0" applyProtection="0"/>
    <xf numFmtId="0" fontId="24" fillId="0" borderId="26" applyNumberFormat="0" applyFill="0" applyAlignment="0" applyProtection="0"/>
    <xf numFmtId="0" fontId="38" fillId="0" borderId="11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61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8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65" fillId="42" borderId="39" applyNumberFormat="0" applyAlignment="0" applyProtection="0"/>
    <xf numFmtId="0" fontId="73" fillId="0" borderId="35" applyBorder="0">
      <alignment horizontal="center" vertical="center" wrapText="1"/>
    </xf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42" fillId="0" borderId="13" applyNumberFormat="0" applyFill="0" applyAlignment="0" applyProtection="0"/>
    <xf numFmtId="0" fontId="26" fillId="0" borderId="12" applyNumberFormat="0" applyFill="0" applyAlignment="0" applyProtection="0"/>
    <xf numFmtId="0" fontId="53" fillId="0" borderId="28" applyNumberFormat="0" applyFill="0" applyAlignment="0" applyProtection="0"/>
    <xf numFmtId="0" fontId="26" fillId="0" borderId="12" applyNumberFormat="0" applyFill="0" applyAlignment="0" applyProtection="0"/>
    <xf numFmtId="0" fontId="68" fillId="0" borderId="41" applyNumberFormat="0" applyFill="0" applyAlignment="0" applyProtection="0"/>
    <xf numFmtId="0" fontId="54" fillId="13" borderId="0" applyNumberFormat="0" applyBorder="0" applyAlignment="0" applyProtection="0"/>
    <xf numFmtId="0" fontId="43" fillId="13" borderId="0" applyNumberFormat="0" applyBorder="0" applyAlignment="0" applyProtection="0"/>
    <xf numFmtId="0" fontId="27" fillId="13" borderId="0" applyNumberFormat="0" applyBorder="0" applyAlignment="0" applyProtection="0"/>
    <xf numFmtId="0" fontId="54" fillId="13" borderId="0" applyNumberFormat="0" applyBorder="0" applyAlignment="0" applyProtection="0"/>
    <xf numFmtId="0" fontId="27" fillId="13" borderId="0" applyNumberFormat="0" applyBorder="0" applyAlignment="0" applyProtection="0"/>
    <xf numFmtId="0" fontId="64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76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86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" fillId="0" borderId="0"/>
    <xf numFmtId="0" fontId="18" fillId="0" borderId="0">
      <alignment vertical="top"/>
    </xf>
    <xf numFmtId="0" fontId="28" fillId="0" borderId="0"/>
    <xf numFmtId="0" fontId="87" fillId="0" borderId="0"/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0" fontId="88" fillId="24" borderId="0"/>
    <xf numFmtId="0" fontId="88" fillId="24" borderId="0"/>
    <xf numFmtId="0" fontId="2" fillId="0" borderId="0"/>
    <xf numFmtId="0" fontId="1" fillId="0" borderId="0"/>
    <xf numFmtId="0" fontId="88" fillId="2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1" fillId="0" borderId="0"/>
    <xf numFmtId="40" fontId="78" fillId="0" borderId="0"/>
    <xf numFmtId="0" fontId="28" fillId="0" borderId="0"/>
    <xf numFmtId="0" fontId="2" fillId="0" borderId="0"/>
    <xf numFmtId="40" fontId="78" fillId="0" borderId="0"/>
    <xf numFmtId="0" fontId="1" fillId="0" borderId="0"/>
    <xf numFmtId="0" fontId="28" fillId="0" borderId="0"/>
    <xf numFmtId="0" fontId="2" fillId="0" borderId="0"/>
    <xf numFmtId="175" fontId="28" fillId="0" borderId="0"/>
    <xf numFmtId="0" fontId="2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175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8" fillId="0" borderId="0"/>
    <xf numFmtId="0" fontId="8" fillId="0" borderId="0"/>
    <xf numFmtId="0" fontId="2" fillId="0" borderId="0">
      <alignment vertical="top"/>
    </xf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175" fontId="28" fillId="0" borderId="0"/>
    <xf numFmtId="175" fontId="2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2" fillId="0" borderId="0">
      <alignment wrapText="1"/>
    </xf>
    <xf numFmtId="0" fontId="28" fillId="0" borderId="0"/>
    <xf numFmtId="0" fontId="2" fillId="0" borderId="0"/>
    <xf numFmtId="0" fontId="2" fillId="0" borderId="0">
      <alignment wrapText="1"/>
    </xf>
    <xf numFmtId="0" fontId="28" fillId="0" borderId="0"/>
    <xf numFmtId="0" fontId="18" fillId="0" borderId="0">
      <alignment vertical="top"/>
    </xf>
    <xf numFmtId="0" fontId="28" fillId="0" borderId="0"/>
    <xf numFmtId="0" fontId="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8" fillId="0" borderId="0">
      <alignment vertical="top"/>
    </xf>
    <xf numFmtId="0" fontId="2" fillId="0" borderId="0"/>
    <xf numFmtId="0" fontId="28" fillId="0" borderId="0"/>
    <xf numFmtId="0" fontId="28" fillId="0" borderId="0"/>
    <xf numFmtId="0" fontId="18" fillId="0" borderId="0">
      <alignment vertical="top"/>
    </xf>
    <xf numFmtId="0" fontId="1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2" fillId="0" borderId="0"/>
    <xf numFmtId="0" fontId="6" fillId="0" borderId="0"/>
    <xf numFmtId="0" fontId="28" fillId="0" borderId="0"/>
    <xf numFmtId="0" fontId="18" fillId="0" borderId="0">
      <alignment vertical="top"/>
    </xf>
    <xf numFmtId="0" fontId="2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>
      <alignment vertical="top"/>
    </xf>
    <xf numFmtId="0" fontId="1" fillId="0" borderId="0"/>
    <xf numFmtId="0" fontId="2" fillId="0" borderId="0"/>
    <xf numFmtId="0" fontId="28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8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76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2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1" fillId="45" borderId="43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0" borderId="0"/>
    <xf numFmtId="0" fontId="1" fillId="45" borderId="43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28" fillId="0" borderId="0"/>
    <xf numFmtId="0" fontId="28" fillId="0" borderId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12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66" fillId="43" borderId="40" applyNumberFormat="0" applyAlignment="0" applyProtection="0"/>
    <xf numFmtId="0" fontId="28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>
      <alignment wrapText="1"/>
    </xf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19" fillId="72" borderId="0"/>
    <xf numFmtId="10" fontId="19" fillId="72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/>
    <xf numFmtId="9" fontId="75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0" fontId="28" fillId="0" borderId="0"/>
    <xf numFmtId="0" fontId="28" fillId="0" borderId="0"/>
    <xf numFmtId="176" fontId="19" fillId="0" borderId="0">
      <alignment horizontal="center"/>
    </xf>
    <xf numFmtId="0" fontId="28" fillId="0" borderId="0"/>
    <xf numFmtId="0" fontId="28" fillId="0" borderId="0"/>
    <xf numFmtId="0" fontId="7" fillId="0" borderId="2">
      <alignment horizontal="center"/>
    </xf>
    <xf numFmtId="0" fontId="7" fillId="0" borderId="2">
      <alignment horizontal="center"/>
    </xf>
    <xf numFmtId="0" fontId="28" fillId="0" borderId="0"/>
    <xf numFmtId="0" fontId="28" fillId="0" borderId="0"/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18" fillId="0" borderId="0" applyNumberFormat="0" applyBorder="0" applyAlignment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7" fontId="91" fillId="72" borderId="0" applyFill="0" applyBorder="0" applyProtection="0">
      <alignment horizontal="center"/>
      <protection hidden="1"/>
    </xf>
    <xf numFmtId="0" fontId="92" fillId="74" borderId="0"/>
    <xf numFmtId="0" fontId="93" fillId="74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" fillId="0" borderId="44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28" fillId="0" borderId="0"/>
    <xf numFmtId="0" fontId="85" fillId="0" borderId="47"/>
    <xf numFmtId="0" fontId="85" fillId="0" borderId="47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95" fillId="0" borderId="0">
      <alignment horizontal="center"/>
    </xf>
    <xf numFmtId="0" fontId="9" fillId="0" borderId="0" applyNumberFormat="0" applyFill="0" applyBorder="0" applyAlignment="0" applyProtection="0"/>
    <xf numFmtId="0" fontId="28" fillId="0" borderId="0"/>
    <xf numFmtId="0" fontId="58" fillId="0" borderId="0" applyNumberFormat="0" applyFill="0" applyBorder="0" applyAlignment="0" applyProtection="0"/>
    <xf numFmtId="0" fontId="59" fillId="0" borderId="36" applyNumberFormat="0" applyFill="0" applyAlignment="0" applyProtection="0"/>
    <xf numFmtId="0" fontId="60" fillId="0" borderId="37" applyNumberFormat="0" applyFill="0" applyAlignment="0" applyProtection="0"/>
    <xf numFmtId="0" fontId="61" fillId="0" borderId="38" applyNumberFormat="0" applyFill="0" applyAlignment="0" applyProtection="0"/>
    <xf numFmtId="0" fontId="61" fillId="0" borderId="0" applyNumberFormat="0" applyFill="0" applyBorder="0" applyAlignment="0" applyProtection="0"/>
    <xf numFmtId="0" fontId="62" fillId="39" borderId="0" applyNumberFormat="0" applyBorder="0" applyAlignment="0" applyProtection="0"/>
    <xf numFmtId="0" fontId="63" fillId="40" borderId="0" applyNumberFormat="0" applyBorder="0" applyAlignment="0" applyProtection="0"/>
    <xf numFmtId="0" fontId="64" fillId="41" borderId="0" applyNumberFormat="0" applyBorder="0" applyAlignment="0" applyProtection="0"/>
    <xf numFmtId="0" fontId="65" fillId="42" borderId="39" applyNumberFormat="0" applyAlignment="0" applyProtection="0"/>
    <xf numFmtId="0" fontId="66" fillId="43" borderId="40" applyNumberFormat="0" applyAlignment="0" applyProtection="0"/>
    <xf numFmtId="0" fontId="67" fillId="43" borderId="39" applyNumberFormat="0" applyAlignment="0" applyProtection="0"/>
    <xf numFmtId="0" fontId="68" fillId="0" borderId="41" applyNumberFormat="0" applyFill="0" applyAlignment="0" applyProtection="0"/>
    <xf numFmtId="0" fontId="69" fillId="44" borderId="42" applyNumberFormat="0" applyAlignment="0" applyProtection="0"/>
    <xf numFmtId="0" fontId="9" fillId="0" borderId="0" applyNumberFormat="0" applyFill="0" applyBorder="0" applyAlignment="0" applyProtection="0"/>
    <xf numFmtId="0" fontId="1" fillId="45" borderId="43" applyNumberFormat="0" applyFont="0" applyAlignment="0" applyProtection="0"/>
    <xf numFmtId="0" fontId="70" fillId="0" borderId="0" applyNumberFormat="0" applyFill="0" applyBorder="0" applyAlignment="0" applyProtection="0"/>
    <xf numFmtId="0" fontId="3" fillId="0" borderId="44" applyNumberFormat="0" applyFill="0" applyAlignment="0" applyProtection="0"/>
    <xf numFmtId="0" fontId="7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1" fillId="57" borderId="0" applyNumberFormat="0" applyBorder="0" applyAlignment="0" applyProtection="0"/>
    <xf numFmtId="0" fontId="7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71" fillId="65" borderId="0" applyNumberFormat="0" applyBorder="0" applyAlignment="0" applyProtection="0"/>
    <xf numFmtId="0" fontId="7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71" fillId="69" borderId="0" applyNumberFormat="0" applyBorder="0" applyAlignment="0" applyProtection="0"/>
    <xf numFmtId="0" fontId="24" fillId="24" borderId="129" applyNumberFormat="0" applyAlignment="0" applyProtection="0"/>
    <xf numFmtId="0" fontId="48" fillId="24" borderId="95" applyNumberFormat="0" applyAlignment="0" applyProtection="0"/>
    <xf numFmtId="0" fontId="73" fillId="0" borderId="72" applyBorder="0">
      <alignment horizontal="center" vertical="center" wrapText="1"/>
    </xf>
    <xf numFmtId="0" fontId="29" fillId="24" borderId="101" applyNumberForma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43" applyNumberFormat="0" applyAlignment="0" applyProtection="0"/>
    <xf numFmtId="0" fontId="31" fillId="0" borderId="116" applyNumberFormat="0" applyFill="0" applyAlignment="0" applyProtection="0"/>
    <xf numFmtId="0" fontId="8" fillId="45" borderId="125" applyNumberFormat="0" applyFont="0" applyAlignment="0" applyProtection="0"/>
    <xf numFmtId="0" fontId="48" fillId="24" borderId="127" applyNumberFormat="0" applyAlignment="0" applyProtection="0"/>
    <xf numFmtId="0" fontId="25" fillId="8" borderId="118" applyNumberFormat="0" applyAlignment="0" applyProtection="0"/>
    <xf numFmtId="0" fontId="31" fillId="0" borderId="200" applyNumberFormat="0" applyFill="0" applyAlignment="0" applyProtection="0"/>
    <xf numFmtId="0" fontId="28" fillId="10" borderId="103" applyNumberFormat="0" applyFont="0" applyAlignment="0" applyProtection="0"/>
    <xf numFmtId="0" fontId="25" fillId="8" borderId="102" applyNumberFormat="0" applyAlignment="0" applyProtection="0"/>
    <xf numFmtId="0" fontId="28" fillId="10" borderId="161" applyNumberFormat="0" applyFont="0" applyAlignment="0" applyProtection="0"/>
    <xf numFmtId="0" fontId="24" fillId="24" borderId="169" applyNumberFormat="0" applyAlignment="0" applyProtection="0"/>
    <xf numFmtId="0" fontId="16" fillId="24" borderId="67" applyNumberFormat="0" applyAlignment="0" applyProtection="0"/>
    <xf numFmtId="0" fontId="31" fillId="0" borderId="185" applyNumberFormat="0" applyFill="0" applyAlignment="0" applyProtection="0"/>
    <xf numFmtId="0" fontId="48" fillId="24" borderId="75" applyNumberFormat="0" applyAlignment="0" applyProtection="0"/>
    <xf numFmtId="0" fontId="31" fillId="0" borderId="163" applyNumberFormat="0" applyFill="0" applyAlignment="0" applyProtection="0"/>
    <xf numFmtId="0" fontId="31" fillId="0" borderId="166" applyNumberFormat="0" applyFill="0" applyAlignment="0" applyProtection="0"/>
    <xf numFmtId="0" fontId="73" fillId="0" borderId="198" applyBorder="0">
      <alignment horizontal="center" vertical="center" wrapText="1"/>
    </xf>
    <xf numFmtId="0" fontId="28" fillId="0" borderId="149"/>
    <xf numFmtId="0" fontId="16" fillId="24" borderId="176" applyNumberFormat="0" applyAlignment="0" applyProtection="0"/>
    <xf numFmtId="0" fontId="25" fillId="13" borderId="118" applyNumberFormat="0" applyAlignment="0" applyProtection="0"/>
    <xf numFmtId="0" fontId="85" fillId="0" borderId="88"/>
    <xf numFmtId="0" fontId="31" fillId="0" borderId="171" applyNumberFormat="0" applyFill="0" applyAlignment="0" applyProtection="0"/>
    <xf numFmtId="0" fontId="49" fillId="10" borderId="119" applyNumberFormat="0" applyFont="0" applyAlignment="0" applyProtection="0"/>
    <xf numFmtId="0" fontId="31" fillId="0" borderId="55" applyNumberFormat="0" applyFill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28" fillId="0" borderId="174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42" applyNumberFormat="0" applyFill="0" applyAlignment="0" applyProtection="0"/>
    <xf numFmtId="0" fontId="29" fillId="24" borderId="117" applyNumberFormat="0" applyAlignment="0" applyProtection="0"/>
    <xf numFmtId="0" fontId="31" fillId="0" borderId="151" applyNumberFormat="0" applyFill="0" applyAlignment="0" applyProtection="0"/>
    <xf numFmtId="0" fontId="41" fillId="13" borderId="111" applyNumberFormat="0" applyAlignment="0" applyProtection="0"/>
    <xf numFmtId="0" fontId="16" fillId="24" borderId="67" applyNumberFormat="0" applyAlignment="0" applyProtection="0"/>
    <xf numFmtId="0" fontId="31" fillId="0" borderId="107" applyNumberFormat="0" applyFill="0" applyAlignment="0" applyProtection="0"/>
    <xf numFmtId="0" fontId="32" fillId="24" borderId="160" applyNumberFormat="0" applyAlignment="0" applyProtection="0"/>
    <xf numFmtId="0" fontId="73" fillId="0" borderId="198" applyBorder="0">
      <alignment horizontal="center" vertical="center" wrapText="1"/>
    </xf>
    <xf numFmtId="0" fontId="31" fillId="0" borderId="199" applyNumberFormat="0" applyFill="0" applyAlignment="0" applyProtection="0"/>
    <xf numFmtId="0" fontId="31" fillId="0" borderId="100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24" fillId="24" borderId="169" applyNumberFormat="0" applyAlignment="0" applyProtection="0"/>
    <xf numFmtId="0" fontId="31" fillId="0" borderId="79" applyNumberFormat="0" applyFill="0" applyAlignment="0" applyProtection="0"/>
    <xf numFmtId="0" fontId="49" fillId="10" borderId="85" applyNumberFormat="0" applyFont="0" applyAlignment="0" applyProtection="0"/>
    <xf numFmtId="0" fontId="85" fillId="0" borderId="53"/>
    <xf numFmtId="0" fontId="25" fillId="13" borderId="187" applyNumberFormat="0" applyAlignment="0" applyProtection="0"/>
    <xf numFmtId="0" fontId="31" fillId="0" borderId="116" applyNumberFormat="0" applyFill="0" applyAlignment="0" applyProtection="0"/>
    <xf numFmtId="0" fontId="8" fillId="10" borderId="195" applyNumberFormat="0" applyFont="0" applyAlignment="0" applyProtection="0"/>
    <xf numFmtId="0" fontId="31" fillId="0" borderId="200" applyNumberFormat="0" applyFill="0" applyAlignment="0" applyProtection="0"/>
    <xf numFmtId="0" fontId="73" fillId="0" borderId="72" applyBorder="0">
      <alignment horizontal="center" vertical="center" wrapText="1"/>
    </xf>
    <xf numFmtId="0" fontId="48" fillId="24" borderId="60" applyNumberFormat="0" applyAlignment="0" applyProtection="0"/>
    <xf numFmtId="0" fontId="18" fillId="10" borderId="177" applyNumberFormat="0" applyFont="0" applyAlignment="0" applyProtection="0"/>
    <xf numFmtId="0" fontId="29" fillId="12" borderId="117" applyNumberFormat="0" applyAlignment="0" applyProtection="0"/>
    <xf numFmtId="0" fontId="18" fillId="10" borderId="195" applyNumberFormat="0" applyFont="0" applyAlignment="0" applyProtection="0"/>
    <xf numFmtId="0" fontId="48" fillId="24" borderId="118" applyNumberFormat="0" applyAlignment="0" applyProtection="0"/>
    <xf numFmtId="0" fontId="85" fillId="0" borderId="191"/>
    <xf numFmtId="0" fontId="29" fillId="24" borderId="146" applyNumberFormat="0" applyAlignment="0" applyProtection="0"/>
    <xf numFmtId="0" fontId="16" fillId="24" borderId="194" applyNumberFormat="0" applyAlignment="0" applyProtection="0"/>
    <xf numFmtId="0" fontId="25" fillId="13" borderId="194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48" fillId="12" borderId="118" applyNumberFormat="0" applyAlignment="0" applyProtection="0"/>
    <xf numFmtId="0" fontId="16" fillId="24" borderId="102" applyNumberFormat="0" applyAlignment="0" applyProtection="0"/>
    <xf numFmtId="0" fontId="16" fillId="24" borderId="118" applyNumberFormat="0" applyAlignment="0" applyProtection="0"/>
    <xf numFmtId="0" fontId="49" fillId="10" borderId="112" applyNumberFormat="0" applyFont="0" applyAlignment="0" applyProtection="0"/>
    <xf numFmtId="0" fontId="31" fillId="0" borderId="132" applyNumberFormat="0" applyFill="0" applyAlignment="0" applyProtection="0"/>
    <xf numFmtId="0" fontId="49" fillId="10" borderId="119" applyNumberFormat="0" applyFont="0" applyAlignment="0" applyProtection="0"/>
    <xf numFmtId="0" fontId="28" fillId="10" borderId="103" applyNumberFormat="0" applyFont="0" applyAlignment="0" applyProtection="0"/>
    <xf numFmtId="0" fontId="31" fillId="0" borderId="108" applyNumberFormat="0" applyFill="0" applyAlignment="0" applyProtection="0"/>
    <xf numFmtId="0" fontId="73" fillId="0" borderId="141" applyBorder="0">
      <alignment horizontal="center" vertical="center" wrapText="1"/>
    </xf>
    <xf numFmtId="0" fontId="16" fillId="24" borderId="67" applyNumberFormat="0" applyAlignment="0" applyProtection="0"/>
    <xf numFmtId="0" fontId="31" fillId="0" borderId="108" applyNumberFormat="0" applyFill="0" applyAlignment="0" applyProtection="0"/>
    <xf numFmtId="0" fontId="31" fillId="0" borderId="171" applyNumberFormat="0" applyFill="0" applyAlignment="0" applyProtection="0"/>
    <xf numFmtId="0" fontId="8" fillId="45" borderId="125" applyNumberFormat="0" applyFont="0" applyAlignment="0" applyProtection="0"/>
    <xf numFmtId="0" fontId="29" fillId="24" borderId="193" applyNumberFormat="0" applyAlignment="0" applyProtection="0"/>
    <xf numFmtId="0" fontId="28" fillId="10" borderId="112" applyNumberFormat="0" applyFont="0" applyAlignment="0" applyProtection="0"/>
    <xf numFmtId="0" fontId="31" fillId="0" borderId="116" applyNumberFormat="0" applyFill="0" applyAlignment="0" applyProtection="0"/>
    <xf numFmtId="0" fontId="49" fillId="10" borderId="103" applyNumberFormat="0" applyFont="0" applyAlignment="0" applyProtection="0"/>
    <xf numFmtId="0" fontId="48" fillId="24" borderId="102" applyNumberFormat="0" applyAlignment="0" applyProtection="0"/>
    <xf numFmtId="0" fontId="8" fillId="10" borderId="103" applyNumberFormat="0" applyFont="0" applyAlignment="0" applyProtection="0"/>
    <xf numFmtId="0" fontId="31" fillId="0" borderId="108" applyNumberFormat="0" applyFill="0" applyAlignment="0" applyProtection="0"/>
    <xf numFmtId="0" fontId="25" fillId="13" borderId="194" applyNumberFormat="0" applyAlignment="0" applyProtection="0"/>
    <xf numFmtId="0" fontId="8" fillId="45" borderId="83" applyNumberFormat="0" applyFont="0" applyAlignment="0" applyProtection="0"/>
    <xf numFmtId="0" fontId="24" fillId="24" borderId="120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32" fillId="24" borderId="75" applyNumberFormat="0" applyAlignment="0" applyProtection="0"/>
    <xf numFmtId="0" fontId="32" fillId="24" borderId="84" applyNumberFormat="0" applyAlignment="0" applyProtection="0"/>
    <xf numFmtId="0" fontId="48" fillId="24" borderId="84" applyNumberFormat="0" applyAlignment="0" applyProtection="0"/>
    <xf numFmtId="0" fontId="48" fillId="24" borderId="102" applyNumberFormat="0" applyAlignment="0" applyProtection="0"/>
    <xf numFmtId="0" fontId="85" fillId="0" borderId="124"/>
    <xf numFmtId="0" fontId="28" fillId="10" borderId="119" applyNumberFormat="0" applyFont="0" applyAlignment="0" applyProtection="0"/>
    <xf numFmtId="0" fontId="28" fillId="0" borderId="174"/>
    <xf numFmtId="0" fontId="8" fillId="10" borderId="195" applyNumberFormat="0" applyFont="0" applyAlignment="0" applyProtection="0"/>
    <xf numFmtId="0" fontId="31" fillId="0" borderId="142" applyNumberFormat="0" applyFill="0" applyAlignment="0" applyProtection="0"/>
    <xf numFmtId="0" fontId="16" fillId="24" borderId="14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8" fillId="10" borderId="144" applyNumberFormat="0" applyFont="0" applyAlignment="0" applyProtection="0"/>
    <xf numFmtId="0" fontId="31" fillId="0" borderId="142" applyNumberFormat="0" applyFill="0" applyAlignment="0" applyProtection="0"/>
    <xf numFmtId="0" fontId="31" fillId="0" borderId="184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18" fillId="10" borderId="135" applyNumberFormat="0" applyFont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48" fillId="12" borderId="102" applyNumberFormat="0" applyAlignment="0" applyProtection="0"/>
    <xf numFmtId="0" fontId="32" fillId="24" borderId="111" applyNumberFormat="0" applyAlignment="0" applyProtection="0"/>
    <xf numFmtId="0" fontId="85" fillId="73" borderId="124"/>
    <xf numFmtId="0" fontId="16" fillId="24" borderId="118" applyNumberForma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16" fillId="24" borderId="194" applyNumberFormat="0" applyAlignment="0" applyProtection="0"/>
    <xf numFmtId="0" fontId="49" fillId="10" borderId="195" applyNumberFormat="0" applyFont="0" applyAlignment="0" applyProtection="0"/>
    <xf numFmtId="0" fontId="48" fillId="12" borderId="143" applyNumberFormat="0" applyAlignment="0" applyProtection="0"/>
    <xf numFmtId="0" fontId="32" fillId="24" borderId="67" applyNumberFormat="0" applyAlignment="0" applyProtection="0"/>
    <xf numFmtId="0" fontId="49" fillId="10" borderId="103" applyNumberFormat="0" applyFont="0" applyAlignment="0" applyProtection="0"/>
    <xf numFmtId="0" fontId="25" fillId="13" borderId="102" applyNumberFormat="0" applyAlignment="0" applyProtection="0"/>
    <xf numFmtId="0" fontId="48" fillId="24" borderId="111" applyNumberFormat="0" applyAlignment="0" applyProtection="0"/>
    <xf numFmtId="0" fontId="28" fillId="10" borderId="168" applyNumberFormat="0" applyFont="0" applyAlignment="0" applyProtection="0"/>
    <xf numFmtId="0" fontId="31" fillId="0" borderId="184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8" fillId="10" borderId="144" applyNumberFormat="0" applyFont="0" applyAlignment="0" applyProtection="0"/>
    <xf numFmtId="0" fontId="41" fillId="13" borderId="143" applyNumberFormat="0" applyAlignment="0" applyProtection="0"/>
    <xf numFmtId="0" fontId="41" fillId="13" borderId="167" applyNumberFormat="0" applyAlignment="0" applyProtection="0"/>
    <xf numFmtId="0" fontId="31" fillId="0" borderId="200" applyNumberFormat="0" applyFill="0" applyAlignment="0" applyProtection="0"/>
    <xf numFmtId="0" fontId="31" fillId="0" borderId="192" applyNumberFormat="0" applyFill="0" applyAlignment="0" applyProtection="0"/>
    <xf numFmtId="0" fontId="31" fillId="0" borderId="116" applyNumberFormat="0" applyFill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28" fillId="0" borderId="99"/>
    <xf numFmtId="0" fontId="31" fillId="0" borderId="200" applyNumberFormat="0" applyFill="0" applyAlignment="0" applyProtection="0"/>
    <xf numFmtId="0" fontId="25" fillId="8" borderId="143" applyNumberFormat="0" applyAlignment="0" applyProtection="0"/>
    <xf numFmtId="0" fontId="29" fillId="24" borderId="78" applyNumberFormat="0" applyAlignment="0" applyProtection="0"/>
    <xf numFmtId="0" fontId="28" fillId="0" borderId="82"/>
    <xf numFmtId="0" fontId="85" fillId="73" borderId="82"/>
    <xf numFmtId="0" fontId="24" fillId="24" borderId="77" applyNumberFormat="0" applyAlignment="0" applyProtection="0"/>
    <xf numFmtId="0" fontId="8" fillId="45" borderId="83" applyNumberFormat="0" applyFont="0" applyAlignment="0" applyProtection="0"/>
    <xf numFmtId="0" fontId="85" fillId="0" borderId="82"/>
    <xf numFmtId="0" fontId="25" fillId="8" borderId="75" applyNumberFormat="0" applyAlignment="0" applyProtection="0"/>
    <xf numFmtId="0" fontId="73" fillId="0" borderId="72" applyBorder="0">
      <alignment horizontal="center" vertical="center" wrapText="1"/>
    </xf>
    <xf numFmtId="0" fontId="31" fillId="0" borderId="80" applyNumberFormat="0" applyFill="0" applyAlignment="0" applyProtection="0"/>
    <xf numFmtId="0" fontId="73" fillId="0" borderId="72" applyBorder="0">
      <alignment horizontal="center" vertical="center" wrapText="1"/>
    </xf>
    <xf numFmtId="0" fontId="31" fillId="0" borderId="74" applyNumberFormat="0" applyFill="0" applyAlignment="0" applyProtection="0"/>
    <xf numFmtId="0" fontId="29" fillId="24" borderId="78" applyNumberFormat="0" applyAlignment="0" applyProtection="0"/>
    <xf numFmtId="0" fontId="18" fillId="10" borderId="76" applyNumberFormat="0" applyFont="0" applyAlignment="0" applyProtection="0"/>
    <xf numFmtId="0" fontId="41" fillId="13" borderId="75" applyNumberFormat="0" applyAlignment="0" applyProtection="0"/>
    <xf numFmtId="0" fontId="73" fillId="0" borderId="81" applyBorder="0">
      <alignment horizontal="center" vertical="center" wrapText="1"/>
    </xf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25" fillId="8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5" fillId="0" borderId="99"/>
    <xf numFmtId="0" fontId="31" fillId="0" borderId="116" applyNumberFormat="0" applyFill="0" applyAlignment="0" applyProtection="0"/>
    <xf numFmtId="0" fontId="41" fillId="13" borderId="167" applyNumberFormat="0" applyAlignment="0" applyProtection="0"/>
    <xf numFmtId="0" fontId="25" fillId="8" borderId="167" applyNumberFormat="0" applyAlignment="0" applyProtection="0"/>
    <xf numFmtId="0" fontId="31" fillId="0" borderId="148" applyNumberFormat="0" applyFill="0" applyAlignment="0" applyProtection="0"/>
    <xf numFmtId="0" fontId="25" fillId="13" borderId="153" applyNumberFormat="0" applyAlignment="0" applyProtection="0"/>
    <xf numFmtId="0" fontId="28" fillId="10" borderId="144" applyNumberFormat="0" applyFont="0" applyAlignment="0" applyProtection="0"/>
    <xf numFmtId="0" fontId="18" fillId="10" borderId="161" applyNumberFormat="0" applyFont="0" applyAlignment="0" applyProtection="0"/>
    <xf numFmtId="0" fontId="29" fillId="12" borderId="146" applyNumberFormat="0" applyAlignment="0" applyProtection="0"/>
    <xf numFmtId="0" fontId="85" fillId="0" borderId="99"/>
    <xf numFmtId="0" fontId="48" fillId="12" borderId="102" applyNumberFormat="0" applyAlignment="0" applyProtection="0"/>
    <xf numFmtId="0" fontId="29" fillId="24" borderId="101" applyNumberFormat="0" applyAlignment="0" applyProtection="0"/>
    <xf numFmtId="0" fontId="31" fillId="0" borderId="151" applyNumberFormat="0" applyFill="0" applyAlignment="0" applyProtection="0"/>
    <xf numFmtId="0" fontId="73" fillId="0" borderId="173" applyBorder="0">
      <alignment horizontal="center" vertical="center" wrapText="1"/>
    </xf>
    <xf numFmtId="0" fontId="31" fillId="0" borderId="172" applyNumberFormat="0" applyFill="0" applyAlignment="0" applyProtection="0"/>
    <xf numFmtId="0" fontId="49" fillId="10" borderId="195" applyNumberFormat="0" applyFont="0" applyAlignment="0" applyProtection="0"/>
    <xf numFmtId="0" fontId="29" fillId="24" borderId="193" applyNumberFormat="0" applyAlignment="0" applyProtection="0"/>
    <xf numFmtId="0" fontId="31" fillId="0" borderId="142" applyNumberFormat="0" applyFill="0" applyAlignment="0" applyProtection="0"/>
    <xf numFmtId="0" fontId="18" fillId="10" borderId="144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31" fillId="0" borderId="121" applyNumberFormat="0" applyFill="0" applyAlignment="0" applyProtection="0"/>
    <xf numFmtId="0" fontId="32" fillId="24" borderId="203" applyNumberFormat="0" applyAlignment="0" applyProtection="0"/>
    <xf numFmtId="0" fontId="73" fillId="0" borderId="173" applyBorder="0">
      <alignment horizontal="center" vertical="center" wrapText="1"/>
    </xf>
    <xf numFmtId="0" fontId="16" fillId="24" borderId="160" applyNumberFormat="0" applyAlignment="0" applyProtection="0"/>
    <xf numFmtId="0" fontId="49" fillId="10" borderId="119" applyNumberFormat="0" applyFon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28" fillId="0" borderId="180"/>
    <xf numFmtId="0" fontId="48" fillId="12" borderId="194" applyNumberForma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8" fillId="10" borderId="144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" fillId="10" borderId="168" applyNumberFormat="0" applyFont="0" applyAlignment="0" applyProtection="0"/>
    <xf numFmtId="0" fontId="85" fillId="0" borderId="88"/>
    <xf numFmtId="0" fontId="18" fillId="10" borderId="96" applyNumberFormat="0" applyFont="0" applyAlignment="0" applyProtection="0"/>
    <xf numFmtId="0" fontId="31" fillId="0" borderId="200" applyNumberFormat="0" applyFill="0" applyAlignment="0" applyProtection="0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49" fillId="10" borderId="50" applyNumberFormat="0" applyFon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85" fillId="0" borderId="88"/>
    <xf numFmtId="0" fontId="2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44" applyNumberFormat="0" applyFont="0" applyAlignment="0" applyProtection="0"/>
    <xf numFmtId="0" fontId="31" fillId="0" borderId="200" applyNumberFormat="0" applyFill="0" applyAlignment="0" applyProtection="0"/>
    <xf numFmtId="0" fontId="16" fillId="24" borderId="95" applyNumberFormat="0" applyAlignment="0" applyProtection="0"/>
    <xf numFmtId="0" fontId="73" fillId="0" borderId="89" applyBorder="0">
      <alignment horizontal="center" vertical="center" wrapText="1"/>
    </xf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85" fillId="0" borderId="180"/>
    <xf numFmtId="0" fontId="31" fillId="0" borderId="90" applyNumberFormat="0" applyFill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73" fillId="0" borderId="109" applyBorder="0">
      <alignment horizontal="center" vertical="center" wrapText="1"/>
    </xf>
    <xf numFmtId="0" fontId="16" fillId="24" borderId="194" applyNumberFormat="0" applyAlignment="0" applyProtection="0"/>
    <xf numFmtId="0" fontId="29" fillId="12" borderId="193" applyNumberFormat="0" applyAlignment="0" applyProtection="0"/>
    <xf numFmtId="0" fontId="48" fillId="24" borderId="75" applyNumberFormat="0" applyAlignment="0" applyProtection="0"/>
    <xf numFmtId="0" fontId="28" fillId="10" borderId="103" applyNumberFormat="0" applyFont="0" applyAlignment="0" applyProtection="0"/>
    <xf numFmtId="0" fontId="31" fillId="0" borderId="172" applyNumberFormat="0" applyFill="0" applyAlignment="0" applyProtection="0"/>
    <xf numFmtId="0" fontId="49" fillId="10" borderId="128" applyNumberFormat="0" applyFont="0" applyAlignment="0" applyProtection="0"/>
    <xf numFmtId="0" fontId="16" fillId="24" borderId="143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28" fillId="10" borderId="144" applyNumberFormat="0" applyFont="0" applyAlignment="0" applyProtection="0"/>
    <xf numFmtId="0" fontId="41" fillId="13" borderId="194" applyNumberFormat="0" applyAlignment="0" applyProtection="0"/>
    <xf numFmtId="0" fontId="24" fillId="24" borderId="162" applyNumberFormat="0" applyAlignment="0" applyProtection="0"/>
    <xf numFmtId="0" fontId="24" fillId="24" borderId="113" applyNumberFormat="0" applyAlignment="0" applyProtection="0"/>
    <xf numFmtId="0" fontId="29" fillId="24" borderId="193" applyNumberFormat="0" applyAlignment="0" applyProtection="0"/>
    <xf numFmtId="0" fontId="28" fillId="10" borderId="144" applyNumberFormat="0" applyFont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24" fillId="24" borderId="178" applyNumberFormat="0" applyAlignment="0" applyProtection="0"/>
    <xf numFmtId="0" fontId="85" fillId="0" borderId="149"/>
    <xf numFmtId="0" fontId="41" fillId="13" borderId="194" applyNumberFormat="0" applyAlignment="0" applyProtection="0"/>
    <xf numFmtId="0" fontId="31" fillId="0" borderId="171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31" fillId="0" borderId="121" applyNumberFormat="0" applyFill="0" applyAlignment="0" applyProtection="0"/>
    <xf numFmtId="0" fontId="25" fillId="13" borderId="67" applyNumberFormat="0" applyAlignment="0" applyProtection="0"/>
    <xf numFmtId="0" fontId="24" fillId="24" borderId="145" applyNumberFormat="0" applyAlignment="0" applyProtection="0"/>
    <xf numFmtId="0" fontId="25" fillId="13" borderId="102" applyNumberFormat="0" applyAlignment="0" applyProtection="0"/>
    <xf numFmtId="0" fontId="31" fillId="0" borderId="185" applyNumberFormat="0" applyFill="0" applyAlignment="0" applyProtection="0"/>
    <xf numFmtId="0" fontId="16" fillId="24" borderId="118" applyNumberFormat="0" applyAlignment="0" applyProtection="0"/>
    <xf numFmtId="0" fontId="31" fillId="0" borderId="192" applyNumberFormat="0" applyFill="0" applyAlignment="0" applyProtection="0"/>
    <xf numFmtId="0" fontId="73" fillId="0" borderId="109" applyBorder="0">
      <alignment horizontal="center" vertical="center" wrapText="1"/>
    </xf>
    <xf numFmtId="0" fontId="24" fillId="24" borderId="145" applyNumberFormat="0" applyAlignment="0" applyProtection="0"/>
    <xf numFmtId="0" fontId="48" fillId="24" borderId="102" applyNumberFormat="0" applyAlignment="0" applyProtection="0"/>
    <xf numFmtId="0" fontId="29" fillId="12" borderId="101" applyNumberFormat="0" applyAlignment="0" applyProtection="0"/>
    <xf numFmtId="0" fontId="31" fillId="0" borderId="179" applyNumberFormat="0" applyFill="0" applyAlignment="0" applyProtection="0"/>
    <xf numFmtId="0" fontId="31" fillId="0" borderId="147" applyNumberFormat="0" applyFill="0" applyAlignment="0" applyProtection="0"/>
    <xf numFmtId="0" fontId="28" fillId="10" borderId="168" applyNumberFormat="0" applyFont="0" applyAlignment="0" applyProtection="0"/>
    <xf numFmtId="0" fontId="25" fillId="8" borderId="102" applyNumberFormat="0" applyAlignment="0" applyProtection="0"/>
    <xf numFmtId="0" fontId="29" fillId="24" borderId="133" applyNumberFormat="0" applyAlignment="0" applyProtection="0"/>
    <xf numFmtId="0" fontId="16" fillId="24" borderId="167" applyNumberFormat="0" applyAlignment="0" applyProtection="0"/>
    <xf numFmtId="0" fontId="31" fillId="0" borderId="108" applyNumberFormat="0" applyFill="0" applyAlignment="0" applyProtection="0"/>
    <xf numFmtId="0" fontId="29" fillId="24" borderId="170" applyNumberFormat="0" applyAlignment="0" applyProtection="0"/>
    <xf numFmtId="0" fontId="41" fillId="13" borderId="118" applyNumberFormat="0" applyAlignment="0" applyProtection="0"/>
    <xf numFmtId="0" fontId="8" fillId="10" borderId="177" applyNumberFormat="0" applyFont="0" applyAlignment="0" applyProtection="0"/>
    <xf numFmtId="0" fontId="28" fillId="10" borderId="177" applyNumberFormat="0" applyFont="0" applyAlignment="0" applyProtection="0"/>
    <xf numFmtId="0" fontId="8" fillId="10" borderId="195" applyNumberFormat="0" applyFont="0" applyAlignment="0" applyProtection="0"/>
    <xf numFmtId="0" fontId="48" fillId="12" borderId="118" applyNumberFormat="0" applyAlignment="0" applyProtection="0"/>
    <xf numFmtId="0" fontId="41" fillId="13" borderId="102" applyNumberFormat="0" applyAlignment="0" applyProtection="0"/>
    <xf numFmtId="0" fontId="31" fillId="0" borderId="185" applyNumberFormat="0" applyFill="0" applyAlignment="0" applyProtection="0"/>
    <xf numFmtId="0" fontId="8" fillId="10" borderId="85" applyNumberFormat="0" applyFont="0" applyAlignment="0" applyProtection="0"/>
    <xf numFmtId="0" fontId="31" fillId="0" borderId="142" applyNumberFormat="0" applyFill="0" applyAlignment="0" applyProtection="0"/>
    <xf numFmtId="0" fontId="24" fillId="24" borderId="77" applyNumberFormat="0" applyAlignment="0" applyProtection="0"/>
    <xf numFmtId="0" fontId="31" fillId="0" borderId="105" applyNumberFormat="0" applyFill="0" applyAlignment="0" applyProtection="0"/>
    <xf numFmtId="0" fontId="41" fillId="13" borderId="111" applyNumberFormat="0" applyAlignment="0" applyProtection="0"/>
    <xf numFmtId="0" fontId="28" fillId="10" borderId="85" applyNumberFormat="0" applyFont="0" applyAlignment="0" applyProtection="0"/>
    <xf numFmtId="0" fontId="28" fillId="0" borderId="99"/>
    <xf numFmtId="0" fontId="31" fillId="0" borderId="192" applyNumberFormat="0" applyFill="0" applyAlignment="0" applyProtection="0"/>
    <xf numFmtId="0" fontId="28" fillId="0" borderId="191"/>
    <xf numFmtId="0" fontId="18" fillId="10" borderId="168" applyNumberFormat="0" applyFont="0" applyAlignment="0" applyProtection="0"/>
    <xf numFmtId="0" fontId="73" fillId="0" borderId="164" applyBorder="0">
      <alignment horizontal="center" vertical="center" wrapText="1"/>
    </xf>
    <xf numFmtId="0" fontId="16" fillId="24" borderId="167" applyNumberForma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9" fillId="24" borderId="193" applyNumberFormat="0" applyAlignment="0" applyProtection="0"/>
    <xf numFmtId="0" fontId="49" fillId="10" borderId="76" applyNumberFormat="0" applyFont="0" applyAlignment="0" applyProtection="0"/>
    <xf numFmtId="0" fontId="29" fillId="24" borderId="117" applyNumberFormat="0" applyAlignment="0" applyProtection="0"/>
    <xf numFmtId="0" fontId="25" fillId="8" borderId="194" applyNumberFormat="0" applyAlignment="0" applyProtection="0"/>
    <xf numFmtId="0" fontId="85" fillId="73" borderId="124"/>
    <xf numFmtId="0" fontId="28" fillId="0" borderId="82"/>
    <xf numFmtId="0" fontId="24" fillId="24" borderId="120" applyNumberFormat="0" applyAlignment="0" applyProtection="0"/>
    <xf numFmtId="0" fontId="31" fillId="0" borderId="79" applyNumberFormat="0" applyFill="0" applyAlignment="0" applyProtection="0"/>
    <xf numFmtId="0" fontId="28" fillId="0" borderId="149"/>
    <xf numFmtId="0" fontId="85" fillId="0" borderId="82"/>
    <xf numFmtId="0" fontId="85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31" fillId="0" borderId="166" applyNumberFormat="0" applyFill="0" applyAlignment="0" applyProtection="0"/>
    <xf numFmtId="0" fontId="16" fillId="24" borderId="143" applyNumberFormat="0" applyAlignment="0" applyProtection="0"/>
    <xf numFmtId="0" fontId="73" fillId="0" borderId="81" applyBorder="0">
      <alignment horizontal="center" vertical="center" wrapText="1"/>
    </xf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28" fillId="0" borderId="82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3" fillId="0" borderId="81" applyBorder="0">
      <alignment horizontal="center" vertical="center" wrapText="1"/>
    </xf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73" fillId="0" borderId="72" applyBorder="0">
      <alignment horizontal="center" vertical="center" wrapText="1"/>
    </xf>
    <xf numFmtId="0" fontId="49" fillId="10" borderId="76" applyNumberFormat="0" applyFont="0" applyAlignment="0" applyProtection="0"/>
    <xf numFmtId="0" fontId="48" fillId="24" borderId="75" applyNumberFormat="0" applyAlignment="0" applyProtection="0"/>
    <xf numFmtId="0" fontId="8" fillId="10" borderId="76" applyNumberFormat="0" applyFont="0" applyAlignment="0" applyProtection="0"/>
    <xf numFmtId="0" fontId="25" fillId="13" borderId="75" applyNumberFormat="0" applyAlignment="0" applyProtection="0"/>
    <xf numFmtId="0" fontId="31" fillId="0" borderId="73" applyNumberFormat="0" applyFill="0" applyAlignment="0" applyProtection="0"/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48" fillId="12" borderId="194" applyNumberFormat="0" applyAlignment="0" applyProtection="0"/>
    <xf numFmtId="0" fontId="31" fillId="0" borderId="166" applyNumberFormat="0" applyFill="0" applyAlignment="0" applyProtection="0"/>
    <xf numFmtId="0" fontId="25" fillId="13" borderId="134" applyNumberFormat="0" applyAlignment="0" applyProtection="0"/>
    <xf numFmtId="0" fontId="28" fillId="0" borderId="149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24" fillId="24" borderId="169" applyNumberFormat="0" applyAlignment="0" applyProtection="0"/>
    <xf numFmtId="0" fontId="48" fillId="24" borderId="102" applyNumberFormat="0" applyAlignment="0" applyProtection="0"/>
    <xf numFmtId="0" fontId="25" fillId="13" borderId="118" applyNumberFormat="0" applyAlignment="0" applyProtection="0"/>
    <xf numFmtId="0" fontId="31" fillId="0" borderId="172" applyNumberFormat="0" applyFill="0" applyAlignment="0" applyProtection="0"/>
    <xf numFmtId="0" fontId="49" fillId="10" borderId="177" applyNumberFormat="0" applyFont="0" applyAlignment="0" applyProtection="0"/>
    <xf numFmtId="0" fontId="48" fillId="12" borderId="118" applyNumberFormat="0" applyAlignment="0" applyProtection="0"/>
    <xf numFmtId="0" fontId="32" fillId="24" borderId="194" applyNumberFormat="0" applyAlignment="0" applyProtection="0"/>
    <xf numFmtId="0" fontId="16" fillId="24" borderId="143" applyNumberFormat="0" applyAlignment="0" applyProtection="0"/>
    <xf numFmtId="0" fontId="28" fillId="10" borderId="168" applyNumberFormat="0" applyFon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28" fillId="10" borderId="188" applyNumberFormat="0" applyFont="0" applyAlignment="0" applyProtection="0"/>
    <xf numFmtId="0" fontId="24" fillId="24" borderId="145" applyNumberFormat="0" applyAlignment="0" applyProtection="0"/>
    <xf numFmtId="0" fontId="16" fillId="24" borderId="194" applyNumberFormat="0" applyAlignment="0" applyProtection="0"/>
    <xf numFmtId="0" fontId="85" fillId="0" borderId="191"/>
    <xf numFmtId="0" fontId="8" fillId="10" borderId="177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2" fillId="24" borderId="194" applyNumberFormat="0" applyAlignment="0" applyProtection="0"/>
    <xf numFmtId="0" fontId="16" fillId="24" borderId="194" applyNumberFormat="0" applyAlignment="0" applyProtection="0"/>
    <xf numFmtId="0" fontId="25" fillId="8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31" fillId="0" borderId="100" applyNumberFormat="0" applyFill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28" fillId="0" borderId="99"/>
    <xf numFmtId="0" fontId="41" fillId="13" borderId="194" applyNumberFormat="0" applyAlignment="0" applyProtection="0"/>
    <xf numFmtId="0" fontId="28" fillId="0" borderId="124"/>
    <xf numFmtId="0" fontId="25" fillId="8" borderId="118" applyNumberFormat="0" applyAlignment="0" applyProtection="0"/>
    <xf numFmtId="0" fontId="29" fillId="24" borderId="117" applyNumberFormat="0" applyAlignment="0" applyProtection="0"/>
    <xf numFmtId="0" fontId="31" fillId="0" borderId="148" applyNumberFormat="0" applyFill="0" applyAlignment="0" applyProtection="0"/>
    <xf numFmtId="0" fontId="85" fillId="73" borderId="124"/>
    <xf numFmtId="0" fontId="49" fillId="10" borderId="195" applyNumberFormat="0" applyFont="0" applyAlignment="0" applyProtection="0"/>
    <xf numFmtId="0" fontId="85" fillId="0" borderId="124"/>
    <xf numFmtId="0" fontId="8" fillId="45" borderId="94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91" applyNumberForma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18" fillId="10" borderId="50" applyNumberFormat="0" applyFont="0" applyAlignment="0" applyProtection="0"/>
    <xf numFmtId="0" fontId="31" fillId="0" borderId="92" applyNumberFormat="0" applyFill="0" applyAlignment="0" applyProtection="0"/>
    <xf numFmtId="0" fontId="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9" fillId="12" borderId="56" applyNumberFormat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103" applyNumberFormat="0" applyFont="0" applyAlignment="0" applyProtection="0"/>
    <xf numFmtId="0" fontId="73" fillId="0" borderId="198" applyBorder="0">
      <alignment horizontal="center" vertical="center" wrapText="1"/>
    </xf>
    <xf numFmtId="0" fontId="31" fillId="0" borderId="12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146" applyNumberFormat="0" applyAlignment="0" applyProtection="0"/>
    <xf numFmtId="0" fontId="28" fillId="10" borderId="144" applyNumberFormat="0" applyFont="0" applyAlignment="0" applyProtection="0"/>
    <xf numFmtId="0" fontId="28" fillId="0" borderId="149"/>
    <xf numFmtId="0" fontId="85" fillId="0" borderId="174"/>
    <xf numFmtId="0" fontId="32" fillId="24" borderId="143" applyNumberFormat="0" applyAlignment="0" applyProtection="0"/>
    <xf numFmtId="0" fontId="48" fillId="12" borderId="167" applyNumberFormat="0" applyAlignment="0" applyProtection="0"/>
    <xf numFmtId="0" fontId="48" fillId="12" borderId="143" applyNumberFormat="0" applyAlignment="0" applyProtection="0"/>
    <xf numFmtId="0" fontId="16" fillId="24" borderId="153" applyNumberFormat="0" applyAlignment="0" applyProtection="0"/>
    <xf numFmtId="0" fontId="31" fillId="0" borderId="100" applyNumberFormat="0" applyFill="0" applyAlignment="0" applyProtection="0"/>
    <xf numFmtId="0" fontId="48" fillId="12" borderId="194" applyNumberFormat="0" applyAlignment="0" applyProtection="0"/>
    <xf numFmtId="0" fontId="85" fillId="0" borderId="174"/>
    <xf numFmtId="0" fontId="85" fillId="0" borderId="99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24" fillId="24" borderId="77" applyNumberFormat="0" applyAlignment="0" applyProtection="0"/>
    <xf numFmtId="0" fontId="28" fillId="0" borderId="82"/>
    <xf numFmtId="0" fontId="31" fillId="0" borderId="165" applyNumberFormat="0" applyFill="0" applyAlignment="0" applyProtection="0"/>
    <xf numFmtId="0" fontId="31" fillId="0" borderId="179" applyNumberFormat="0" applyFill="0" applyAlignment="0" applyProtection="0"/>
    <xf numFmtId="0" fontId="31" fillId="0" borderId="200" applyNumberFormat="0" applyFill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31" fillId="0" borderId="105" applyNumberFormat="0" applyFill="0" applyAlignment="0" applyProtection="0"/>
    <xf numFmtId="0" fontId="16" fillId="24" borderId="102" applyNumberFormat="0" applyAlignment="0" applyProtection="0"/>
    <xf numFmtId="0" fontId="31" fillId="0" borderId="100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25" fillId="13" borderId="203" applyNumberFormat="0" applyAlignment="0" applyProtection="0"/>
    <xf numFmtId="0" fontId="48" fillId="24" borderId="194" applyNumberFormat="0" applyAlignment="0" applyProtection="0"/>
    <xf numFmtId="0" fontId="29" fillId="24" borderId="193" applyNumberFormat="0" applyAlignment="0" applyProtection="0"/>
    <xf numFmtId="0" fontId="29" fillId="24" borderId="133" applyNumberFormat="0" applyAlignment="0" applyProtection="0"/>
    <xf numFmtId="0" fontId="48" fillId="24" borderId="75" applyNumberFormat="0" applyAlignment="0" applyProtection="0"/>
    <xf numFmtId="0" fontId="49" fillId="10" borderId="195" applyNumberFormat="0" applyFont="0" applyAlignment="0" applyProtection="0"/>
    <xf numFmtId="0" fontId="28" fillId="10" borderId="119" applyNumberFormat="0" applyFont="0" applyAlignment="0" applyProtection="0"/>
    <xf numFmtId="0" fontId="28" fillId="0" borderId="88"/>
    <xf numFmtId="0" fontId="73" fillId="0" borderId="48" applyBorder="0">
      <alignment horizontal="center" vertical="center" wrapText="1"/>
    </xf>
    <xf numFmtId="0" fontId="49" fillId="10" borderId="96" applyNumberFormat="0" applyFont="0" applyAlignment="0" applyProtection="0"/>
    <xf numFmtId="0" fontId="48" fillId="12" borderId="167" applyNumberFormat="0" applyAlignment="0" applyProtection="0"/>
    <xf numFmtId="0" fontId="29" fillId="24" borderId="19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71" applyNumberFormat="0" applyFill="0" applyAlignment="0" applyProtection="0"/>
    <xf numFmtId="0" fontId="29" fillId="12" borderId="117" applyNumberFormat="0" applyAlignment="0" applyProtection="0"/>
    <xf numFmtId="0" fontId="25" fillId="13" borderId="167" applyNumberFormat="0" applyAlignment="0" applyProtection="0"/>
    <xf numFmtId="0" fontId="25" fillId="13" borderId="67" applyNumberFormat="0" applyAlignment="0" applyProtection="0"/>
    <xf numFmtId="0" fontId="28" fillId="10" borderId="154" applyNumberFormat="0" applyFont="0" applyAlignment="0" applyProtection="0"/>
    <xf numFmtId="0" fontId="73" fillId="0" borderId="48" applyBorder="0">
      <alignment horizontal="center" vertical="center" wrapText="1"/>
    </xf>
    <xf numFmtId="0" fontId="41" fillId="13" borderId="67" applyNumberFormat="0" applyAlignment="0" applyProtection="0"/>
    <xf numFmtId="0" fontId="49" fillId="10" borderId="85" applyNumberFormat="0" applyFont="0" applyAlignment="0" applyProtection="0"/>
    <xf numFmtId="0" fontId="8" fillId="10" borderId="85" applyNumberFormat="0" applyFont="0" applyAlignment="0" applyProtection="0"/>
    <xf numFmtId="0" fontId="85" fillId="0" borderId="174"/>
    <xf numFmtId="0" fontId="85" fillId="0" borderId="88"/>
    <xf numFmtId="0" fontId="73" fillId="0" borderId="126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28" fillId="0" borderId="124"/>
    <xf numFmtId="0" fontId="18" fillId="10" borderId="119" applyNumberFormat="0" applyFont="0" applyAlignment="0" applyProtection="0"/>
    <xf numFmtId="0" fontId="28" fillId="0" borderId="149"/>
    <xf numFmtId="0" fontId="25" fillId="13" borderId="153" applyNumberFormat="0" applyAlignment="0" applyProtection="0"/>
    <xf numFmtId="0" fontId="8" fillId="10" borderId="177" applyNumberFormat="0" applyFont="0" applyAlignment="0" applyProtection="0"/>
    <xf numFmtId="0" fontId="31" fillId="0" borderId="123" applyNumberFormat="0" applyFill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31" fillId="0" borderId="93" applyNumberFormat="0" applyFill="0" applyAlignment="0" applyProtection="0"/>
    <xf numFmtId="0" fontId="25" fillId="13" borderId="167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5" fillId="8" borderId="167" applyNumberFormat="0" applyAlignment="0" applyProtection="0"/>
    <xf numFmtId="0" fontId="16" fillId="24" borderId="118" applyNumberFormat="0" applyAlignment="0" applyProtection="0"/>
    <xf numFmtId="0" fontId="31" fillId="0" borderId="185" applyNumberFormat="0" applyFill="0" applyAlignment="0" applyProtection="0"/>
    <xf numFmtId="0" fontId="28" fillId="10" borderId="85" applyNumberFormat="0" applyFont="0" applyAlignment="0" applyProtection="0"/>
    <xf numFmtId="0" fontId="31" fillId="0" borderId="184" applyNumberFormat="0" applyFill="0" applyAlignment="0" applyProtection="0"/>
    <xf numFmtId="0" fontId="28" fillId="0" borderId="99"/>
    <xf numFmtId="0" fontId="32" fillId="24" borderId="102" applyNumberFormat="0" applyAlignment="0" applyProtection="0"/>
    <xf numFmtId="0" fontId="31" fillId="0" borderId="122" applyNumberFormat="0" applyFill="0" applyAlignment="0" applyProtection="0"/>
    <xf numFmtId="0" fontId="28" fillId="0" borderId="99"/>
    <xf numFmtId="0" fontId="31" fillId="0" borderId="74" applyNumberFormat="0" applyFill="0" applyAlignment="0" applyProtection="0"/>
    <xf numFmtId="0" fontId="28" fillId="10" borderId="76" applyNumberFormat="0" applyFont="0" applyAlignment="0" applyProtection="0"/>
    <xf numFmtId="0" fontId="28" fillId="10" borderId="177" applyNumberFormat="0" applyFont="0" applyAlignment="0" applyProtection="0"/>
    <xf numFmtId="0" fontId="31" fillId="0" borderId="166" applyNumberFormat="0" applyFill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29" fillId="12" borderId="193" applyNumberFormat="0" applyAlignment="0" applyProtection="0"/>
    <xf numFmtId="0" fontId="24" fillId="24" borderId="196" applyNumberFormat="0" applyAlignment="0" applyProtection="0"/>
    <xf numFmtId="0" fontId="8" fillId="10" borderId="85" applyNumberFormat="0" applyFont="0" applyAlignment="0" applyProtection="0"/>
    <xf numFmtId="0" fontId="25" fillId="8" borderId="194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85" fillId="0" borderId="174"/>
    <xf numFmtId="0" fontId="41" fillId="13" borderId="153" applyNumberFormat="0" applyAlignment="0" applyProtection="0"/>
    <xf numFmtId="0" fontId="25" fillId="13" borderId="194" applyNumberFormat="0" applyAlignment="0" applyProtection="0"/>
    <xf numFmtId="0" fontId="29" fillId="24" borderId="117" applyNumberFormat="0" applyAlignment="0" applyProtection="0"/>
    <xf numFmtId="0" fontId="25" fillId="13" borderId="60" applyNumberFormat="0" applyAlignment="0" applyProtection="0"/>
    <xf numFmtId="0" fontId="29" fillId="12" borderId="56" applyNumberFormat="0" applyAlignment="0" applyProtection="0"/>
    <xf numFmtId="0" fontId="31" fillId="0" borderId="151" applyNumberFormat="0" applyFill="0" applyAlignment="0" applyProtection="0"/>
    <xf numFmtId="0" fontId="29" fillId="24" borderId="146" applyNumberFormat="0" applyAlignment="0" applyProtection="0"/>
    <xf numFmtId="0" fontId="8" fillId="45" borderId="150" applyNumberFormat="0" applyFont="0" applyAlignment="0" applyProtection="0"/>
    <xf numFmtId="0" fontId="1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28" fillId="10" borderId="50" applyNumberFormat="0" applyFont="0" applyAlignment="0" applyProtection="0"/>
    <xf numFmtId="0" fontId="24" fillId="24" borderId="51" applyNumberFormat="0" applyAlignment="0" applyProtection="0"/>
    <xf numFmtId="0" fontId="24" fillId="24" borderId="51" applyNumberFormat="0" applyAlignment="0" applyProtection="0"/>
    <xf numFmtId="0" fontId="31" fillId="0" borderId="52" applyNumberFormat="0" applyFill="0" applyAlignment="0" applyProtection="0"/>
    <xf numFmtId="0" fontId="31" fillId="0" borderId="192" applyNumberFormat="0" applyFill="0" applyAlignment="0" applyProtection="0"/>
    <xf numFmtId="0" fontId="29" fillId="12" borderId="117" applyNumberFormat="0" applyAlignment="0" applyProtection="0"/>
    <xf numFmtId="0" fontId="8" fillId="10" borderId="177" applyNumberFormat="0" applyFont="0" applyAlignment="0" applyProtection="0"/>
    <xf numFmtId="0" fontId="48" fillId="24" borderId="102" applyNumberFormat="0" applyAlignment="0" applyProtection="0"/>
    <xf numFmtId="0" fontId="24" fillId="24" borderId="69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73" fillId="0" borderId="81" applyBorder="0">
      <alignment horizontal="center" vertical="center" wrapText="1"/>
    </xf>
    <xf numFmtId="0" fontId="41" fillId="13" borderId="75" applyNumberForma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49" fillId="10" borderId="144" applyNumberFormat="0" applyFont="0" applyAlignment="0" applyProtection="0"/>
    <xf numFmtId="0" fontId="24" fillId="24" borderId="145" applyNumberFormat="0" applyAlignment="0" applyProtection="0"/>
    <xf numFmtId="0" fontId="49" fillId="10" borderId="144" applyNumberFormat="0" applyFon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18" fillId="10" borderId="168" applyNumberFormat="0" applyFont="0" applyAlignment="0" applyProtection="0"/>
    <xf numFmtId="0" fontId="16" fillId="24" borderId="102" applyNumberFormat="0" applyAlignment="0" applyProtection="0"/>
    <xf numFmtId="0" fontId="28" fillId="0" borderId="82"/>
    <xf numFmtId="0" fontId="24" fillId="24" borderId="104" applyNumberForma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48" fillId="24" borderId="102" applyNumberFormat="0" applyAlignment="0" applyProtection="0"/>
    <xf numFmtId="0" fontId="28" fillId="10" borderId="103" applyNumberFormat="0" applyFont="0" applyAlignment="0" applyProtection="0"/>
    <xf numFmtId="0" fontId="31" fillId="0" borderId="107" applyNumberFormat="0" applyFill="0" applyAlignment="0" applyProtection="0"/>
    <xf numFmtId="0" fontId="29" fillId="12" borderId="101" applyNumberFormat="0" applyAlignment="0" applyProtection="0"/>
    <xf numFmtId="0" fontId="8" fillId="45" borderId="110" applyNumberFormat="0" applyFont="0" applyAlignment="0" applyProtection="0"/>
    <xf numFmtId="0" fontId="29" fillId="12" borderId="101" applyNumberFormat="0" applyAlignment="0" applyProtection="0"/>
    <xf numFmtId="0" fontId="16" fillId="24" borderId="111" applyNumberFormat="0" applyAlignment="0" applyProtection="0"/>
    <xf numFmtId="0" fontId="29" fillId="12" borderId="146" applyNumberFormat="0" applyAlignment="0" applyProtection="0"/>
    <xf numFmtId="0" fontId="25" fillId="13" borderId="111" applyNumberFormat="0" applyAlignment="0" applyProtection="0"/>
    <xf numFmtId="0" fontId="8" fillId="10" borderId="144" applyNumberFormat="0" applyFont="0" applyAlignment="0" applyProtection="0"/>
    <xf numFmtId="0" fontId="16" fillId="24" borderId="167" applyNumberFormat="0" applyAlignment="0" applyProtection="0"/>
    <xf numFmtId="0" fontId="8" fillId="45" borderId="175" applyNumberFormat="0" applyFont="0" applyAlignment="0" applyProtection="0"/>
    <xf numFmtId="0" fontId="49" fillId="10" borderId="144" applyNumberFormat="0" applyFont="0" applyAlignment="0" applyProtection="0"/>
    <xf numFmtId="0" fontId="31" fillId="0" borderId="163" applyNumberFormat="0" applyFill="0" applyAlignment="0" applyProtection="0"/>
    <xf numFmtId="0" fontId="31" fillId="0" borderId="192" applyNumberFormat="0" applyFill="0" applyAlignment="0" applyProtection="0"/>
    <xf numFmtId="0" fontId="8" fillId="10" borderId="168" applyNumberFormat="0" applyFont="0" applyAlignment="0" applyProtection="0"/>
    <xf numFmtId="0" fontId="29" fillId="12" borderId="193" applyNumberFormat="0" applyAlignment="0" applyProtection="0"/>
    <xf numFmtId="0" fontId="28" fillId="0" borderId="82"/>
    <xf numFmtId="0" fontId="48" fillId="12" borderId="75" applyNumberFormat="0" applyAlignment="0" applyProtection="0"/>
    <xf numFmtId="0" fontId="25" fillId="8" borderId="75" applyNumberFormat="0" applyAlignment="0" applyProtection="0"/>
    <xf numFmtId="0" fontId="29" fillId="12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49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85" fillId="73" borderId="82"/>
    <xf numFmtId="0" fontId="85" fillId="0" borderId="82"/>
    <xf numFmtId="0" fontId="31" fillId="0" borderId="80" applyNumberFormat="0" applyFill="0" applyAlignment="0" applyProtection="0"/>
    <xf numFmtId="0" fontId="31" fillId="0" borderId="74" applyNumberFormat="0" applyFill="0" applyAlignment="0" applyProtection="0"/>
    <xf numFmtId="0" fontId="85" fillId="73" borderId="82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16" fillId="24" borderId="75" applyNumberForma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73" fillId="0" borderId="81" applyBorder="0">
      <alignment horizontal="center" vertical="center" wrapText="1"/>
    </xf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8" fillId="0" borderId="82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80" applyNumberFormat="0" applyFill="0" applyAlignment="0" applyProtection="0"/>
    <xf numFmtId="0" fontId="41" fillId="13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85" fillId="0" borderId="82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28" fillId="0" borderId="82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154" applyNumberFormat="0" applyFont="0" applyAlignment="0" applyProtection="0"/>
    <xf numFmtId="0" fontId="48" fillId="24" borderId="102" applyNumberFormat="0" applyAlignment="0" applyProtection="0"/>
    <xf numFmtId="0" fontId="41" fillId="13" borderId="84" applyNumberFormat="0" applyAlignment="0" applyProtection="0"/>
    <xf numFmtId="0" fontId="31" fillId="0" borderId="163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24" fillId="24" borderId="196" applyNumberFormat="0" applyAlignment="0" applyProtection="0"/>
    <xf numFmtId="0" fontId="8" fillId="10" borderId="177" applyNumberFormat="0" applyFont="0" applyAlignment="0" applyProtection="0"/>
    <xf numFmtId="0" fontId="29" fillId="12" borderId="14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73" fillId="0" borderId="106" applyBorder="0">
      <alignment horizontal="center" vertical="center" wrapText="1"/>
    </xf>
    <xf numFmtId="0" fontId="85" fillId="0" borderId="99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8" fillId="10" borderId="177" applyNumberFormat="0" applyFont="0" applyAlignment="0" applyProtection="0"/>
    <xf numFmtId="0" fontId="41" fillId="13" borderId="134" applyNumberFormat="0" applyAlignment="0" applyProtection="0"/>
    <xf numFmtId="0" fontId="73" fillId="0" borderId="152" applyBorder="0">
      <alignment horizontal="center" vertical="center" wrapText="1"/>
    </xf>
    <xf numFmtId="0" fontId="28" fillId="10" borderId="177" applyNumberFormat="0" applyFont="0" applyAlignment="0" applyProtection="0"/>
    <xf numFmtId="0" fontId="48" fillId="24" borderId="187" applyNumberForma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16" fillId="24" borderId="118" applyNumberFormat="0" applyAlignment="0" applyProtection="0"/>
    <xf numFmtId="0" fontId="48" fillId="24" borderId="118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71" applyNumberFormat="0" applyFill="0" applyAlignment="0" applyProtection="0"/>
    <xf numFmtId="0" fontId="29" fillId="24" borderId="170" applyNumberFormat="0" applyAlignment="0" applyProtection="0"/>
    <xf numFmtId="0" fontId="49" fillId="10" borderId="195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170" applyNumberFormat="0" applyAlignment="0" applyProtection="0"/>
    <xf numFmtId="0" fontId="29" fillId="24" borderId="146" applyNumberFormat="0" applyAlignment="0" applyProtection="0"/>
    <xf numFmtId="0" fontId="31" fillId="0" borderId="172" applyNumberFormat="0" applyFill="0" applyAlignment="0" applyProtection="0"/>
    <xf numFmtId="0" fontId="16" fillId="24" borderId="167" applyNumberFormat="0" applyAlignment="0" applyProtection="0"/>
    <xf numFmtId="0" fontId="31" fillId="0" borderId="142" applyNumberFormat="0" applyFill="0" applyAlignment="0" applyProtection="0"/>
    <xf numFmtId="0" fontId="31" fillId="0" borderId="151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16" fillId="24" borderId="167" applyNumberFormat="0" applyAlignment="0" applyProtection="0"/>
    <xf numFmtId="0" fontId="28" fillId="10" borderId="195" applyNumberFormat="0" applyFont="0" applyAlignment="0" applyProtection="0"/>
    <xf numFmtId="0" fontId="28" fillId="10" borderId="135" applyNumberFormat="0" applyFont="0" applyAlignment="0" applyProtection="0"/>
    <xf numFmtId="0" fontId="8" fillId="45" borderId="186" applyNumberFormat="0" applyFont="0" applyAlignment="0" applyProtection="0"/>
    <xf numFmtId="0" fontId="16" fillId="24" borderId="143" applyNumberFormat="0" applyAlignment="0" applyProtection="0"/>
    <xf numFmtId="0" fontId="48" fillId="24" borderId="143" applyNumberFormat="0" applyAlignment="0" applyProtection="0"/>
    <xf numFmtId="0" fontId="28" fillId="10" borderId="144" applyNumberFormat="0" applyFont="0" applyAlignment="0" applyProtection="0"/>
    <xf numFmtId="0" fontId="18" fillId="10" borderId="154" applyNumberFormat="0" applyFont="0" applyAlignment="0" applyProtection="0"/>
    <xf numFmtId="0" fontId="18" fillId="10" borderId="195" applyNumberFormat="0" applyFont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48" fillId="12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12" borderId="102" applyNumberFormat="0" applyAlignment="0" applyProtection="0"/>
    <xf numFmtId="0" fontId="16" fillId="24" borderId="143" applyNumberForma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16" fillId="24" borderId="167" applyNumberFormat="0" applyAlignment="0" applyProtection="0"/>
    <xf numFmtId="0" fontId="85" fillId="73" borderId="174"/>
    <xf numFmtId="0" fontId="49" fillId="10" borderId="195" applyNumberFormat="0" applyFont="0" applyAlignment="0" applyProtection="0"/>
    <xf numFmtId="0" fontId="31" fillId="0" borderId="158" applyNumberFormat="0" applyFill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31" fillId="0" borderId="142" applyNumberFormat="0" applyFill="0" applyAlignment="0" applyProtection="0"/>
    <xf numFmtId="0" fontId="41" fillId="13" borderId="143" applyNumberFormat="0" applyAlignment="0" applyProtection="0"/>
    <xf numFmtId="0" fontId="18" fillId="10" borderId="177" applyNumberFormat="0" applyFont="0" applyAlignment="0" applyProtection="0"/>
    <xf numFmtId="0" fontId="31" fillId="0" borderId="192" applyNumberFormat="0" applyFill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31" fillId="0" borderId="121" applyNumberFormat="0" applyFill="0" applyAlignment="0" applyProtection="0"/>
    <xf numFmtId="0" fontId="85" fillId="0" borderId="124"/>
    <xf numFmtId="0" fontId="24" fillId="24" borderId="120" applyNumberFormat="0" applyAlignment="0" applyProtection="0"/>
    <xf numFmtId="0" fontId="31" fillId="0" borderId="121" applyNumberFormat="0" applyFill="0" applyAlignment="0" applyProtection="0"/>
    <xf numFmtId="0" fontId="8" fillId="10" borderId="119" applyNumberFormat="0" applyFont="0" applyAlignment="0" applyProtection="0"/>
    <xf numFmtId="0" fontId="29" fillId="12" borderId="170" applyNumberFormat="0" applyAlignment="0" applyProtection="0"/>
    <xf numFmtId="0" fontId="49" fillId="10" borderId="168" applyNumberFormat="0" applyFont="0" applyAlignment="0" applyProtection="0"/>
    <xf numFmtId="0" fontId="25" fillId="13" borderId="167" applyNumberFormat="0" applyAlignment="0" applyProtection="0"/>
    <xf numFmtId="0" fontId="28" fillId="10" borderId="195" applyNumberFormat="0" applyFont="0" applyAlignment="0" applyProtection="0"/>
    <xf numFmtId="0" fontId="31" fillId="0" borderId="184" applyNumberFormat="0" applyFill="0" applyAlignment="0" applyProtection="0"/>
    <xf numFmtId="0" fontId="25" fillId="13" borderId="194" applyNumberFormat="0" applyAlignment="0" applyProtection="0"/>
    <xf numFmtId="0" fontId="25" fillId="8" borderId="143" applyNumberFormat="0" applyAlignment="0" applyProtection="0"/>
    <xf numFmtId="0" fontId="25" fillId="8" borderId="143" applyNumberFormat="0" applyAlignment="0" applyProtection="0"/>
    <xf numFmtId="0" fontId="31" fillId="0" borderId="172" applyNumberFormat="0" applyFill="0" applyAlignment="0" applyProtection="0"/>
    <xf numFmtId="0" fontId="25" fillId="13" borderId="160" applyNumberFormat="0" applyAlignment="0" applyProtection="0"/>
    <xf numFmtId="0" fontId="85" fillId="0" borderId="149"/>
    <xf numFmtId="0" fontId="28" fillId="0" borderId="149"/>
    <xf numFmtId="0" fontId="73" fillId="0" borderId="201" applyBorder="0">
      <alignment horizontal="center" vertical="center" wrapText="1"/>
    </xf>
    <xf numFmtId="0" fontId="29" fillId="12" borderId="170" applyNumberFormat="0" applyAlignment="0" applyProtection="0"/>
    <xf numFmtId="0" fontId="8" fillId="10" borderId="168" applyNumberFormat="0" applyFont="0" applyAlignment="0" applyProtection="0"/>
    <xf numFmtId="0" fontId="28" fillId="10" borderId="177" applyNumberFormat="0" applyFont="0" applyAlignment="0" applyProtection="0"/>
    <xf numFmtId="0" fontId="16" fillId="24" borderId="118" applyNumberFormat="0" applyAlignment="0" applyProtection="0"/>
    <xf numFmtId="0" fontId="29" fillId="24" borderId="117" applyNumberFormat="0" applyAlignment="0" applyProtection="0"/>
    <xf numFmtId="0" fontId="49" fillId="10" borderId="119" applyNumberFormat="0" applyFont="0" applyAlignment="0" applyProtection="0"/>
    <xf numFmtId="0" fontId="16" fillId="24" borderId="194" applyNumberFormat="0" applyAlignment="0" applyProtection="0"/>
    <xf numFmtId="0" fontId="29" fillId="24" borderId="91" applyNumberFormat="0" applyAlignment="0" applyProtection="0"/>
    <xf numFmtId="0" fontId="8" fillId="45" borderId="94" applyNumberFormat="0" applyFont="0" applyAlignment="0" applyProtection="0"/>
    <xf numFmtId="0" fontId="29" fillId="24" borderId="170" applyNumberFormat="0" applyAlignment="0" applyProtection="0"/>
    <xf numFmtId="0" fontId="18" fillId="10" borderId="85" applyNumberFormat="0" applyFont="0" applyAlignment="0" applyProtection="0"/>
    <xf numFmtId="0" fontId="48" fillId="12" borderId="167" applyNumberForma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2" fillId="24" borderId="118" applyNumberFormat="0" applyAlignment="0" applyProtection="0"/>
    <xf numFmtId="0" fontId="31" fillId="0" borderId="93" applyNumberFormat="0" applyFill="0" applyAlignment="0" applyProtection="0"/>
    <xf numFmtId="0" fontId="31" fillId="0" borderId="172" applyNumberFormat="0" applyFill="0" applyAlignment="0" applyProtection="0"/>
    <xf numFmtId="0" fontId="8" fillId="10" borderId="85" applyNumberFormat="0" applyFont="0" applyAlignment="0" applyProtection="0"/>
    <xf numFmtId="0" fontId="18" fillId="10" borderId="85" applyNumberFormat="0" applyFont="0" applyAlignment="0" applyProtection="0"/>
    <xf numFmtId="0" fontId="8" fillId="10" borderId="177" applyNumberFormat="0" applyFont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85" fillId="0" borderId="88"/>
    <xf numFmtId="0" fontId="28" fillId="10" borderId="177" applyNumberFormat="0" applyFon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48" fillId="24" borderId="118" applyNumberFormat="0" applyAlignment="0" applyProtection="0"/>
    <xf numFmtId="0" fontId="48" fillId="24" borderId="118" applyNumberFormat="0" applyAlignment="0" applyProtection="0"/>
    <xf numFmtId="0" fontId="49" fillId="10" borderId="195" applyNumberFormat="0" applyFon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31" fillId="0" borderId="130" applyNumberFormat="0" applyFill="0" applyAlignment="0" applyProtection="0"/>
    <xf numFmtId="0" fontId="28" fillId="10" borderId="128" applyNumberFormat="0" applyFont="0" applyAlignment="0" applyProtection="0"/>
    <xf numFmtId="0" fontId="25" fillId="13" borderId="127" applyNumberFormat="0" applyAlignment="0" applyProtection="0"/>
    <xf numFmtId="0" fontId="16" fillId="24" borderId="167" applyNumberFormat="0" applyAlignment="0" applyProtection="0"/>
    <xf numFmtId="0" fontId="32" fillId="24" borderId="127" applyNumberFormat="0" applyAlignment="0" applyProtection="0"/>
    <xf numFmtId="0" fontId="31" fillId="0" borderId="200" applyNumberFormat="0" applyFill="0" applyAlignment="0" applyProtection="0"/>
    <xf numFmtId="0" fontId="48" fillId="12" borderId="118" applyNumberFormat="0" applyAlignment="0" applyProtection="0"/>
    <xf numFmtId="0" fontId="16" fillId="24" borderId="118" applyNumberFormat="0" applyAlignment="0" applyProtection="0"/>
    <xf numFmtId="0" fontId="31" fillId="0" borderId="121" applyNumberFormat="0" applyFill="0" applyAlignment="0" applyProtection="0"/>
    <xf numFmtId="0" fontId="41" fillId="13" borderId="118" applyNumberFormat="0" applyAlignment="0" applyProtection="0"/>
    <xf numFmtId="0" fontId="8" fillId="10" borderId="119" applyNumberFormat="0" applyFont="0" applyAlignment="0" applyProtection="0"/>
    <xf numFmtId="0" fontId="29" fillId="24" borderId="170" applyNumberFormat="0" applyAlignment="0" applyProtection="0"/>
    <xf numFmtId="0" fontId="48" fillId="24" borderId="118" applyNumberFormat="0" applyAlignment="0" applyProtection="0"/>
    <xf numFmtId="0" fontId="48" fillId="12" borderId="143" applyNumberFormat="0" applyAlignment="0" applyProtection="0"/>
    <xf numFmtId="0" fontId="29" fillId="24" borderId="193" applyNumberFormat="0" applyAlignment="0" applyProtection="0"/>
    <xf numFmtId="0" fontId="31" fillId="0" borderId="147" applyNumberFormat="0" applyFill="0" applyAlignment="0" applyProtection="0"/>
    <xf numFmtId="0" fontId="28" fillId="0" borderId="174"/>
    <xf numFmtId="0" fontId="16" fillId="24" borderId="127" applyNumberFormat="0" applyAlignment="0" applyProtection="0"/>
    <xf numFmtId="0" fontId="31" fillId="0" borderId="147" applyNumberFormat="0" applyFill="0" applyAlignment="0" applyProtection="0"/>
    <xf numFmtId="0" fontId="8" fillId="10" borderId="168" applyNumberFormat="0" applyFont="0" applyAlignment="0" applyProtection="0"/>
    <xf numFmtId="0" fontId="24" fillId="24" borderId="196" applyNumberFormat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16" fillId="24" borderId="187" applyNumberFormat="0" applyAlignment="0" applyProtection="0"/>
    <xf numFmtId="0" fontId="85" fillId="0" borderId="149"/>
    <xf numFmtId="0" fontId="48" fillId="12" borderId="167" applyNumberFormat="0" applyAlignment="0" applyProtection="0"/>
    <xf numFmtId="0" fontId="28" fillId="0" borderId="174"/>
    <xf numFmtId="0" fontId="8" fillId="10" borderId="195" applyNumberFormat="0" applyFont="0" applyAlignment="0" applyProtection="0"/>
    <xf numFmtId="0" fontId="48" fillId="24" borderId="167" applyNumberFormat="0" applyAlignment="0" applyProtection="0"/>
    <xf numFmtId="0" fontId="73" fillId="0" borderId="173" applyBorder="0">
      <alignment horizontal="center" vertical="center" wrapText="1"/>
    </xf>
    <xf numFmtId="0" fontId="25" fillId="13" borderId="118" applyNumberFormat="0" applyAlignment="0" applyProtection="0"/>
    <xf numFmtId="0" fontId="31" fillId="0" borderId="200" applyNumberFormat="0" applyFill="0" applyAlignment="0" applyProtection="0"/>
    <xf numFmtId="0" fontId="28" fillId="0" borderId="191"/>
    <xf numFmtId="0" fontId="73" fillId="0" borderId="141" applyBorder="0">
      <alignment horizontal="center" vertical="center" wrapText="1"/>
    </xf>
    <xf numFmtId="0" fontId="85" fillId="0" borderId="191"/>
    <xf numFmtId="0" fontId="48" fillId="12" borderId="167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29" fillId="24" borderId="117" applyNumberFormat="0" applyAlignment="0" applyProtection="0"/>
    <xf numFmtId="0" fontId="32" fillId="24" borderId="167" applyNumberFormat="0" applyAlignment="0" applyProtection="0"/>
    <xf numFmtId="0" fontId="24" fillId="24" borderId="136" applyNumberFormat="0" applyAlignment="0" applyProtection="0"/>
    <xf numFmtId="0" fontId="31" fillId="0" borderId="123" applyNumberFormat="0" applyFill="0" applyAlignment="0" applyProtection="0"/>
    <xf numFmtId="0" fontId="32" fillId="24" borderId="143" applyNumberFormat="0" applyAlignment="0" applyProtection="0"/>
    <xf numFmtId="0" fontId="24" fillId="24" borderId="189" applyNumberFormat="0" applyAlignment="0" applyProtection="0"/>
    <xf numFmtId="0" fontId="48" fillId="12" borderId="143" applyNumberFormat="0" applyAlignment="0" applyProtection="0"/>
    <xf numFmtId="0" fontId="48" fillId="24" borderId="194" applyNumberFormat="0" applyAlignment="0" applyProtection="0"/>
    <xf numFmtId="0" fontId="32" fillId="24" borderId="143" applyNumberFormat="0" applyAlignment="0" applyProtection="0"/>
    <xf numFmtId="0" fontId="8" fillId="45" borderId="150" applyNumberFormat="0" applyFont="0" applyAlignment="0" applyProtection="0"/>
    <xf numFmtId="0" fontId="31" fillId="0" borderId="151" applyNumberFormat="0" applyFill="0" applyAlignment="0" applyProtection="0"/>
    <xf numFmtId="0" fontId="29" fillId="24" borderId="193" applyNumberForma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8" applyNumberFormat="0" applyFill="0" applyAlignment="0" applyProtection="0"/>
    <xf numFmtId="0" fontId="49" fillId="10" borderId="103" applyNumberFormat="0" applyFont="0" applyAlignment="0" applyProtection="0"/>
    <xf numFmtId="0" fontId="41" fillId="13" borderId="102" applyNumberFormat="0" applyAlignment="0" applyProtection="0"/>
    <xf numFmtId="0" fontId="25" fillId="13" borderId="102" applyNumberFormat="0" applyAlignment="0" applyProtection="0"/>
    <xf numFmtId="0" fontId="73" fillId="0" borderId="106" applyBorder="0">
      <alignment horizontal="center" vertical="center" wrapText="1"/>
    </xf>
    <xf numFmtId="0" fontId="29" fillId="12" borderId="146" applyNumberFormat="0" applyAlignment="0" applyProtection="0"/>
    <xf numFmtId="0" fontId="32" fillId="24" borderId="143" applyNumberFormat="0" applyAlignment="0" applyProtection="0"/>
    <xf numFmtId="0" fontId="31" fillId="0" borderId="197" applyNumberFormat="0" applyFill="0" applyAlignment="0" applyProtection="0"/>
    <xf numFmtId="0" fontId="31" fillId="0" borderId="171" applyNumberFormat="0" applyFill="0" applyAlignment="0" applyProtection="0"/>
    <xf numFmtId="0" fontId="8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51" applyNumberFormat="0" applyFill="0" applyAlignment="0" applyProtection="0"/>
    <xf numFmtId="0" fontId="16" fillId="24" borderId="143" applyNumberFormat="0" applyAlignment="0" applyProtection="0"/>
    <xf numFmtId="0" fontId="31" fillId="0" borderId="166" applyNumberFormat="0" applyFill="0" applyAlignment="0" applyProtection="0"/>
    <xf numFmtId="0" fontId="73" fillId="0" borderId="126" applyBorder="0">
      <alignment horizontal="center" vertical="center" wrapText="1"/>
    </xf>
    <xf numFmtId="0" fontId="41" fillId="13" borderId="118" applyNumberFormat="0" applyAlignment="0" applyProtection="0"/>
    <xf numFmtId="0" fontId="16" fillId="24" borderId="118" applyNumberFormat="0" applyAlignment="0" applyProtection="0"/>
    <xf numFmtId="0" fontId="48" fillId="12" borderId="118" applyNumberFormat="0" applyAlignment="0" applyProtection="0"/>
    <xf numFmtId="0" fontId="73" fillId="0" borderId="201" applyBorder="0">
      <alignment horizontal="center" vertical="center" wrapText="1"/>
    </xf>
    <xf numFmtId="0" fontId="31" fillId="0" borderId="172" applyNumberFormat="0" applyFill="0" applyAlignment="0" applyProtection="0"/>
    <xf numFmtId="0" fontId="28" fillId="0" borderId="191"/>
    <xf numFmtId="0" fontId="48" fillId="24" borderId="203" applyNumberFormat="0" applyAlignment="0" applyProtection="0"/>
    <xf numFmtId="0" fontId="28" fillId="0" borderId="191"/>
    <xf numFmtId="0" fontId="85" fillId="0" borderId="180"/>
    <xf numFmtId="0" fontId="24" fillId="24" borderId="162" applyNumberFormat="0" applyAlignment="0" applyProtection="0"/>
    <xf numFmtId="0" fontId="28" fillId="0" borderId="149"/>
    <xf numFmtId="0" fontId="25" fillId="13" borderId="143" applyNumberFormat="0" applyAlignment="0" applyProtection="0"/>
    <xf numFmtId="0" fontId="73" fillId="0" borderId="141" applyBorder="0">
      <alignment horizontal="center" vertical="center" wrapText="1"/>
    </xf>
    <xf numFmtId="0" fontId="85" fillId="73" borderId="174"/>
    <xf numFmtId="0" fontId="31" fillId="0" borderId="192" applyNumberFormat="0" applyFill="0" applyAlignment="0" applyProtection="0"/>
    <xf numFmtId="0" fontId="31" fillId="0" borderId="158" applyNumberFormat="0" applyFill="0" applyAlignment="0" applyProtection="0"/>
    <xf numFmtId="0" fontId="31" fillId="0" borderId="197" applyNumberFormat="0" applyFill="0" applyAlignment="0" applyProtection="0"/>
    <xf numFmtId="0" fontId="85" fillId="0" borderId="191"/>
    <xf numFmtId="0" fontId="28" fillId="0" borderId="124"/>
    <xf numFmtId="0" fontId="32" fillId="24" borderId="118" applyNumberFormat="0" applyAlignment="0" applyProtection="0"/>
    <xf numFmtId="0" fontId="28" fillId="10" borderId="85" applyNumberFormat="0" applyFont="0" applyAlignment="0" applyProtection="0"/>
    <xf numFmtId="0" fontId="49" fillId="10" borderId="85" applyNumberFormat="0" applyFont="0" applyAlignment="0" applyProtection="0"/>
    <xf numFmtId="0" fontId="29" fillId="12" borderId="170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31" fillId="0" borderId="171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31" fillId="0" borderId="123" applyNumberFormat="0" applyFill="0" applyAlignment="0" applyProtection="0"/>
    <xf numFmtId="0" fontId="28" fillId="0" borderId="18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85" fillId="0" borderId="174"/>
    <xf numFmtId="0" fontId="18" fillId="10" borderId="103" applyNumberFormat="0" applyFont="0" applyAlignment="0" applyProtection="0"/>
    <xf numFmtId="0" fontId="16" fillId="24" borderId="102" applyNumberFormat="0" applyAlignment="0" applyProtection="0"/>
    <xf numFmtId="0" fontId="31" fillId="0" borderId="107" applyNumberFormat="0" applyFill="0" applyAlignment="0" applyProtection="0"/>
    <xf numFmtId="0" fontId="41" fillId="13" borderId="118" applyNumberForma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18" fillId="10" borderId="85" applyNumberFormat="0" applyFont="0" applyAlignment="0" applyProtection="0"/>
    <xf numFmtId="0" fontId="8" fillId="10" borderId="144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9" fillId="24" borderId="117" applyNumberFormat="0" applyAlignment="0" applyProtection="0"/>
    <xf numFmtId="0" fontId="25" fillId="8" borderId="143" applyNumberFormat="0" applyAlignment="0" applyProtection="0"/>
    <xf numFmtId="0" fontId="29" fillId="24" borderId="101" applyNumberFormat="0" applyAlignment="0" applyProtection="0"/>
    <xf numFmtId="0" fontId="28" fillId="10" borderId="168" applyNumberFormat="0" applyFont="0" applyAlignment="0" applyProtection="0"/>
    <xf numFmtId="0" fontId="25" fillId="13" borderId="167" applyNumberFormat="0" applyAlignment="0" applyProtection="0"/>
    <xf numFmtId="0" fontId="31" fillId="0" borderId="192" applyNumberFormat="0" applyFill="0" applyAlignment="0" applyProtection="0"/>
    <xf numFmtId="0" fontId="25" fillId="13" borderId="102" applyNumberFormat="0" applyAlignment="0" applyProtection="0"/>
    <xf numFmtId="0" fontId="8" fillId="10" borderId="135" applyNumberFormat="0" applyFont="0" applyAlignment="0" applyProtection="0"/>
    <xf numFmtId="0" fontId="31" fillId="0" borderId="147" applyNumberFormat="0" applyFill="0" applyAlignment="0" applyProtection="0"/>
    <xf numFmtId="0" fontId="31" fillId="0" borderId="92" applyNumberFormat="0" applyFill="0" applyAlignment="0" applyProtection="0"/>
    <xf numFmtId="0" fontId="48" fillId="24" borderId="143" applyNumberForma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73" fillId="0" borderId="89" applyBorder="0">
      <alignment horizontal="center" vertical="center" wrapText="1"/>
    </xf>
    <xf numFmtId="0" fontId="31" fillId="0" borderId="108" applyNumberFormat="0" applyFill="0" applyAlignment="0" applyProtection="0"/>
    <xf numFmtId="0" fontId="29" fillId="24" borderId="101" applyNumberFormat="0" applyAlignment="0" applyProtection="0"/>
    <xf numFmtId="0" fontId="48" fillId="12" borderId="134" applyNumberFormat="0" applyAlignment="0" applyProtection="0"/>
    <xf numFmtId="0" fontId="28" fillId="0" borderId="149"/>
    <xf numFmtId="0" fontId="48" fillId="24" borderId="194" applyNumberFormat="0" applyAlignment="0" applyProtection="0"/>
    <xf numFmtId="0" fontId="8" fillId="10" borderId="119" applyNumberFormat="0" applyFont="0" applyAlignment="0" applyProtection="0"/>
    <xf numFmtId="0" fontId="31" fillId="0" borderId="158" applyNumberFormat="0" applyFill="0" applyAlignment="0" applyProtection="0"/>
    <xf numFmtId="0" fontId="31" fillId="0" borderId="158" applyNumberFormat="0" applyFill="0" applyAlignment="0" applyProtection="0"/>
    <xf numFmtId="0" fontId="31" fillId="0" borderId="116" applyNumberFormat="0" applyFill="0" applyAlignment="0" applyProtection="0"/>
    <xf numFmtId="0" fontId="85" fillId="0" borderId="124"/>
    <xf numFmtId="0" fontId="25" fillId="13" borderId="127" applyNumberFormat="0" applyAlignment="0" applyProtection="0"/>
    <xf numFmtId="0" fontId="31" fillId="0" borderId="166" applyNumberFormat="0" applyFill="0" applyAlignment="0" applyProtection="0"/>
    <xf numFmtId="0" fontId="41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4" fillId="24" borderId="104" applyNumberFormat="0" applyAlignment="0" applyProtection="0"/>
    <xf numFmtId="0" fontId="41" fillId="13" borderId="102" applyNumberFormat="0" applyAlignment="0" applyProtection="0"/>
    <xf numFmtId="0" fontId="48" fillId="24" borderId="75" applyNumberFormat="0" applyAlignment="0" applyProtection="0"/>
    <xf numFmtId="0" fontId="31" fillId="0" borderId="147" applyNumberFormat="0" applyFill="0" applyAlignment="0" applyProtection="0"/>
    <xf numFmtId="0" fontId="8" fillId="45" borderId="175" applyNumberFormat="0" applyFont="0" applyAlignment="0" applyProtection="0"/>
    <xf numFmtId="0" fontId="16" fillId="24" borderId="167" applyNumberFormat="0" applyAlignment="0" applyProtection="0"/>
    <xf numFmtId="0" fontId="29" fillId="12" borderId="170" applyNumberFormat="0" applyAlignment="0" applyProtection="0"/>
    <xf numFmtId="0" fontId="29" fillId="24" borderId="193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28" fillId="0" borderId="180"/>
    <xf numFmtId="0" fontId="29" fillId="12" borderId="193" applyNumberFormat="0" applyAlignment="0" applyProtection="0"/>
    <xf numFmtId="0" fontId="48" fillId="12" borderId="167" applyNumberFormat="0" applyAlignment="0" applyProtection="0"/>
    <xf numFmtId="0" fontId="32" fillId="24" borderId="102" applyNumberFormat="0" applyAlignment="0" applyProtection="0"/>
    <xf numFmtId="0" fontId="28" fillId="10" borderId="103" applyNumberFormat="0" applyFont="0" applyAlignment="0" applyProtection="0"/>
    <xf numFmtId="0" fontId="28" fillId="0" borderId="149"/>
    <xf numFmtId="0" fontId="24" fillId="24" borderId="196" applyNumberFormat="0" applyAlignment="0" applyProtection="0"/>
    <xf numFmtId="0" fontId="48" fillId="12" borderId="102" applyNumberFormat="0" applyAlignment="0" applyProtection="0"/>
    <xf numFmtId="0" fontId="31" fillId="0" borderId="107" applyNumberFormat="0" applyFill="0" applyAlignment="0" applyProtection="0"/>
    <xf numFmtId="0" fontId="73" fillId="0" borderId="106" applyBorder="0">
      <alignment horizontal="center" vertical="center" wrapText="1"/>
    </xf>
    <xf numFmtId="0" fontId="31" fillId="0" borderId="105" applyNumberFormat="0" applyFill="0" applyAlignment="0" applyProtection="0"/>
    <xf numFmtId="0" fontId="8" fillId="10" borderId="103" applyNumberFormat="0" applyFont="0" applyAlignment="0" applyProtection="0"/>
    <xf numFmtId="0" fontId="73" fillId="0" borderId="106" applyBorder="0">
      <alignment horizontal="center" vertical="center" wrapText="1"/>
    </xf>
    <xf numFmtId="0" fontId="31" fillId="0" borderId="100" applyNumberFormat="0" applyFill="0" applyAlignment="0" applyProtection="0"/>
    <xf numFmtId="0" fontId="48" fillId="12" borderId="102" applyNumberFormat="0" applyAlignment="0" applyProtection="0"/>
    <xf numFmtId="0" fontId="28" fillId="0" borderId="99"/>
    <xf numFmtId="0" fontId="31" fillId="0" borderId="100" applyNumberFormat="0" applyFill="0" applyAlignment="0" applyProtection="0"/>
    <xf numFmtId="0" fontId="16" fillId="24" borderId="102" applyNumberFormat="0" applyAlignment="0" applyProtection="0"/>
    <xf numFmtId="0" fontId="16" fillId="24" borderId="102" applyNumberFormat="0" applyAlignment="0" applyProtection="0"/>
    <xf numFmtId="0" fontId="49" fillId="10" borderId="103" applyNumberFormat="0" applyFont="0" applyAlignment="0" applyProtection="0"/>
    <xf numFmtId="0" fontId="8" fillId="45" borderId="110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28" fillId="0" borderId="18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28" fillId="10" borderId="112" applyNumberFormat="0" applyFont="0" applyAlignment="0" applyProtection="0"/>
    <xf numFmtId="0" fontId="8" fillId="10" borderId="112" applyNumberFormat="0" applyFont="0" applyAlignment="0" applyProtection="0"/>
    <xf numFmtId="0" fontId="24" fillId="24" borderId="113" applyNumberFormat="0" applyAlignment="0" applyProtection="0"/>
    <xf numFmtId="0" fontId="31" fillId="0" borderId="114" applyNumberFormat="0" applyFill="0" applyAlignment="0" applyProtection="0"/>
    <xf numFmtId="0" fontId="25" fillId="8" borderId="194" applyNumberFormat="0" applyAlignment="0" applyProtection="0"/>
    <xf numFmtId="0" fontId="48" fillId="24" borderId="167" applyNumberFormat="0" applyAlignment="0" applyProtection="0"/>
    <xf numFmtId="0" fontId="8" fillId="45" borderId="175" applyNumberFormat="0" applyFont="0" applyAlignment="0" applyProtection="0"/>
    <xf numFmtId="0" fontId="73" fillId="0" borderId="152" applyBorder="0">
      <alignment horizontal="center" vertical="center" wrapText="1"/>
    </xf>
    <xf numFmtId="0" fontId="85" fillId="0" borderId="191"/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5" fillId="13" borderId="102" applyNumberFormat="0" applyAlignment="0" applyProtection="0"/>
    <xf numFmtId="0" fontId="31" fillId="0" borderId="105" applyNumberFormat="0" applyFill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28" fillId="0" borderId="174"/>
    <xf numFmtId="0" fontId="85" fillId="0" borderId="191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41" fillId="13" borderId="75" applyNumberFormat="0" applyAlignment="0" applyProtection="0"/>
    <xf numFmtId="0" fontId="31" fillId="0" borderId="79" applyNumberFormat="0" applyFill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28" fillId="10" borderId="76" applyNumberFormat="0" applyFont="0" applyAlignment="0" applyProtection="0"/>
    <xf numFmtId="0" fontId="48" fillId="24" borderId="75" applyNumberFormat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85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49" fillId="10" borderId="76" applyNumberFormat="0" applyFont="0" applyAlignment="0" applyProtection="0"/>
    <xf numFmtId="0" fontId="28" fillId="0" borderId="82"/>
    <xf numFmtId="0" fontId="31" fillId="0" borderId="79" applyNumberFormat="0" applyFill="0" applyAlignment="0" applyProtection="0"/>
    <xf numFmtId="0" fontId="85" fillId="0" borderId="82"/>
    <xf numFmtId="0" fontId="25" fillId="8" borderId="75" applyNumberFormat="0" applyAlignment="0" applyProtection="0"/>
    <xf numFmtId="0" fontId="29" fillId="12" borderId="78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1" fillId="13" borderId="102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24" fillId="24" borderId="162" applyNumberFormat="0" applyAlignment="0" applyProtection="0"/>
    <xf numFmtId="0" fontId="31" fillId="0" borderId="165" applyNumberFormat="0" applyFill="0" applyAlignment="0" applyProtection="0"/>
    <xf numFmtId="0" fontId="31" fillId="0" borderId="132" applyNumberFormat="0" applyFill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31" fillId="0" borderId="140" applyNumberFormat="0" applyFill="0" applyAlignment="0" applyProtection="0"/>
    <xf numFmtId="0" fontId="29" fillId="12" borderId="146" applyNumberFormat="0" applyAlignment="0" applyProtection="0"/>
    <xf numFmtId="0" fontId="8" fillId="10" borderId="195" applyNumberFormat="0" applyFont="0" applyAlignment="0" applyProtection="0"/>
    <xf numFmtId="0" fontId="8" fillId="10" borderId="103" applyNumberFormat="0" applyFont="0" applyAlignment="0" applyProtection="0"/>
    <xf numFmtId="0" fontId="85" fillId="0" borderId="174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10" borderId="103" applyNumberFormat="0" applyFont="0" applyAlignment="0" applyProtection="0"/>
    <xf numFmtId="0" fontId="31" fillId="0" borderId="100" applyNumberFormat="0" applyFill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16" fillId="24" borderId="102" applyNumberFormat="0" applyAlignment="0" applyProtection="0"/>
    <xf numFmtId="0" fontId="73" fillId="0" borderId="109" applyBorder="0">
      <alignment horizontal="center" vertical="center" wrapText="1"/>
    </xf>
    <xf numFmtId="0" fontId="28" fillId="10" borderId="103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85" fillId="0" borderId="99"/>
    <xf numFmtId="0" fontId="31" fillId="0" borderId="100" applyNumberFormat="0" applyFill="0" applyAlignment="0" applyProtection="0"/>
    <xf numFmtId="0" fontId="31" fillId="0" borderId="192" applyNumberFormat="0" applyFill="0" applyAlignment="0" applyProtection="0"/>
    <xf numFmtId="0" fontId="29" fillId="12" borderId="146" applyNumberFormat="0" applyAlignment="0" applyProtection="0"/>
    <xf numFmtId="0" fontId="48" fillId="12" borderId="194" applyNumberFormat="0" applyAlignment="0" applyProtection="0"/>
    <xf numFmtId="0" fontId="8" fillId="45" borderId="202" applyNumberFormat="0" applyFont="0" applyAlignment="0" applyProtection="0"/>
    <xf numFmtId="0" fontId="31" fillId="0" borderId="158" applyNumberFormat="0" applyFill="0" applyAlignment="0" applyProtection="0"/>
    <xf numFmtId="0" fontId="8" fillId="45" borderId="186" applyNumberFormat="0" applyFont="0" applyAlignment="0" applyProtection="0"/>
    <xf numFmtId="0" fontId="31" fillId="0" borderId="192" applyNumberFormat="0" applyFill="0" applyAlignment="0" applyProtection="0"/>
    <xf numFmtId="0" fontId="48" fillId="12" borderId="167" applyNumberFormat="0" applyAlignment="0" applyProtection="0"/>
    <xf numFmtId="0" fontId="41" fillId="13" borderId="194" applyNumberFormat="0" applyAlignment="0" applyProtection="0"/>
    <xf numFmtId="0" fontId="29" fillId="12" borderId="193" applyNumberFormat="0" applyAlignment="0" applyProtection="0"/>
    <xf numFmtId="0" fontId="31" fillId="0" borderId="184" applyNumberFormat="0" applyFill="0" applyAlignment="0" applyProtection="0"/>
    <xf numFmtId="0" fontId="8" fillId="10" borderId="144" applyNumberFormat="0" applyFont="0" applyAlignment="0" applyProtection="0"/>
    <xf numFmtId="0" fontId="31" fillId="0" borderId="158" applyNumberFormat="0" applyFill="0" applyAlignment="0" applyProtection="0"/>
    <xf numFmtId="0" fontId="85" fillId="0" borderId="191"/>
    <xf numFmtId="0" fontId="41" fillId="13" borderId="167" applyNumberFormat="0" applyAlignment="0" applyProtection="0"/>
    <xf numFmtId="0" fontId="24" fillId="24" borderId="162" applyNumberFormat="0" applyAlignment="0" applyProtection="0"/>
    <xf numFmtId="0" fontId="48" fillId="24" borderId="167" applyNumberFormat="0" applyAlignment="0" applyProtection="0"/>
    <xf numFmtId="0" fontId="28" fillId="0" borderId="124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28" fillId="0" borderId="124"/>
    <xf numFmtId="0" fontId="29" fillId="24" borderId="117" applyNumberFormat="0" applyAlignment="0" applyProtection="0"/>
    <xf numFmtId="0" fontId="41" fillId="13" borderId="118" applyNumberFormat="0" applyAlignment="0" applyProtection="0"/>
    <xf numFmtId="0" fontId="49" fillId="10" borderId="168" applyNumberFormat="0" applyFont="0" applyAlignment="0" applyProtection="0"/>
    <xf numFmtId="0" fontId="18" fillId="10" borderId="204" applyNumberFormat="0" applyFont="0" applyAlignment="0" applyProtection="0"/>
    <xf numFmtId="0" fontId="49" fillId="10" borderId="168" applyNumberFormat="0" applyFont="0" applyAlignment="0" applyProtection="0"/>
    <xf numFmtId="0" fontId="73" fillId="0" borderId="164" applyBorder="0">
      <alignment horizontal="center" vertical="center" wrapText="1"/>
    </xf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16" fillId="24" borderId="143" applyNumberFormat="0" applyAlignment="0" applyProtection="0"/>
    <xf numFmtId="0" fontId="25" fillId="13" borderId="167" applyNumberFormat="0" applyAlignment="0" applyProtection="0"/>
    <xf numFmtId="0" fontId="25" fillId="8" borderId="167" applyNumberFormat="0" applyAlignment="0" applyProtection="0"/>
    <xf numFmtId="0" fontId="31" fillId="0" borderId="179" applyNumberFormat="0" applyFill="0" applyAlignment="0" applyProtection="0"/>
    <xf numFmtId="0" fontId="16" fillId="24" borderId="187" applyNumberFormat="0" applyAlignment="0" applyProtection="0"/>
    <xf numFmtId="0" fontId="28" fillId="10" borderId="144" applyNumberFormat="0" applyFont="0" applyAlignment="0" applyProtection="0"/>
    <xf numFmtId="0" fontId="49" fillId="10" borderId="119" applyNumberFormat="0" applyFont="0" applyAlignment="0" applyProtection="0"/>
    <xf numFmtId="0" fontId="32" fillId="24" borderId="134" applyNumberFormat="0" applyAlignment="0" applyProtection="0"/>
    <xf numFmtId="0" fontId="49" fillId="10" borderId="128" applyNumberFormat="0" applyFont="0" applyAlignment="0" applyProtection="0"/>
    <xf numFmtId="0" fontId="28" fillId="10" borderId="135" applyNumberFormat="0" applyFon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25" fillId="13" borderId="102" applyNumberFormat="0" applyAlignment="0" applyProtection="0"/>
    <xf numFmtId="0" fontId="48" fillId="24" borderId="143" applyNumberFormat="0" applyAlignment="0" applyProtection="0"/>
    <xf numFmtId="0" fontId="41" fillId="13" borderId="143" applyNumberFormat="0" applyAlignment="0" applyProtection="0"/>
    <xf numFmtId="0" fontId="29" fillId="24" borderId="146" applyNumberFormat="0" applyAlignment="0" applyProtection="0"/>
    <xf numFmtId="0" fontId="31" fillId="0" borderId="142" applyNumberFormat="0" applyFill="0" applyAlignment="0" applyProtection="0"/>
    <xf numFmtId="0" fontId="48" fillId="24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8" fillId="10" borderId="154" applyNumberFormat="0" applyFont="0" applyAlignment="0" applyProtection="0"/>
    <xf numFmtId="0" fontId="31" fillId="0" borderId="156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28" fillId="0" borderId="149"/>
    <xf numFmtId="0" fontId="31" fillId="0" borderId="148" applyNumberFormat="0" applyFill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49" fillId="10" borderId="195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31" fillId="0" borderId="100" applyNumberFormat="0" applyFill="0" applyAlignment="0" applyProtection="0"/>
    <xf numFmtId="0" fontId="31" fillId="0" borderId="108" applyNumberFormat="0" applyFill="0" applyAlignment="0" applyProtection="0"/>
    <xf numFmtId="0" fontId="25" fillId="8" borderId="102" applyNumberFormat="0" applyAlignment="0" applyProtection="0"/>
    <xf numFmtId="0" fontId="8" fillId="10" borderId="103" applyNumberFormat="0" applyFont="0" applyAlignment="0" applyProtection="0"/>
    <xf numFmtId="0" fontId="48" fillId="24" borderId="102" applyNumberFormat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25" fillId="13" borderId="102" applyNumberForma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85" fillId="0" borderId="99"/>
    <xf numFmtId="0" fontId="31" fillId="0" borderId="100" applyNumberFormat="0" applyFill="0" applyAlignment="0" applyProtection="0"/>
    <xf numFmtId="0" fontId="31" fillId="0" borderId="142" applyNumberFormat="0" applyFill="0" applyAlignment="0" applyProtection="0"/>
    <xf numFmtId="0" fontId="25" fillId="13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31" fillId="0" borderId="185" applyNumberFormat="0" applyFill="0" applyAlignment="0" applyProtection="0"/>
    <xf numFmtId="0" fontId="31" fillId="0" borderId="200" applyNumberFormat="0" applyFill="0" applyAlignment="0" applyProtection="0"/>
    <xf numFmtId="0" fontId="8" fillId="10" borderId="195" applyNumberFormat="0" applyFont="0" applyAlignment="0" applyProtection="0"/>
    <xf numFmtId="0" fontId="49" fillId="10" borderId="168" applyNumberFormat="0" applyFont="0" applyAlignment="0" applyProtection="0"/>
    <xf numFmtId="0" fontId="31" fillId="0" borderId="17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41" fillId="13" borderId="118" applyNumberFormat="0" applyAlignment="0" applyProtection="0"/>
    <xf numFmtId="0" fontId="73" fillId="0" borderId="126" applyBorder="0">
      <alignment horizontal="center" vertical="center" wrapText="1"/>
    </xf>
    <xf numFmtId="0" fontId="48" fillId="24" borderId="118" applyNumberFormat="0" applyAlignment="0" applyProtection="0"/>
    <xf numFmtId="0" fontId="48" fillId="24" borderId="118" applyNumberFormat="0" applyAlignment="0" applyProtection="0"/>
    <xf numFmtId="0" fontId="29" fillId="24" borderId="170" applyNumberFormat="0" applyAlignment="0" applyProtection="0"/>
    <xf numFmtId="0" fontId="28" fillId="0" borderId="174"/>
    <xf numFmtId="0" fontId="25" fillId="13" borderId="143" applyNumberFormat="0" applyAlignment="0" applyProtection="0"/>
    <xf numFmtId="0" fontId="28" fillId="10" borderId="195" applyNumberFormat="0" applyFont="0" applyAlignment="0" applyProtection="0"/>
    <xf numFmtId="0" fontId="8" fillId="10" borderId="168" applyNumberFormat="0" applyFont="0" applyAlignment="0" applyProtection="0"/>
    <xf numFmtId="0" fontId="28" fillId="0" borderId="124"/>
    <xf numFmtId="0" fontId="28" fillId="10" borderId="177" applyNumberFormat="0" applyFont="0" applyAlignment="0" applyProtection="0"/>
    <xf numFmtId="0" fontId="31" fillId="0" borderId="158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32" fillId="24" borderId="118" applyNumberFormat="0" applyAlignment="0" applyProtection="0"/>
    <xf numFmtId="0" fontId="31" fillId="0" borderId="172" applyNumberFormat="0" applyFill="0" applyAlignment="0" applyProtection="0"/>
    <xf numFmtId="0" fontId="28" fillId="0" borderId="191"/>
    <xf numFmtId="0" fontId="48" fillId="12" borderId="143" applyNumberForma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8" fillId="0" borderId="180"/>
    <xf numFmtId="0" fontId="41" fillId="13" borderId="167" applyNumberFormat="0" applyAlignment="0" applyProtection="0"/>
    <xf numFmtId="0" fontId="85" fillId="73" borderId="149"/>
    <xf numFmtId="0" fontId="49" fillId="10" borderId="177" applyNumberFormat="0" applyFont="0" applyAlignment="0" applyProtection="0"/>
    <xf numFmtId="0" fontId="31" fillId="0" borderId="147" applyNumberFormat="0" applyFill="0" applyAlignment="0" applyProtection="0"/>
    <xf numFmtId="0" fontId="8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51" applyNumberFormat="0" applyFill="0" applyAlignment="0" applyProtection="0"/>
    <xf numFmtId="0" fontId="28" fillId="10" borderId="144" applyNumberFormat="0" applyFont="0" applyAlignment="0" applyProtection="0"/>
    <xf numFmtId="0" fontId="25" fillId="13" borderId="143" applyNumberFormat="0" applyAlignment="0" applyProtection="0"/>
    <xf numFmtId="0" fontId="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68" applyNumberFormat="0" applyFont="0" applyAlignment="0" applyProtection="0"/>
    <xf numFmtId="0" fontId="31" fillId="0" borderId="172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8" fillId="10" borderId="168" applyNumberFormat="0" applyFont="0" applyAlignment="0" applyProtection="0"/>
    <xf numFmtId="0" fontId="31" fillId="0" borderId="121" applyNumberFormat="0" applyFill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31" fillId="0" borderId="123" applyNumberFormat="0" applyFill="0" applyAlignment="0" applyProtection="0"/>
    <xf numFmtId="0" fontId="41" fillId="13" borderId="167" applyNumberForma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24" fillId="24" borderId="86" applyNumberFormat="0" applyAlignment="0" applyProtection="0"/>
    <xf numFmtId="0" fontId="29" fillId="24" borderId="91" applyNumberFormat="0" applyAlignment="0" applyProtection="0"/>
    <xf numFmtId="0" fontId="8" fillId="10" borderId="119" applyNumberFormat="0" applyFont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8" fillId="0" borderId="174"/>
    <xf numFmtId="0" fontId="31" fillId="0" borderId="93" applyNumberFormat="0" applyFill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88"/>
    <xf numFmtId="0" fontId="48" fillId="12" borderId="143" applyNumberFormat="0" applyAlignment="0" applyProtection="0"/>
    <xf numFmtId="0" fontId="29" fillId="12" borderId="133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31" fillId="0" borderId="192" applyNumberFormat="0" applyFill="0" applyAlignment="0" applyProtection="0"/>
    <xf numFmtId="0" fontId="24" fillId="24" borderId="120" applyNumberFormat="0" applyAlignment="0" applyProtection="0"/>
    <xf numFmtId="0" fontId="32" fillId="24" borderId="118" applyNumberFormat="0" applyAlignment="0" applyProtection="0"/>
    <xf numFmtId="0" fontId="31" fillId="0" borderId="116" applyNumberFormat="0" applyFill="0" applyAlignment="0" applyProtection="0"/>
    <xf numFmtId="0" fontId="8" fillId="10" borderId="119" applyNumberFormat="0" applyFont="0" applyAlignment="0" applyProtection="0"/>
    <xf numFmtId="0" fontId="8" fillId="45" borderId="175" applyNumberFormat="0" applyFont="0" applyAlignment="0" applyProtection="0"/>
    <xf numFmtId="0" fontId="48" fillId="12" borderId="143" applyNumberFormat="0" applyAlignment="0" applyProtection="0"/>
    <xf numFmtId="0" fontId="32" fillId="24" borderId="194" applyNumberFormat="0" applyAlignment="0" applyProtection="0"/>
    <xf numFmtId="0" fontId="8" fillId="10" borderId="204" applyNumberFormat="0" applyFont="0" applyAlignment="0" applyProtection="0"/>
    <xf numFmtId="0" fontId="16" fillId="24" borderId="167" applyNumberFormat="0" applyAlignment="0" applyProtection="0"/>
    <xf numFmtId="0" fontId="24" fillId="24" borderId="129" applyNumberFormat="0" applyAlignment="0" applyProtection="0"/>
    <xf numFmtId="0" fontId="8" fillId="10" borderId="128" applyNumberFormat="0" applyFont="0" applyAlignment="0" applyProtection="0"/>
    <xf numFmtId="0" fontId="31" fillId="0" borderId="172" applyNumberFormat="0" applyFill="0" applyAlignment="0" applyProtection="0"/>
    <xf numFmtId="0" fontId="16" fillId="24" borderId="127" applyNumberFormat="0" applyAlignment="0" applyProtection="0"/>
    <xf numFmtId="0" fontId="28" fillId="0" borderId="174"/>
    <xf numFmtId="0" fontId="31" fillId="0" borderId="116" applyNumberFormat="0" applyFill="0" applyAlignment="0" applyProtection="0"/>
    <xf numFmtId="0" fontId="31" fillId="0" borderId="116" applyNumberFormat="0" applyFill="0" applyAlignment="0" applyProtection="0"/>
    <xf numFmtId="0" fontId="25" fillId="13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25" fillId="13" borderId="118" applyNumberFormat="0" applyAlignment="0" applyProtection="0"/>
    <xf numFmtId="0" fontId="31" fillId="0" borderId="122" applyNumberFormat="0" applyFill="0" applyAlignment="0" applyProtection="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0" borderId="124"/>
    <xf numFmtId="0" fontId="49" fillId="10" borderId="168" applyNumberFormat="0" applyFont="0" applyAlignment="0" applyProtection="0"/>
    <xf numFmtId="0" fontId="29" fillId="24" borderId="170" applyNumberFormat="0" applyAlignment="0" applyProtection="0"/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92" applyNumberFormat="0" applyFill="0" applyAlignment="0" applyProtection="0"/>
    <xf numFmtId="0" fontId="85" fillId="0" borderId="124"/>
    <xf numFmtId="0" fontId="28" fillId="0" borderId="124"/>
    <xf numFmtId="0" fontId="48" fillId="24" borderId="118" applyNumberFormat="0" applyAlignment="0" applyProtection="0"/>
    <xf numFmtId="0" fontId="16" fillId="24" borderId="176" applyNumberFormat="0" applyAlignment="0" applyProtection="0"/>
    <xf numFmtId="0" fontId="48" fillId="24" borderId="143" applyNumberFormat="0" applyAlignment="0" applyProtection="0"/>
    <xf numFmtId="0" fontId="31" fillId="0" borderId="199" applyNumberFormat="0" applyFill="0" applyAlignment="0" applyProtection="0"/>
    <xf numFmtId="0" fontId="18" fillId="10" borderId="144" applyNumberFormat="0" applyFont="0" applyAlignment="0" applyProtection="0"/>
    <xf numFmtId="0" fontId="49" fillId="10" borderId="168" applyNumberFormat="0" applyFont="0" applyAlignment="0" applyProtection="0"/>
    <xf numFmtId="0" fontId="8" fillId="10" borderId="168" applyNumberFormat="0" applyFon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41" fillId="13" borderId="194" applyNumberFormat="0" applyAlignment="0" applyProtection="0"/>
    <xf numFmtId="0" fontId="25" fillId="13" borderId="167" applyNumberFormat="0" applyAlignment="0" applyProtection="0"/>
    <xf numFmtId="0" fontId="29" fillId="12" borderId="146" applyNumberFormat="0" applyAlignment="0" applyProtection="0"/>
    <xf numFmtId="0" fontId="31" fillId="0" borderId="185" applyNumberFormat="0" applyFill="0" applyAlignment="0" applyProtection="0"/>
    <xf numFmtId="0" fontId="8" fillId="45" borderId="202" applyNumberFormat="0" applyFont="0" applyAlignment="0" applyProtection="0"/>
    <xf numFmtId="0" fontId="31" fillId="0" borderId="163" applyNumberFormat="0" applyFill="0" applyAlignment="0" applyProtection="0"/>
    <xf numFmtId="0" fontId="85" fillId="73" borderId="124"/>
    <xf numFmtId="0" fontId="8" fillId="10" borderId="119" applyNumberFormat="0" applyFont="0" applyAlignment="0" applyProtection="0"/>
    <xf numFmtId="0" fontId="25" fillId="13" borderId="176" applyNumberFormat="0" applyAlignment="0" applyProtection="0"/>
    <xf numFmtId="0" fontId="48" fillId="12" borderId="167" applyNumberFormat="0" applyAlignment="0" applyProtection="0"/>
    <xf numFmtId="0" fontId="28" fillId="10" borderId="168" applyNumberFormat="0" applyFont="0" applyAlignment="0" applyProtection="0"/>
    <xf numFmtId="0" fontId="85" fillId="0" borderId="180"/>
    <xf numFmtId="0" fontId="48" fillId="24" borderId="167" applyNumberFormat="0" applyAlignment="0" applyProtection="0"/>
    <xf numFmtId="0" fontId="25" fillId="13" borderId="176" applyNumberFormat="0" applyAlignment="0" applyProtection="0"/>
    <xf numFmtId="0" fontId="49" fillId="10" borderId="144" applyNumberFormat="0" applyFont="0" applyAlignment="0" applyProtection="0"/>
    <xf numFmtId="0" fontId="31" fillId="0" borderId="147" applyNumberFormat="0" applyFill="0" applyAlignment="0" applyProtection="0"/>
    <xf numFmtId="0" fontId="31" fillId="0" borderId="200" applyNumberFormat="0" applyFill="0" applyAlignment="0" applyProtection="0"/>
    <xf numFmtId="0" fontId="85" fillId="73" borderId="174"/>
    <xf numFmtId="0" fontId="49" fillId="10" borderId="119" applyNumberFormat="0" applyFont="0" applyAlignment="0" applyProtection="0"/>
    <xf numFmtId="0" fontId="31" fillId="0" borderId="121" applyNumberFormat="0" applyFill="0" applyAlignment="0" applyProtection="0"/>
    <xf numFmtId="0" fontId="31" fillId="0" borderId="199" applyNumberFormat="0" applyFill="0" applyAlignment="0" applyProtection="0"/>
    <xf numFmtId="0" fontId="24" fillId="24" borderId="145" applyNumberFormat="0" applyAlignment="0" applyProtection="0"/>
    <xf numFmtId="0" fontId="31" fillId="0" borderId="200" applyNumberFormat="0" applyFill="0" applyAlignment="0" applyProtection="0"/>
    <xf numFmtId="0" fontId="85" fillId="0" borderId="174"/>
    <xf numFmtId="0" fontId="24" fillId="24" borderId="196" applyNumberFormat="0" applyAlignment="0" applyProtection="0"/>
    <xf numFmtId="0" fontId="28" fillId="10" borderId="204" applyNumberFormat="0" applyFont="0" applyAlignment="0" applyProtection="0"/>
    <xf numFmtId="0" fontId="16" fillId="24" borderId="187" applyNumberFormat="0" applyAlignment="0" applyProtection="0"/>
    <xf numFmtId="0" fontId="31" fillId="0" borderId="185" applyNumberFormat="0" applyFill="0" applyAlignment="0" applyProtection="0"/>
    <xf numFmtId="0" fontId="8" fillId="10" borderId="144" applyNumberFormat="0" applyFont="0" applyAlignment="0" applyProtection="0"/>
    <xf numFmtId="0" fontId="48" fillId="12" borderId="143" applyNumberFormat="0" applyAlignment="0" applyProtection="0"/>
    <xf numFmtId="0" fontId="25" fillId="13" borderId="143" applyNumberFormat="0" applyAlignment="0" applyProtection="0"/>
    <xf numFmtId="0" fontId="48" fillId="12" borderId="143" applyNumberFormat="0" applyAlignment="0" applyProtection="0"/>
    <xf numFmtId="0" fontId="8" fillId="10" borderId="154" applyNumberFormat="0" applyFont="0" applyAlignment="0" applyProtection="0"/>
    <xf numFmtId="0" fontId="31" fillId="0" borderId="200" applyNumberFormat="0" applyFill="0" applyAlignment="0" applyProtection="0"/>
    <xf numFmtId="0" fontId="41" fillId="13" borderId="118" applyNumberFormat="0" applyAlignment="0" applyProtection="0"/>
    <xf numFmtId="0" fontId="48" fillId="24" borderId="194" applyNumberFormat="0" applyAlignment="0" applyProtection="0"/>
    <xf numFmtId="0" fontId="31" fillId="0" borderId="151" applyNumberFormat="0" applyFill="0" applyAlignment="0" applyProtection="0"/>
    <xf numFmtId="0" fontId="48" fillId="24" borderId="194" applyNumberFormat="0" applyAlignment="0" applyProtection="0"/>
    <xf numFmtId="0" fontId="32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05" applyNumberFormat="0" applyFill="0" applyAlignment="0" applyProtection="0"/>
    <xf numFmtId="0" fontId="73" fillId="0" borderId="109" applyBorder="0">
      <alignment horizontal="center" vertical="center" wrapText="1"/>
    </xf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31" fillId="0" borderId="107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8" fillId="10" borderId="103" applyNumberFormat="0" applyFont="0" applyAlignment="0" applyProtection="0"/>
    <xf numFmtId="0" fontId="8" fillId="45" borderId="110" applyNumberFormat="0" applyFon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24" borderId="194" applyNumberFormat="0" applyAlignment="0" applyProtection="0"/>
    <xf numFmtId="0" fontId="29" fillId="24" borderId="146" applyNumberFormat="0" applyAlignment="0" applyProtection="0"/>
    <xf numFmtId="0" fontId="24" fillId="24" borderId="145" applyNumberFormat="0" applyAlignment="0" applyProtection="0"/>
    <xf numFmtId="0" fontId="28" fillId="10" borderId="144" applyNumberFormat="0" applyFon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31" fillId="0" borderId="192" applyNumberFormat="0" applyFill="0" applyAlignment="0" applyProtection="0"/>
    <xf numFmtId="0" fontId="16" fillId="24" borderId="194" applyNumberFormat="0" applyAlignment="0" applyProtection="0"/>
    <xf numFmtId="0" fontId="49" fillId="10" borderId="177" applyNumberFormat="0" applyFont="0" applyAlignment="0" applyProtection="0"/>
    <xf numFmtId="0" fontId="28" fillId="10" borderId="168" applyNumberFormat="0" applyFont="0" applyAlignment="0" applyProtection="0"/>
    <xf numFmtId="0" fontId="48" fillId="24" borderId="143" applyNumberForma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25" fillId="13" borderId="143" applyNumberFormat="0" applyAlignment="0" applyProtection="0"/>
    <xf numFmtId="0" fontId="24" fillId="24" borderId="169" applyNumberFormat="0" applyAlignment="0" applyProtection="0"/>
    <xf numFmtId="0" fontId="49" fillId="10" borderId="19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1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24" fillId="24" borderId="169" applyNumberFormat="0" applyAlignment="0" applyProtection="0"/>
    <xf numFmtId="0" fontId="8" fillId="45" borderId="202" applyNumberFormat="0" applyFont="0" applyAlignment="0" applyProtection="0"/>
    <xf numFmtId="0" fontId="31" fillId="0" borderId="172" applyNumberFormat="0" applyFill="0" applyAlignment="0" applyProtection="0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9" fillId="24" borderId="170" applyNumberFormat="0" applyAlignment="0" applyProtection="0"/>
    <xf numFmtId="0" fontId="24" fillId="24" borderId="145" applyNumberFormat="0" applyAlignment="0" applyProtection="0"/>
    <xf numFmtId="0" fontId="16" fillId="24" borderId="153" applyNumberFormat="0" applyAlignment="0" applyProtection="0"/>
    <xf numFmtId="0" fontId="48" fillId="12" borderId="194" applyNumberFormat="0" applyAlignment="0" applyProtection="0"/>
    <xf numFmtId="0" fontId="31" fillId="0" borderId="165" applyNumberFormat="0" applyFill="0" applyAlignment="0" applyProtection="0"/>
    <xf numFmtId="0" fontId="25" fillId="8" borderId="143" applyNumberFormat="0" applyAlignment="0" applyProtection="0"/>
    <xf numFmtId="0" fontId="31" fillId="0" borderId="148" applyNumberFormat="0" applyFill="0" applyAlignment="0" applyProtection="0"/>
    <xf numFmtId="0" fontId="16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92" applyNumberFormat="0" applyFill="0" applyAlignment="0" applyProtection="0"/>
    <xf numFmtId="0" fontId="41" fillId="13" borderId="194" applyNumberFormat="0" applyAlignment="0" applyProtection="0"/>
    <xf numFmtId="0" fontId="31" fillId="0" borderId="116" applyNumberFormat="0" applyFill="0" applyAlignment="0" applyProtection="0"/>
    <xf numFmtId="0" fontId="28" fillId="10" borderId="119" applyNumberFormat="0" applyFont="0" applyAlignment="0" applyProtection="0"/>
    <xf numFmtId="0" fontId="29" fillId="12" borderId="117" applyNumberFormat="0" applyAlignment="0" applyProtection="0"/>
    <xf numFmtId="0" fontId="31" fillId="0" borderId="166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28" fillId="10" borderId="144" applyNumberFormat="0" applyFont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31" fillId="0" borderId="200" applyNumberFormat="0" applyFill="0" applyAlignment="0" applyProtection="0"/>
    <xf numFmtId="0" fontId="25" fillId="8" borderId="118" applyNumberFormat="0" applyAlignment="0" applyProtection="0"/>
    <xf numFmtId="0" fontId="28" fillId="0" borderId="124"/>
    <xf numFmtId="0" fontId="8" fillId="10" borderId="128" applyNumberFormat="0" applyFont="0" applyAlignment="0" applyProtection="0"/>
    <xf numFmtId="0" fontId="28" fillId="10" borderId="144" applyNumberFormat="0" applyFont="0" applyAlignment="0" applyProtection="0"/>
    <xf numFmtId="0" fontId="31" fillId="0" borderId="63" applyNumberFormat="0" applyFill="0" applyAlignment="0" applyProtection="0"/>
    <xf numFmtId="0" fontId="24" fillId="24" borderId="62" applyNumberFormat="0" applyAlignment="0" applyProtection="0"/>
    <xf numFmtId="0" fontId="28" fillId="10" borderId="61" applyNumberFormat="0" applyFont="0" applyAlignment="0" applyProtection="0"/>
    <xf numFmtId="0" fontId="49" fillId="10" borderId="61" applyNumberFormat="0" applyFont="0" applyAlignment="0" applyProtection="0"/>
    <xf numFmtId="0" fontId="28" fillId="10" borderId="61" applyNumberFormat="0" applyFont="0" applyAlignment="0" applyProtection="0"/>
    <xf numFmtId="0" fontId="28" fillId="10" borderId="61" applyNumberFormat="0" applyFont="0" applyAlignment="0" applyProtection="0"/>
    <xf numFmtId="0" fontId="18" fillId="10" borderId="61" applyNumberFormat="0" applyFont="0" applyAlignment="0" applyProtection="0"/>
    <xf numFmtId="0" fontId="31" fillId="0" borderId="121" applyNumberFormat="0" applyFill="0" applyAlignment="0" applyProtection="0"/>
    <xf numFmtId="0" fontId="31" fillId="0" borderId="200" applyNumberFormat="0" applyFill="0" applyAlignment="0" applyProtection="0"/>
    <xf numFmtId="0" fontId="28" fillId="0" borderId="82"/>
    <xf numFmtId="0" fontId="73" fillId="0" borderId="141" applyBorder="0">
      <alignment horizontal="center" vertical="center" wrapText="1"/>
    </xf>
    <xf numFmtId="0" fontId="49" fillId="10" borderId="119" applyNumberFormat="0" applyFont="0" applyAlignment="0" applyProtection="0"/>
    <xf numFmtId="0" fontId="16" fillId="24" borderId="134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8" fillId="24" borderId="167" applyNumberFormat="0" applyAlignment="0" applyProtection="0"/>
    <xf numFmtId="0" fontId="31" fillId="0" borderId="148" applyNumberFormat="0" applyFill="0" applyAlignment="0" applyProtection="0"/>
    <xf numFmtId="0" fontId="31" fillId="0" borderId="87" applyNumberFormat="0" applyFill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16" fillId="24" borderId="167" applyNumberFormat="0" applyAlignment="0" applyProtection="0"/>
    <xf numFmtId="0" fontId="25" fillId="8" borderId="167" applyNumberFormat="0" applyAlignment="0" applyProtection="0"/>
    <xf numFmtId="0" fontId="48" fillId="24" borderId="143" applyNumberFormat="0" applyAlignment="0" applyProtection="0"/>
    <xf numFmtId="0" fontId="48" fillId="24" borderId="134" applyNumberFormat="0" applyAlignment="0" applyProtection="0"/>
    <xf numFmtId="0" fontId="31" fillId="0" borderId="172" applyNumberFormat="0" applyFill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85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25" fillId="13" borderId="118" applyNumberFormat="0" applyAlignment="0" applyProtection="0"/>
    <xf numFmtId="0" fontId="85" fillId="0" borderId="53"/>
    <xf numFmtId="0" fontId="85" fillId="0" borderId="53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7" applyNumberFormat="0" applyFill="0" applyAlignment="0" applyProtection="0"/>
    <xf numFmtId="0" fontId="28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8" fillId="10" borderId="168" applyNumberFormat="0" applyFont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31" fillId="0" borderId="55" applyNumberFormat="0" applyFill="0" applyAlignment="0" applyProtection="0"/>
    <xf numFmtId="0" fontId="2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73" fillId="0" borderId="54" applyBorder="0">
      <alignment horizontal="center" vertical="center" wrapText="1"/>
    </xf>
    <xf numFmtId="0" fontId="85" fillId="0" borderId="53"/>
    <xf numFmtId="0" fontId="8" fillId="45" borderId="59" applyNumberFormat="0" applyFont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31" fillId="0" borderId="90" applyNumberFormat="0" applyFill="0" applyAlignment="0" applyProtection="0"/>
    <xf numFmtId="0" fontId="48" fillId="12" borderId="118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0" borderId="124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45" borderId="125" applyNumberFormat="0" applyFont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8" fillId="12" borderId="118" applyNumberForma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85" fillId="0" borderId="53"/>
    <xf numFmtId="0" fontId="85" fillId="0" borderId="53"/>
    <xf numFmtId="0" fontId="31" fillId="0" borderId="52" applyNumberFormat="0" applyFill="0" applyAlignment="0" applyProtection="0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87" applyNumberFormat="0" applyFill="0" applyAlignment="0" applyProtection="0"/>
    <xf numFmtId="0" fontId="31" fillId="0" borderId="55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12" borderId="56" applyNumberFormat="0" applyAlignment="0" applyProtection="0"/>
    <xf numFmtId="0" fontId="31" fillId="0" borderId="55" applyNumberFormat="0" applyFill="0" applyAlignment="0" applyProtection="0"/>
    <xf numFmtId="0" fontId="48" fillId="24" borderId="167" applyNumberFormat="0" applyAlignment="0" applyProtection="0"/>
    <xf numFmtId="0" fontId="85" fillId="0" borderId="53"/>
    <xf numFmtId="0" fontId="85" fillId="0" borderId="53"/>
    <xf numFmtId="0" fontId="73" fillId="0" borderId="109" applyBorder="0">
      <alignment horizontal="center" vertical="center" wrapText="1"/>
    </xf>
    <xf numFmtId="0" fontId="28" fillId="0" borderId="53"/>
    <xf numFmtId="0" fontId="28" fillId="0" borderId="53"/>
    <xf numFmtId="0" fontId="29" fillId="12" borderId="146" applyNumberFormat="0" applyAlignment="0" applyProtection="0"/>
    <xf numFmtId="0" fontId="48" fillId="12" borderId="194" applyNumberFormat="0" applyAlignment="0" applyProtection="0"/>
    <xf numFmtId="0" fontId="49" fillId="10" borderId="103" applyNumberFormat="0" applyFont="0" applyAlignment="0" applyProtection="0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8" fillId="12" borderId="143" applyNumberFormat="0" applyAlignment="0" applyProtection="0"/>
    <xf numFmtId="0" fontId="29" fillId="12" borderId="146" applyNumberFormat="0" applyAlignment="0" applyProtection="0"/>
    <xf numFmtId="0" fontId="85" fillId="73" borderId="149"/>
    <xf numFmtId="0" fontId="48" fillId="24" borderId="143" applyNumberFormat="0" applyAlignment="0" applyProtection="0"/>
    <xf numFmtId="0" fontId="49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66" applyNumberFormat="0" applyFill="0" applyAlignment="0" applyProtection="0"/>
    <xf numFmtId="0" fontId="73" fillId="0" borderId="152" applyBorder="0">
      <alignment horizontal="center" vertical="center" wrapText="1"/>
    </xf>
    <xf numFmtId="0" fontId="85" fillId="0" borderId="180"/>
    <xf numFmtId="0" fontId="25" fillId="8" borderId="167" applyNumberFormat="0" applyAlignment="0" applyProtection="0"/>
    <xf numFmtId="0" fontId="73" fillId="0" borderId="164" applyBorder="0">
      <alignment horizontal="center" vertical="center" wrapText="1"/>
    </xf>
    <xf numFmtId="0" fontId="31" fillId="0" borderId="184" applyNumberFormat="0" applyFill="0" applyAlignment="0" applyProtection="0"/>
    <xf numFmtId="0" fontId="24" fillId="24" borderId="169" applyNumberFormat="0" applyAlignment="0" applyProtection="0"/>
    <xf numFmtId="0" fontId="25" fillId="8" borderId="167" applyNumberFormat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31" fillId="0" borderId="87" applyNumberFormat="0" applyFill="0" applyAlignment="0" applyProtection="0"/>
    <xf numFmtId="0" fontId="28" fillId="0" borderId="88"/>
    <xf numFmtId="0" fontId="28" fillId="0" borderId="88"/>
    <xf numFmtId="0" fontId="48" fillId="24" borderId="194" applyNumberFormat="0" applyAlignment="0" applyProtection="0"/>
    <xf numFmtId="0" fontId="8" fillId="45" borderId="125" applyNumberFormat="0" applyFont="0" applyAlignment="0" applyProtection="0"/>
    <xf numFmtId="0" fontId="2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103" applyNumberFormat="0" applyFont="0" applyAlignment="0" applyProtection="0"/>
    <xf numFmtId="0" fontId="29" fillId="24" borderId="91" applyNumberFormat="0" applyAlignment="0" applyProtection="0"/>
    <xf numFmtId="0" fontId="25" fillId="13" borderId="118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8" fillId="10" borderId="168" applyNumberFormat="0" applyFont="0" applyAlignment="0" applyProtection="0"/>
    <xf numFmtId="0" fontId="48" fillId="12" borderId="194" applyNumberFormat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32" fillId="24" borderId="194" applyNumberFormat="0" applyAlignment="0" applyProtection="0"/>
    <xf numFmtId="0" fontId="85" fillId="0" borderId="124"/>
    <xf numFmtId="0" fontId="28" fillId="10" borderId="119" applyNumberFormat="0" applyFont="0" applyAlignment="0" applyProtection="0"/>
    <xf numFmtId="0" fontId="85" fillId="73" borderId="149"/>
    <xf numFmtId="0" fontId="29" fillId="24" borderId="193" applyNumberFormat="0" applyAlignment="0" applyProtection="0"/>
    <xf numFmtId="0" fontId="41" fillId="13" borderId="160" applyNumberFormat="0" applyAlignment="0" applyProtection="0"/>
    <xf numFmtId="0" fontId="8" fillId="45" borderId="186" applyNumberFormat="0" applyFont="0" applyAlignment="0" applyProtection="0"/>
    <xf numFmtId="0" fontId="48" fillId="12" borderId="194" applyNumberFormat="0" applyAlignment="0" applyProtection="0"/>
    <xf numFmtId="0" fontId="28" fillId="10" borderId="177" applyNumberFormat="0" applyFont="0" applyAlignment="0" applyProtection="0"/>
    <xf numFmtId="0" fontId="31" fillId="0" borderId="98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8" fillId="10" borderId="96" applyNumberFormat="0" applyFont="0" applyAlignment="0" applyProtection="0"/>
    <xf numFmtId="0" fontId="28" fillId="10" borderId="96" applyNumberFormat="0" applyFont="0" applyAlignment="0" applyProtection="0"/>
    <xf numFmtId="0" fontId="28" fillId="0" borderId="99"/>
    <xf numFmtId="0" fontId="29" fillId="12" borderId="193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9" fillId="24" borderId="170" applyNumberFormat="0" applyAlignment="0" applyProtection="0"/>
    <xf numFmtId="0" fontId="28" fillId="10" borderId="119" applyNumberFormat="0" applyFont="0" applyAlignment="0" applyProtection="0"/>
    <xf numFmtId="0" fontId="31" fillId="0" borderId="122" applyNumberFormat="0" applyFill="0" applyAlignment="0" applyProtection="0"/>
    <xf numFmtId="0" fontId="16" fillId="24" borderId="95" applyNumberFormat="0" applyAlignment="0" applyProtection="0"/>
    <xf numFmtId="0" fontId="28" fillId="10" borderId="177" applyNumberFormat="0" applyFont="0" applyAlignment="0" applyProtection="0"/>
    <xf numFmtId="0" fontId="31" fillId="0" borderId="123" applyNumberFormat="0" applyFill="0" applyAlignment="0" applyProtection="0"/>
    <xf numFmtId="0" fontId="31" fillId="0" borderId="90" applyNumberFormat="0" applyFill="0" applyAlignment="0" applyProtection="0"/>
    <xf numFmtId="0" fontId="16" fillId="24" borderId="160" applyNumberFormat="0" applyAlignment="0" applyProtection="0"/>
    <xf numFmtId="0" fontId="8" fillId="45" borderId="175" applyNumberFormat="0" applyFont="0" applyAlignment="0" applyProtection="0"/>
    <xf numFmtId="0" fontId="31" fillId="0" borderId="87" applyNumberFormat="0" applyFill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5" fillId="0" borderId="88"/>
    <xf numFmtId="0" fontId="8" fillId="45" borderId="94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28" fillId="10" borderId="85" applyNumberFormat="0" applyFont="0" applyAlignment="0" applyProtection="0"/>
    <xf numFmtId="0" fontId="31" fillId="0" borderId="92" applyNumberFormat="0" applyFill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31" fillId="0" borderId="90" applyNumberFormat="0" applyFill="0" applyAlignment="0" applyProtection="0"/>
    <xf numFmtId="0" fontId="31" fillId="0" borderId="92" applyNumberFormat="0" applyFill="0" applyAlignment="0" applyProtection="0"/>
    <xf numFmtId="0" fontId="24" fillId="24" borderId="86" applyNumberFormat="0" applyAlignment="0" applyProtection="0"/>
    <xf numFmtId="0" fontId="48" fillId="12" borderId="167" applyNumberFormat="0" applyAlignment="0" applyProtection="0"/>
    <xf numFmtId="0" fontId="24" fillId="24" borderId="162" applyNumberFormat="0" applyAlignment="0" applyProtection="0"/>
    <xf numFmtId="0" fontId="31" fillId="0" borderId="122" applyNumberFormat="0" applyFill="0" applyAlignment="0" applyProtection="0"/>
    <xf numFmtId="0" fontId="31" fillId="0" borderId="200" applyNumberFormat="0" applyFill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31" fillId="0" borderId="200" applyNumberFormat="0" applyFill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25" fillId="8" borderId="143" applyNumberFormat="0" applyAlignment="0" applyProtection="0"/>
    <xf numFmtId="0" fontId="41" fillId="13" borderId="143" applyNumberFormat="0" applyAlignment="0" applyProtection="0"/>
    <xf numFmtId="0" fontId="48" fillId="12" borderId="143" applyNumberFormat="0" applyAlignment="0" applyProtection="0"/>
    <xf numFmtId="0" fontId="49" fillId="10" borderId="195" applyNumberFormat="0" applyFont="0" applyAlignment="0" applyProtection="0"/>
    <xf numFmtId="0" fontId="24" fillId="24" borderId="162" applyNumberFormat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171" applyNumberFormat="0" applyFill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31" fillId="0" borderId="116" applyNumberFormat="0" applyFill="0" applyAlignment="0" applyProtection="0"/>
    <xf numFmtId="0" fontId="29" fillId="12" borderId="117" applyNumberFormat="0" applyAlignment="0" applyProtection="0"/>
    <xf numFmtId="0" fontId="31" fillId="0" borderId="107" applyNumberFormat="0" applyFill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49" fillId="10" borderId="85" applyNumberFormat="0" applyFont="0" applyAlignment="0" applyProtection="0"/>
    <xf numFmtId="0" fontId="28" fillId="10" borderId="144" applyNumberFormat="0" applyFont="0" applyAlignment="0" applyProtection="0"/>
    <xf numFmtId="0" fontId="31" fillId="0" borderId="166" applyNumberFormat="0" applyFill="0" applyAlignment="0" applyProtection="0"/>
    <xf numFmtId="0" fontId="85" fillId="0" borderId="149"/>
    <xf numFmtId="0" fontId="25" fillId="13" borderId="67" applyNumberFormat="0" applyAlignment="0" applyProtection="0"/>
    <xf numFmtId="0" fontId="48" fillId="24" borderId="102" applyNumberFormat="0" applyAlignment="0" applyProtection="0"/>
    <xf numFmtId="0" fontId="29" fillId="24" borderId="56" applyNumberFormat="0" applyAlignment="0" applyProtection="0"/>
    <xf numFmtId="0" fontId="16" fillId="24" borderId="153" applyNumberFormat="0" applyAlignment="0" applyProtection="0"/>
    <xf numFmtId="0" fontId="8" fillId="45" borderId="110" applyNumberFormat="0" applyFont="0" applyAlignment="0" applyProtection="0"/>
    <xf numFmtId="0" fontId="48" fillId="12" borderId="194" applyNumberFormat="0" applyAlignment="0" applyProtection="0"/>
    <xf numFmtId="0" fontId="48" fillId="24" borderId="75" applyNumberFormat="0" applyAlignment="0" applyProtection="0"/>
    <xf numFmtId="0" fontId="25" fillId="13" borderId="102" applyNumberFormat="0" applyAlignment="0" applyProtection="0"/>
    <xf numFmtId="0" fontId="31" fillId="0" borderId="165" applyNumberFormat="0" applyFill="0" applyAlignment="0" applyProtection="0"/>
    <xf numFmtId="0" fontId="48" fillId="12" borderId="167" applyNumberFormat="0" applyAlignment="0" applyProtection="0"/>
    <xf numFmtId="0" fontId="16" fillId="24" borderId="203" applyNumberFormat="0" applyAlignment="0" applyProtection="0"/>
    <xf numFmtId="0" fontId="28" fillId="0" borderId="82"/>
    <xf numFmtId="0" fontId="85" fillId="0" borderId="82"/>
    <xf numFmtId="0" fontId="31" fillId="0" borderId="74" applyNumberFormat="0" applyFill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5" fillId="13" borderId="167" applyNumberFormat="0" applyAlignment="0" applyProtection="0"/>
    <xf numFmtId="0" fontId="8" fillId="10" borderId="144" applyNumberFormat="0" applyFont="0" applyAlignment="0" applyProtection="0"/>
    <xf numFmtId="0" fontId="85" fillId="0" borderId="124"/>
    <xf numFmtId="0" fontId="28" fillId="0" borderId="124"/>
    <xf numFmtId="0" fontId="73" fillId="0" borderId="54" applyBorder="0">
      <alignment horizontal="center" vertical="center" wrapText="1"/>
    </xf>
    <xf numFmtId="0" fontId="29" fillId="24" borderId="91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95" applyNumberFormat="0" applyFont="0" applyAlignment="0" applyProtection="0"/>
    <xf numFmtId="0" fontId="31" fillId="0" borderId="151" applyNumberFormat="0" applyFill="0" applyAlignment="0" applyProtection="0"/>
    <xf numFmtId="0" fontId="25" fillId="13" borderId="143" applyNumberFormat="0" applyAlignment="0" applyProtection="0"/>
    <xf numFmtId="0" fontId="49" fillId="10" borderId="119" applyNumberFormat="0" applyFont="0" applyAlignment="0" applyProtection="0"/>
    <xf numFmtId="0" fontId="48" fillId="24" borderId="194" applyNumberFormat="0" applyAlignment="0" applyProtection="0"/>
    <xf numFmtId="0" fontId="18" fillId="10" borderId="195" applyNumberFormat="0" applyFont="0" applyAlignment="0" applyProtection="0"/>
    <xf numFmtId="0" fontId="31" fillId="0" borderId="148" applyNumberFormat="0" applyFill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8" fillId="10" borderId="103" applyNumberFormat="0" applyFont="0" applyAlignment="0" applyProtection="0"/>
    <xf numFmtId="0" fontId="29" fillId="24" borderId="101" applyNumberFormat="0" applyAlignment="0" applyProtection="0"/>
    <xf numFmtId="0" fontId="31" fillId="0" borderId="197" applyNumberFormat="0" applyFill="0" applyAlignment="0" applyProtection="0"/>
    <xf numFmtId="0" fontId="31" fillId="0" borderId="158" applyNumberFormat="0" applyFill="0" applyAlignment="0" applyProtection="0"/>
    <xf numFmtId="0" fontId="31" fillId="0" borderId="199" applyNumberFormat="0" applyFill="0" applyAlignment="0" applyProtection="0"/>
    <xf numFmtId="0" fontId="29" fillId="24" borderId="193" applyNumberFormat="0" applyAlignment="0" applyProtection="0"/>
    <xf numFmtId="0" fontId="31" fillId="0" borderId="158" applyNumberFormat="0" applyFill="0" applyAlignment="0" applyProtection="0"/>
    <xf numFmtId="0" fontId="31" fillId="0" borderId="200" applyNumberFormat="0" applyFill="0" applyAlignment="0" applyProtection="0"/>
    <xf numFmtId="0" fontId="28" fillId="0" borderId="88"/>
    <xf numFmtId="0" fontId="85" fillId="0" borderId="88"/>
    <xf numFmtId="0" fontId="29" fillId="12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8" fillId="45" borderId="94" applyNumberFormat="0" applyFont="0" applyAlignment="0" applyProtection="0"/>
    <xf numFmtId="0" fontId="28" fillId="10" borderId="103" applyNumberFormat="0" applyFont="0" applyAlignment="0" applyProtection="0"/>
    <xf numFmtId="0" fontId="29" fillId="12" borderId="193" applyNumberFormat="0" applyAlignment="0" applyProtection="0"/>
    <xf numFmtId="0" fontId="16" fillId="24" borderId="127" applyNumberFormat="0" applyAlignment="0" applyProtection="0"/>
    <xf numFmtId="0" fontId="29" fillId="12" borderId="117" applyNumberFormat="0" applyAlignment="0" applyProtection="0"/>
    <xf numFmtId="0" fontId="73" fillId="0" borderId="54" applyBorder="0">
      <alignment horizontal="center" vertical="center" wrapText="1"/>
    </xf>
    <xf numFmtId="0" fontId="28" fillId="10" borderId="168" applyNumberFormat="0" applyFont="0" applyAlignment="0" applyProtection="0"/>
    <xf numFmtId="0" fontId="85" fillId="0" borderId="180"/>
    <xf numFmtId="0" fontId="31" fillId="0" borderId="123" applyNumberFormat="0" applyFill="0" applyAlignment="0" applyProtection="0"/>
    <xf numFmtId="0" fontId="16" fillId="24" borderId="194" applyNumberFormat="0" applyAlignment="0" applyProtection="0"/>
    <xf numFmtId="0" fontId="29" fillId="12" borderId="193" applyNumberFormat="0" applyAlignment="0" applyProtection="0"/>
    <xf numFmtId="0" fontId="31" fillId="0" borderId="148" applyNumberFormat="0" applyFill="0" applyAlignment="0" applyProtection="0"/>
    <xf numFmtId="0" fontId="25" fillId="13" borderId="143" applyNumberFormat="0" applyAlignment="0" applyProtection="0"/>
    <xf numFmtId="0" fontId="28" fillId="10" borderId="168" applyNumberFormat="0" applyFont="0" applyAlignment="0" applyProtection="0"/>
    <xf numFmtId="0" fontId="25" fillId="13" borderId="153" applyNumberFormat="0" applyAlignment="0" applyProtection="0"/>
    <xf numFmtId="0" fontId="8" fillId="10" borderId="103" applyNumberFormat="0" applyFont="0" applyAlignment="0" applyProtection="0"/>
    <xf numFmtId="0" fontId="24" fillId="24" borderId="162" applyNumberFormat="0" applyAlignment="0" applyProtection="0"/>
    <xf numFmtId="0" fontId="28" fillId="10" borderId="188" applyNumberFormat="0" applyFont="0" applyAlignment="0" applyProtection="0"/>
    <xf numFmtId="0" fontId="31" fillId="0" borderId="122" applyNumberFormat="0" applyFill="0" applyAlignment="0" applyProtection="0"/>
    <xf numFmtId="0" fontId="16" fillId="24" borderId="167" applyNumberFormat="0" applyAlignment="0" applyProtection="0"/>
    <xf numFmtId="0" fontId="28" fillId="10" borderId="128" applyNumberFormat="0" applyFont="0" applyAlignment="0" applyProtection="0"/>
    <xf numFmtId="0" fontId="31" fillId="0" borderId="122" applyNumberFormat="0" applyFill="0" applyAlignment="0" applyProtection="0"/>
    <xf numFmtId="0" fontId="8" fillId="10" borderId="103" applyNumberFormat="0" applyFont="0" applyAlignment="0" applyProtection="0"/>
    <xf numFmtId="0" fontId="48" fillId="12" borderId="75" applyNumberFormat="0" applyAlignment="0" applyProtection="0"/>
    <xf numFmtId="0" fontId="31" fillId="0" borderId="142" applyNumberFormat="0" applyFill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32" fillId="24" borderId="102" applyNumberFormat="0" applyAlignment="0" applyProtection="0"/>
    <xf numFmtId="0" fontId="28" fillId="0" borderId="191"/>
    <xf numFmtId="0" fontId="31" fillId="0" borderId="73" applyNumberFormat="0" applyFill="0" applyAlignment="0" applyProtection="0"/>
    <xf numFmtId="0" fontId="25" fillId="13" borderId="102" applyNumberFormat="0" applyAlignment="0" applyProtection="0"/>
    <xf numFmtId="0" fontId="28" fillId="10" borderId="119" applyNumberFormat="0" applyFont="0" applyAlignment="0" applyProtection="0"/>
    <xf numFmtId="0" fontId="28" fillId="0" borderId="174"/>
    <xf numFmtId="0" fontId="49" fillId="10" borderId="119" applyNumberFormat="0" applyFont="0" applyAlignment="0" applyProtection="0"/>
    <xf numFmtId="0" fontId="18" fillId="10" borderId="144" applyNumberFormat="0" applyFont="0" applyAlignment="0" applyProtection="0"/>
    <xf numFmtId="0" fontId="49" fillId="10" borderId="188" applyNumberFormat="0" applyFont="0" applyAlignment="0" applyProtection="0"/>
    <xf numFmtId="0" fontId="31" fillId="0" borderId="184" applyNumberFormat="0" applyFill="0" applyAlignment="0" applyProtection="0"/>
    <xf numFmtId="0" fontId="8" fillId="10" borderId="85" applyNumberFormat="0" applyFont="0" applyAlignment="0" applyProtection="0"/>
    <xf numFmtId="0" fontId="16" fillId="24" borderId="194" applyNumberFormat="0" applyAlignment="0" applyProtection="0"/>
    <xf numFmtId="0" fontId="31" fillId="0" borderId="93" applyNumberFormat="0" applyFill="0" applyAlignment="0" applyProtection="0"/>
    <xf numFmtId="0" fontId="8" fillId="10" borderId="177" applyNumberFormat="0" applyFont="0" applyAlignment="0" applyProtection="0"/>
    <xf numFmtId="0" fontId="29" fillId="12" borderId="170" applyNumberFormat="0" applyAlignment="0" applyProtection="0"/>
    <xf numFmtId="0" fontId="18" fillId="10" borderId="112" applyNumberFormat="0" applyFont="0" applyAlignment="0" applyProtection="0"/>
    <xf numFmtId="0" fontId="29" fillId="24" borderId="146" applyNumberFormat="0" applyAlignment="0" applyProtection="0"/>
    <xf numFmtId="0" fontId="48" fillId="12" borderId="194" applyNumberFormat="0" applyAlignment="0" applyProtection="0"/>
    <xf numFmtId="0" fontId="16" fillId="24" borderId="102" applyNumberFormat="0" applyAlignment="0" applyProtection="0"/>
    <xf numFmtId="0" fontId="31" fillId="0" borderId="123" applyNumberFormat="0" applyFill="0" applyAlignment="0" applyProtection="0"/>
    <xf numFmtId="0" fontId="73" fillId="0" borderId="81" applyBorder="0">
      <alignment horizontal="center" vertical="center" wrapText="1"/>
    </xf>
    <xf numFmtId="0" fontId="48" fillId="24" borderId="194" applyNumberForma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85" fillId="73" borderId="82"/>
    <xf numFmtId="0" fontId="31" fillId="0" borderId="79" applyNumberFormat="0" applyFill="0" applyAlignment="0" applyProtection="0"/>
    <xf numFmtId="0" fontId="31" fillId="0" borderId="148" applyNumberFormat="0" applyFill="0" applyAlignment="0" applyProtection="0"/>
    <xf numFmtId="0" fontId="25" fillId="13" borderId="127" applyNumberFormat="0" applyAlignment="0" applyProtection="0"/>
    <xf numFmtId="0" fontId="49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24" fillId="24" borderId="104" applyNumberFormat="0" applyAlignment="0" applyProtection="0"/>
    <xf numFmtId="0" fontId="25" fillId="8" borderId="102" applyNumberFormat="0" applyAlignment="0" applyProtection="0"/>
    <xf numFmtId="0" fontId="31" fillId="0" borderId="105" applyNumberFormat="0" applyFill="0" applyAlignment="0" applyProtection="0"/>
    <xf numFmtId="0" fontId="31" fillId="0" borderId="105" applyNumberFormat="0" applyFill="0" applyAlignment="0" applyProtection="0"/>
    <xf numFmtId="0" fontId="85" fillId="0" borderId="99"/>
    <xf numFmtId="0" fontId="49" fillId="10" borderId="177" applyNumberFormat="0" applyFont="0" applyAlignment="0" applyProtection="0"/>
    <xf numFmtId="0" fontId="25" fillId="13" borderId="111" applyNumberFormat="0" applyAlignment="0" applyProtection="0"/>
    <xf numFmtId="0" fontId="31" fillId="0" borderId="199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41" fillId="13" borderId="143" applyNumberFormat="0" applyAlignment="0" applyProtection="0"/>
    <xf numFmtId="0" fontId="31" fillId="0" borderId="197" applyNumberFormat="0" applyFill="0" applyAlignment="0" applyProtection="0"/>
    <xf numFmtId="0" fontId="18" fillId="10" borderId="195" applyNumberFormat="0" applyFont="0" applyAlignment="0" applyProtection="0"/>
    <xf numFmtId="0" fontId="8" fillId="10" borderId="168" applyNumberFormat="0" applyFont="0" applyAlignment="0" applyProtection="0"/>
    <xf numFmtId="0" fontId="8" fillId="10" borderId="76" applyNumberFormat="0" applyFont="0" applyAlignment="0" applyProtection="0"/>
    <xf numFmtId="0" fontId="24" fillId="24" borderId="120" applyNumberFormat="0" applyAlignment="0" applyProtection="0"/>
    <xf numFmtId="0" fontId="31" fillId="0" borderId="80" applyNumberFormat="0" applyFill="0" applyAlignment="0" applyProtection="0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25" fillId="8" borderId="75" applyNumberFormat="0" applyAlignment="0" applyProtection="0"/>
    <xf numFmtId="0" fontId="28" fillId="0" borderId="82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9" fillId="24" borderId="78" applyNumberFormat="0" applyAlignment="0" applyProtection="0"/>
    <xf numFmtId="0" fontId="48" fillId="24" borderId="75" applyNumberFormat="0" applyAlignment="0" applyProtection="0"/>
    <xf numFmtId="0" fontId="49" fillId="10" borderId="76" applyNumberFormat="0" applyFon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28" fillId="0" borderId="82"/>
    <xf numFmtId="0" fontId="29" fillId="24" borderId="78" applyNumberFormat="0" applyAlignment="0" applyProtection="0"/>
    <xf numFmtId="0" fontId="73" fillId="0" borderId="72" applyBorder="0">
      <alignment horizontal="center" vertical="center" wrapText="1"/>
    </xf>
    <xf numFmtId="0" fontId="48" fillId="24" borderId="75" applyNumberFormat="0" applyAlignment="0" applyProtection="0"/>
    <xf numFmtId="0" fontId="29" fillId="12" borderId="78" applyNumberFormat="0" applyAlignment="0" applyProtection="0"/>
    <xf numFmtId="0" fontId="85" fillId="0" borderId="82"/>
    <xf numFmtId="0" fontId="8" fillId="10" borderId="76" applyNumberFormat="0" applyFont="0" applyAlignment="0" applyProtection="0"/>
    <xf numFmtId="0" fontId="85" fillId="0" borderId="82"/>
    <xf numFmtId="0" fontId="8" fillId="45" borderId="186" applyNumberFormat="0" applyFont="0" applyAlignment="0" applyProtection="0"/>
    <xf numFmtId="0" fontId="18" fillId="10" borderId="177" applyNumberFormat="0" applyFont="0" applyAlignment="0" applyProtection="0"/>
    <xf numFmtId="0" fontId="18" fillId="10" borderId="85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85" fillId="0" borderId="99"/>
    <xf numFmtId="0" fontId="85" fillId="0" borderId="180"/>
    <xf numFmtId="0" fontId="18" fillId="10" borderId="144" applyNumberFormat="0" applyFont="0" applyAlignment="0" applyProtection="0"/>
    <xf numFmtId="0" fontId="85" fillId="0" borderId="180"/>
    <xf numFmtId="0" fontId="31" fillId="0" borderId="123" applyNumberFormat="0" applyFill="0" applyAlignment="0" applyProtection="0"/>
    <xf numFmtId="0" fontId="8" fillId="10" borderId="168" applyNumberFormat="0" applyFont="0" applyAlignment="0" applyProtection="0"/>
    <xf numFmtId="0" fontId="41" fillId="13" borderId="143" applyNumberFormat="0" applyAlignment="0" applyProtection="0"/>
    <xf numFmtId="0" fontId="25" fillId="8" borderId="167" applyNumberFormat="0" applyAlignment="0" applyProtection="0"/>
    <xf numFmtId="0" fontId="8" fillId="10" borderId="144" applyNumberFormat="0" applyFont="0" applyAlignment="0" applyProtection="0"/>
    <xf numFmtId="0" fontId="16" fillId="24" borderId="194" applyNumberFormat="0" applyAlignment="0" applyProtection="0"/>
    <xf numFmtId="0" fontId="31" fillId="0" borderId="197" applyNumberFormat="0" applyFill="0" applyAlignment="0" applyProtection="0"/>
    <xf numFmtId="0" fontId="41" fillId="13" borderId="118" applyNumberFormat="0" applyAlignment="0" applyProtection="0"/>
    <xf numFmtId="0" fontId="73" fillId="0" borderId="141" applyBorder="0">
      <alignment horizontal="center" vertical="center" wrapText="1"/>
    </xf>
    <xf numFmtId="0" fontId="8" fillId="10" borderId="119" applyNumberFormat="0" applyFont="0" applyAlignment="0" applyProtection="0"/>
    <xf numFmtId="0" fontId="31" fillId="0" borderId="190" applyNumberFormat="0" applyFill="0" applyAlignment="0" applyProtection="0"/>
    <xf numFmtId="0" fontId="31" fillId="0" borderId="166" applyNumberFormat="0" applyFill="0" applyAlignment="0" applyProtection="0"/>
    <xf numFmtId="0" fontId="85" fillId="0" borderId="149"/>
    <xf numFmtId="0" fontId="24" fillId="24" borderId="155" applyNumberFormat="0" applyAlignment="0" applyProtection="0"/>
    <xf numFmtId="0" fontId="29" fillId="24" borderId="117" applyNumberFormat="0" applyAlignment="0" applyProtection="0"/>
    <xf numFmtId="0" fontId="48" fillId="24" borderId="143" applyNumberFormat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73" fillId="0" borderId="109" applyBorder="0">
      <alignment horizontal="center" vertical="center" wrapText="1"/>
    </xf>
    <xf numFmtId="0" fontId="31" fillId="0" borderId="107" applyNumberFormat="0" applyFill="0" applyAlignment="0" applyProtection="0"/>
    <xf numFmtId="0" fontId="32" fillId="24" borderId="102" applyNumberFormat="0" applyAlignment="0" applyProtection="0"/>
    <xf numFmtId="0" fontId="31" fillId="0" borderId="108" applyNumberFormat="0" applyFill="0" applyAlignment="0" applyProtection="0"/>
    <xf numFmtId="0" fontId="25" fillId="13" borderId="143" applyNumberFormat="0" applyAlignment="0" applyProtection="0"/>
    <xf numFmtId="0" fontId="49" fillId="10" borderId="144" applyNumberFormat="0" applyFont="0" applyAlignment="0" applyProtection="0"/>
    <xf numFmtId="0" fontId="31" fillId="0" borderId="165" applyNumberFormat="0" applyFill="0" applyAlignment="0" applyProtection="0"/>
    <xf numFmtId="0" fontId="16" fillId="24" borderId="194" applyNumberFormat="0" applyAlignment="0" applyProtection="0"/>
    <xf numFmtId="0" fontId="28" fillId="10" borderId="177" applyNumberFormat="0" applyFont="0" applyAlignment="0" applyProtection="0"/>
    <xf numFmtId="0" fontId="31" fillId="0" borderId="197" applyNumberFormat="0" applyFill="0" applyAlignment="0" applyProtection="0"/>
    <xf numFmtId="0" fontId="31" fillId="0" borderId="148" applyNumberFormat="0" applyFill="0" applyAlignment="0" applyProtection="0"/>
    <xf numFmtId="0" fontId="25" fillId="8" borderId="194" applyNumberFormat="0" applyAlignment="0" applyProtection="0"/>
    <xf numFmtId="0" fontId="29" fillId="12" borderId="193" applyNumberFormat="0" applyAlignment="0" applyProtection="0"/>
    <xf numFmtId="0" fontId="24" fillId="24" borderId="169" applyNumberFormat="0" applyAlignment="0" applyProtection="0"/>
    <xf numFmtId="0" fontId="31" fillId="0" borderId="122" applyNumberFormat="0" applyFill="0" applyAlignment="0" applyProtection="0"/>
    <xf numFmtId="0" fontId="31" fillId="0" borderId="123" applyNumberFormat="0" applyFill="0" applyAlignment="0" applyProtection="0"/>
    <xf numFmtId="0" fontId="18" fillId="10" borderId="168" applyNumberFormat="0" applyFont="0" applyAlignment="0" applyProtection="0"/>
    <xf numFmtId="0" fontId="48" fillId="24" borderId="134" applyNumberFormat="0" applyAlignment="0" applyProtection="0"/>
    <xf numFmtId="0" fontId="31" fillId="0" borderId="206" applyNumberFormat="0" applyFill="0" applyAlignment="0" applyProtection="0"/>
    <xf numFmtId="0" fontId="31" fillId="0" borderId="172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49" fillId="10" borderId="177" applyNumberFormat="0" applyFont="0" applyAlignment="0" applyProtection="0"/>
    <xf numFmtId="0" fontId="49" fillId="10" borderId="144" applyNumberFormat="0" applyFont="0" applyAlignment="0" applyProtection="0"/>
    <xf numFmtId="0" fontId="8" fillId="45" borderId="202" applyNumberFormat="0" applyFont="0" applyAlignment="0" applyProtection="0"/>
    <xf numFmtId="0" fontId="41" fillId="13" borderId="194" applyNumberFormat="0" applyAlignment="0" applyProtection="0"/>
    <xf numFmtId="0" fontId="73" fillId="0" borderId="164" applyBorder="0">
      <alignment horizontal="center" vertical="center" wrapText="1"/>
    </xf>
    <xf numFmtId="0" fontId="25" fillId="13" borderId="194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4" fillId="24" borderId="120" applyNumberFormat="0" applyAlignment="0" applyProtection="0"/>
    <xf numFmtId="0" fontId="85" fillId="0" borderId="124"/>
    <xf numFmtId="0" fontId="18" fillId="10" borderId="85" applyNumberFormat="0" applyFont="0" applyAlignment="0" applyProtection="0"/>
    <xf numFmtId="0" fontId="28" fillId="10" borderId="85" applyNumberFormat="0" applyFont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8" fillId="10" borderId="119" applyNumberFormat="0" applyFont="0" applyAlignment="0" applyProtection="0"/>
    <xf numFmtId="0" fontId="28" fillId="10" borderId="103" applyNumberFormat="0" applyFont="0" applyAlignment="0" applyProtection="0"/>
    <xf numFmtId="0" fontId="28" fillId="10" borderId="168" applyNumberFormat="0" applyFont="0" applyAlignment="0" applyProtection="0"/>
    <xf numFmtId="0" fontId="18" fillId="10" borderId="128" applyNumberFormat="0" applyFont="0" applyAlignment="0" applyProtection="0"/>
    <xf numFmtId="0" fontId="28" fillId="0" borderId="124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73" fillId="0" borderId="89" applyBorder="0">
      <alignment horizontal="center" vertical="center" wrapText="1"/>
    </xf>
    <xf numFmtId="0" fontId="41" fillId="13" borderId="167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28" fillId="0" borderId="191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31" fillId="0" borderId="197" applyNumberFormat="0" applyFill="0" applyAlignment="0" applyProtection="0"/>
    <xf numFmtId="0" fontId="73" fillId="0" borderId="201" applyBorder="0">
      <alignment horizontal="center" vertical="center" wrapText="1"/>
    </xf>
    <xf numFmtId="0" fontId="31" fillId="0" borderId="185" applyNumberFormat="0" applyFill="0" applyAlignment="0" applyProtection="0"/>
    <xf numFmtId="0" fontId="16" fillId="24" borderId="194" applyNumberFormat="0" applyAlignment="0" applyProtection="0"/>
    <xf numFmtId="0" fontId="16" fillId="24" borderId="118" applyNumberFormat="0" applyAlignment="0" applyProtection="0"/>
    <xf numFmtId="0" fontId="31" fillId="0" borderId="166" applyNumberFormat="0" applyFill="0" applyAlignment="0" applyProtection="0"/>
    <xf numFmtId="0" fontId="29" fillId="24" borderId="193" applyNumberFormat="0" applyAlignment="0" applyProtection="0"/>
    <xf numFmtId="0" fontId="8" fillId="10" borderId="144" applyNumberFormat="0" applyFont="0" applyAlignment="0" applyProtection="0"/>
    <xf numFmtId="0" fontId="32" fillId="24" borderId="194" applyNumberFormat="0" applyAlignment="0" applyProtection="0"/>
    <xf numFmtId="0" fontId="48" fillId="12" borderId="194" applyNumberFormat="0" applyAlignment="0" applyProtection="0"/>
    <xf numFmtId="0" fontId="8" fillId="10" borderId="103" applyNumberFormat="0" applyFont="0" applyAlignment="0" applyProtection="0"/>
    <xf numFmtId="0" fontId="48" fillId="12" borderId="102" applyNumberFormat="0" applyAlignment="0" applyProtection="0"/>
    <xf numFmtId="0" fontId="29" fillId="24" borderId="170" applyNumberFormat="0" applyAlignment="0" applyProtection="0"/>
    <xf numFmtId="0" fontId="8" fillId="45" borderId="150" applyNumberFormat="0" applyFont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28" fillId="0" borderId="174"/>
    <xf numFmtId="0" fontId="31" fillId="0" borderId="163" applyNumberFormat="0" applyFill="0" applyAlignment="0" applyProtection="0"/>
    <xf numFmtId="0" fontId="25" fillId="13" borderId="167" applyNumberFormat="0" applyAlignment="0" applyProtection="0"/>
    <xf numFmtId="0" fontId="32" fillId="24" borderId="118" applyNumberFormat="0" applyAlignment="0" applyProtection="0"/>
    <xf numFmtId="0" fontId="18" fillId="10" borderId="119" applyNumberFormat="0" applyFont="0" applyAlignment="0" applyProtection="0"/>
    <xf numFmtId="0" fontId="48" fillId="12" borderId="167" applyNumberFormat="0" applyAlignment="0" applyProtection="0"/>
    <xf numFmtId="0" fontId="16" fillId="24" borderId="118" applyNumberFormat="0" applyAlignment="0" applyProtection="0"/>
    <xf numFmtId="0" fontId="31" fillId="0" borderId="140" applyNumberFormat="0" applyFill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31" fillId="0" borderId="197" applyNumberFormat="0" applyFill="0" applyAlignment="0" applyProtection="0"/>
    <xf numFmtId="0" fontId="16" fillId="24" borderId="167" applyNumberFormat="0" applyAlignment="0" applyProtection="0"/>
    <xf numFmtId="0" fontId="85" fillId="0" borderId="88"/>
    <xf numFmtId="0" fontId="2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77" applyNumberFormat="0" applyFont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25" fillId="13" borderId="143" applyNumberFormat="0" applyAlignment="0" applyProtection="0"/>
    <xf numFmtId="0" fontId="85" fillId="73" borderId="149"/>
    <xf numFmtId="0" fontId="48" fillId="24" borderId="194" applyNumberFormat="0" applyAlignment="0" applyProtection="0"/>
    <xf numFmtId="0" fontId="73" fillId="0" borderId="126" applyBorder="0">
      <alignment horizontal="center" vertical="center" wrapText="1"/>
    </xf>
    <xf numFmtId="0" fontId="48" fillId="24" borderId="118" applyNumberFormat="0" applyAlignment="0" applyProtection="0"/>
    <xf numFmtId="0" fontId="28" fillId="10" borderId="103" applyNumberFormat="0" applyFont="0" applyAlignment="0" applyProtection="0"/>
    <xf numFmtId="0" fontId="31" fillId="0" borderId="148" applyNumberFormat="0" applyFill="0" applyAlignment="0" applyProtection="0"/>
    <xf numFmtId="0" fontId="29" fillId="24" borderId="101" applyNumberFormat="0" applyAlignment="0" applyProtection="0"/>
    <xf numFmtId="0" fontId="31" fillId="0" borderId="100" applyNumberFormat="0" applyFill="0" applyAlignment="0" applyProtection="0"/>
    <xf numFmtId="0" fontId="31" fillId="0" borderId="158" applyNumberFormat="0" applyFill="0" applyAlignment="0" applyProtection="0"/>
    <xf numFmtId="0" fontId="85" fillId="0" borderId="149"/>
    <xf numFmtId="0" fontId="31" fillId="0" borderId="142" applyNumberFormat="0" applyFill="0" applyAlignment="0" applyProtection="0"/>
    <xf numFmtId="0" fontId="29" fillId="24" borderId="146" applyNumberFormat="0" applyAlignment="0" applyProtection="0"/>
    <xf numFmtId="0" fontId="24" fillId="24" borderId="104" applyNumberFormat="0" applyAlignment="0" applyProtection="0"/>
    <xf numFmtId="0" fontId="85" fillId="0" borderId="180"/>
    <xf numFmtId="0" fontId="28" fillId="10" borderId="103" applyNumberFormat="0" applyFont="0" applyAlignment="0" applyProtection="0"/>
    <xf numFmtId="0" fontId="25" fillId="13" borderId="203" applyNumberFormat="0" applyAlignment="0" applyProtection="0"/>
    <xf numFmtId="0" fontId="85" fillId="73" borderId="149"/>
    <xf numFmtId="0" fontId="18" fillId="10" borderId="119" applyNumberFormat="0" applyFont="0" applyAlignment="0" applyProtection="0"/>
    <xf numFmtId="0" fontId="29" fillId="24" borderId="101" applyNumberFormat="0" applyAlignment="0" applyProtection="0"/>
    <xf numFmtId="0" fontId="49" fillId="10" borderId="103" applyNumberFormat="0" applyFont="0" applyAlignment="0" applyProtection="0"/>
    <xf numFmtId="0" fontId="24" fillId="24" borderId="104" applyNumberFormat="0" applyAlignment="0" applyProtection="0"/>
    <xf numFmtId="0" fontId="25" fillId="13" borderId="187" applyNumberFormat="0" applyAlignment="0" applyProtection="0"/>
    <xf numFmtId="0" fontId="28" fillId="0" borderId="149"/>
    <xf numFmtId="0" fontId="31" fillId="0" borderId="147" applyNumberFormat="0" applyFill="0" applyAlignment="0" applyProtection="0"/>
    <xf numFmtId="0" fontId="31" fillId="0" borderId="121" applyNumberFormat="0" applyFill="0" applyAlignment="0" applyProtection="0"/>
    <xf numFmtId="0" fontId="41" fillId="13" borderId="176" applyNumberFormat="0" applyAlignment="0" applyProtection="0"/>
    <xf numFmtId="0" fontId="31" fillId="0" borderId="123" applyNumberFormat="0" applyFill="0" applyAlignment="0" applyProtection="0"/>
    <xf numFmtId="0" fontId="8" fillId="45" borderId="186" applyNumberFormat="0" applyFont="0" applyAlignment="0" applyProtection="0"/>
    <xf numFmtId="0" fontId="41" fillId="13" borderId="176" applyNumberFormat="0" applyAlignment="0" applyProtection="0"/>
    <xf numFmtId="0" fontId="31" fillId="0" borderId="184" applyNumberFormat="0" applyFill="0" applyAlignment="0" applyProtection="0"/>
    <xf numFmtId="0" fontId="31" fillId="0" borderId="74" applyNumberFormat="0" applyFill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72" applyNumberFormat="0" applyFill="0" applyAlignment="0" applyProtection="0"/>
    <xf numFmtId="0" fontId="29" fillId="24" borderId="146" applyNumberFormat="0" applyAlignment="0" applyProtection="0"/>
    <xf numFmtId="0" fontId="41" fillId="13" borderId="143" applyNumberFormat="0" applyAlignment="0" applyProtection="0"/>
    <xf numFmtId="0" fontId="31" fillId="0" borderId="199" applyNumberFormat="0" applyFill="0" applyAlignment="0" applyProtection="0"/>
    <xf numFmtId="0" fontId="24" fillId="24" borderId="196" applyNumberFormat="0" applyAlignment="0" applyProtection="0"/>
    <xf numFmtId="0" fontId="32" fillId="24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73" fillId="0" borderId="109" applyBorder="0">
      <alignment horizontal="center" vertical="center" wrapText="1"/>
    </xf>
    <xf numFmtId="0" fontId="48" fillId="24" borderId="102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49" fillId="10" borderId="103" applyNumberFormat="0" applyFont="0" applyAlignment="0" applyProtection="0"/>
    <xf numFmtId="0" fontId="49" fillId="10" borderId="103" applyNumberFormat="0" applyFont="0" applyAlignment="0" applyProtection="0"/>
    <xf numFmtId="0" fontId="31" fillId="0" borderId="151" applyNumberFormat="0" applyFill="0" applyAlignment="0" applyProtection="0"/>
    <xf numFmtId="0" fontId="25" fillId="13" borderId="111" applyNumberFormat="0" applyAlignment="0" applyProtection="0"/>
    <xf numFmtId="0" fontId="28" fillId="10" borderId="112" applyNumberFormat="0" applyFont="0" applyAlignment="0" applyProtection="0"/>
    <xf numFmtId="0" fontId="73" fillId="0" borderId="173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4" fillId="24" borderId="162" applyNumberFormat="0" applyAlignment="0" applyProtection="0"/>
    <xf numFmtId="0" fontId="28" fillId="0" borderId="99"/>
    <xf numFmtId="0" fontId="85" fillId="0" borderId="99"/>
    <xf numFmtId="0" fontId="24" fillId="24" borderId="104" applyNumberFormat="0" applyAlignment="0" applyProtection="0"/>
    <xf numFmtId="0" fontId="31" fillId="0" borderId="107" applyNumberFormat="0" applyFill="0" applyAlignment="0" applyProtection="0"/>
    <xf numFmtId="0" fontId="31" fillId="0" borderId="108" applyNumberFormat="0" applyFill="0" applyAlignment="0" applyProtection="0"/>
    <xf numFmtId="0" fontId="28" fillId="10" borderId="204" applyNumberFormat="0" applyFon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28" fillId="0" borderId="82"/>
    <xf numFmtId="0" fontId="16" fillId="24" borderId="75" applyNumberFormat="0" applyAlignment="0" applyProtection="0"/>
    <xf numFmtId="0" fontId="49" fillId="10" borderId="76" applyNumberFormat="0" applyFon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16" fillId="24" borderId="84" applyNumberFormat="0" applyAlignment="0" applyProtection="0"/>
    <xf numFmtId="0" fontId="48" fillId="12" borderId="118" applyNumberFormat="0" applyAlignment="0" applyProtection="0"/>
    <xf numFmtId="0" fontId="25" fillId="13" borderId="84" applyNumberFormat="0" applyAlignment="0" applyProtection="0"/>
    <xf numFmtId="0" fontId="29" fillId="24" borderId="101" applyNumberFormat="0" applyAlignment="0" applyProtection="0"/>
    <xf numFmtId="0" fontId="28" fillId="0" borderId="88"/>
    <xf numFmtId="0" fontId="28" fillId="10" borderId="85" applyNumberFormat="0" applyFont="0" applyAlignment="0" applyProtection="0"/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144" applyNumberFormat="0" applyFont="0" applyAlignment="0" applyProtection="0"/>
    <xf numFmtId="0" fontId="8" fillId="45" borderId="110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03" applyNumberFormat="0" applyFont="0" applyAlignment="0" applyProtection="0"/>
    <xf numFmtId="0" fontId="29" fillId="24" borderId="101" applyNumberFormat="0" applyAlignment="0" applyProtection="0"/>
    <xf numFmtId="0" fontId="32" fillId="24" borderId="102" applyNumberForma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16" fillId="24" borderId="143" applyNumberFormat="0" applyAlignment="0" applyProtection="0"/>
    <xf numFmtId="0" fontId="48" fillId="24" borderId="194" applyNumberFormat="0" applyAlignment="0" applyProtection="0"/>
    <xf numFmtId="0" fontId="31" fillId="0" borderId="171" applyNumberFormat="0" applyFill="0" applyAlignment="0" applyProtection="0"/>
    <xf numFmtId="0" fontId="31" fillId="0" borderId="200" applyNumberFormat="0" applyFill="0" applyAlignment="0" applyProtection="0"/>
    <xf numFmtId="0" fontId="16" fillId="24" borderId="160" applyNumberFormat="0" applyAlignment="0" applyProtection="0"/>
    <xf numFmtId="0" fontId="73" fillId="0" borderId="201" applyBorder="0">
      <alignment horizontal="center" vertical="center" wrapText="1"/>
    </xf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29" fillId="12" borderId="117" applyNumberFormat="0" applyAlignment="0" applyProtection="0"/>
    <xf numFmtId="0" fontId="29" fillId="12" borderId="170" applyNumberFormat="0" applyAlignment="0" applyProtection="0"/>
    <xf numFmtId="0" fontId="16" fillId="24" borderId="167" applyNumberFormat="0" applyAlignment="0" applyProtection="0"/>
    <xf numFmtId="0" fontId="31" fillId="0" borderId="200" applyNumberFormat="0" applyFill="0" applyAlignment="0" applyProtection="0"/>
    <xf numFmtId="0" fontId="48" fillId="24" borderId="167" applyNumberFormat="0" applyAlignment="0" applyProtection="0"/>
    <xf numFmtId="0" fontId="41" fillId="13" borderId="143" applyNumberFormat="0" applyAlignment="0" applyProtection="0"/>
    <xf numFmtId="0" fontId="28" fillId="10" borderId="144" applyNumberFormat="0" applyFont="0" applyAlignment="0" applyProtection="0"/>
    <xf numFmtId="0" fontId="25" fillId="13" borderId="203" applyNumberForma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25" fillId="13" borderId="187" applyNumberFormat="0" applyAlignment="0" applyProtection="0"/>
    <xf numFmtId="0" fontId="41" fillId="13" borderId="167" applyNumberFormat="0" applyAlignment="0" applyProtection="0"/>
    <xf numFmtId="0" fontId="31" fillId="0" borderId="147" applyNumberFormat="0" applyFill="0" applyAlignment="0" applyProtection="0"/>
    <xf numFmtId="0" fontId="31" fillId="0" borderId="197" applyNumberFormat="0" applyFill="0" applyAlignment="0" applyProtection="0"/>
    <xf numFmtId="0" fontId="8" fillId="10" borderId="128" applyNumberFormat="0" applyFont="0" applyAlignment="0" applyProtection="0"/>
    <xf numFmtId="0" fontId="31" fillId="0" borderId="158" applyNumberFormat="0" applyFill="0" applyAlignment="0" applyProtection="0"/>
    <xf numFmtId="0" fontId="31" fillId="0" borderId="151" applyNumberFormat="0" applyFill="0" applyAlignment="0" applyProtection="0"/>
    <xf numFmtId="0" fontId="8" fillId="10" borderId="128" applyNumberFormat="0" applyFont="0" applyAlignment="0" applyProtection="0"/>
    <xf numFmtId="0" fontId="24" fillId="24" borderId="136" applyNumberFormat="0" applyAlignment="0" applyProtection="0"/>
    <xf numFmtId="0" fontId="85" fillId="0" borderId="180"/>
    <xf numFmtId="0" fontId="73" fillId="0" borderId="106" applyBorder="0">
      <alignment horizontal="center" vertical="center" wrapText="1"/>
    </xf>
    <xf numFmtId="0" fontId="73" fillId="0" borderId="152" applyBorder="0">
      <alignment horizontal="center" vertical="center" wrapText="1"/>
    </xf>
    <xf numFmtId="0" fontId="29" fillId="12" borderId="146" applyNumberFormat="0" applyAlignment="0" applyProtection="0"/>
    <xf numFmtId="0" fontId="85" fillId="0" borderId="149"/>
    <xf numFmtId="0" fontId="41" fillId="13" borderId="153" applyNumberFormat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28" fillId="0" borderId="174"/>
    <xf numFmtId="0" fontId="48" fillId="24" borderId="118" applyNumberFormat="0" applyAlignment="0" applyProtection="0"/>
    <xf numFmtId="0" fontId="31" fillId="0" borderId="148" applyNumberFormat="0" applyFill="0" applyAlignment="0" applyProtection="0"/>
    <xf numFmtId="0" fontId="49" fillId="10" borderId="195" applyNumberFormat="0" applyFont="0" applyAlignment="0" applyProtection="0"/>
    <xf numFmtId="0" fontId="31" fillId="0" borderId="108" applyNumberFormat="0" applyFill="0" applyAlignment="0" applyProtection="0"/>
    <xf numFmtId="0" fontId="31" fillId="0" borderId="107" applyNumberFormat="0" applyFill="0" applyAlignment="0" applyProtection="0"/>
    <xf numFmtId="0" fontId="31" fillId="0" borderId="107" applyNumberFormat="0" applyFill="0" applyAlignment="0" applyProtection="0"/>
    <xf numFmtId="0" fontId="49" fillId="10" borderId="103" applyNumberFormat="0" applyFon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16" fillId="24" borderId="102" applyNumberFormat="0" applyAlignment="0" applyProtection="0"/>
    <xf numFmtId="0" fontId="24" fillId="24" borderId="104" applyNumberFormat="0" applyAlignment="0" applyProtection="0"/>
    <xf numFmtId="0" fontId="28" fillId="10" borderId="103" applyNumberFormat="0" applyFon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48" fillId="12" borderId="143" applyNumberFormat="0" applyAlignment="0" applyProtection="0"/>
    <xf numFmtId="0" fontId="48" fillId="24" borderId="153" applyNumberFormat="0" applyAlignment="0" applyProtection="0"/>
    <xf numFmtId="0" fontId="31" fillId="0" borderId="163" applyNumberFormat="0" applyFill="0" applyAlignment="0" applyProtection="0"/>
    <xf numFmtId="0" fontId="8" fillId="10" borderId="177" applyNumberFormat="0" applyFont="0" applyAlignment="0" applyProtection="0"/>
    <xf numFmtId="0" fontId="8" fillId="10" borderId="195" applyNumberFormat="0" applyFont="0" applyAlignment="0" applyProtection="0"/>
    <xf numFmtId="0" fontId="32" fillId="24" borderId="167" applyNumberFormat="0" applyAlignment="0" applyProtection="0"/>
    <xf numFmtId="0" fontId="85" fillId="0" borderId="174"/>
    <xf numFmtId="0" fontId="41" fillId="13" borderId="118" applyNumberFormat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5" fillId="8" borderId="118" applyNumberFormat="0" applyAlignment="0" applyProtection="0"/>
    <xf numFmtId="0" fontId="32" fillId="24" borderId="167" applyNumberForma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18" fillId="10" borderId="177" applyNumberFormat="0" applyFont="0" applyAlignment="0" applyProtection="0"/>
    <xf numFmtId="0" fontId="24" fillId="24" borderId="178" applyNumberFormat="0" applyAlignment="0" applyProtection="0"/>
    <xf numFmtId="0" fontId="31" fillId="0" borderId="192" applyNumberFormat="0" applyFill="0" applyAlignment="0" applyProtection="0"/>
    <xf numFmtId="0" fontId="8" fillId="10" borderId="144" applyNumberFormat="0" applyFont="0" applyAlignment="0" applyProtection="0"/>
    <xf numFmtId="0" fontId="16" fillId="24" borderId="143" applyNumberFormat="0" applyAlignment="0" applyProtection="0"/>
    <xf numFmtId="0" fontId="8" fillId="10" borderId="144" applyNumberFormat="0" applyFont="0" applyAlignment="0" applyProtection="0"/>
    <xf numFmtId="0" fontId="31" fillId="0" borderId="151" applyNumberFormat="0" applyFill="0" applyAlignment="0" applyProtection="0"/>
    <xf numFmtId="0" fontId="8" fillId="45" borderId="150" applyNumberFormat="0" applyFont="0" applyAlignment="0" applyProtection="0"/>
    <xf numFmtId="0" fontId="25" fillId="13" borderId="194" applyNumberFormat="0" applyAlignment="0" applyProtection="0"/>
    <xf numFmtId="0" fontId="31" fillId="0" borderId="171" applyNumberFormat="0" applyFill="0" applyAlignment="0" applyProtection="0"/>
    <xf numFmtId="0" fontId="31" fillId="0" borderId="172" applyNumberFormat="0" applyFill="0" applyAlignment="0" applyProtection="0"/>
    <xf numFmtId="0" fontId="28" fillId="10" borderId="204" applyNumberFormat="0" applyFont="0" applyAlignment="0" applyProtection="0"/>
    <xf numFmtId="0" fontId="41" fillId="13" borderId="187" applyNumberFormat="0" applyAlignment="0" applyProtection="0"/>
    <xf numFmtId="0" fontId="28" fillId="10" borderId="195" applyNumberFormat="0" applyFont="0" applyAlignment="0" applyProtection="0"/>
    <xf numFmtId="0" fontId="29" fillId="12" borderId="117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85" fillId="0" borderId="88"/>
    <xf numFmtId="0" fontId="1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174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24" fillId="24" borderId="120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0" borderId="180"/>
    <xf numFmtId="0" fontId="29" fillId="24" borderId="117" applyNumberFormat="0" applyAlignment="0" applyProtection="0"/>
    <xf numFmtId="0" fontId="29" fillId="12" borderId="117" applyNumberFormat="0" applyAlignment="0" applyProtection="0"/>
    <xf numFmtId="0" fontId="85" fillId="73" borderId="124"/>
    <xf numFmtId="0" fontId="25" fillId="13" borderId="118" applyNumberFormat="0" applyAlignment="0" applyProtection="0"/>
    <xf numFmtId="0" fontId="28" fillId="0" borderId="149"/>
    <xf numFmtId="0" fontId="41" fillId="13" borderId="203" applyNumberFormat="0" applyAlignment="0" applyProtection="0"/>
    <xf numFmtId="0" fontId="49" fillId="10" borderId="177" applyNumberFormat="0" applyFont="0" applyAlignment="0" applyProtection="0"/>
    <xf numFmtId="0" fontId="41" fillId="13" borderId="127" applyNumberFormat="0" applyAlignment="0" applyProtection="0"/>
    <xf numFmtId="0" fontId="8" fillId="45" borderId="125" applyNumberFormat="0" applyFont="0" applyAlignment="0" applyProtection="0"/>
    <xf numFmtId="0" fontId="25" fillId="8" borderId="118" applyNumberFormat="0" applyAlignment="0" applyProtection="0"/>
    <xf numFmtId="0" fontId="48" fillId="12" borderId="118" applyNumberFormat="0" applyAlignment="0" applyProtection="0"/>
    <xf numFmtId="0" fontId="31" fillId="0" borderId="121" applyNumberFormat="0" applyFill="0" applyAlignment="0" applyProtection="0"/>
    <xf numFmtId="0" fontId="49" fillId="10" borderId="119" applyNumberFormat="0" applyFont="0" applyAlignment="0" applyProtection="0"/>
    <xf numFmtId="0" fontId="24" fillId="24" borderId="120" applyNumberFormat="0" applyAlignment="0" applyProtection="0"/>
    <xf numFmtId="0" fontId="31" fillId="0" borderId="165" applyNumberFormat="0" applyFill="0" applyAlignment="0" applyProtection="0"/>
    <xf numFmtId="0" fontId="16" fillId="24" borderId="143" applyNumberFormat="0" applyAlignment="0" applyProtection="0"/>
    <xf numFmtId="0" fontId="29" fillId="12" borderId="117" applyNumberForma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8" fillId="10" borderId="119" applyNumberFormat="0" applyFont="0" applyAlignment="0" applyProtection="0"/>
    <xf numFmtId="0" fontId="8" fillId="10" borderId="195" applyNumberFormat="0" applyFont="0" applyAlignment="0" applyProtection="0"/>
    <xf numFmtId="0" fontId="28" fillId="0" borderId="191"/>
    <xf numFmtId="0" fontId="16" fillId="24" borderId="194" applyNumberFormat="0" applyAlignment="0" applyProtection="0"/>
    <xf numFmtId="0" fontId="48" fillId="12" borderId="102" applyNumberFormat="0" applyAlignment="0" applyProtection="0"/>
    <xf numFmtId="0" fontId="28" fillId="10" borderId="168" applyNumberFormat="0" applyFont="0" applyAlignment="0" applyProtection="0"/>
    <xf numFmtId="0" fontId="24" fillId="24" borderId="162" applyNumberForma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77" applyNumberFormat="0" applyFont="0" applyAlignment="0" applyProtection="0"/>
    <xf numFmtId="0" fontId="32" fillId="24" borderId="176" applyNumberFormat="0" applyAlignment="0" applyProtection="0"/>
    <xf numFmtId="0" fontId="48" fillId="12" borderId="167" applyNumberFormat="0" applyAlignment="0" applyProtection="0"/>
    <xf numFmtId="0" fontId="85" fillId="0" borderId="149"/>
    <xf numFmtId="0" fontId="29" fillId="24" borderId="117" applyNumberFormat="0" applyAlignment="0" applyProtection="0"/>
    <xf numFmtId="0" fontId="48" fillId="12" borderId="118" applyNumberFormat="0" applyAlignment="0" applyProtection="0"/>
    <xf numFmtId="0" fontId="8" fillId="10" borderId="144" applyNumberFormat="0" applyFont="0" applyAlignment="0" applyProtection="0"/>
    <xf numFmtId="0" fontId="49" fillId="10" borderId="128" applyNumberFormat="0" applyFont="0" applyAlignment="0" applyProtection="0"/>
    <xf numFmtId="0" fontId="31" fillId="0" borderId="158" applyNumberFormat="0" applyFill="0" applyAlignment="0" applyProtection="0"/>
    <xf numFmtId="0" fontId="8" fillId="45" borderId="150" applyNumberFormat="0" applyFont="0" applyAlignment="0" applyProtection="0"/>
    <xf numFmtId="0" fontId="85" fillId="0" borderId="149"/>
    <xf numFmtId="0" fontId="32" fillId="24" borderId="153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85" fillId="0" borderId="99"/>
    <xf numFmtId="0" fontId="25" fillId="8" borderId="102" applyNumberFormat="0" applyAlignment="0" applyProtection="0"/>
    <xf numFmtId="0" fontId="18" fillId="10" borderId="103" applyNumberFormat="0" applyFont="0" applyAlignment="0" applyProtection="0"/>
    <xf numFmtId="0" fontId="8" fillId="10" borderId="103" applyNumberFormat="0" applyFont="0" applyAlignment="0" applyProtection="0"/>
    <xf numFmtId="0" fontId="31" fillId="0" borderId="105" applyNumberFormat="0" applyFill="0" applyAlignment="0" applyProtection="0"/>
    <xf numFmtId="0" fontId="49" fillId="10" borderId="103" applyNumberFormat="0" applyFont="0" applyAlignment="0" applyProtection="0"/>
    <xf numFmtId="0" fontId="16" fillId="24" borderId="102" applyNumberFormat="0" applyAlignment="0" applyProtection="0"/>
    <xf numFmtId="0" fontId="25" fillId="8" borderId="102" applyNumberFormat="0" applyAlignment="0" applyProtection="0"/>
    <xf numFmtId="0" fontId="48" fillId="12" borderId="102" applyNumberFormat="0" applyAlignment="0" applyProtection="0"/>
    <xf numFmtId="0" fontId="31" fillId="0" borderId="148" applyNumberFormat="0" applyFill="0" applyAlignment="0" applyProtection="0"/>
    <xf numFmtId="0" fontId="8" fillId="10" borderId="195" applyNumberFormat="0" applyFont="0" applyAlignment="0" applyProtection="0"/>
    <xf numFmtId="0" fontId="8" fillId="10" borderId="168" applyNumberFormat="0" applyFont="0" applyAlignment="0" applyProtection="0"/>
    <xf numFmtId="0" fontId="85" fillId="0" borderId="174"/>
    <xf numFmtId="0" fontId="31" fillId="0" borderId="179" applyNumberFormat="0" applyFill="0" applyAlignment="0" applyProtection="0"/>
    <xf numFmtId="0" fontId="85" fillId="73" borderId="174"/>
    <xf numFmtId="0" fontId="48" fillId="24" borderId="143" applyNumberFormat="0" applyAlignment="0" applyProtection="0"/>
    <xf numFmtId="0" fontId="29" fillId="24" borderId="170" applyNumberFormat="0" applyAlignment="0" applyProtection="0"/>
    <xf numFmtId="0" fontId="41" fillId="13" borderId="194" applyNumberFormat="0" applyAlignment="0" applyProtection="0"/>
    <xf numFmtId="0" fontId="28" fillId="10" borderId="195" applyNumberFormat="0" applyFont="0" applyAlignment="0" applyProtection="0"/>
    <xf numFmtId="0" fontId="29" fillId="24" borderId="170" applyNumberFormat="0" applyAlignment="0" applyProtection="0"/>
    <xf numFmtId="0" fontId="28" fillId="0" borderId="124"/>
    <xf numFmtId="0" fontId="24" fillId="24" borderId="120" applyNumberFormat="0" applyAlignment="0" applyProtection="0"/>
    <xf numFmtId="0" fontId="31" fillId="0" borderId="123" applyNumberFormat="0" applyFill="0" applyAlignment="0" applyProtection="0"/>
    <xf numFmtId="0" fontId="73" fillId="0" borderId="164" applyBorder="0">
      <alignment horizontal="center" vertical="center" wrapText="1"/>
    </xf>
    <xf numFmtId="0" fontId="85" fillId="73" borderId="174"/>
    <xf numFmtId="0" fontId="29" fillId="24" borderId="193" applyNumberFormat="0" applyAlignment="0" applyProtection="0"/>
    <xf numFmtId="0" fontId="24" fillId="24" borderId="169" applyNumberFormat="0" applyAlignment="0" applyProtection="0"/>
    <xf numFmtId="0" fontId="31" fillId="0" borderId="166" applyNumberFormat="0" applyFill="0" applyAlignment="0" applyProtection="0"/>
    <xf numFmtId="0" fontId="31" fillId="0" borderId="142" applyNumberFormat="0" applyFill="0" applyAlignment="0" applyProtection="0"/>
    <xf numFmtId="0" fontId="31" fillId="0" borderId="171" applyNumberFormat="0" applyFill="0" applyAlignment="0" applyProtection="0"/>
    <xf numFmtId="0" fontId="25" fillId="13" borderId="194" applyNumberFormat="0" applyAlignment="0" applyProtection="0"/>
    <xf numFmtId="0" fontId="31" fillId="0" borderId="200" applyNumberFormat="0" applyFill="0" applyAlignment="0" applyProtection="0"/>
    <xf numFmtId="0" fontId="48" fillId="12" borderId="143" applyNumberFormat="0" applyAlignment="0" applyProtection="0"/>
    <xf numFmtId="0" fontId="31" fillId="0" borderId="197" applyNumberFormat="0" applyFill="0" applyAlignment="0" applyProtection="0"/>
    <xf numFmtId="0" fontId="48" fillId="24" borderId="118" applyNumberFormat="0" applyAlignment="0" applyProtection="0"/>
    <xf numFmtId="0" fontId="48" fillId="12" borderId="118" applyNumberFormat="0" applyAlignment="0" applyProtection="0"/>
    <xf numFmtId="0" fontId="8" fillId="10" borderId="85" applyNumberFormat="0" applyFon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18" fillId="10" borderId="168" applyNumberFormat="0" applyFont="0" applyAlignment="0" applyProtection="0"/>
    <xf numFmtId="0" fontId="28" fillId="0" borderId="88"/>
    <xf numFmtId="0" fontId="49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23" applyNumberFormat="0" applyFill="0" applyAlignment="0" applyProtection="0"/>
    <xf numFmtId="0" fontId="28" fillId="10" borderId="128" applyNumberFormat="0" applyFont="0" applyAlignment="0" applyProtection="0"/>
    <xf numFmtId="0" fontId="28" fillId="0" borderId="124"/>
    <xf numFmtId="0" fontId="24" fillId="24" borderId="62" applyNumberFormat="0" applyAlignment="0" applyProtection="0"/>
    <xf numFmtId="0" fontId="8" fillId="10" borderId="61" applyNumberFormat="0" applyFont="0" applyAlignment="0" applyProtection="0"/>
    <xf numFmtId="0" fontId="8" fillId="10" borderId="61" applyNumberFormat="0" applyFont="0" applyAlignment="0" applyProtection="0"/>
    <xf numFmtId="0" fontId="29" fillId="24" borderId="78" applyNumberFormat="0" applyAlignment="0" applyProtection="0"/>
    <xf numFmtId="0" fontId="29" fillId="24" borderId="91" applyNumberFormat="0" applyAlignment="0" applyProtection="0"/>
    <xf numFmtId="0" fontId="25" fillId="13" borderId="60" applyNumberFormat="0" applyAlignment="0" applyProtection="0"/>
    <xf numFmtId="0" fontId="29" fillId="24" borderId="146" applyNumberFormat="0" applyAlignment="0" applyProtection="0"/>
    <xf numFmtId="0" fontId="32" fillId="24" borderId="143" applyNumberFormat="0" applyAlignment="0" applyProtection="0"/>
    <xf numFmtId="0" fontId="28" fillId="0" borderId="191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25" fillId="8" borderId="194" applyNumberFormat="0" applyAlignment="0" applyProtection="0"/>
    <xf numFmtId="0" fontId="41" fillId="13" borderId="95" applyNumberFormat="0" applyAlignment="0" applyProtection="0"/>
    <xf numFmtId="0" fontId="32" fillId="24" borderId="95" applyNumberFormat="0" applyAlignment="0" applyProtection="0"/>
    <xf numFmtId="0" fontId="41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85" fillId="0" borderId="53"/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28" fillId="10" borderId="50" applyNumberFormat="0" applyFont="0" applyAlignment="0" applyProtection="0"/>
    <xf numFmtId="0" fontId="29" fillId="12" borderId="56" applyNumberFormat="0" applyAlignment="0" applyProtection="0"/>
    <xf numFmtId="0" fontId="31" fillId="0" borderId="123" applyNumberFormat="0" applyFill="0" applyAlignment="0" applyProtection="0"/>
    <xf numFmtId="0" fontId="28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1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28" fillId="0" borderId="53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9" fillId="12" borderId="56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10" borderId="50" applyNumberFormat="0" applyFont="0" applyAlignment="0" applyProtection="0"/>
    <xf numFmtId="0" fontId="73" fillId="0" borderId="54" applyBorder="0">
      <alignment horizontal="center" vertical="center" wrapText="1"/>
    </xf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24" fillId="24" borderId="51" applyNumberFormat="0" applyAlignment="0" applyProtection="0"/>
    <xf numFmtId="0" fontId="29" fillId="12" borderId="56" applyNumberFormat="0" applyAlignment="0" applyProtection="0"/>
    <xf numFmtId="0" fontId="31" fillId="0" borderId="58" applyNumberFormat="0" applyFill="0" applyAlignment="0" applyProtection="0"/>
    <xf numFmtId="0" fontId="29" fillId="12" borderId="56" applyNumberFormat="0" applyAlignment="0" applyProtection="0"/>
    <xf numFmtId="0" fontId="28" fillId="0" borderId="53"/>
    <xf numFmtId="0" fontId="49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18" fillId="10" borderId="50" applyNumberFormat="0" applyFont="0" applyAlignment="0" applyProtection="0"/>
    <xf numFmtId="0" fontId="31" fillId="0" borderId="121" applyNumberFormat="0" applyFill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25" fillId="8" borderId="167" applyNumberFormat="0" applyAlignment="0" applyProtection="0"/>
    <xf numFmtId="0" fontId="48" fillId="12" borderId="118" applyNumberForma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31" fillId="0" borderId="116" applyNumberFormat="0" applyFill="0" applyAlignment="0" applyProtection="0"/>
    <xf numFmtId="0" fontId="31" fillId="0" borderId="52" applyNumberFormat="0" applyFill="0" applyAlignment="0" applyProtection="0"/>
    <xf numFmtId="0" fontId="31" fillId="0" borderId="100" applyNumberFormat="0" applyFill="0" applyAlignment="0" applyProtection="0"/>
    <xf numFmtId="0" fontId="48" fillId="24" borderId="143" applyNumberFormat="0" applyAlignment="0" applyProtection="0"/>
    <xf numFmtId="0" fontId="31" fillId="0" borderId="139" applyNumberFormat="0" applyFill="0" applyAlignment="0" applyProtection="0"/>
    <xf numFmtId="0" fontId="49" fillId="10" borderId="50" applyNumberFormat="0" applyFont="0" applyAlignment="0" applyProtection="0"/>
    <xf numFmtId="0" fontId="73" fillId="0" borderId="141" applyBorder="0">
      <alignment horizontal="center" vertical="center" wrapText="1"/>
    </xf>
    <xf numFmtId="0" fontId="48" fillId="24" borderId="194" applyNumberFormat="0" applyAlignment="0" applyProtection="0"/>
    <xf numFmtId="0" fontId="73" fillId="0" borderId="198" applyBorder="0">
      <alignment horizontal="center" vertical="center" wrapText="1"/>
    </xf>
    <xf numFmtId="0" fontId="49" fillId="10" borderId="168" applyNumberFormat="0" applyFont="0" applyAlignment="0" applyProtection="0"/>
    <xf numFmtId="0" fontId="31" fillId="0" borderId="148" applyNumberFormat="0" applyFill="0" applyAlignment="0" applyProtection="0"/>
    <xf numFmtId="0" fontId="41" fillId="13" borderId="143" applyNumberFormat="0" applyAlignment="0" applyProtection="0"/>
    <xf numFmtId="0" fontId="31" fillId="0" borderId="163" applyNumberFormat="0" applyFill="0" applyAlignment="0" applyProtection="0"/>
    <xf numFmtId="0" fontId="25" fillId="8" borderId="194" applyNumberFormat="0" applyAlignment="0" applyProtection="0"/>
    <xf numFmtId="0" fontId="31" fillId="0" borderId="172" applyNumberFormat="0" applyFill="0" applyAlignment="0" applyProtection="0"/>
    <xf numFmtId="0" fontId="28" fillId="0" borderId="88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12" borderId="91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29" fillId="24" borderId="78" applyNumberFormat="0" applyAlignment="0" applyProtection="0"/>
    <xf numFmtId="0" fontId="24" fillId="24" borderId="169" applyNumberFormat="0" applyAlignment="0" applyProtection="0"/>
    <xf numFmtId="0" fontId="24" fillId="24" borderId="196" applyNumberFormat="0" applyAlignment="0" applyProtection="0"/>
    <xf numFmtId="0" fontId="18" fillId="10" borderId="195" applyNumberFormat="0" applyFont="0" applyAlignment="0" applyProtection="0"/>
    <xf numFmtId="0" fontId="28" fillId="10" borderId="195" applyNumberFormat="0" applyFont="0" applyAlignment="0" applyProtection="0"/>
    <xf numFmtId="0" fontId="28" fillId="10" borderId="177" applyNumberFormat="0" applyFont="0" applyAlignment="0" applyProtection="0"/>
    <xf numFmtId="0" fontId="73" fillId="0" borderId="198" applyBorder="0">
      <alignment horizontal="center" vertical="center" wrapText="1"/>
    </xf>
    <xf numFmtId="0" fontId="8" fillId="45" borderId="202" applyNumberFormat="0" applyFont="0" applyAlignment="0" applyProtection="0"/>
    <xf numFmtId="0" fontId="25" fillId="8" borderId="118" applyNumberFormat="0" applyAlignment="0" applyProtection="0"/>
    <xf numFmtId="0" fontId="31" fillId="0" borderId="142" applyNumberFormat="0" applyFill="0" applyAlignment="0" applyProtection="0"/>
    <xf numFmtId="0" fontId="16" fillId="24" borderId="194" applyNumberFormat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28" fillId="10" borderId="119" applyNumberFormat="0" applyFon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48" fillId="24" borderId="176" applyNumberFormat="0" applyAlignment="0" applyProtection="0"/>
    <xf numFmtId="0" fontId="29" fillId="24" borderId="117" applyNumberFormat="0" applyAlignment="0" applyProtection="0"/>
    <xf numFmtId="0" fontId="16" fillId="24" borderId="95" applyNumberFormat="0" applyAlignment="0" applyProtection="0"/>
    <xf numFmtId="0" fontId="49" fillId="10" borderId="119" applyNumberFormat="0" applyFont="0" applyAlignment="0" applyProtection="0"/>
    <xf numFmtId="0" fontId="25" fillId="13" borderId="134" applyNumberFormat="0" applyAlignment="0" applyProtection="0"/>
    <xf numFmtId="0" fontId="29" fillId="12" borderId="91" applyNumberFormat="0" applyAlignment="0" applyProtection="0"/>
    <xf numFmtId="0" fontId="85" fillId="0" borderId="88"/>
    <xf numFmtId="0" fontId="28" fillId="0" borderId="88"/>
    <xf numFmtId="0" fontId="49" fillId="10" borderId="85" applyNumberFormat="0" applyFont="0" applyAlignment="0" applyProtection="0"/>
    <xf numFmtId="0" fontId="49" fillId="10" borderId="85" applyNumberFormat="0" applyFont="0" applyAlignment="0" applyProtection="0"/>
    <xf numFmtId="0" fontId="16" fillId="24" borderId="167" applyNumberFormat="0" applyAlignment="0" applyProtection="0"/>
    <xf numFmtId="0" fontId="28" fillId="0" borderId="88"/>
    <xf numFmtId="0" fontId="31" fillId="0" borderId="116" applyNumberFormat="0" applyFill="0" applyAlignment="0" applyProtection="0"/>
    <xf numFmtId="0" fontId="73" fillId="0" borderId="89" applyBorder="0">
      <alignment horizontal="center" vertical="center" wrapText="1"/>
    </xf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18" fillId="10" borderId="119" applyNumberFormat="0" applyFont="0" applyAlignment="0" applyProtection="0"/>
    <xf numFmtId="0" fontId="73" fillId="0" borderId="173" applyBorder="0">
      <alignment horizontal="center" vertical="center" wrapText="1"/>
    </xf>
    <xf numFmtId="0" fontId="41" fillId="13" borderId="102" applyNumberFormat="0" applyAlignment="0" applyProtection="0"/>
    <xf numFmtId="0" fontId="31" fillId="0" borderId="166" applyNumberFormat="0" applyFill="0" applyAlignment="0" applyProtection="0"/>
    <xf numFmtId="0" fontId="28" fillId="10" borderId="168" applyNumberFormat="0" applyFont="0" applyAlignment="0" applyProtection="0"/>
    <xf numFmtId="0" fontId="85" fillId="0" borderId="191"/>
    <xf numFmtId="0" fontId="8" fillId="10" borderId="195" applyNumberFormat="0" applyFont="0" applyAlignment="0" applyProtection="0"/>
    <xf numFmtId="0" fontId="31" fillId="0" borderId="158" applyNumberFormat="0" applyFill="0" applyAlignment="0" applyProtection="0"/>
    <xf numFmtId="0" fontId="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24" borderId="167" applyNumberFormat="0" applyAlignment="0" applyProtection="0"/>
    <xf numFmtId="0" fontId="41" fillId="13" borderId="118" applyNumberFormat="0" applyAlignment="0" applyProtection="0"/>
    <xf numFmtId="0" fontId="28" fillId="10" borderId="119" applyNumberFormat="0" applyFont="0" applyAlignment="0" applyProtection="0"/>
    <xf numFmtId="0" fontId="25" fillId="13" borderId="194" applyNumberFormat="0" applyAlignment="0" applyProtection="0"/>
    <xf numFmtId="0" fontId="29" fillId="24" borderId="170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87" applyNumberFormat="0" applyFill="0" applyAlignment="0" applyProtection="0"/>
    <xf numFmtId="0" fontId="28" fillId="10" borderId="161" applyNumberFormat="0" applyFont="0" applyAlignment="0" applyProtection="0"/>
    <xf numFmtId="0" fontId="41" fillId="13" borderId="102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100" applyNumberFormat="0" applyFill="0" applyAlignment="0" applyProtection="0"/>
    <xf numFmtId="0" fontId="8" fillId="10" borderId="177" applyNumberFormat="0" applyFont="0" applyAlignment="0" applyProtection="0"/>
    <xf numFmtId="0" fontId="28" fillId="10" borderId="161" applyNumberFormat="0" applyFont="0" applyAlignment="0" applyProtection="0"/>
    <xf numFmtId="0" fontId="25" fillId="13" borderId="143" applyNumberFormat="0" applyAlignment="0" applyProtection="0"/>
    <xf numFmtId="0" fontId="29" fillId="24" borderId="146" applyNumberFormat="0" applyAlignment="0" applyProtection="0"/>
    <xf numFmtId="0" fontId="85" fillId="73" borderId="82"/>
    <xf numFmtId="0" fontId="49" fillId="10" borderId="103" applyNumberFormat="0" applyFont="0" applyAlignment="0" applyProtection="0"/>
    <xf numFmtId="0" fontId="8" fillId="10" borderId="177" applyNumberFormat="0" applyFont="0" applyAlignment="0" applyProtection="0"/>
    <xf numFmtId="0" fontId="28" fillId="0" borderId="82"/>
    <xf numFmtId="0" fontId="48" fillId="24" borderId="75" applyNumberFormat="0" applyAlignment="0" applyProtection="0"/>
    <xf numFmtId="0" fontId="29" fillId="12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3" fillId="0" borderId="81" applyBorder="0">
      <alignment horizontal="center" vertical="center" wrapText="1"/>
    </xf>
    <xf numFmtId="0" fontId="8" fillId="45" borderId="94" applyNumberFormat="0" applyFont="0" applyAlignment="0" applyProtection="0"/>
    <xf numFmtId="0" fontId="25" fillId="8" borderId="118" applyNumberFormat="0" applyAlignment="0" applyProtection="0"/>
    <xf numFmtId="0" fontId="32" fillId="24" borderId="118" applyNumberFormat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8" fillId="0" borderId="18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16" fillId="24" borderId="102" applyNumberFormat="0" applyAlignment="0" applyProtection="0"/>
    <xf numFmtId="0" fontId="8" fillId="10" borderId="144" applyNumberFormat="0" applyFont="0" applyAlignment="0" applyProtection="0"/>
    <xf numFmtId="0" fontId="18" fillId="10" borderId="103" applyNumberFormat="0" applyFont="0" applyAlignment="0" applyProtection="0"/>
    <xf numFmtId="0" fontId="31" fillId="0" borderId="158" applyNumberFormat="0" applyFill="0" applyAlignment="0" applyProtection="0"/>
    <xf numFmtId="0" fontId="49" fillId="10" borderId="168" applyNumberFormat="0" applyFont="0" applyAlignment="0" applyProtection="0"/>
    <xf numFmtId="0" fontId="29" fillId="24" borderId="193" applyNumberFormat="0" applyAlignment="0" applyProtection="0"/>
    <xf numFmtId="0" fontId="24" fillId="24" borderId="120" applyNumberFormat="0" applyAlignment="0" applyProtection="0"/>
    <xf numFmtId="0" fontId="16" fillId="24" borderId="194" applyNumberFormat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24" borderId="117" applyNumberFormat="0" applyAlignment="0" applyProtection="0"/>
    <xf numFmtId="0" fontId="49" fillId="10" borderId="168" applyNumberFormat="0" applyFont="0" applyAlignment="0" applyProtection="0"/>
    <xf numFmtId="0" fontId="41" fillId="13" borderId="127" applyNumberFormat="0" applyAlignment="0" applyProtection="0"/>
    <xf numFmtId="0" fontId="85" fillId="0" borderId="124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48" fillId="12" borderId="143" applyNumberFormat="0" applyAlignment="0" applyProtection="0"/>
    <xf numFmtId="0" fontId="25" fillId="8" borderId="143" applyNumberFormat="0" applyAlignment="0" applyProtection="0"/>
    <xf numFmtId="0" fontId="29" fillId="24" borderId="133" applyNumberFormat="0" applyAlignment="0" applyProtection="0"/>
    <xf numFmtId="0" fontId="31" fillId="0" borderId="100" applyNumberFormat="0" applyFill="0" applyAlignment="0" applyProtection="0"/>
    <xf numFmtId="0" fontId="25" fillId="8" borderId="118" applyNumberFormat="0" applyAlignment="0" applyProtection="0"/>
    <xf numFmtId="0" fontId="25" fillId="8" borderId="75" applyNumberFormat="0" applyAlignment="0" applyProtection="0"/>
    <xf numFmtId="0" fontId="31" fillId="0" borderId="93" applyNumberFormat="0" applyFill="0" applyAlignment="0" applyProtection="0"/>
    <xf numFmtId="0" fontId="85" fillId="0" borderId="174"/>
    <xf numFmtId="0" fontId="48" fillId="12" borderId="75" applyNumberFormat="0" applyAlignment="0" applyProtection="0"/>
    <xf numFmtId="0" fontId="28" fillId="10" borderId="188" applyNumberFormat="0" applyFont="0" applyAlignment="0" applyProtection="0"/>
    <xf numFmtId="0" fontId="31" fillId="0" borderId="116" applyNumberFormat="0" applyFill="0" applyAlignment="0" applyProtection="0"/>
    <xf numFmtId="0" fontId="8" fillId="10" borderId="112" applyNumberFormat="0" applyFont="0" applyAlignment="0" applyProtection="0"/>
    <xf numFmtId="0" fontId="29" fillId="24" borderId="146" applyNumberFormat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7" fillId="0" borderId="71">
      <alignment horizontal="center"/>
    </xf>
    <xf numFmtId="0" fontId="29" fillId="12" borderId="101" applyNumberFormat="0" applyAlignment="0" applyProtection="0"/>
    <xf numFmtId="0" fontId="18" fillId="10" borderId="76" applyNumberFormat="0" applyFont="0" applyAlignment="0" applyProtection="0"/>
    <xf numFmtId="0" fontId="31" fillId="0" borderId="158" applyNumberFormat="0" applyFill="0" applyAlignment="0" applyProtection="0"/>
    <xf numFmtId="0" fontId="25" fillId="13" borderId="143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31" fillId="0" borderId="122" applyNumberFormat="0" applyFill="0" applyAlignment="0" applyProtection="0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28" fillId="10" borderId="119" applyNumberFormat="0" applyFont="0" applyAlignment="0" applyProtection="0"/>
    <xf numFmtId="0" fontId="31" fillId="0" borderId="165" applyNumberFormat="0" applyFill="0" applyAlignment="0" applyProtection="0"/>
    <xf numFmtId="0" fontId="41" fillId="13" borderId="203" applyNumberFormat="0" applyAlignment="0" applyProtection="0"/>
    <xf numFmtId="0" fontId="18" fillId="10" borderId="177" applyNumberFormat="0" applyFont="0" applyAlignment="0" applyProtection="0"/>
    <xf numFmtId="0" fontId="25" fillId="13" borderId="167" applyNumberFormat="0" applyAlignment="0" applyProtection="0"/>
    <xf numFmtId="0" fontId="31" fillId="0" borderId="199" applyNumberFormat="0" applyFill="0" applyAlignment="0" applyProtection="0"/>
    <xf numFmtId="0" fontId="29" fillId="24" borderId="91" applyNumberFormat="0" applyAlignment="0" applyProtection="0"/>
    <xf numFmtId="0" fontId="29" fillId="12" borderId="91" applyNumberFormat="0" applyAlignment="0" applyProtection="0"/>
    <xf numFmtId="0" fontId="49" fillId="10" borderId="50" applyNumberFormat="0" applyFont="0" applyAlignment="0" applyProtection="0"/>
    <xf numFmtId="0" fontId="48" fillId="12" borderId="49" applyNumberFormat="0" applyAlignment="0" applyProtection="0"/>
    <xf numFmtId="0" fontId="25" fillId="8" borderId="49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8" fillId="10" borderId="50" applyNumberFormat="0" applyFont="0" applyAlignment="0" applyProtection="0"/>
    <xf numFmtId="0" fontId="41" fillId="13" borderId="49" applyNumberFormat="0" applyAlignment="0" applyProtection="0"/>
    <xf numFmtId="0" fontId="48" fillId="12" borderId="49" applyNumberFormat="0" applyAlignment="0" applyProtection="0"/>
    <xf numFmtId="0" fontId="48" fillId="24" borderId="49" applyNumberFormat="0" applyAlignment="0" applyProtection="0"/>
    <xf numFmtId="0" fontId="31" fillId="0" borderId="55" applyNumberFormat="0" applyFill="0" applyAlignment="0" applyProtection="0"/>
    <xf numFmtId="0" fontId="48" fillId="24" borderId="49" applyNumberForma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49" fillId="10" borderId="119" applyNumberFormat="0" applyFon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31" fillId="0" borderId="90" applyNumberFormat="0" applyFill="0" applyAlignment="0" applyProtection="0"/>
    <xf numFmtId="0" fontId="8" fillId="10" borderId="96" applyNumberFormat="0" applyFont="0" applyAlignment="0" applyProtection="0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48" fillId="24" borderId="167" applyNumberFormat="0" applyAlignment="0" applyProtection="0"/>
    <xf numFmtId="0" fontId="32" fillId="24" borderId="167" applyNumberFormat="0" applyAlignment="0" applyProtection="0"/>
    <xf numFmtId="0" fontId="8" fillId="10" borderId="168" applyNumberFormat="0" applyFont="0" applyAlignment="0" applyProtection="0"/>
    <xf numFmtId="0" fontId="16" fillId="24" borderId="176" applyNumberFormat="0" applyAlignment="0" applyProtection="0"/>
    <xf numFmtId="0" fontId="28" fillId="10" borderId="177" applyNumberFormat="0" applyFon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41" fillId="13" borderId="102" applyNumberFormat="0" applyAlignment="0" applyProtection="0"/>
    <xf numFmtId="0" fontId="73" fillId="0" borderId="138" applyBorder="0">
      <alignment horizontal="center" vertical="center" wrapText="1"/>
    </xf>
    <xf numFmtId="0" fontId="49" fillId="10" borderId="68" applyNumberFormat="0" applyFont="0" applyAlignment="0" applyProtection="0"/>
    <xf numFmtId="0" fontId="48" fillId="12" borderId="67" applyNumberFormat="0" applyAlignment="0" applyProtection="0"/>
    <xf numFmtId="0" fontId="25" fillId="8" borderId="67" applyNumberFormat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24" fillId="24" borderId="69" applyNumberFormat="0" applyAlignment="0" applyProtection="0"/>
    <xf numFmtId="0" fontId="8" fillId="10" borderId="68" applyNumberFormat="0" applyFont="0" applyAlignment="0" applyProtection="0"/>
    <xf numFmtId="0" fontId="41" fillId="13" borderId="67" applyNumberFormat="0" applyAlignment="0" applyProtection="0"/>
    <xf numFmtId="0" fontId="48" fillId="12" borderId="67" applyNumberFormat="0" applyAlignment="0" applyProtection="0"/>
    <xf numFmtId="0" fontId="48" fillId="24" borderId="67" applyNumberFormat="0" applyAlignment="0" applyProtection="0"/>
    <xf numFmtId="0" fontId="31" fillId="0" borderId="65" applyNumberFormat="0" applyFill="0" applyAlignment="0" applyProtection="0"/>
    <xf numFmtId="0" fontId="48" fillId="24" borderId="67" applyNumberFormat="0" applyAlignment="0" applyProtection="0"/>
    <xf numFmtId="0" fontId="49" fillId="10" borderId="68" applyNumberFormat="0" applyFont="0" applyAlignment="0" applyProtection="0"/>
    <xf numFmtId="0" fontId="29" fillId="12" borderId="66" applyNumberFormat="0" applyAlignment="0" applyProtection="0"/>
    <xf numFmtId="0" fontId="8" fillId="10" borderId="68" applyNumberFormat="0" applyFont="0" applyAlignment="0" applyProtection="0"/>
    <xf numFmtId="0" fontId="8" fillId="10" borderId="61" applyNumberFormat="0" applyFont="0" applyAlignment="0" applyProtection="0"/>
    <xf numFmtId="0" fontId="49" fillId="10" borderId="61" applyNumberFormat="0" applyFont="0" applyAlignment="0" applyProtection="0"/>
    <xf numFmtId="0" fontId="31" fillId="0" borderId="63" applyNumberFormat="0" applyFill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31" fillId="0" borderId="65" applyNumberFormat="0" applyFill="0" applyAlignment="0" applyProtection="0"/>
    <xf numFmtId="0" fontId="48" fillId="24" borderId="167" applyNumberFormat="0" applyAlignment="0" applyProtection="0"/>
    <xf numFmtId="0" fontId="49" fillId="10" borderId="195" applyNumberFormat="0" applyFont="0" applyAlignment="0" applyProtection="0"/>
    <xf numFmtId="0" fontId="31" fillId="0" borderId="163" applyNumberFormat="0" applyFill="0" applyAlignment="0" applyProtection="0"/>
    <xf numFmtId="0" fontId="8" fillId="10" borderId="144" applyNumberFormat="0" applyFont="0" applyAlignment="0" applyProtection="0"/>
    <xf numFmtId="0" fontId="48" fillId="12" borderId="102" applyNumberFormat="0" applyAlignment="0" applyProtection="0"/>
    <xf numFmtId="0" fontId="24" fillId="24" borderId="120" applyNumberFormat="0" applyAlignment="0" applyProtection="0"/>
    <xf numFmtId="0" fontId="31" fillId="0" borderId="158" applyNumberFormat="0" applyFill="0" applyAlignment="0" applyProtection="0"/>
    <xf numFmtId="0" fontId="24" fillId="24" borderId="155" applyNumberFormat="0" applyAlignment="0" applyProtection="0"/>
    <xf numFmtId="0" fontId="1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68" applyNumberFormat="0" applyFont="0" applyAlignment="0" applyProtection="0"/>
    <xf numFmtId="0" fontId="28" fillId="10" borderId="119" applyNumberFormat="0" applyFont="0" applyAlignment="0" applyProtection="0"/>
    <xf numFmtId="0" fontId="1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12" borderId="134" applyNumberFormat="0" applyAlignment="0" applyProtection="0"/>
    <xf numFmtId="0" fontId="29" fillId="24" borderId="170" applyNumberFormat="0" applyAlignment="0" applyProtection="0"/>
    <xf numFmtId="0" fontId="32" fillId="24" borderId="187" applyNumberFormat="0" applyAlignment="0" applyProtection="0"/>
    <xf numFmtId="0" fontId="25" fillId="8" borderId="167" applyNumberFormat="0" applyAlignment="0" applyProtection="0"/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8" fillId="10" borderId="168" applyNumberFormat="0" applyFon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29" fillId="12" borderId="170" applyNumberFormat="0" applyAlignment="0" applyProtection="0"/>
    <xf numFmtId="0" fontId="25" fillId="8" borderId="167" applyNumberFormat="0" applyAlignment="0" applyProtection="0"/>
    <xf numFmtId="0" fontId="31" fillId="0" borderId="184" applyNumberFormat="0" applyFill="0" applyAlignment="0" applyProtection="0"/>
    <xf numFmtId="0" fontId="31" fillId="0" borderId="185" applyNumberFormat="0" applyFill="0" applyAlignment="0" applyProtection="0"/>
    <xf numFmtId="0" fontId="25" fillId="8" borderId="118" applyNumberFormat="0" applyAlignment="0" applyProtection="0"/>
    <xf numFmtId="0" fontId="29" fillId="24" borderId="117" applyNumberFormat="0" applyAlignment="0" applyProtection="0"/>
    <xf numFmtId="0" fontId="28" fillId="0" borderId="180"/>
    <xf numFmtId="0" fontId="49" fillId="10" borderId="85" applyNumberFormat="0" applyFont="0" applyAlignment="0" applyProtection="0"/>
    <xf numFmtId="0" fontId="48" fillId="12" borderId="84" applyNumberFormat="0" applyAlignment="0" applyProtection="0"/>
    <xf numFmtId="0" fontId="25" fillId="8" borderId="84" applyNumberForma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24" fillId="24" borderId="86" applyNumberFormat="0" applyAlignment="0" applyProtection="0"/>
    <xf numFmtId="0" fontId="8" fillId="10" borderId="85" applyNumberFormat="0" applyFont="0" applyAlignment="0" applyProtection="0"/>
    <xf numFmtId="0" fontId="41" fillId="13" borderId="84" applyNumberFormat="0" applyAlignment="0" applyProtection="0"/>
    <xf numFmtId="0" fontId="48" fillId="12" borderId="84" applyNumberFormat="0" applyAlignment="0" applyProtection="0"/>
    <xf numFmtId="0" fontId="48" fillId="24" borderId="84" applyNumberFormat="0" applyAlignment="0" applyProtection="0"/>
    <xf numFmtId="0" fontId="31" fillId="0" borderId="90" applyNumberFormat="0" applyFill="0" applyAlignment="0" applyProtection="0"/>
    <xf numFmtId="0" fontId="48" fillId="24" borderId="84" applyNumberFormat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49" fillId="10" borderId="177" applyNumberFormat="0" applyFont="0" applyAlignment="0" applyProtection="0"/>
    <xf numFmtId="0" fontId="16" fillId="24" borderId="134" applyNumberFormat="0" applyAlignment="0" applyProtection="0"/>
    <xf numFmtId="0" fontId="28" fillId="0" borderId="191"/>
    <xf numFmtId="0" fontId="31" fillId="0" borderId="200" applyNumberFormat="0" applyFill="0" applyAlignment="0" applyProtection="0"/>
    <xf numFmtId="0" fontId="31" fillId="0" borderId="171" applyNumberFormat="0" applyFill="0" applyAlignment="0" applyProtection="0"/>
    <xf numFmtId="0" fontId="41" fillId="13" borderId="194" applyNumberFormat="0" applyAlignment="0" applyProtection="0"/>
    <xf numFmtId="0" fontId="28" fillId="0" borderId="149"/>
    <xf numFmtId="0" fontId="85" fillId="0" borderId="149"/>
    <xf numFmtId="0" fontId="31" fillId="0" borderId="185" applyNumberFormat="0" applyFill="0" applyAlignment="0" applyProtection="0"/>
    <xf numFmtId="0" fontId="16" fillId="24" borderId="102" applyNumberFormat="0" applyAlignment="0" applyProtection="0"/>
    <xf numFmtId="0" fontId="41" fillId="13" borderId="187" applyNumberFormat="0" applyAlignment="0" applyProtection="0"/>
    <xf numFmtId="0" fontId="8" fillId="10" borderId="177" applyNumberFormat="0" applyFont="0" applyAlignment="0" applyProtection="0"/>
    <xf numFmtId="0" fontId="29" fillId="24" borderId="146" applyNumberFormat="0" applyAlignment="0" applyProtection="0"/>
    <xf numFmtId="0" fontId="18" fillId="10" borderId="195" applyNumberFormat="0" applyFont="0" applyAlignment="0" applyProtection="0"/>
    <xf numFmtId="0" fontId="28" fillId="10" borderId="177" applyNumberFormat="0" applyFont="0" applyAlignment="0" applyProtection="0"/>
    <xf numFmtId="0" fontId="25" fillId="8" borderId="134" applyNumberFormat="0" applyAlignment="0" applyProtection="0"/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28" fillId="0" borderId="124"/>
    <xf numFmtId="0" fontId="31" fillId="0" borderId="197" applyNumberFormat="0" applyFill="0" applyAlignment="0" applyProtection="0"/>
    <xf numFmtId="0" fontId="48" fillId="24" borderId="167" applyNumberFormat="0" applyAlignment="0" applyProtection="0"/>
    <xf numFmtId="0" fontId="8" fillId="10" borderId="188" applyNumberFormat="0" applyFont="0" applyAlignment="0" applyProtection="0"/>
    <xf numFmtId="0" fontId="8" fillId="10" borderId="188" applyNumberFormat="0" applyFont="0" applyAlignment="0" applyProtection="0"/>
    <xf numFmtId="0" fontId="31" fillId="0" borderId="137" applyNumberFormat="0" applyFill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5" fillId="13" borderId="160" applyNumberFormat="0" applyAlignment="0" applyProtection="0"/>
    <xf numFmtId="0" fontId="25" fillId="13" borderId="167" applyNumberFormat="0" applyAlignment="0" applyProtection="0"/>
    <xf numFmtId="0" fontId="31" fillId="0" borderId="172" applyNumberFormat="0" applyFill="0" applyAlignment="0" applyProtection="0"/>
    <xf numFmtId="0" fontId="49" fillId="10" borderId="168" applyNumberFormat="0" applyFont="0" applyAlignment="0" applyProtection="0"/>
    <xf numFmtId="0" fontId="48" fillId="12" borderId="143" applyNumberFormat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8" fillId="10" borderId="168" applyNumberFormat="0" applyFont="0" applyAlignment="0" applyProtection="0"/>
    <xf numFmtId="0" fontId="41" fillId="13" borderId="134" applyNumberFormat="0" applyAlignment="0" applyProtection="0"/>
    <xf numFmtId="0" fontId="28" fillId="10" borderId="135" applyNumberFormat="0" applyFont="0" applyAlignment="0" applyProtection="0"/>
    <xf numFmtId="0" fontId="73" fillId="0" borderId="106" applyBorder="0">
      <alignment horizontal="center" vertical="center" wrapText="1"/>
    </xf>
    <xf numFmtId="0" fontId="25" fillId="13" borderId="143" applyNumberFormat="0" applyAlignment="0" applyProtection="0"/>
    <xf numFmtId="0" fontId="25" fillId="8" borderId="118" applyNumberFormat="0" applyAlignment="0" applyProtection="0"/>
    <xf numFmtId="0" fontId="31" fillId="0" borderId="121" applyNumberFormat="0" applyFill="0" applyAlignment="0" applyProtection="0"/>
    <xf numFmtId="0" fontId="48" fillId="12" borderId="118" applyNumberFormat="0" applyAlignment="0" applyProtection="0"/>
    <xf numFmtId="0" fontId="41" fillId="13" borderId="167" applyNumberFormat="0" applyAlignment="0" applyProtection="0"/>
    <xf numFmtId="0" fontId="18" fillId="10" borderId="177" applyNumberFormat="0" applyFont="0" applyAlignment="0" applyProtection="0"/>
    <xf numFmtId="0" fontId="25" fillId="13" borderId="102" applyNumberFormat="0" applyAlignment="0" applyProtection="0"/>
    <xf numFmtId="0" fontId="29" fillId="24" borderId="146" applyNumberFormat="0" applyAlignment="0" applyProtection="0"/>
    <xf numFmtId="0" fontId="73" fillId="0" borderId="141" applyBorder="0">
      <alignment horizontal="center" vertical="center" wrapText="1"/>
    </xf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49" fillId="10" borderId="195" applyNumberFormat="0" applyFont="0" applyAlignment="0" applyProtection="0"/>
    <xf numFmtId="0" fontId="16" fillId="24" borderId="203" applyNumberFormat="0" applyAlignment="0" applyProtection="0"/>
    <xf numFmtId="0" fontId="31" fillId="0" borderId="172" applyNumberFormat="0" applyFill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85" fillId="0" borderId="124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31" fillId="0" borderId="192" applyNumberFormat="0" applyFill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28" fillId="10" borderId="195" applyNumberFormat="0" applyFont="0" applyAlignment="0" applyProtection="0"/>
    <xf numFmtId="0" fontId="24" fillId="24" borderId="205" applyNumberFormat="0" applyAlignment="0" applyProtection="0"/>
    <xf numFmtId="0" fontId="29" fillId="24" borderId="146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18" fillId="10" borderId="188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41" fillId="13" borderId="102" applyNumberFormat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48" fillId="24" borderId="102" applyNumberFormat="0" applyAlignment="0" applyProtection="0"/>
    <xf numFmtId="0" fontId="49" fillId="10" borderId="103" applyNumberFormat="0" applyFon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8" fillId="10" borderId="96" applyNumberFormat="0" applyFont="0" applyAlignment="0" applyProtection="0"/>
    <xf numFmtId="0" fontId="49" fillId="10" borderId="96" applyNumberFormat="0" applyFont="0" applyAlignment="0" applyProtection="0"/>
    <xf numFmtId="0" fontId="31" fillId="0" borderId="98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31" fillId="0" borderId="100" applyNumberFormat="0" applyFill="0" applyAlignment="0" applyProtection="0"/>
    <xf numFmtId="0" fontId="25" fillId="13" borderId="194" applyNumberFormat="0" applyAlignment="0" applyProtection="0"/>
    <xf numFmtId="0" fontId="31" fillId="0" borderId="140" applyNumberFormat="0" applyFill="0" applyAlignment="0" applyProtection="0"/>
    <xf numFmtId="0" fontId="24" fillId="24" borderId="196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31" fillId="0" borderId="184" applyNumberFormat="0" applyFill="0" applyAlignment="0" applyProtection="0"/>
    <xf numFmtId="0" fontId="31" fillId="0" borderId="137" applyNumberFormat="0" applyFill="0" applyAlignment="0" applyProtection="0"/>
    <xf numFmtId="0" fontId="29" fillId="24" borderId="146" applyNumberFormat="0" applyAlignment="0" applyProtection="0"/>
    <xf numFmtId="0" fontId="24" fillId="24" borderId="162" applyNumberFormat="0" applyAlignment="0" applyProtection="0"/>
    <xf numFmtId="0" fontId="73" fillId="0" borderId="109" applyBorder="0">
      <alignment horizontal="center" vertical="center" wrapText="1"/>
    </xf>
    <xf numFmtId="0" fontId="28" fillId="10" borderId="154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9" fillId="10" borderId="154" applyNumberFormat="0" applyFont="0" applyAlignment="0" applyProtection="0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25" fillId="8" borderId="194" applyNumberFormat="0" applyAlignment="0" applyProtection="0"/>
    <xf numFmtId="0" fontId="48" fillId="24" borderId="194" applyNumberFormat="0" applyAlignment="0" applyProtection="0"/>
    <xf numFmtId="0" fontId="8" fillId="10" borderId="195" applyNumberFormat="0" applyFont="0" applyAlignment="0" applyProtection="0"/>
    <xf numFmtId="0" fontId="25" fillId="13" borderId="194" applyNumberFormat="0" applyAlignment="0" applyProtection="0"/>
    <xf numFmtId="0" fontId="25" fillId="8" borderId="194" applyNumberForma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31" fillId="0" borderId="172" applyNumberFormat="0" applyFill="0" applyAlignment="0" applyProtection="0"/>
    <xf numFmtId="0" fontId="28" fillId="10" borderId="177" applyNumberFormat="0" applyFont="0" applyAlignment="0" applyProtection="0"/>
    <xf numFmtId="0" fontId="28" fillId="10" borderId="195" applyNumberFormat="0" applyFont="0" applyAlignment="0" applyProtection="0"/>
    <xf numFmtId="0" fontId="48" fillId="12" borderId="167" applyNumberFormat="0" applyAlignment="0" applyProtection="0"/>
    <xf numFmtId="0" fontId="8" fillId="10" borderId="161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5" fillId="8" borderId="118" applyNumberFormat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24" fillId="24" borderId="120" applyNumberFormat="0" applyAlignment="0" applyProtection="0"/>
    <xf numFmtId="0" fontId="8" fillId="10" borderId="119" applyNumberFormat="0" applyFont="0" applyAlignment="0" applyProtection="0"/>
    <xf numFmtId="0" fontId="41" fillId="13" borderId="118" applyNumberFormat="0" applyAlignment="0" applyProtection="0"/>
    <xf numFmtId="0" fontId="48" fillId="12" borderId="118" applyNumberFormat="0" applyAlignment="0" applyProtection="0"/>
    <xf numFmtId="0" fontId="48" fillId="24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8" fillId="10" borderId="119" applyNumberFormat="0" applyFont="0" applyAlignment="0" applyProtection="0"/>
    <xf numFmtId="0" fontId="8" fillId="10" borderId="112" applyNumberFormat="0" applyFont="0" applyAlignment="0" applyProtection="0"/>
    <xf numFmtId="0" fontId="49" fillId="10" borderId="112" applyNumberFormat="0" applyFont="0" applyAlignment="0" applyProtection="0"/>
    <xf numFmtId="0" fontId="31" fillId="0" borderId="114" applyNumberFormat="0" applyFill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31" fillId="0" borderId="116" applyNumberFormat="0" applyFill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16" fillId="24" borderId="134" applyNumberFormat="0" applyAlignment="0" applyProtection="0"/>
    <xf numFmtId="0" fontId="73" fillId="0" borderId="201" applyBorder="0">
      <alignment horizontal="center" vertical="center" wrapText="1"/>
    </xf>
    <xf numFmtId="0" fontId="16" fillId="24" borderId="194" applyNumberFormat="0" applyAlignment="0" applyProtection="0"/>
    <xf numFmtId="0" fontId="25" fillId="13" borderId="194" applyNumberFormat="0" applyAlignment="0" applyProtection="0"/>
    <xf numFmtId="0" fontId="28" fillId="0" borderId="174"/>
    <xf numFmtId="0" fontId="48" fillId="12" borderId="194" applyNumberFormat="0" applyAlignment="0" applyProtection="0"/>
    <xf numFmtId="0" fontId="31" fillId="0" borderId="200" applyNumberFormat="0" applyFill="0" applyAlignment="0" applyProtection="0"/>
    <xf numFmtId="0" fontId="24" fillId="24" borderId="162" applyNumberFormat="0" applyAlignment="0" applyProtection="0"/>
    <xf numFmtId="0" fontId="31" fillId="0" borderId="185" applyNumberFormat="0" applyFill="0" applyAlignment="0" applyProtection="0"/>
    <xf numFmtId="0" fontId="31" fillId="0" borderId="166" applyNumberFormat="0" applyFill="0" applyAlignment="0" applyProtection="0"/>
    <xf numFmtId="0" fontId="28" fillId="10" borderId="195" applyNumberFormat="0" applyFont="0" applyAlignment="0" applyProtection="0"/>
    <xf numFmtId="0" fontId="8" fillId="10" borderId="204" applyNumberFormat="0" applyFon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49" fillId="10" borderId="204" applyNumberFormat="0" applyFont="0" applyAlignment="0" applyProtection="0"/>
    <xf numFmtId="0" fontId="24" fillId="24" borderId="205" applyNumberFormat="0" applyAlignment="0" applyProtection="0"/>
    <xf numFmtId="0" fontId="29" fillId="24" borderId="170" applyNumberFormat="0" applyAlignment="0" applyProtection="0"/>
    <xf numFmtId="0" fontId="49" fillId="10" borderId="177" applyNumberFormat="0" applyFont="0" applyAlignment="0" applyProtection="0"/>
    <xf numFmtId="0" fontId="73" fillId="0" borderId="138" applyBorder="0">
      <alignment horizontal="center" vertical="center" wrapText="1"/>
    </xf>
    <xf numFmtId="0" fontId="25" fillId="13" borderId="176" applyNumberFormat="0" applyAlignment="0" applyProtection="0"/>
    <xf numFmtId="0" fontId="31" fillId="0" borderId="185" applyNumberFormat="0" applyFill="0" applyAlignment="0" applyProtection="0"/>
    <xf numFmtId="0" fontId="73" fillId="0" borderId="173" applyBorder="0">
      <alignment horizontal="center" vertical="center" wrapText="1"/>
    </xf>
    <xf numFmtId="0" fontId="28" fillId="10" borderId="168" applyNumberFormat="0" applyFont="0" applyAlignment="0" applyProtection="0"/>
    <xf numFmtId="0" fontId="25" fillId="13" borderId="134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9" fillId="10" borderId="168" applyNumberFormat="0" applyFont="0" applyAlignment="0" applyProtection="0"/>
    <xf numFmtId="0" fontId="48" fillId="12" borderId="167" applyNumberFormat="0" applyAlignment="0" applyProtection="0"/>
    <xf numFmtId="0" fontId="49" fillId="10" borderId="177" applyNumberFormat="0" applyFont="0" applyAlignment="0" applyProtection="0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48" fillId="12" borderId="167" applyNumberForma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8" fillId="10" borderId="168" applyNumberFormat="0" applyFont="0" applyAlignment="0" applyProtection="0"/>
    <xf numFmtId="0" fontId="49" fillId="10" borderId="168" applyNumberFormat="0" applyFont="0" applyAlignment="0" applyProtection="0"/>
    <xf numFmtId="0" fontId="29" fillId="12" borderId="170" applyNumberFormat="0" applyAlignment="0" applyProtection="0"/>
    <xf numFmtId="0" fontId="31" fillId="0" borderId="172" applyNumberFormat="0" applyFill="0" applyAlignment="0" applyProtection="0"/>
    <xf numFmtId="0" fontId="16" fillId="24" borderId="203" applyNumberFormat="0" applyAlignment="0" applyProtection="0"/>
    <xf numFmtId="0" fontId="73" fillId="0" borderId="173" applyBorder="0">
      <alignment horizontal="center" vertical="center" wrapText="1"/>
    </xf>
    <xf numFmtId="0" fontId="32" fillId="24" borderId="167" applyNumberFormat="0" applyAlignment="0" applyProtection="0"/>
    <xf numFmtId="0" fontId="16" fillId="24" borderId="167" applyNumberFormat="0" applyAlignment="0" applyProtection="0"/>
    <xf numFmtId="0" fontId="25" fillId="13" borderId="167" applyNumberFormat="0" applyAlignment="0" applyProtection="0"/>
    <xf numFmtId="0" fontId="8" fillId="10" borderId="168" applyNumberFormat="0" applyFont="0" applyAlignment="0" applyProtection="0"/>
    <xf numFmtId="0" fontId="24" fillId="24" borderId="169" applyNumberFormat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65" applyNumberFormat="0" applyFill="0" applyAlignment="0" applyProtection="0"/>
    <xf numFmtId="0" fontId="31" fillId="0" borderId="166" applyNumberFormat="0" applyFill="0" applyAlignment="0" applyProtection="0"/>
    <xf numFmtId="0" fontId="48" fillId="24" borderId="194" applyNumberFormat="0" applyAlignment="0" applyProtection="0"/>
    <xf numFmtId="0" fontId="73" fillId="0" borderId="201" applyBorder="0">
      <alignment horizontal="center" vertical="center" wrapText="1"/>
    </xf>
    <xf numFmtId="0" fontId="31" fillId="0" borderId="199" applyNumberFormat="0" applyFill="0" applyAlignment="0" applyProtection="0"/>
    <xf numFmtId="0" fontId="49" fillId="10" borderId="135" applyNumberFormat="0" applyFont="0" applyAlignment="0" applyProtection="0"/>
    <xf numFmtId="0" fontId="48" fillId="12" borderId="134" applyNumberFormat="0" applyAlignment="0" applyProtection="0"/>
    <xf numFmtId="0" fontId="25" fillId="8" borderId="134" applyNumberFormat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24" fillId="24" borderId="136" applyNumberFormat="0" applyAlignment="0" applyProtection="0"/>
    <xf numFmtId="0" fontId="8" fillId="10" borderId="135" applyNumberFormat="0" applyFont="0" applyAlignment="0" applyProtection="0"/>
    <xf numFmtId="0" fontId="41" fillId="13" borderId="134" applyNumberFormat="0" applyAlignment="0" applyProtection="0"/>
    <xf numFmtId="0" fontId="48" fillId="12" borderId="134" applyNumberFormat="0" applyAlignment="0" applyProtection="0"/>
    <xf numFmtId="0" fontId="48" fillId="24" borderId="134" applyNumberFormat="0" applyAlignment="0" applyProtection="0"/>
    <xf numFmtId="0" fontId="31" fillId="0" borderId="132" applyNumberFormat="0" applyFill="0" applyAlignment="0" applyProtection="0"/>
    <xf numFmtId="0" fontId="48" fillId="24" borderId="134" applyNumberFormat="0" applyAlignment="0" applyProtection="0"/>
    <xf numFmtId="0" fontId="49" fillId="10" borderId="135" applyNumberFormat="0" applyFont="0" applyAlignment="0" applyProtection="0"/>
    <xf numFmtId="0" fontId="29" fillId="12" borderId="133" applyNumberFormat="0" applyAlignment="0" applyProtection="0"/>
    <xf numFmtId="0" fontId="8" fillId="10" borderId="135" applyNumberFormat="0" applyFont="0" applyAlignment="0" applyProtection="0"/>
    <xf numFmtId="0" fontId="8" fillId="10" borderId="128" applyNumberFormat="0" applyFont="0" applyAlignment="0" applyProtection="0"/>
    <xf numFmtId="0" fontId="49" fillId="10" borderId="128" applyNumberFormat="0" applyFont="0" applyAlignment="0" applyProtection="0"/>
    <xf numFmtId="0" fontId="31" fillId="0" borderId="130" applyNumberFormat="0" applyFill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31" fillId="0" borderId="132" applyNumberFormat="0" applyFill="0" applyAlignment="0" applyProtection="0"/>
    <xf numFmtId="0" fontId="28" fillId="10" borderId="195" applyNumberFormat="0" applyFont="0" applyAlignment="0" applyProtection="0"/>
    <xf numFmtId="0" fontId="85" fillId="0" borderId="180"/>
    <xf numFmtId="0" fontId="73" fillId="0" borderId="201" applyBorder="0">
      <alignment horizontal="center" vertical="center" wrapText="1"/>
    </xf>
    <xf numFmtId="0" fontId="24" fillId="24" borderId="196" applyNumberFormat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73" fillId="0" borderId="164" applyBorder="0">
      <alignment horizontal="center" vertical="center" wrapText="1"/>
    </xf>
    <xf numFmtId="0" fontId="24" fillId="24" borderId="189" applyNumberFormat="0" applyAlignment="0" applyProtection="0"/>
    <xf numFmtId="0" fontId="25" fillId="13" borderId="160" applyNumberFormat="0" applyAlignment="0" applyProtection="0"/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85" fillId="0" borderId="191"/>
    <xf numFmtId="0" fontId="85" fillId="0" borderId="191"/>
    <xf numFmtId="0" fontId="49" fillId="10" borderId="161" applyNumberFormat="0" applyFont="0" applyAlignment="0" applyProtection="0"/>
    <xf numFmtId="0" fontId="48" fillId="12" borderId="160" applyNumberFormat="0" applyAlignment="0" applyProtection="0"/>
    <xf numFmtId="0" fontId="25" fillId="8" borderId="160" applyNumberFormat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24" fillId="24" borderId="162" applyNumberFormat="0" applyAlignment="0" applyProtection="0"/>
    <xf numFmtId="0" fontId="8" fillId="10" borderId="161" applyNumberFormat="0" applyFont="0" applyAlignment="0" applyProtection="0"/>
    <xf numFmtId="0" fontId="41" fillId="13" borderId="160" applyNumberFormat="0" applyAlignment="0" applyProtection="0"/>
    <xf numFmtId="0" fontId="48" fillId="12" borderId="160" applyNumberFormat="0" applyAlignment="0" applyProtection="0"/>
    <xf numFmtId="0" fontId="48" fillId="24" borderId="160" applyNumberFormat="0" applyAlignment="0" applyProtection="0"/>
    <xf numFmtId="0" fontId="31" fillId="0" borderId="158" applyNumberFormat="0" applyFill="0" applyAlignment="0" applyProtection="0"/>
    <xf numFmtId="0" fontId="48" fillId="24" borderId="160" applyNumberFormat="0" applyAlignment="0" applyProtection="0"/>
    <xf numFmtId="0" fontId="49" fillId="10" borderId="161" applyNumberFormat="0" applyFont="0" applyAlignment="0" applyProtection="0"/>
    <xf numFmtId="0" fontId="29" fillId="12" borderId="159" applyNumberFormat="0" applyAlignment="0" applyProtection="0"/>
    <xf numFmtId="0" fontId="8" fillId="10" borderId="161" applyNumberFormat="0" applyFont="0" applyAlignment="0" applyProtection="0"/>
    <xf numFmtId="0" fontId="8" fillId="10" borderId="154" applyNumberFormat="0" applyFont="0" applyAlignment="0" applyProtection="0"/>
    <xf numFmtId="0" fontId="49" fillId="10" borderId="154" applyNumberFormat="0" applyFont="0" applyAlignment="0" applyProtection="0"/>
    <xf numFmtId="0" fontId="31" fillId="0" borderId="156" applyNumberFormat="0" applyFill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31" fillId="0" borderId="158" applyNumberFormat="0" applyFill="0" applyAlignment="0" applyProtection="0"/>
    <xf numFmtId="0" fontId="48" fillId="24" borderId="194" applyNumberFormat="0" applyAlignment="0" applyProtection="0"/>
    <xf numFmtId="0" fontId="31" fillId="0" borderId="197" applyNumberFormat="0" applyFill="0" applyAlignment="0" applyProtection="0"/>
    <xf numFmtId="0" fontId="29" fillId="24" borderId="193" applyNumberFormat="0" applyAlignment="0" applyProtection="0"/>
    <xf numFmtId="0" fontId="73" fillId="0" borderId="126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76" applyNumberFormat="0" applyAlignment="0" applyProtection="0"/>
    <xf numFmtId="0" fontId="25" fillId="8" borderId="176" applyNumberFormat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24" fillId="24" borderId="178" applyNumberFormat="0" applyAlignment="0" applyProtection="0"/>
    <xf numFmtId="0" fontId="8" fillId="10" borderId="177" applyNumberFormat="0" applyFont="0" applyAlignment="0" applyProtection="0"/>
    <xf numFmtId="0" fontId="41" fillId="13" borderId="176" applyNumberFormat="0" applyAlignment="0" applyProtection="0"/>
    <xf numFmtId="0" fontId="48" fillId="12" borderId="176" applyNumberFormat="0" applyAlignment="0" applyProtection="0"/>
    <xf numFmtId="0" fontId="48" fillId="24" borderId="176" applyNumberFormat="0" applyAlignment="0" applyProtection="0"/>
    <xf numFmtId="0" fontId="31" fillId="0" borderId="182" applyNumberFormat="0" applyFill="0" applyAlignment="0" applyProtection="0"/>
    <xf numFmtId="0" fontId="48" fillId="24" borderId="176" applyNumberFormat="0" applyAlignment="0" applyProtection="0"/>
    <xf numFmtId="0" fontId="49" fillId="10" borderId="177" applyNumberFormat="0" applyFont="0" applyAlignment="0" applyProtection="0"/>
    <xf numFmtId="0" fontId="29" fillId="12" borderId="183" applyNumberFormat="0" applyAlignment="0" applyProtection="0"/>
    <xf numFmtId="0" fontId="8" fillId="10" borderId="177" applyNumberFormat="0" applyFont="0" applyAlignment="0" applyProtection="0"/>
    <xf numFmtId="0" fontId="8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16" fillId="24" borderId="194" applyNumberFormat="0" applyAlignment="0" applyProtection="0"/>
    <xf numFmtId="0" fontId="73" fillId="0" borderId="198" applyBorder="0">
      <alignment horizontal="center" vertical="center" wrapText="1"/>
    </xf>
    <xf numFmtId="0" fontId="25" fillId="13" borderId="194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49" fillId="10" borderId="195" applyNumberFormat="0" applyFont="0" applyAlignment="0" applyProtection="0"/>
    <xf numFmtId="0" fontId="48" fillId="12" borderId="194" applyNumberFormat="0" applyAlignment="0" applyProtection="0"/>
    <xf numFmtId="0" fontId="25" fillId="8" borderId="194" applyNumberFormat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24" fillId="24" borderId="196" applyNumberFormat="0" applyAlignment="0" applyProtection="0"/>
    <xf numFmtId="0" fontId="8" fillId="10" borderId="195" applyNumberFormat="0" applyFont="0" applyAlignment="0" applyProtection="0"/>
    <xf numFmtId="0" fontId="41" fillId="13" borderId="194" applyNumberFormat="0" applyAlignment="0" applyProtection="0"/>
    <xf numFmtId="0" fontId="48" fillId="12" borderId="194" applyNumberFormat="0" applyAlignment="0" applyProtection="0"/>
    <xf numFmtId="0" fontId="48" fillId="24" borderId="194" applyNumberFormat="0" applyAlignment="0" applyProtection="0"/>
    <xf numFmtId="0" fontId="31" fillId="0" borderId="192" applyNumberFormat="0" applyFill="0" applyAlignment="0" applyProtection="0"/>
    <xf numFmtId="0" fontId="48" fillId="24" borderId="194" applyNumberFormat="0" applyAlignment="0" applyProtection="0"/>
    <xf numFmtId="0" fontId="49" fillId="10" borderId="195" applyNumberFormat="0" applyFont="0" applyAlignment="0" applyProtection="0"/>
    <xf numFmtId="0" fontId="29" fillId="12" borderId="193" applyNumberFormat="0" applyAlignment="0" applyProtection="0"/>
    <xf numFmtId="0" fontId="8" fillId="10" borderId="195" applyNumberFormat="0" applyFont="0" applyAlignment="0" applyProtection="0"/>
    <xf numFmtId="0" fontId="8" fillId="10" borderId="188" applyNumberFormat="0" applyFont="0" applyAlignment="0" applyProtection="0"/>
    <xf numFmtId="0" fontId="49" fillId="10" borderId="188" applyNumberFormat="0" applyFont="0" applyAlignment="0" applyProtection="0"/>
    <xf numFmtId="0" fontId="31" fillId="0" borderId="190" applyNumberFormat="0" applyFill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31" fillId="0" borderId="192" applyNumberFormat="0" applyFill="0" applyAlignment="0" applyProtection="0"/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49" fillId="10" borderId="211" applyNumberFormat="0" applyFon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8" fillId="10" borderId="211" applyNumberFormat="0" applyFont="0" applyAlignment="0" applyProtection="0"/>
    <xf numFmtId="0" fontId="8" fillId="10" borderId="204" applyNumberFormat="0" applyFont="0" applyAlignment="0" applyProtection="0"/>
    <xf numFmtId="0" fontId="49" fillId="10" borderId="204" applyNumberFormat="0" applyFont="0" applyAlignment="0" applyProtection="0"/>
    <xf numFmtId="0" fontId="31" fillId="0" borderId="206" applyNumberFormat="0" applyFill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28" fillId="0" borderId="298"/>
    <xf numFmtId="0" fontId="73" fillId="0" borderId="242" applyBorder="0">
      <alignment horizontal="center" vertical="center" wrapText="1"/>
    </xf>
    <xf numFmtId="0" fontId="85" fillId="0" borderId="234"/>
    <xf numFmtId="0" fontId="32" fillId="24" borderId="237" applyNumberFormat="0" applyAlignment="0" applyProtection="0"/>
    <xf numFmtId="0" fontId="31" fillId="0" borderId="241" applyNumberFormat="0" applyFill="0" applyAlignment="0" applyProtection="0"/>
    <xf numFmtId="0" fontId="49" fillId="10" borderId="238" applyNumberFormat="0" applyFont="0" applyAlignment="0" applyProtection="0"/>
    <xf numFmtId="0" fontId="73" fillId="0" borderId="242" applyBorder="0">
      <alignment horizontal="center" vertical="center" wrapText="1"/>
    </xf>
    <xf numFmtId="0" fontId="48" fillId="24" borderId="237" applyNumberFormat="0" applyAlignment="0" applyProtection="0"/>
    <xf numFmtId="0" fontId="28" fillId="10" borderId="238" applyNumberFormat="0" applyFont="0" applyAlignment="0" applyProtection="0"/>
    <xf numFmtId="0" fontId="49" fillId="10" borderId="238" applyNumberFormat="0" applyFont="0" applyAlignment="0" applyProtection="0"/>
    <xf numFmtId="0" fontId="49" fillId="10" borderId="238" applyNumberFormat="0" applyFont="0" applyAlignment="0" applyProtection="0"/>
    <xf numFmtId="0" fontId="85" fillId="0" borderId="234"/>
    <xf numFmtId="0" fontId="49" fillId="10" borderId="238" applyNumberFormat="0" applyFont="0" applyAlignment="0" applyProtection="0"/>
    <xf numFmtId="0" fontId="49" fillId="10" borderId="244" applyNumberFormat="0" applyFont="0" applyAlignment="0" applyProtection="0"/>
    <xf numFmtId="0" fontId="28" fillId="10" borderId="269" applyNumberFormat="0" applyFont="0" applyAlignment="0" applyProtection="0"/>
    <xf numFmtId="0" fontId="8" fillId="45" borderId="299" applyNumberFormat="0" applyFont="0" applyAlignment="0" applyProtection="0"/>
    <xf numFmtId="0" fontId="24" fillId="24" borderId="263" applyNumberFormat="0" applyAlignment="0" applyProtection="0"/>
    <xf numFmtId="0" fontId="8" fillId="10" borderId="269" applyNumberFormat="0" applyFont="0" applyAlignment="0" applyProtection="0"/>
    <xf numFmtId="0" fontId="29" fillId="12" borderId="250" applyNumberFormat="0" applyAlignment="0" applyProtection="0"/>
    <xf numFmtId="0" fontId="25" fillId="8" borderId="268" applyNumberFormat="0" applyAlignment="0" applyProtection="0"/>
    <xf numFmtId="0" fontId="29" fillId="24" borderId="271" applyNumberFormat="0" applyAlignment="0" applyProtection="0"/>
    <xf numFmtId="0" fontId="31" fillId="0" borderId="227" applyNumberFormat="0" applyFill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85" fillId="0" borderId="247"/>
    <xf numFmtId="0" fontId="8" fillId="10" borderId="244" applyNumberFormat="0" applyFont="0" applyAlignment="0" applyProtection="0"/>
    <xf numFmtId="0" fontId="28" fillId="10" borderId="301" applyNumberFormat="0" applyFont="0" applyAlignment="0" applyProtection="0"/>
    <xf numFmtId="0" fontId="28" fillId="10" borderId="244" applyNumberFormat="0" applyFont="0" applyAlignment="0" applyProtection="0"/>
    <xf numFmtId="0" fontId="8" fillId="10" borderId="292" applyNumberFormat="0" applyFont="0" applyAlignment="0" applyProtection="0"/>
    <xf numFmtId="0" fontId="31" fillId="0" borderId="249" applyNumberFormat="0" applyFill="0" applyAlignment="0" applyProtection="0"/>
    <xf numFmtId="0" fontId="31" fillId="0" borderId="249" applyNumberFormat="0" applyFill="0" applyAlignment="0" applyProtection="0"/>
    <xf numFmtId="0" fontId="48" fillId="12" borderId="268" applyNumberFormat="0" applyAlignment="0" applyProtection="0"/>
    <xf numFmtId="0" fontId="29" fillId="24" borderId="260" applyNumberFormat="0" applyAlignment="0" applyProtection="0"/>
    <xf numFmtId="0" fontId="16" fillId="24" borderId="237" applyNumberFormat="0" applyAlignment="0" applyProtection="0"/>
    <xf numFmtId="0" fontId="73" fillId="0" borderId="288" applyBorder="0">
      <alignment horizontal="center" vertical="center" wrapText="1"/>
    </xf>
    <xf numFmtId="0" fontId="28" fillId="10" borderId="238" applyNumberFormat="0" applyFont="0" applyAlignment="0" applyProtection="0"/>
    <xf numFmtId="0" fontId="48" fillId="12" borderId="237" applyNumberFormat="0" applyAlignment="0" applyProtection="0"/>
    <xf numFmtId="0" fontId="29" fillId="12" borderId="220" applyNumberFormat="0" applyAlignment="0" applyProtection="0"/>
    <xf numFmtId="0" fontId="8" fillId="10" borderId="244" applyNumberFormat="0" applyFont="0" applyAlignment="0" applyProtection="0"/>
    <xf numFmtId="0" fontId="16" fillId="24" borderId="268" applyNumberFormat="0" applyAlignment="0" applyProtection="0"/>
    <xf numFmtId="0" fontId="31" fillId="0" borderId="313" applyNumberFormat="0" applyFill="0" applyAlignment="0" applyProtection="0"/>
    <xf numFmtId="0" fontId="25" fillId="8" borderId="237" applyNumberFormat="0" applyAlignment="0" applyProtection="0"/>
    <xf numFmtId="0" fontId="49" fillId="10" borderId="238" applyNumberFormat="0" applyFont="0" applyAlignment="0" applyProtection="0"/>
    <xf numFmtId="0" fontId="24" fillId="24" borderId="270" applyNumberFormat="0" applyAlignment="0" applyProtection="0"/>
    <xf numFmtId="0" fontId="29" fillId="12" borderId="250" applyNumberFormat="0" applyAlignment="0" applyProtection="0"/>
    <xf numFmtId="0" fontId="31" fillId="0" borderId="249" applyNumberFormat="0" applyFill="0" applyAlignment="0" applyProtection="0"/>
    <xf numFmtId="0" fontId="31" fillId="0" borderId="219" applyNumberFormat="0" applyFill="0" applyAlignment="0" applyProtection="0"/>
    <xf numFmtId="0" fontId="8" fillId="10" borderId="269" applyNumberFormat="0" applyFont="0" applyAlignment="0" applyProtection="0"/>
    <xf numFmtId="0" fontId="8" fillId="10" borderId="244" applyNumberFormat="0" applyFont="0" applyAlignment="0" applyProtection="0"/>
    <xf numFmtId="0" fontId="73" fillId="0" borderId="228" applyBorder="0">
      <alignment horizontal="center" vertical="center" wrapText="1"/>
    </xf>
    <xf numFmtId="0" fontId="24" fillId="24" borderId="293" applyNumberFormat="0" applyAlignment="0" applyProtection="0"/>
    <xf numFmtId="0" fontId="28" fillId="0" borderId="234"/>
    <xf numFmtId="0" fontId="85" fillId="73" borderId="298"/>
    <xf numFmtId="0" fontId="31" fillId="0" borderId="241" applyNumberFormat="0" applyFill="0" applyAlignment="0" applyProtection="0"/>
    <xf numFmtId="0" fontId="48" fillId="24" borderId="291" applyNumberFormat="0" applyAlignment="0" applyProtection="0"/>
    <xf numFmtId="0" fontId="25" fillId="8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25" fillId="8" borderId="291" applyNumberFormat="0" applyAlignment="0" applyProtection="0"/>
    <xf numFmtId="0" fontId="16" fillId="24" borderId="237" applyNumberFormat="0" applyAlignment="0" applyProtection="0"/>
    <xf numFmtId="0" fontId="31" fillId="0" borderId="319" applyNumberFormat="0" applyFill="0" applyAlignment="0" applyProtection="0"/>
    <xf numFmtId="0" fontId="49" fillId="10" borderId="269" applyNumberFormat="0" applyFont="0" applyAlignment="0" applyProtection="0"/>
    <xf numFmtId="0" fontId="29" fillId="24" borderId="271" applyNumberFormat="0" applyAlignment="0" applyProtection="0"/>
    <xf numFmtId="0" fontId="85" fillId="73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25" fillId="13" borderId="277" applyNumberFormat="0" applyAlignment="0" applyProtection="0"/>
    <xf numFmtId="0" fontId="18" fillId="10" borderId="244" applyNumberFormat="0" applyFont="0" applyAlignment="0" applyProtection="0"/>
    <xf numFmtId="0" fontId="8" fillId="10" borderId="292" applyNumberFormat="0" applyFont="0" applyAlignment="0" applyProtection="0"/>
    <xf numFmtId="0" fontId="8" fillId="10" borderId="324" applyNumberFormat="0" applyFont="0" applyAlignment="0" applyProtection="0"/>
    <xf numFmtId="0" fontId="8" fillId="10" borderId="238" applyNumberFormat="0" applyFont="0" applyAlignment="0" applyProtection="0"/>
    <xf numFmtId="0" fontId="25" fillId="13" borderId="307" applyNumberFormat="0" applyAlignment="0" applyProtection="0"/>
    <xf numFmtId="0" fontId="48" fillId="12" borderId="237" applyNumberFormat="0" applyAlignment="0" applyProtection="0"/>
    <xf numFmtId="0" fontId="49" fillId="10" borderId="238" applyNumberFormat="0" applyFont="0" applyAlignment="0" applyProtection="0"/>
    <xf numFmtId="0" fontId="31" fillId="0" borderId="240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85" fillId="0" borderId="321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73" fillId="0" borderId="265" applyBorder="0">
      <alignment horizontal="center" vertical="center" wrapText="1"/>
    </xf>
    <xf numFmtId="0" fontId="28" fillId="0" borderId="275"/>
    <xf numFmtId="0" fontId="49" fillId="10" borderId="238" applyNumberFormat="0" applyFont="0" applyAlignment="0" applyProtection="0"/>
    <xf numFmtId="0" fontId="85" fillId="0" borderId="234"/>
    <xf numFmtId="0" fontId="31" fillId="0" borderId="241" applyNumberFormat="0" applyFill="0" applyAlignment="0" applyProtection="0"/>
    <xf numFmtId="0" fontId="8" fillId="10" borderId="238" applyNumberFormat="0" applyFont="0" applyAlignment="0" applyProtection="0"/>
    <xf numFmtId="0" fontId="29" fillId="12" borderId="317" applyNumberFormat="0" applyAlignment="0" applyProtection="0"/>
    <xf numFmtId="0" fontId="49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28" fillId="0" borderId="234"/>
    <xf numFmtId="0" fontId="73" fillId="0" borderId="242" applyBorder="0">
      <alignment horizontal="center" vertical="center" wrapText="1"/>
    </xf>
    <xf numFmtId="0" fontId="8" fillId="10" borderId="278" applyNumberFormat="0" applyFont="0" applyAlignment="0" applyProtection="0"/>
    <xf numFmtId="0" fontId="24" fillId="24" borderId="270" applyNumberFormat="0" applyAlignment="0" applyProtection="0"/>
    <xf numFmtId="0" fontId="85" fillId="0" borderId="321"/>
    <xf numFmtId="0" fontId="25" fillId="8" borderId="314" applyNumberFormat="0" applyAlignment="0" applyProtection="0"/>
    <xf numFmtId="0" fontId="49" fillId="10" borderId="244" applyNumberFormat="0" applyFont="0" applyAlignment="0" applyProtection="0"/>
    <xf numFmtId="0" fontId="73" fillId="0" borderId="297" applyBorder="0">
      <alignment horizontal="center" vertical="center" wrapText="1"/>
    </xf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73" fillId="0" borderId="201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67" applyNumberFormat="0" applyFill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91" applyNumberFormat="0" applyAlignment="0" applyProtection="0"/>
    <xf numFmtId="0" fontId="28" fillId="0" borderId="234"/>
    <xf numFmtId="0" fontId="31" fillId="0" borderId="241" applyNumberFormat="0" applyFill="0" applyAlignment="0" applyProtection="0"/>
    <xf numFmtId="0" fontId="48" fillId="12" borderId="314" applyNumberFormat="0" applyAlignment="0" applyProtection="0"/>
    <xf numFmtId="0" fontId="32" fillId="24" borderId="323" applyNumberFormat="0" applyAlignment="0" applyProtection="0"/>
    <xf numFmtId="0" fontId="18" fillId="10" borderId="324" applyNumberFormat="0" applyFont="0" applyAlignment="0" applyProtection="0"/>
    <xf numFmtId="0" fontId="49" fillId="10" borderId="324" applyNumberFormat="0" applyFont="0" applyAlignment="0" applyProtection="0"/>
    <xf numFmtId="0" fontId="18" fillId="10" borderId="278" applyNumberFormat="0" applyFont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31" fillId="0" borderId="272" applyNumberFormat="0" applyFill="0" applyAlignment="0" applyProtection="0"/>
    <xf numFmtId="0" fontId="8" fillId="10" borderId="269" applyNumberFormat="0" applyFont="0" applyAlignment="0" applyProtection="0"/>
    <xf numFmtId="0" fontId="48" fillId="24" borderId="314" applyNumberFormat="0" applyAlignment="0" applyProtection="0"/>
    <xf numFmtId="0" fontId="48" fillId="24" borderId="268" applyNumberFormat="0" applyAlignment="0" applyProtection="0"/>
    <xf numFmtId="0" fontId="28" fillId="10" borderId="278" applyNumberFormat="0" applyFont="0" applyAlignment="0" applyProtection="0"/>
    <xf numFmtId="0" fontId="25" fillId="8" borderId="314" applyNumberForma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32" fillId="24" borderId="291" applyNumberFormat="0" applyAlignment="0" applyProtection="0"/>
    <xf numFmtId="0" fontId="8" fillId="10" borderId="269" applyNumberFormat="0" applyFont="0" applyAlignment="0" applyProtection="0"/>
    <xf numFmtId="0" fontId="25" fillId="13" borderId="221" applyNumberFormat="0" applyAlignment="0" applyProtection="0"/>
    <xf numFmtId="0" fontId="31" fillId="0" borderId="219" applyNumberFormat="0" applyFill="0" applyAlignment="0" applyProtection="0"/>
    <xf numFmtId="0" fontId="73" fillId="0" borderId="225" applyBorder="0">
      <alignment horizontal="center" vertical="center" wrapText="1"/>
    </xf>
    <xf numFmtId="0" fontId="25" fillId="8" borderId="221" applyNumberFormat="0" applyAlignment="0" applyProtection="0"/>
    <xf numFmtId="0" fontId="25" fillId="13" borderId="221" applyNumberFormat="0" applyAlignment="0" applyProtection="0"/>
    <xf numFmtId="0" fontId="49" fillId="10" borderId="222" applyNumberFormat="0" applyFont="0" applyAlignment="0" applyProtection="0"/>
    <xf numFmtId="0" fontId="73" fillId="0" borderId="225" applyBorder="0">
      <alignment horizontal="center" vertical="center" wrapText="1"/>
    </xf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75"/>
    <xf numFmtId="0" fontId="85" fillId="73" borderId="321"/>
    <xf numFmtId="0" fontId="24" fillId="24" borderId="256" applyNumberForma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49" fillId="10" borderId="244" applyNumberFormat="0" applyFont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2" fillId="24" borderId="268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9" fillId="24" borderId="250" applyNumberForma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73" fillId="0" borderId="225" applyBorder="0">
      <alignment horizontal="center" vertical="center" wrapText="1"/>
    </xf>
    <xf numFmtId="0" fontId="29" fillId="24" borderId="250" applyNumberFormat="0" applyAlignment="0" applyProtection="0"/>
    <xf numFmtId="0" fontId="24" fillId="24" borderId="245" applyNumberFormat="0" applyAlignment="0" applyProtection="0"/>
    <xf numFmtId="0" fontId="31" fillId="0" borderId="246" applyNumberFormat="0" applyFill="0" applyAlignment="0" applyProtection="0"/>
    <xf numFmtId="0" fontId="31" fillId="0" borderId="31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12" borderId="314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49" fillId="10" borderId="269" applyNumberFormat="0" applyFon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4" fillId="24" borderId="239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8" fillId="10" borderId="292" applyNumberFormat="0" applyFont="0" applyAlignment="0" applyProtection="0"/>
    <xf numFmtId="0" fontId="29" fillId="12" borderId="271" applyNumberFormat="0" applyAlignment="0" applyProtection="0"/>
    <xf numFmtId="0" fontId="29" fillId="24" borderId="306" applyNumberFormat="0" applyAlignment="0" applyProtection="0"/>
    <xf numFmtId="0" fontId="29" fillId="12" borderId="271" applyNumberFormat="0" applyAlignment="0" applyProtection="0"/>
    <xf numFmtId="0" fontId="85" fillId="0" borderId="275"/>
    <xf numFmtId="0" fontId="25" fillId="13" borderId="237" applyNumberFormat="0" applyAlignment="0" applyProtection="0"/>
    <xf numFmtId="0" fontId="48" fillId="24" borderId="210" applyNumberFormat="0" applyAlignment="0" applyProtection="0"/>
    <xf numFmtId="0" fontId="25" fillId="8" borderId="237" applyNumberFormat="0" applyAlignment="0" applyProtection="0"/>
    <xf numFmtId="0" fontId="41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32" fillId="24" borderId="237" applyNumberForma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28" fillId="0" borderId="234"/>
    <xf numFmtId="0" fontId="85" fillId="0" borderId="234"/>
    <xf numFmtId="0" fontId="48" fillId="12" borderId="237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31" fillId="0" borderId="319" applyNumberFormat="0" applyFill="0" applyAlignment="0" applyProtection="0"/>
    <xf numFmtId="0" fontId="73" fillId="0" borderId="320" applyBorder="0">
      <alignment horizontal="center" vertical="center" wrapText="1"/>
    </xf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18" fillId="10" borderId="244" applyNumberFormat="0" applyFont="0" applyAlignment="0" applyProtection="0"/>
    <xf numFmtId="0" fontId="48" fillId="12" borderId="237" applyNumberFormat="0" applyAlignment="0" applyProtection="0"/>
    <xf numFmtId="0" fontId="48" fillId="24" borderId="291" applyNumberForma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83" applyNumberFormat="0" applyAlignment="0" applyProtection="0"/>
    <xf numFmtId="0" fontId="49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94" applyNumberFormat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31" fillId="0" borderId="241" applyNumberFormat="0" applyFill="0" applyAlignment="0" applyProtection="0"/>
    <xf numFmtId="0" fontId="73" fillId="0" borderId="242" applyBorder="0">
      <alignment horizontal="center" vertical="center" wrapText="1"/>
    </xf>
    <xf numFmtId="0" fontId="16" fillId="24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10" borderId="238" applyNumberFormat="0" applyFont="0" applyAlignment="0" applyProtection="0"/>
    <xf numFmtId="0" fontId="85" fillId="0" borderId="234"/>
    <xf numFmtId="0" fontId="31" fillId="0" borderId="290" applyNumberFormat="0" applyFill="0" applyAlignment="0" applyProtection="0"/>
    <xf numFmtId="0" fontId="18" fillId="10" borderId="238" applyNumberFormat="0" applyFont="0" applyAlignment="0" applyProtection="0"/>
    <xf numFmtId="0" fontId="25" fillId="13" borderId="237" applyNumberFormat="0" applyAlignment="0" applyProtection="0"/>
    <xf numFmtId="0" fontId="41" fillId="13" borderId="237" applyNumberFormat="0" applyAlignment="0" applyProtection="0"/>
    <xf numFmtId="0" fontId="73" fillId="0" borderId="242" applyBorder="0">
      <alignment horizontal="center" vertical="center" wrapText="1"/>
    </xf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28" fillId="0" borderId="234"/>
    <xf numFmtId="0" fontId="48" fillId="12" borderId="237" applyNumberForma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31" fillId="0" borderId="241" applyNumberFormat="0" applyFill="0" applyAlignment="0" applyProtection="0"/>
    <xf numFmtId="0" fontId="25" fillId="13" borderId="237" applyNumberFormat="0" applyAlignment="0" applyProtection="0"/>
    <xf numFmtId="0" fontId="16" fillId="24" borderId="237" applyNumberFormat="0" applyAlignment="0" applyProtection="0"/>
    <xf numFmtId="0" fontId="28" fillId="0" borderId="234"/>
    <xf numFmtId="0" fontId="28" fillId="0" borderId="234"/>
    <xf numFmtId="0" fontId="85" fillId="0" borderId="234"/>
    <xf numFmtId="0" fontId="85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28" fillId="0" borderId="234"/>
    <xf numFmtId="0" fontId="85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5" fillId="13" borderId="268" applyNumberFormat="0" applyAlignment="0" applyProtection="0"/>
    <xf numFmtId="0" fontId="8" fillId="10" borderId="269" applyNumberFormat="0" applyFont="0" applyAlignment="0" applyProtection="0"/>
    <xf numFmtId="0" fontId="48" fillId="24" borderId="268" applyNumberFormat="0" applyAlignment="0" applyProtection="0"/>
    <xf numFmtId="0" fontId="73" fillId="0" borderId="274" applyBorder="0">
      <alignment horizontal="center" vertical="center" wrapText="1"/>
    </xf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0" borderId="275"/>
    <xf numFmtId="0" fontId="16" fillId="24" borderId="268" applyNumberFormat="0" applyAlignment="0" applyProtection="0"/>
    <xf numFmtId="0" fontId="28" fillId="0" borderId="275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8" fillId="0" borderId="298"/>
    <xf numFmtId="0" fontId="18" fillId="10" borderId="244" applyNumberFormat="0" applyFont="0" applyAlignment="0" applyProtection="0"/>
    <xf numFmtId="0" fontId="28" fillId="10" borderId="244" applyNumberFormat="0" applyFon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29" fillId="12" borderId="294" applyNumberFormat="0" applyAlignment="0" applyProtection="0"/>
    <xf numFmtId="0" fontId="31" fillId="0" borderId="246" applyNumberFormat="0" applyFill="0" applyAlignment="0" applyProtection="0"/>
    <xf numFmtId="0" fontId="85" fillId="0" borderId="321"/>
    <xf numFmtId="0" fontId="48" fillId="24" borderId="314" applyNumberFormat="0" applyAlignment="0" applyProtection="0"/>
    <xf numFmtId="0" fontId="48" fillId="12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4" fillId="24" borderId="245" applyNumberFormat="0" applyAlignment="0" applyProtection="0"/>
    <xf numFmtId="0" fontId="28" fillId="10" borderId="315" applyNumberFormat="0" applyFont="0" applyAlignment="0" applyProtection="0"/>
    <xf numFmtId="0" fontId="48" fillId="12" borderId="268" applyNumberFormat="0" applyAlignment="0" applyProtection="0"/>
    <xf numFmtId="0" fontId="28" fillId="10" borderId="315" applyNumberFormat="0" applyFont="0" applyAlignment="0" applyProtection="0"/>
    <xf numFmtId="0" fontId="8" fillId="45" borderId="276" applyNumberFormat="0" applyFont="0" applyAlignment="0" applyProtection="0"/>
    <xf numFmtId="0" fontId="49" fillId="10" borderId="278" applyNumberFormat="0" applyFont="0" applyAlignment="0" applyProtection="0"/>
    <xf numFmtId="0" fontId="8" fillId="45" borderId="322" applyNumberFormat="0" applyFon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8" fillId="10" borderId="315" applyNumberFormat="0" applyFont="0" applyAlignment="0" applyProtection="0"/>
    <xf numFmtId="0" fontId="8" fillId="45" borderId="322" applyNumberFormat="0" applyFont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5" fillId="8" borderId="314" applyNumberFormat="0" applyAlignment="0" applyProtection="0"/>
    <xf numFmtId="0" fontId="16" fillId="24" borderId="254" applyNumberForma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85" fillId="0" borderId="247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318" applyNumberFormat="0" applyFill="0" applyAlignment="0" applyProtection="0"/>
    <xf numFmtId="0" fontId="31" fillId="0" borderId="224" applyNumberFormat="0" applyFill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51" applyNumberFormat="0" applyFill="0" applyAlignment="0" applyProtection="0"/>
    <xf numFmtId="0" fontId="48" fillId="12" borderId="221" applyNumberFormat="0" applyAlignment="0" applyProtection="0"/>
    <xf numFmtId="0" fontId="41" fillId="13" borderId="277" applyNumberFormat="0" applyAlignment="0" applyProtection="0"/>
    <xf numFmtId="0" fontId="25" fillId="13" borderId="237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44" applyNumberFormat="0" applyFont="0" applyAlignment="0" applyProtection="0"/>
    <xf numFmtId="0" fontId="1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8" fillId="45" borderId="276" applyNumberFormat="0" applyFont="0" applyAlignment="0" applyProtection="0"/>
    <xf numFmtId="0" fontId="85" fillId="73" borderId="275"/>
    <xf numFmtId="0" fontId="28" fillId="0" borderId="234"/>
    <xf numFmtId="0" fontId="48" fillId="12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25" fillId="8" borderId="237" applyNumberFormat="0" applyAlignment="0" applyProtection="0"/>
    <xf numFmtId="0" fontId="48" fillId="24" borderId="237" applyNumberFormat="0" applyAlignment="0" applyProtection="0"/>
    <xf numFmtId="0" fontId="32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48" fillId="12" borderId="268" applyNumberFormat="0" applyAlignment="0" applyProtection="0"/>
    <xf numFmtId="0" fontId="25" fillId="13" borderId="314" applyNumberFormat="0" applyAlignment="0" applyProtection="0"/>
    <xf numFmtId="0" fontId="25" fillId="8" borderId="314" applyNumberFormat="0" applyAlignment="0" applyProtection="0"/>
    <xf numFmtId="0" fontId="73" fillId="0" borderId="320" applyBorder="0">
      <alignment horizontal="center" vertical="center" wrapText="1"/>
    </xf>
    <xf numFmtId="0" fontId="48" fillId="24" borderId="314" applyNumberFormat="0" applyAlignment="0" applyProtection="0"/>
    <xf numFmtId="0" fontId="25" fillId="13" borderId="314" applyNumberFormat="0" applyAlignment="0" applyProtection="0"/>
    <xf numFmtId="0" fontId="28" fillId="0" borderId="321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8" borderId="291" applyNumberFormat="0" applyAlignment="0" applyProtection="0"/>
    <xf numFmtId="0" fontId="25" fillId="13" borderId="300" applyNumberFormat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31" fillId="0" borderId="313" applyNumberFormat="0" applyFill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8" fillId="24" borderId="291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91" applyNumberFormat="0" applyAlignment="0" applyProtection="0"/>
    <xf numFmtId="0" fontId="48" fillId="24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16" fillId="24" borderId="237" applyNumberFormat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32" fillId="24" borderId="210" applyNumberFormat="0" applyAlignment="0" applyProtection="0"/>
    <xf numFmtId="0" fontId="48" fillId="12" borderId="210" applyNumberFormat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29" fillId="24" borderId="209" applyNumberFormat="0" applyAlignment="0" applyProtection="0"/>
    <xf numFmtId="0" fontId="48" fillId="12" borderId="314" applyNumberFormat="0" applyAlignment="0" applyProtection="0"/>
    <xf numFmtId="0" fontId="25" fillId="13" borderId="277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48" fillId="24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8" fillId="24" borderId="210" applyNumberFormat="0" applyAlignment="0" applyProtection="0"/>
    <xf numFmtId="0" fontId="29" fillId="24" borderId="209" applyNumberFormat="0" applyAlignment="0" applyProtection="0"/>
    <xf numFmtId="0" fontId="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31" fillId="0" borderId="313" applyNumberFormat="0" applyFill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31" fillId="0" borderId="290" applyNumberFormat="0" applyFill="0" applyAlignment="0" applyProtection="0"/>
    <xf numFmtId="0" fontId="48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37" applyNumberForma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8" fillId="45" borderId="253" applyNumberFormat="0" applyFont="0" applyAlignment="0" applyProtection="0"/>
    <xf numFmtId="0" fontId="28" fillId="0" borderId="207"/>
    <xf numFmtId="0" fontId="85" fillId="0" borderId="207"/>
    <xf numFmtId="0" fontId="25" fillId="8" borderId="210" applyNumberFormat="0" applyAlignment="0" applyProtection="0"/>
    <xf numFmtId="0" fontId="28" fillId="10" borderId="269" applyNumberFormat="0" applyFont="0" applyAlignment="0" applyProtection="0"/>
    <xf numFmtId="0" fontId="31" fillId="0" borderId="208" applyNumberFormat="0" applyFill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44" applyNumberFormat="0" applyFon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8" fillId="10" borderId="211" applyNumberFormat="0" applyFont="0" applyAlignment="0" applyProtection="0"/>
    <xf numFmtId="0" fontId="18" fillId="10" borderId="211" applyNumberFormat="0" applyFont="0" applyAlignment="0" applyProtection="0"/>
    <xf numFmtId="0" fontId="25" fillId="13" borderId="210" applyNumberFormat="0" applyAlignment="0" applyProtection="0"/>
    <xf numFmtId="0" fontId="41" fillId="13" borderId="210" applyNumberFormat="0" applyAlignment="0" applyProtection="0"/>
    <xf numFmtId="0" fontId="32" fillId="24" borderId="210" applyNumberFormat="0" applyAlignment="0" applyProtection="0"/>
    <xf numFmtId="0" fontId="25" fillId="8" borderId="291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8" fillId="10" borderId="211" applyNumberFormat="0" applyFont="0" applyAlignment="0" applyProtection="0"/>
    <xf numFmtId="0" fontId="25" fillId="8" borderId="210" applyNumberForma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28" fillId="0" borderId="207"/>
    <xf numFmtId="0" fontId="31" fillId="0" borderId="213" applyNumberFormat="0" applyFill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8" fillId="10" borderId="211" applyNumberFormat="0" applyFont="0" applyAlignment="0" applyProtection="0"/>
    <xf numFmtId="0" fontId="16" fillId="24" borderId="210" applyNumberFormat="0" applyAlignment="0" applyProtection="0"/>
    <xf numFmtId="0" fontId="48" fillId="24" borderId="210" applyNumberFormat="0" applyAlignment="0" applyProtection="0"/>
    <xf numFmtId="0" fontId="2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37" applyNumberFormat="0" applyAlignment="0" applyProtection="0"/>
    <xf numFmtId="0" fontId="31" fillId="0" borderId="241" applyNumberFormat="0" applyFill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8" fillId="12" borderId="291" applyNumberFormat="0" applyAlignment="0" applyProtection="0"/>
    <xf numFmtId="0" fontId="25" fillId="8" borderId="237" applyNumberFormat="0" applyAlignment="0" applyProtection="0"/>
    <xf numFmtId="0" fontId="73" fillId="0" borderId="288" applyBorder="0">
      <alignment horizontal="center" vertical="center" wrapText="1"/>
    </xf>
    <xf numFmtId="0" fontId="48" fillId="12" borderId="291" applyNumberFormat="0" applyAlignment="0" applyProtection="0"/>
    <xf numFmtId="0" fontId="41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25" fillId="13" borderId="237" applyNumberFormat="0" applyAlignment="0" applyProtection="0"/>
    <xf numFmtId="0" fontId="48" fillId="24" borderId="314" applyNumberFormat="0" applyAlignment="0" applyProtection="0"/>
    <xf numFmtId="0" fontId="25" fillId="13" borderId="268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9" fillId="12" borderId="250" applyNumberFormat="0" applyAlignment="0" applyProtection="0"/>
    <xf numFmtId="0" fontId="31" fillId="0" borderId="219" applyNumberFormat="0" applyFill="0" applyAlignment="0" applyProtection="0"/>
    <xf numFmtId="0" fontId="85" fillId="0" borderId="218"/>
    <xf numFmtId="0" fontId="1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28" fillId="10" borderId="215" applyNumberFormat="0" applyFont="0" applyAlignment="0" applyProtection="0"/>
    <xf numFmtId="0" fontId="24" fillId="24" borderId="216" applyNumberFormat="0" applyAlignment="0" applyProtection="0"/>
    <xf numFmtId="0" fontId="24" fillId="24" borderId="216" applyNumberFormat="0" applyAlignment="0" applyProtection="0"/>
    <xf numFmtId="0" fontId="31" fillId="0" borderId="217" applyNumberFormat="0" applyFill="0" applyAlignment="0" applyProtection="0"/>
    <xf numFmtId="0" fontId="85" fillId="0" borderId="321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4" fillId="24" borderId="270" applyNumberFormat="0" applyAlignment="0" applyProtection="0"/>
    <xf numFmtId="0" fontId="25" fillId="13" borderId="268" applyNumberFormat="0" applyAlignment="0" applyProtection="0"/>
    <xf numFmtId="0" fontId="28" fillId="0" borderId="275"/>
    <xf numFmtId="0" fontId="49" fillId="10" borderId="269" applyNumberFormat="0" applyFon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48" fillId="12" borderId="268" applyNumberFormat="0" applyAlignment="0" applyProtection="0"/>
    <xf numFmtId="0" fontId="24" fillId="24" borderId="270" applyNumberFormat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48" fillId="24" borderId="268" applyNumberFormat="0" applyAlignment="0" applyProtection="0"/>
    <xf numFmtId="0" fontId="28" fillId="10" borderId="269" applyNumberFormat="0" applyFont="0" applyAlignment="0" applyProtection="0"/>
    <xf numFmtId="0" fontId="28" fillId="10" borderId="269" applyNumberFormat="0" applyFont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48" fillId="12" borderId="268" applyNumberFormat="0" applyAlignment="0" applyProtection="0"/>
    <xf numFmtId="0" fontId="85" fillId="0" borderId="275"/>
    <xf numFmtId="0" fontId="31" fillId="0" borderId="319" applyNumberFormat="0" applyFill="0" applyAlignment="0" applyProtection="0"/>
    <xf numFmtId="0" fontId="49" fillId="10" borderId="315" applyNumberFormat="0" applyFont="0" applyAlignment="0" applyProtection="0"/>
    <xf numFmtId="0" fontId="32" fillId="24" borderId="314" applyNumberFormat="0" applyAlignment="0" applyProtection="0"/>
    <xf numFmtId="0" fontId="85" fillId="0" borderId="321"/>
    <xf numFmtId="0" fontId="16" fillId="24" borderId="323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29" fillId="24" borderId="250" applyNumberFormat="0" applyAlignment="0" applyProtection="0"/>
    <xf numFmtId="0" fontId="29" fillId="24" borderId="317" applyNumberFormat="0" applyAlignment="0" applyProtection="0"/>
    <xf numFmtId="0" fontId="48" fillId="24" borderId="268" applyNumberFormat="0" applyAlignment="0" applyProtection="0"/>
    <xf numFmtId="0" fontId="85" fillId="0" borderId="321"/>
    <xf numFmtId="0" fontId="32" fillId="24" borderId="268" applyNumberFormat="0" applyAlignment="0" applyProtection="0"/>
    <xf numFmtId="0" fontId="73" fillId="0" borderId="274" applyBorder="0">
      <alignment horizontal="center" vertical="center" wrapText="1"/>
    </xf>
    <xf numFmtId="0" fontId="48" fillId="24" borderId="314" applyNumberFormat="0" applyAlignment="0" applyProtection="0"/>
    <xf numFmtId="0" fontId="28" fillId="10" borderId="269" applyNumberFormat="0" applyFont="0" applyAlignment="0" applyProtection="0"/>
    <xf numFmtId="0" fontId="48" fillId="24" borderId="243" applyNumberFormat="0" applyAlignment="0" applyProtection="0"/>
    <xf numFmtId="0" fontId="16" fillId="24" borderId="243" applyNumberFormat="0" applyAlignment="0" applyProtection="0"/>
    <xf numFmtId="0" fontId="16" fillId="24" borderId="268" applyNumberFormat="0" applyAlignment="0" applyProtection="0"/>
    <xf numFmtId="0" fontId="8" fillId="10" borderId="292" applyNumberFormat="0" applyFon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9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31" fillId="0" borderId="312" applyNumberFormat="0" applyFill="0" applyAlignment="0" applyProtection="0"/>
    <xf numFmtId="0" fontId="28" fillId="0" borderId="275"/>
    <xf numFmtId="0" fontId="32" fillId="24" borderId="277" applyNumberFormat="0" applyAlignment="0" applyProtection="0"/>
    <xf numFmtId="0" fontId="85" fillId="73" borderId="321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1" fillId="13" borderId="307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16" fillId="24" borderId="261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29" fillId="24" borderId="306" applyNumberFormat="0" applyAlignment="0" applyProtection="0"/>
    <xf numFmtId="0" fontId="8" fillId="10" borderId="315" applyNumberFormat="0" applyFont="0" applyAlignment="0" applyProtection="0"/>
    <xf numFmtId="0" fontId="41" fillId="13" borderId="291" applyNumberFormat="0" applyAlignment="0" applyProtection="0"/>
    <xf numFmtId="0" fontId="85" fillId="0" borderId="275"/>
    <xf numFmtId="0" fontId="24" fillId="24" borderId="270" applyNumberFormat="0" applyAlignment="0" applyProtection="0"/>
    <xf numFmtId="0" fontId="25" fillId="8" borderId="268" applyNumberFormat="0" applyAlignment="0" applyProtection="0"/>
    <xf numFmtId="0" fontId="25" fillId="13" borderId="277" applyNumberFormat="0" applyAlignment="0" applyProtection="0"/>
    <xf numFmtId="0" fontId="31" fillId="0" borderId="280" applyNumberFormat="0" applyFill="0" applyAlignment="0" applyProtection="0"/>
    <xf numFmtId="0" fontId="18" fillId="10" borderId="315" applyNumberFormat="0" applyFont="0" applyAlignment="0" applyProtection="0"/>
    <xf numFmtId="0" fontId="31" fillId="0" borderId="319" applyNumberFormat="0" applyFill="0" applyAlignment="0" applyProtection="0"/>
    <xf numFmtId="0" fontId="2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28" fillId="0" borderId="298"/>
    <xf numFmtId="0" fontId="31" fillId="0" borderId="296" applyNumberFormat="0" applyFill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48" fillId="24" borderId="291" applyNumberFormat="0" applyAlignment="0" applyProtection="0"/>
    <xf numFmtId="0" fontId="31" fillId="0" borderId="312" applyNumberFormat="0" applyFill="0" applyAlignment="0" applyProtection="0"/>
    <xf numFmtId="0" fontId="32" fillId="24" borderId="314" applyNumberFormat="0" applyAlignment="0" applyProtection="0"/>
    <xf numFmtId="0" fontId="49" fillId="10" borderId="315" applyNumberFormat="0" applyFont="0" applyAlignment="0" applyProtection="0"/>
    <xf numFmtId="0" fontId="16" fillId="24" borderId="291" applyNumberFormat="0" applyAlignment="0" applyProtection="0"/>
    <xf numFmtId="0" fontId="16" fillId="24" borderId="254" applyNumberFormat="0" applyAlignment="0" applyProtection="0"/>
    <xf numFmtId="0" fontId="32" fillId="24" borderId="254" applyNumberFormat="0" applyAlignment="0" applyProtection="0"/>
    <xf numFmtId="0" fontId="31" fillId="0" borderId="249" applyNumberFormat="0" applyFill="0" applyAlignment="0" applyProtection="0"/>
    <xf numFmtId="0" fontId="28" fillId="0" borderId="247"/>
    <xf numFmtId="0" fontId="29" fillId="12" borderId="250" applyNumberFormat="0" applyAlignment="0" applyProtection="0"/>
    <xf numFmtId="0" fontId="28" fillId="0" borderId="247"/>
    <xf numFmtId="0" fontId="49" fillId="10" borderId="244" applyNumberFormat="0" applyFont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24" fillId="24" borderId="245" applyNumberFormat="0" applyAlignment="0" applyProtection="0"/>
    <xf numFmtId="0" fontId="29" fillId="24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18" fillId="10" borderId="244" applyNumberFormat="0" applyFont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85" fillId="0" borderId="247"/>
    <xf numFmtId="0" fontId="28" fillId="0" borderId="247"/>
    <xf numFmtId="0" fontId="31" fillId="0" borderId="318" applyNumberFormat="0" applyFill="0" applyAlignment="0" applyProtection="0"/>
    <xf numFmtId="0" fontId="28" fillId="10" borderId="269" applyNumberFormat="0" applyFont="0" applyAlignment="0" applyProtection="0"/>
    <xf numFmtId="0" fontId="16" fillId="24" borderId="323" applyNumberFormat="0" applyAlignment="0" applyProtection="0"/>
    <xf numFmtId="0" fontId="25" fillId="8" borderId="291" applyNumberFormat="0" applyAlignment="0" applyProtection="0"/>
    <xf numFmtId="0" fontId="8" fillId="45" borderId="299" applyNumberFormat="0" applyFon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49" fillId="10" borderId="292" applyNumberFormat="0" applyFont="0" applyAlignment="0" applyProtection="0"/>
    <xf numFmtId="0" fontId="31" fillId="0" borderId="289" applyNumberFormat="0" applyFill="0" applyAlignment="0" applyProtection="0"/>
    <xf numFmtId="0" fontId="31" fillId="0" borderId="252" applyNumberFormat="0" applyFill="0" applyAlignment="0" applyProtection="0"/>
    <xf numFmtId="0" fontId="49" fillId="10" borderId="269" applyNumberFormat="0" applyFont="0" applyAlignment="0" applyProtection="0"/>
    <xf numFmtId="0" fontId="85" fillId="0" borderId="275"/>
    <xf numFmtId="0" fontId="29" fillId="24" borderId="317" applyNumberFormat="0" applyAlignment="0" applyProtection="0"/>
    <xf numFmtId="0" fontId="48" fillId="12" borderId="291" applyNumberFormat="0" applyAlignment="0" applyProtection="0"/>
    <xf numFmtId="0" fontId="28" fillId="0" borderId="298"/>
    <xf numFmtId="0" fontId="8" fillId="10" borderId="292" applyNumberFormat="0" applyFont="0" applyAlignment="0" applyProtection="0"/>
    <xf numFmtId="0" fontId="73" fillId="0" borderId="248" applyBorder="0">
      <alignment horizontal="center" vertical="center" wrapText="1"/>
    </xf>
    <xf numFmtId="0" fontId="16" fillId="24" borderId="284" applyNumberFormat="0" applyAlignment="0" applyProtection="0"/>
    <xf numFmtId="0" fontId="48" fillId="12" borderId="268" applyNumberFormat="0" applyAlignment="0" applyProtection="0"/>
    <xf numFmtId="0" fontId="48" fillId="12" borderId="314" applyNumberFormat="0" applyAlignment="0" applyProtection="0"/>
    <xf numFmtId="0" fontId="73" fillId="0" borderId="311" applyBorder="0">
      <alignment horizontal="center" vertical="center" wrapText="1"/>
    </xf>
    <xf numFmtId="0" fontId="24" fillId="24" borderId="325" applyNumberFormat="0" applyAlignment="0" applyProtection="0"/>
    <xf numFmtId="0" fontId="24" fillId="24" borderId="316" applyNumberFormat="0" applyAlignment="0" applyProtection="0"/>
    <xf numFmtId="0" fontId="29" fillId="24" borderId="317" applyNumberFormat="0" applyAlignment="0" applyProtection="0"/>
    <xf numFmtId="0" fontId="25" fillId="13" borderId="314" applyNumberFormat="0" applyAlignment="0" applyProtection="0"/>
    <xf numFmtId="0" fontId="28" fillId="0" borderId="298"/>
    <xf numFmtId="0" fontId="16" fillId="24" borderId="291" applyNumberFormat="0" applyAlignment="0" applyProtection="0"/>
    <xf numFmtId="0" fontId="25" fillId="13" borderId="291" applyNumberFormat="0" applyAlignment="0" applyProtection="0"/>
    <xf numFmtId="0" fontId="24" fillId="24" borderId="316" applyNumberFormat="0" applyAlignment="0" applyProtection="0"/>
    <xf numFmtId="0" fontId="16" fillId="24" borderId="291" applyNumberFormat="0" applyAlignment="0" applyProtection="0"/>
    <xf numFmtId="0" fontId="28" fillId="10" borderId="315" applyNumberFormat="0" applyFont="0" applyAlignment="0" applyProtection="0"/>
    <xf numFmtId="0" fontId="28" fillId="10" borderId="315" applyNumberFormat="0" applyFont="0" applyAlignment="0" applyProtection="0"/>
    <xf numFmtId="0" fontId="73" fillId="0" borderId="265" applyBorder="0">
      <alignment horizontal="center" vertical="center" wrapText="1"/>
    </xf>
    <xf numFmtId="0" fontId="16" fillId="24" borderId="268" applyNumberFormat="0" applyAlignment="0" applyProtection="0"/>
    <xf numFmtId="0" fontId="28" fillId="0" borderId="321"/>
    <xf numFmtId="0" fontId="29" fillId="24" borderId="271" applyNumberFormat="0" applyAlignment="0" applyProtection="0"/>
    <xf numFmtId="0" fontId="29" fillId="12" borderId="271" applyNumberFormat="0" applyAlignment="0" applyProtection="0"/>
    <xf numFmtId="0" fontId="31" fillId="0" borderId="295" applyNumberFormat="0" applyFill="0" applyAlignment="0" applyProtection="0"/>
    <xf numFmtId="0" fontId="28" fillId="10" borderId="278" applyNumberFormat="0" applyFont="0" applyAlignment="0" applyProtection="0"/>
    <xf numFmtId="0" fontId="16" fillId="24" borderId="314" applyNumberFormat="0" applyAlignment="0" applyProtection="0"/>
    <xf numFmtId="0" fontId="16" fillId="24" borderId="307" applyNumberFormat="0" applyAlignment="0" applyProtection="0"/>
    <xf numFmtId="0" fontId="49" fillId="10" borderId="315" applyNumberFormat="0" applyFont="0" applyAlignment="0" applyProtection="0"/>
    <xf numFmtId="0" fontId="25" fillId="13" borderId="314" applyNumberFormat="0" applyAlignment="0" applyProtection="0"/>
    <xf numFmtId="0" fontId="18" fillId="10" borderId="292" applyNumberFormat="0" applyFont="0" applyAlignment="0" applyProtection="0"/>
    <xf numFmtId="0" fontId="85" fillId="0" borderId="298"/>
    <xf numFmtId="0" fontId="32" fillId="24" borderId="284" applyNumberFormat="0" applyAlignment="0" applyProtection="0"/>
    <xf numFmtId="0" fontId="8" fillId="10" borderId="315" applyNumberFormat="0" applyFont="0" applyAlignment="0" applyProtection="0"/>
    <xf numFmtId="0" fontId="28" fillId="10" borderId="255" applyNumberFormat="0" applyFont="0" applyAlignment="0" applyProtection="0"/>
    <xf numFmtId="0" fontId="25" fillId="13" borderId="254" applyNumberFormat="0" applyAlignment="0" applyProtection="0"/>
    <xf numFmtId="0" fontId="85" fillId="0" borderId="247"/>
    <xf numFmtId="0" fontId="49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49" fillId="10" borderId="244" applyNumberFormat="0" applyFont="0" applyAlignment="0" applyProtection="0"/>
    <xf numFmtId="0" fontId="24" fillId="24" borderId="293" applyNumberFormat="0" applyAlignment="0" applyProtection="0"/>
    <xf numFmtId="0" fontId="29" fillId="12" borderId="317" applyNumberFormat="0" applyAlignment="0" applyProtection="0"/>
    <xf numFmtId="0" fontId="28" fillId="10" borderId="262" applyNumberFormat="0" applyFont="0" applyAlignment="0" applyProtection="0"/>
    <xf numFmtId="0" fontId="28" fillId="10" borderId="262" applyNumberFormat="0" applyFont="0" applyAlignment="0" applyProtection="0"/>
    <xf numFmtId="0" fontId="41" fillId="13" borderId="254" applyNumberFormat="0" applyAlignment="0" applyProtection="0"/>
    <xf numFmtId="0" fontId="31" fillId="0" borderId="252" applyNumberFormat="0" applyFill="0" applyAlignment="0" applyProtection="0"/>
    <xf numFmtId="0" fontId="28" fillId="0" borderId="298"/>
    <xf numFmtId="0" fontId="31" fillId="0" borderId="313" applyNumberFormat="0" applyFill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31" fillId="0" borderId="273" applyNumberFormat="0" applyFill="0" applyAlignment="0" applyProtection="0"/>
    <xf numFmtId="0" fontId="73" fillId="0" borderId="274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89" applyNumberFormat="0" applyFill="0" applyAlignment="0" applyProtection="0"/>
    <xf numFmtId="0" fontId="48" fillId="12" borderId="314" applyNumberFormat="0" applyAlignment="0" applyProtection="0"/>
    <xf numFmtId="0" fontId="48" fillId="24" borderId="314" applyNumberFormat="0" applyAlignment="0" applyProtection="0"/>
    <xf numFmtId="0" fontId="29" fillId="24" borderId="271" applyNumberFormat="0" applyAlignment="0" applyProtection="0"/>
    <xf numFmtId="0" fontId="31" fillId="0" borderId="266" applyNumberFormat="0" applyFill="0" applyAlignment="0" applyProtection="0"/>
    <xf numFmtId="0" fontId="31" fillId="0" borderId="272" applyNumberFormat="0" applyFill="0" applyAlignment="0" applyProtection="0"/>
    <xf numFmtId="0" fontId="29" fillId="12" borderId="271" applyNumberFormat="0" applyAlignment="0" applyProtection="0"/>
    <xf numFmtId="0" fontId="25" fillId="13" borderId="268" applyNumberFormat="0" applyAlignment="0" applyProtection="0"/>
    <xf numFmtId="0" fontId="31" fillId="0" borderId="319" applyNumberFormat="0" applyFill="0" applyAlignment="0" applyProtection="0"/>
    <xf numFmtId="0" fontId="28" fillId="10" borderId="324" applyNumberFormat="0" applyFont="0" applyAlignment="0" applyProtection="0"/>
    <xf numFmtId="0" fontId="85" fillId="0" borderId="275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8" fillId="10" borderId="269" applyNumberFormat="0" applyFont="0" applyAlignment="0" applyProtection="0"/>
    <xf numFmtId="0" fontId="31" fillId="0" borderId="272" applyNumberFormat="0" applyFill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28" fillId="10" borderId="269" applyNumberFormat="0" applyFont="0" applyAlignment="0" applyProtection="0"/>
    <xf numFmtId="0" fontId="48" fillId="24" borderId="268" applyNumberFormat="0" applyAlignment="0" applyProtection="0"/>
    <xf numFmtId="0" fontId="48" fillId="12" borderId="268" applyNumberFormat="0" applyAlignment="0" applyProtection="0"/>
    <xf numFmtId="0" fontId="16" fillId="24" borderId="268" applyNumberFormat="0" applyAlignment="0" applyProtection="0"/>
    <xf numFmtId="0" fontId="73" fillId="0" borderId="274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72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25" fillId="8" borderId="268" applyNumberFormat="0" applyAlignment="0" applyProtection="0"/>
    <xf numFmtId="0" fontId="49" fillId="10" borderId="269" applyNumberFormat="0" applyFont="0" applyAlignment="0" applyProtection="0"/>
    <xf numFmtId="0" fontId="31" fillId="0" borderId="272" applyNumberFormat="0" applyFill="0" applyAlignment="0" applyProtection="0"/>
    <xf numFmtId="0" fontId="32" fillId="24" borderId="268" applyNumberFormat="0" applyAlignment="0" applyProtection="0"/>
    <xf numFmtId="0" fontId="16" fillId="24" borderId="268" applyNumberFormat="0" applyAlignment="0" applyProtection="0"/>
    <xf numFmtId="0" fontId="28" fillId="10" borderId="269" applyNumberFormat="0" applyFont="0" applyAlignment="0" applyProtection="0"/>
    <xf numFmtId="0" fontId="8" fillId="10" borderId="269" applyNumberFormat="0" applyFont="0" applyAlignment="0" applyProtection="0"/>
    <xf numFmtId="0" fontId="29" fillId="24" borderId="271" applyNumberFormat="0" applyAlignment="0" applyProtection="0"/>
    <xf numFmtId="0" fontId="25" fillId="13" borderId="268" applyNumberFormat="0" applyAlignment="0" applyProtection="0"/>
    <xf numFmtId="0" fontId="18" fillId="10" borderId="269" applyNumberFormat="0" applyFont="0" applyAlignment="0" applyProtection="0"/>
    <xf numFmtId="0" fontId="24" fillId="24" borderId="270" applyNumberFormat="0" applyAlignment="0" applyProtection="0"/>
    <xf numFmtId="0" fontId="28" fillId="0" borderId="275"/>
    <xf numFmtId="0" fontId="73" fillId="0" borderId="265" applyBorder="0">
      <alignment horizontal="center" vertical="center" wrapText="1"/>
    </xf>
    <xf numFmtId="0" fontId="48" fillId="12" borderId="268" applyNumberFormat="0" applyAlignment="0" applyProtection="0"/>
    <xf numFmtId="0" fontId="48" fillId="24" borderId="268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16" fillId="24" borderId="268" applyNumberFormat="0" applyAlignment="0" applyProtection="0"/>
    <xf numFmtId="0" fontId="31" fillId="0" borderId="272" applyNumberFormat="0" applyFill="0" applyAlignment="0" applyProtection="0"/>
    <xf numFmtId="0" fontId="8" fillId="45" borderId="276" applyNumberFormat="0" applyFont="0" applyAlignment="0" applyProtection="0"/>
    <xf numFmtId="0" fontId="85" fillId="0" borderId="275"/>
    <xf numFmtId="0" fontId="29" fillId="12" borderId="271" applyNumberFormat="0" applyAlignment="0" applyProtection="0"/>
    <xf numFmtId="0" fontId="49" fillId="10" borderId="269" applyNumberFormat="0" applyFont="0" applyAlignment="0" applyProtection="0"/>
    <xf numFmtId="0" fontId="28" fillId="0" borderId="275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318" applyNumberFormat="0" applyFill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9" fillId="24" borderId="317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25" fillId="13" borderId="323" applyNumberForma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319" applyNumberFormat="0" applyFill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8" fillId="45" borderId="322" applyNumberFormat="0" applyFon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92" applyNumberFormat="0" applyFont="0" applyAlignment="0" applyProtection="0"/>
    <xf numFmtId="0" fontId="85" fillId="0" borderId="234"/>
    <xf numFmtId="0" fontId="29" fillId="24" borderId="294" applyNumberFormat="0" applyAlignment="0" applyProtection="0"/>
    <xf numFmtId="0" fontId="25" fillId="8" borderId="237" applyNumberFormat="0" applyAlignment="0" applyProtection="0"/>
    <xf numFmtId="0" fontId="24" fillId="24" borderId="293" applyNumberFormat="0" applyAlignment="0" applyProtection="0"/>
    <xf numFmtId="0" fontId="8" fillId="10" borderId="238" applyNumberFormat="0" applyFon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28" fillId="10" borderId="244" applyNumberFormat="0" applyFont="0" applyAlignment="0" applyProtection="0"/>
    <xf numFmtId="0" fontId="73" fillId="0" borderId="311" applyBorder="0">
      <alignment horizontal="center" vertical="center" wrapText="1"/>
    </xf>
    <xf numFmtId="0" fontId="28" fillId="10" borderId="315" applyNumberFormat="0" applyFont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48" fillId="24" borderId="277" applyNumberFormat="0" applyAlignment="0" applyProtection="0"/>
    <xf numFmtId="0" fontId="41" fillId="13" borderId="277" applyNumberFormat="0" applyAlignment="0" applyProtection="0"/>
    <xf numFmtId="0" fontId="73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25" fillId="8" borderId="314" applyNumberFormat="0" applyAlignment="0" applyProtection="0"/>
    <xf numFmtId="0" fontId="18" fillId="10" borderId="315" applyNumberFormat="0" applyFont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29" fillId="24" borderId="294" applyNumberFormat="0" applyAlignment="0" applyProtection="0"/>
    <xf numFmtId="0" fontId="28" fillId="10" borderId="292" applyNumberFormat="0" applyFont="0" applyAlignment="0" applyProtection="0"/>
    <xf numFmtId="0" fontId="25" fillId="13" borderId="291" applyNumberFormat="0" applyAlignment="0" applyProtection="0"/>
    <xf numFmtId="0" fontId="48" fillId="12" borderId="291" applyNumberFormat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16" fillId="24" borderId="291" applyNumberFormat="0" applyAlignment="0" applyProtection="0"/>
    <xf numFmtId="0" fontId="29" fillId="24" borderId="294" applyNumberFormat="0" applyAlignment="0" applyProtection="0"/>
    <xf numFmtId="0" fontId="29" fillId="12" borderId="294" applyNumberFormat="0" applyAlignment="0" applyProtection="0"/>
    <xf numFmtId="0" fontId="49" fillId="10" borderId="292" applyNumberFormat="0" applyFont="0" applyAlignment="0" applyProtection="0"/>
    <xf numFmtId="0" fontId="31" fillId="0" borderId="290" applyNumberFormat="0" applyFill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8" fillId="10" borderId="308" applyNumberFormat="0" applyFont="0" applyAlignment="0" applyProtection="0"/>
    <xf numFmtId="0" fontId="8" fillId="10" borderId="292" applyNumberFormat="0" applyFont="0" applyAlignment="0" applyProtection="0"/>
    <xf numFmtId="0" fontId="18" fillId="10" borderId="308" applyNumberFormat="0" applyFont="0" applyAlignment="0" applyProtection="0"/>
    <xf numFmtId="0" fontId="25" fillId="13" borderId="314" applyNumberFormat="0" applyAlignment="0" applyProtection="0"/>
    <xf numFmtId="0" fontId="32" fillId="24" borderId="261" applyNumberFormat="0" applyAlignment="0" applyProtection="0"/>
    <xf numFmtId="0" fontId="28" fillId="10" borderId="308" applyNumberFormat="0" applyFont="0" applyAlignment="0" applyProtection="0"/>
    <xf numFmtId="0" fontId="25" fillId="8" borderId="314" applyNumberForma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31" fillId="0" borderId="318" applyNumberFormat="0" applyFill="0" applyAlignment="0" applyProtection="0"/>
    <xf numFmtId="0" fontId="25" fillId="13" borderId="323" applyNumberFormat="0" applyAlignment="0" applyProtection="0"/>
    <xf numFmtId="0" fontId="24" fillId="24" borderId="325" applyNumberFormat="0" applyAlignment="0" applyProtection="0"/>
    <xf numFmtId="0" fontId="48" fillId="24" borderId="314" applyNumberFormat="0" applyAlignment="0" applyProtection="0"/>
    <xf numFmtId="0" fontId="31" fillId="0" borderId="313" applyNumberFormat="0" applyFill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8" fillId="10" borderId="315" applyNumberFormat="0" applyFont="0" applyAlignment="0" applyProtection="0"/>
    <xf numFmtId="0" fontId="18" fillId="10" borderId="315" applyNumberFormat="0" applyFont="0" applyAlignment="0" applyProtection="0"/>
    <xf numFmtId="0" fontId="8" fillId="45" borderId="322" applyNumberFormat="0" applyFont="0" applyAlignment="0" applyProtection="0"/>
    <xf numFmtId="0" fontId="73" fillId="0" borderId="320" applyBorder="0">
      <alignment horizontal="center" vertical="center" wrapText="1"/>
    </xf>
    <xf numFmtId="0" fontId="41" fillId="13" borderId="323" applyNumberFormat="0" applyAlignment="0" applyProtection="0"/>
    <xf numFmtId="0" fontId="85" fillId="0" borderId="298"/>
    <xf numFmtId="0" fontId="28" fillId="10" borderId="292" applyNumberFormat="0" applyFont="0" applyAlignment="0" applyProtection="0"/>
    <xf numFmtId="0" fontId="18" fillId="10" borderId="292" applyNumberFormat="0" applyFont="0" applyAlignment="0" applyProtection="0"/>
    <xf numFmtId="0" fontId="41" fillId="13" borderId="291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1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25" fillId="13" borderId="314" applyNumberFormat="0" applyAlignment="0" applyProtection="0"/>
    <xf numFmtId="0" fontId="73" fillId="0" borderId="288" applyBorder="0">
      <alignment horizontal="center" vertical="center" wrapText="1"/>
    </xf>
    <xf numFmtId="0" fontId="48" fillId="12" borderId="314" applyNumberFormat="0" applyAlignment="0" applyProtection="0"/>
    <xf numFmtId="0" fontId="48" fillId="12" borderId="314" applyNumberFormat="0" applyAlignment="0" applyProtection="0"/>
    <xf numFmtId="0" fontId="25" fillId="13" borderId="314" applyNumberFormat="0" applyAlignment="0" applyProtection="0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73" fillId="0" borderId="320" applyBorder="0">
      <alignment horizontal="center" vertical="center" wrapText="1"/>
    </xf>
    <xf numFmtId="0" fontId="48" fillId="24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8" fillId="45" borderId="253" applyNumberFormat="0" applyFont="0" applyAlignment="0" applyProtection="0"/>
    <xf numFmtId="0" fontId="85" fillId="0" borderId="247"/>
    <xf numFmtId="0" fontId="28" fillId="0" borderId="247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28" fillId="0" borderId="247"/>
    <xf numFmtId="0" fontId="49" fillId="10" borderId="292" applyNumberFormat="0" applyFont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85" fillId="0" borderId="247"/>
    <xf numFmtId="0" fontId="28" fillId="0" borderId="247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8" fillId="0" borderId="247"/>
    <xf numFmtId="0" fontId="48" fillId="24" borderId="291" applyNumberFormat="0" applyAlignment="0" applyProtection="0"/>
    <xf numFmtId="0" fontId="25" fillId="13" borderId="284" applyNumberFormat="0" applyAlignment="0" applyProtection="0"/>
    <xf numFmtId="0" fontId="28" fillId="10" borderId="269" applyNumberFormat="0" applyFont="0" applyAlignment="0" applyProtection="0"/>
    <xf numFmtId="0" fontId="41" fillId="13" borderId="314" applyNumberFormat="0" applyAlignment="0" applyProtection="0"/>
    <xf numFmtId="0" fontId="24" fillId="24" borderId="302" applyNumberFormat="0" applyAlignment="0" applyProtection="0"/>
    <xf numFmtId="0" fontId="31" fillId="0" borderId="296" applyNumberFormat="0" applyFill="0" applyAlignment="0" applyProtection="0"/>
    <xf numFmtId="0" fontId="85" fillId="0" borderId="298"/>
    <xf numFmtId="0" fontId="8" fillId="45" borderId="299" applyNumberFormat="0" applyFont="0" applyAlignment="0" applyProtection="0"/>
    <xf numFmtId="0" fontId="29" fillId="12" borderId="294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48" fillId="24" borderId="291" applyNumberFormat="0" applyAlignment="0" applyProtection="0"/>
    <xf numFmtId="0" fontId="8" fillId="10" borderId="292" applyNumberFormat="0" applyFont="0" applyAlignment="0" applyProtection="0"/>
    <xf numFmtId="0" fontId="41" fillId="13" borderId="291" applyNumberFormat="0" applyAlignment="0" applyProtection="0"/>
    <xf numFmtId="0" fontId="8" fillId="10" borderId="292" applyNumberFormat="0" applyFont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0" borderId="275"/>
    <xf numFmtId="0" fontId="31" fillId="0" borderId="267" applyNumberFormat="0" applyFill="0" applyAlignment="0" applyProtection="0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73" fillId="0" borderId="311" applyBorder="0">
      <alignment horizontal="center" vertical="center" wrapText="1"/>
    </xf>
    <xf numFmtId="0" fontId="85" fillId="0" borderId="298"/>
    <xf numFmtId="0" fontId="8" fillId="10" borderId="315" applyNumberFormat="0" applyFon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85" fillId="0" borderId="298"/>
    <xf numFmtId="0" fontId="16" fillId="24" borderId="291" applyNumberFormat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16" fillId="24" borderId="300" applyNumberFormat="0" applyAlignment="0" applyProtection="0"/>
    <xf numFmtId="0" fontId="25" fillId="13" borderId="314" applyNumberFormat="0" applyAlignment="0" applyProtection="0"/>
    <xf numFmtId="0" fontId="18" fillId="10" borderId="269" applyNumberFormat="0" applyFont="0" applyAlignment="0" applyProtection="0"/>
    <xf numFmtId="0" fontId="29" fillId="24" borderId="271" applyNumberFormat="0" applyAlignment="0" applyProtection="0"/>
    <xf numFmtId="0" fontId="29" fillId="24" borderId="317" applyNumberFormat="0" applyAlignment="0" applyProtection="0"/>
    <xf numFmtId="0" fontId="41" fillId="13" borderId="323" applyNumberFormat="0" applyAlignment="0" applyProtection="0"/>
    <xf numFmtId="0" fontId="85" fillId="73" borderId="298"/>
    <xf numFmtId="0" fontId="25" fillId="8" borderId="291" applyNumberFormat="0" applyAlignment="0" applyProtection="0"/>
    <xf numFmtId="0" fontId="85" fillId="73" borderId="298"/>
    <xf numFmtId="0" fontId="31" fillId="0" borderId="290" applyNumberFormat="0" applyFill="0" applyAlignment="0" applyProtection="0"/>
    <xf numFmtId="0" fontId="16" fillId="24" borderId="314" applyNumberFormat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28" fillId="0" borderId="321"/>
    <xf numFmtId="0" fontId="31" fillId="0" borderId="319" applyNumberFormat="0" applyFill="0" applyAlignment="0" applyProtection="0"/>
    <xf numFmtId="0" fontId="48" fillId="12" borderId="291" applyNumberFormat="0" applyAlignment="0" applyProtection="0"/>
    <xf numFmtId="0" fontId="85" fillId="0" borderId="298"/>
    <xf numFmtId="0" fontId="48" fillId="12" borderId="291" applyNumberFormat="0" applyAlignment="0" applyProtection="0"/>
    <xf numFmtId="0" fontId="49" fillId="10" borderId="315" applyNumberFormat="0" applyFon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16" fillId="24" borderId="261" applyNumberFormat="0" applyAlignment="0" applyProtection="0"/>
    <xf numFmtId="0" fontId="31" fillId="0" borderId="273" applyNumberFormat="0" applyFill="0" applyAlignment="0" applyProtection="0"/>
    <xf numFmtId="0" fontId="16" fillId="24" borderId="314" applyNumberFormat="0" applyAlignment="0" applyProtection="0"/>
    <xf numFmtId="0" fontId="16" fillId="24" borderId="314" applyNumberFormat="0" applyAlignment="0" applyProtection="0"/>
    <xf numFmtId="0" fontId="48" fillId="24" borderId="314" applyNumberFormat="0" applyAlignment="0" applyProtection="0"/>
    <xf numFmtId="0" fontId="31" fillId="0" borderId="318" applyNumberFormat="0" applyFill="0" applyAlignment="0" applyProtection="0"/>
    <xf numFmtId="0" fontId="48" fillId="24" borderId="323" applyNumberFormat="0" applyAlignment="0" applyProtection="0"/>
    <xf numFmtId="0" fontId="25" fillId="13" borderId="323" applyNumberFormat="0" applyAlignment="0" applyProtection="0"/>
    <xf numFmtId="0" fontId="48" fillId="24" borderId="291" applyNumberFormat="0" applyAlignment="0" applyProtection="0"/>
    <xf numFmtId="0" fontId="28" fillId="0" borderId="321"/>
    <xf numFmtId="0" fontId="28" fillId="10" borderId="278" applyNumberFormat="0" applyFont="0" applyAlignment="0" applyProtection="0"/>
    <xf numFmtId="0" fontId="24" fillId="24" borderId="316" applyNumberFormat="0" applyAlignment="0" applyProtection="0"/>
    <xf numFmtId="0" fontId="48" fillId="12" borderId="314" applyNumberFormat="0" applyAlignment="0" applyProtection="0"/>
    <xf numFmtId="0" fontId="73" fillId="0" borderId="311" applyBorder="0">
      <alignment horizontal="center" vertical="center" wrapText="1"/>
    </xf>
    <xf numFmtId="0" fontId="48" fillId="12" borderId="314" applyNumberFormat="0" applyAlignment="0" applyProtection="0"/>
    <xf numFmtId="0" fontId="29" fillId="24" borderId="317" applyNumberFormat="0" applyAlignment="0" applyProtection="0"/>
    <xf numFmtId="0" fontId="49" fillId="10" borderId="315" applyNumberFormat="0" applyFont="0" applyAlignment="0" applyProtection="0"/>
    <xf numFmtId="0" fontId="31" fillId="0" borderId="312" applyNumberFormat="0" applyFill="0" applyAlignment="0" applyProtection="0"/>
    <xf numFmtId="0" fontId="25" fillId="13" borderId="314" applyNumberFormat="0" applyAlignment="0" applyProtection="0"/>
    <xf numFmtId="0" fontId="8" fillId="45" borderId="299" applyNumberFormat="0" applyFont="0" applyAlignment="0" applyProtection="0"/>
    <xf numFmtId="0" fontId="24" fillId="24" borderId="293" applyNumberFormat="0" applyAlignment="0" applyProtection="0"/>
    <xf numFmtId="0" fontId="8" fillId="10" borderId="292" applyNumberFormat="0" applyFont="0" applyAlignment="0" applyProtection="0"/>
    <xf numFmtId="0" fontId="31" fillId="0" borderId="290" applyNumberFormat="0" applyFill="0" applyAlignment="0" applyProtection="0"/>
    <xf numFmtId="0" fontId="24" fillId="24" borderId="293" applyNumberFormat="0" applyAlignment="0" applyProtection="0"/>
    <xf numFmtId="0" fontId="16" fillId="24" borderId="291" applyNumberFormat="0" applyAlignment="0" applyProtection="0"/>
    <xf numFmtId="0" fontId="31" fillId="0" borderId="295" applyNumberFormat="0" applyFill="0" applyAlignment="0" applyProtection="0"/>
    <xf numFmtId="0" fontId="28" fillId="10" borderId="315" applyNumberFormat="0" applyFont="0" applyAlignment="0" applyProtection="0"/>
    <xf numFmtId="0" fontId="48" fillId="12" borderId="314" applyNumberFormat="0" applyAlignment="0" applyProtection="0"/>
    <xf numFmtId="0" fontId="49" fillId="10" borderId="255" applyNumberFormat="0" applyFont="0" applyAlignment="0" applyProtection="0"/>
    <xf numFmtId="0" fontId="25" fillId="13" borderId="254" applyNumberFormat="0" applyAlignment="0" applyProtection="0"/>
    <xf numFmtId="0" fontId="48" fillId="24" borderId="254" applyNumberForma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96" applyNumberFormat="0" applyFill="0" applyAlignment="0" applyProtection="0"/>
    <xf numFmtId="0" fontId="18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2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51" applyNumberFormat="0" applyFill="0" applyAlignment="0" applyProtection="0"/>
    <xf numFmtId="0" fontId="31" fillId="0" borderId="251" applyNumberFormat="0" applyFill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93" applyNumberFormat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49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9" fillId="24" borderId="271" applyNumberFormat="0" applyAlignment="0" applyProtection="0"/>
    <xf numFmtId="0" fontId="31" fillId="0" borderId="233" applyNumberFormat="0" applyFill="0" applyAlignment="0" applyProtection="0"/>
    <xf numFmtId="0" fontId="31" fillId="0" borderId="267" applyNumberFormat="0" applyFill="0" applyAlignment="0" applyProtection="0"/>
    <xf numFmtId="0" fontId="24" fillId="24" borderId="232" applyNumberFormat="0" applyAlignment="0" applyProtection="0"/>
    <xf numFmtId="0" fontId="49" fillId="10" borderId="231" applyNumberFormat="0" applyFont="0" applyAlignment="0" applyProtection="0"/>
    <xf numFmtId="0" fontId="8" fillId="10" borderId="231" applyNumberFormat="0" applyFont="0" applyAlignment="0" applyProtection="0"/>
    <xf numFmtId="0" fontId="8" fillId="10" borderId="231" applyNumberFormat="0" applyFont="0" applyAlignment="0" applyProtection="0"/>
    <xf numFmtId="0" fontId="28" fillId="10" borderId="231" applyNumberFormat="0" applyFont="0" applyAlignment="0" applyProtection="0"/>
    <xf numFmtId="0" fontId="16" fillId="24" borderId="277" applyNumberFormat="0" applyAlignment="0" applyProtection="0"/>
    <xf numFmtId="0" fontId="41" fillId="13" borderId="268" applyNumberFormat="0" applyAlignment="0" applyProtection="0"/>
    <xf numFmtId="0" fontId="16" fillId="24" borderId="291" applyNumberFormat="0" applyAlignment="0" applyProtection="0"/>
    <xf numFmtId="0" fontId="31" fillId="0" borderId="319" applyNumberFormat="0" applyFill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32" fillId="24" borderId="230" applyNumberFormat="0" applyAlignment="0" applyProtection="0"/>
    <xf numFmtId="0" fontId="31" fillId="0" borderId="289" applyNumberFormat="0" applyFill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85" fillId="0" borderId="218"/>
    <xf numFmtId="0" fontId="28" fillId="0" borderId="218"/>
    <xf numFmtId="0" fontId="49" fillId="10" borderId="222" applyNumberFormat="0" applyFon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28" fillId="10" borderId="222" applyNumberFormat="0" applyFont="0" applyAlignment="0" applyProtection="0"/>
    <xf numFmtId="0" fontId="31" fillId="0" borderId="226" applyNumberFormat="0" applyFill="0" applyAlignment="0" applyProtection="0"/>
    <xf numFmtId="0" fontId="48" fillId="24" borderId="221" applyNumberFormat="0" applyAlignment="0" applyProtection="0"/>
    <xf numFmtId="0" fontId="28" fillId="10" borderId="222" applyNumberFormat="0" applyFont="0" applyAlignment="0" applyProtection="0"/>
    <xf numFmtId="0" fontId="29" fillId="12" borderId="220" applyNumberFormat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48" fillId="24" borderId="221" applyNumberFormat="0" applyAlignment="0" applyProtection="0"/>
    <xf numFmtId="0" fontId="48" fillId="24" borderId="221" applyNumberForma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73" fillId="0" borderId="228" applyBorder="0">
      <alignment horizontal="center" vertical="center" wrapText="1"/>
    </xf>
    <xf numFmtId="0" fontId="32" fillId="24" borderId="221" applyNumberFormat="0" applyAlignment="0" applyProtection="0"/>
    <xf numFmtId="0" fontId="25" fillId="13" borderId="221" applyNumberFormat="0" applyAlignment="0" applyProtection="0"/>
    <xf numFmtId="0" fontId="18" fillId="10" borderId="222" applyNumberFormat="0" applyFont="0" applyAlignment="0" applyProtection="0"/>
    <xf numFmtId="0" fontId="28" fillId="10" borderId="222" applyNumberFormat="0" applyFon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31" fillId="0" borderId="224" applyNumberFormat="0" applyFill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73" fillId="0" borderId="228" applyBorder="0">
      <alignment horizontal="center" vertical="center" wrapText="1"/>
    </xf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16" fillId="24" borderId="221" applyNumberFormat="0" applyAlignment="0" applyProtection="0"/>
    <xf numFmtId="0" fontId="25" fillId="13" borderId="221" applyNumberForma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46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85" fillId="0" borderId="218"/>
    <xf numFmtId="0" fontId="28" fillId="0" borderId="218"/>
    <xf numFmtId="0" fontId="8" fillId="45" borderId="229" applyNumberFormat="0" applyFont="0" applyAlignment="0" applyProtection="0"/>
    <xf numFmtId="0" fontId="49" fillId="10" borderId="222" applyNumberFormat="0" applyFont="0" applyAlignment="0" applyProtection="0"/>
    <xf numFmtId="0" fontId="29" fillId="12" borderId="25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73" fillId="0" borderId="228" applyBorder="0">
      <alignment horizontal="center" vertical="center" wrapText="1"/>
    </xf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28" fillId="0" borderId="218"/>
    <xf numFmtId="0" fontId="32" fillId="24" borderId="268" applyNumberFormat="0" applyAlignment="0" applyProtection="0"/>
    <xf numFmtId="0" fontId="31" fillId="0" borderId="273" applyNumberFormat="0" applyFill="0" applyAlignment="0" applyProtection="0"/>
    <xf numFmtId="0" fontId="49" fillId="10" borderId="222" applyNumberFormat="0" applyFont="0" applyAlignment="0" applyProtection="0"/>
    <xf numFmtId="0" fontId="31" fillId="0" borderId="312" applyNumberFormat="0" applyFill="0" applyAlignment="0" applyProtection="0"/>
    <xf numFmtId="0" fontId="85" fillId="73" borderId="321"/>
    <xf numFmtId="0" fontId="31" fillId="0" borderId="313" applyNumberFormat="0" applyFill="0" applyAlignment="0" applyProtection="0"/>
    <xf numFmtId="0" fontId="8" fillId="10" borderId="315" applyNumberFormat="0" applyFont="0" applyAlignment="0" applyProtection="0"/>
    <xf numFmtId="0" fontId="24" fillId="24" borderId="293" applyNumberFormat="0" applyAlignment="0" applyProtection="0"/>
    <xf numFmtId="0" fontId="25" fillId="13" borderId="307" applyNumberFormat="0" applyAlignment="0" applyProtection="0"/>
    <xf numFmtId="0" fontId="73" fillId="0" borderId="248" applyBorder="0">
      <alignment horizontal="center" vertical="center" wrapText="1"/>
    </xf>
    <xf numFmtId="0" fontId="85" fillId="0" borderId="247"/>
    <xf numFmtId="0" fontId="28" fillId="0" borderId="247"/>
    <xf numFmtId="0" fontId="24" fillId="24" borderId="245" applyNumberFormat="0" applyAlignment="0" applyProtection="0"/>
    <xf numFmtId="0" fontId="48" fillId="24" borderId="237" applyNumberFormat="0" applyAlignment="0" applyProtection="0"/>
    <xf numFmtId="0" fontId="25" fillId="13" borderId="237" applyNumberFormat="0" applyAlignment="0" applyProtection="0"/>
    <xf numFmtId="0" fontId="16" fillId="24" borderId="261" applyNumberFormat="0" applyAlignment="0" applyProtection="0"/>
    <xf numFmtId="0" fontId="8" fillId="10" borderId="292" applyNumberFormat="0" applyFont="0" applyAlignment="0" applyProtection="0"/>
    <xf numFmtId="0" fontId="31" fillId="0" borderId="318" applyNumberFormat="0" applyFill="0" applyAlignment="0" applyProtection="0"/>
    <xf numFmtId="0" fontId="8" fillId="10" borderId="315" applyNumberFormat="0" applyFont="0" applyAlignment="0" applyProtection="0"/>
    <xf numFmtId="0" fontId="28" fillId="10" borderId="315" applyNumberFormat="0" applyFont="0" applyAlignment="0" applyProtection="0"/>
    <xf numFmtId="0" fontId="25" fillId="13" borderId="268" applyNumberFormat="0" applyAlignment="0" applyProtection="0"/>
    <xf numFmtId="0" fontId="48" fillId="24" borderId="314" applyNumberFormat="0" applyAlignment="0" applyProtection="0"/>
    <xf numFmtId="0" fontId="31" fillId="0" borderId="289" applyNumberFormat="0" applyFill="0" applyAlignment="0" applyProtection="0"/>
    <xf numFmtId="0" fontId="29" fillId="24" borderId="294" applyNumberFormat="0" applyAlignment="0" applyProtection="0"/>
    <xf numFmtId="0" fontId="32" fillId="24" borderId="291" applyNumberFormat="0" applyAlignment="0" applyProtection="0"/>
    <xf numFmtId="0" fontId="18" fillId="10" borderId="315" applyNumberFormat="0" applyFont="0" applyAlignment="0" applyProtection="0"/>
    <xf numFmtId="0" fontId="31" fillId="0" borderId="257" applyNumberFormat="0" applyFill="0" applyAlignment="0" applyProtection="0"/>
    <xf numFmtId="0" fontId="28" fillId="10" borderId="255" applyNumberFormat="0" applyFont="0" applyAlignment="0" applyProtection="0"/>
    <xf numFmtId="0" fontId="8" fillId="10" borderId="255" applyNumberFormat="0" applyFont="0" applyAlignment="0" applyProtection="0"/>
    <xf numFmtId="0" fontId="8" fillId="10" borderId="255" applyNumberFormat="0" applyFont="0" applyAlignment="0" applyProtection="0"/>
    <xf numFmtId="0" fontId="18" fillId="10" borderId="255" applyNumberFormat="0" applyFont="0" applyAlignment="0" applyProtection="0"/>
    <xf numFmtId="0" fontId="48" fillId="24" borderId="314" applyNumberFormat="0" applyAlignment="0" applyProtection="0"/>
    <xf numFmtId="0" fontId="41" fillId="13" borderId="254" applyNumberFormat="0" applyAlignment="0" applyProtection="0"/>
    <xf numFmtId="0" fontId="24" fillId="24" borderId="293" applyNumberFormat="0" applyAlignment="0" applyProtection="0"/>
    <xf numFmtId="0" fontId="29" fillId="24" borderId="294" applyNumberForma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89" applyNumberFormat="0" applyFill="0" applyAlignment="0" applyProtection="0"/>
    <xf numFmtId="0" fontId="28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45" applyNumberFormat="0" applyAlignment="0" applyProtection="0"/>
    <xf numFmtId="0" fontId="73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8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2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31" fillId="0" borderId="319" applyNumberFormat="0" applyFill="0" applyAlignment="0" applyProtection="0"/>
    <xf numFmtId="0" fontId="48" fillId="24" borderId="221" applyNumberFormat="0" applyAlignment="0" applyProtection="0"/>
    <xf numFmtId="0" fontId="31" fillId="0" borderId="296" applyNumberFormat="0" applyFill="0" applyAlignment="0" applyProtection="0"/>
    <xf numFmtId="0" fontId="28" fillId="10" borderId="244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73" fillId="0" borderId="228" applyBorder="0">
      <alignment horizontal="center" vertical="center" wrapText="1"/>
    </xf>
    <xf numFmtId="0" fontId="25" fillId="13" borderId="221" applyNumberForma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9" fillId="10" borderId="315" applyNumberFormat="0" applyFon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308" applyNumberFormat="0" applyFont="0" applyAlignment="0" applyProtection="0"/>
    <xf numFmtId="0" fontId="85" fillId="73" borderId="275"/>
    <xf numFmtId="0" fontId="85" fillId="0" borderId="275"/>
    <xf numFmtId="0" fontId="31" fillId="0" borderId="319" applyNumberFormat="0" applyFill="0" applyAlignment="0" applyProtection="0"/>
    <xf numFmtId="0" fontId="29" fillId="24" borderId="317" applyNumberFormat="0" applyAlignment="0" applyProtection="0"/>
    <xf numFmtId="0" fontId="16" fillId="24" borderId="314" applyNumberFormat="0" applyAlignment="0" applyProtection="0"/>
    <xf numFmtId="0" fontId="8" fillId="10" borderId="278" applyNumberFormat="0" applyFont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4" fillId="24" borderId="245" applyNumberFormat="0" applyAlignment="0" applyProtection="0"/>
    <xf numFmtId="0" fontId="28" fillId="10" borderId="244" applyNumberFormat="0" applyFont="0" applyAlignment="0" applyProtection="0"/>
    <xf numFmtId="0" fontId="31" fillId="0" borderId="266" applyNumberFormat="0" applyFill="0" applyAlignment="0" applyProtection="0"/>
    <xf numFmtId="0" fontId="85" fillId="0" borderId="275"/>
    <xf numFmtId="0" fontId="32" fillId="24" borderId="268" applyNumberFormat="0" applyAlignment="0" applyProtection="0"/>
    <xf numFmtId="0" fontId="73" fillId="0" borderId="297" applyBorder="0">
      <alignment horizontal="center" vertical="center" wrapText="1"/>
    </xf>
    <xf numFmtId="0" fontId="49" fillId="10" borderId="315" applyNumberFormat="0" applyFont="0" applyAlignment="0" applyProtection="0"/>
    <xf numFmtId="0" fontId="31" fillId="0" borderId="296" applyNumberFormat="0" applyFill="0" applyAlignment="0" applyProtection="0"/>
    <xf numFmtId="0" fontId="49" fillId="10" borderId="292" applyNumberFormat="0" applyFont="0" applyAlignment="0" applyProtection="0"/>
    <xf numFmtId="0" fontId="24" fillId="24" borderId="309" applyNumberFormat="0" applyAlignment="0" applyProtection="0"/>
    <xf numFmtId="0" fontId="31" fillId="0" borderId="251" applyNumberFormat="0" applyFill="0" applyAlignment="0" applyProtection="0"/>
    <xf numFmtId="0" fontId="8" fillId="10" borderId="292" applyNumberFormat="0" applyFont="0" applyAlignment="0" applyProtection="0"/>
    <xf numFmtId="0" fontId="48" fillId="24" borderId="29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28" fillId="10" borderId="301" applyNumberFormat="0" applyFont="0" applyAlignment="0" applyProtection="0"/>
    <xf numFmtId="0" fontId="16" fillId="24" borderId="291" applyNumberFormat="0" applyAlignment="0" applyProtection="0"/>
    <xf numFmtId="0" fontId="31" fillId="0" borderId="289" applyNumberFormat="0" applyFill="0" applyAlignment="0" applyProtection="0"/>
    <xf numFmtId="0" fontId="73" fillId="0" borderId="297" applyBorder="0">
      <alignment horizontal="center" vertical="center" wrapText="1"/>
    </xf>
    <xf numFmtId="0" fontId="18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24" borderId="250" applyNumberFormat="0" applyAlignment="0" applyProtection="0"/>
    <xf numFmtId="0" fontId="31" fillId="0" borderId="246" applyNumberFormat="0" applyFill="0" applyAlignment="0" applyProtection="0"/>
    <xf numFmtId="0" fontId="24" fillId="24" borderId="316" applyNumberForma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49" fillId="10" borderId="315" applyNumberFormat="0" applyFont="0" applyAlignment="0" applyProtection="0"/>
    <xf numFmtId="0" fontId="28" fillId="10" borderId="315" applyNumberFormat="0" applyFont="0" applyAlignment="0" applyProtection="0"/>
    <xf numFmtId="0" fontId="28" fillId="0" borderId="234"/>
    <xf numFmtId="0" fontId="18" fillId="10" borderId="262" applyNumberFormat="0" applyFont="0" applyAlignment="0" applyProtection="0"/>
    <xf numFmtId="0" fontId="41" fillId="13" borderId="268" applyNumberFormat="0" applyAlignment="0" applyProtection="0"/>
    <xf numFmtId="0" fontId="8" fillId="45" borderId="253" applyNumberFormat="0" applyFont="0" applyAlignment="0" applyProtection="0"/>
    <xf numFmtId="0" fontId="31" fillId="0" borderId="319" applyNumberFormat="0" applyFill="0" applyAlignment="0" applyProtection="0"/>
    <xf numFmtId="0" fontId="24" fillId="24" borderId="302" applyNumberForma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4" fillId="24" borderId="245" applyNumberFormat="0" applyAlignment="0" applyProtection="0"/>
    <xf numFmtId="0" fontId="31" fillId="0" borderId="267" applyNumberFormat="0" applyFill="0" applyAlignment="0" applyProtection="0"/>
    <xf numFmtId="0" fontId="31" fillId="0" borderId="252" applyNumberFormat="0" applyFill="0" applyAlignment="0" applyProtection="0"/>
    <xf numFmtId="0" fontId="31" fillId="0" borderId="295" applyNumberFormat="0" applyFill="0" applyAlignment="0" applyProtection="0"/>
    <xf numFmtId="0" fontId="8" fillId="10" borderId="301" applyNumberFormat="0" applyFont="0" applyAlignment="0" applyProtection="0"/>
    <xf numFmtId="0" fontId="31" fillId="0" borderId="251" applyNumberFormat="0" applyFill="0" applyAlignment="0" applyProtection="0"/>
    <xf numFmtId="0" fontId="48" fillId="24" borderId="268" applyNumberFormat="0" applyAlignment="0" applyProtection="0"/>
    <xf numFmtId="0" fontId="29" fillId="24" borderId="271" applyNumberFormat="0" applyAlignment="0" applyProtection="0"/>
    <xf numFmtId="0" fontId="29" fillId="24" borderId="271" applyNumberFormat="0" applyAlignment="0" applyProtection="0"/>
    <xf numFmtId="0" fontId="48" fillId="24" borderId="314" applyNumberFormat="0" applyAlignment="0" applyProtection="0"/>
    <xf numFmtId="0" fontId="85" fillId="0" borderId="321"/>
    <xf numFmtId="0" fontId="41" fillId="13" borderId="314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73" fillId="0" borderId="265" applyBorder="0">
      <alignment horizontal="center" vertical="center" wrapText="1"/>
    </xf>
    <xf numFmtId="0" fontId="31" fillId="0" borderId="267" applyNumberFormat="0" applyFill="0" applyAlignment="0" applyProtection="0"/>
    <xf numFmtId="0" fontId="29" fillId="24" borderId="271" applyNumberFormat="0" applyAlignment="0" applyProtection="0"/>
    <xf numFmtId="0" fontId="18" fillId="10" borderId="269" applyNumberFormat="0" applyFont="0" applyAlignment="0" applyProtection="0"/>
    <xf numFmtId="0" fontId="48" fillId="12" borderId="237" applyNumberFormat="0" applyAlignment="0" applyProtection="0"/>
    <xf numFmtId="0" fontId="31" fillId="0" borderId="267" applyNumberFormat="0" applyFill="0" applyAlignment="0" applyProtection="0"/>
    <xf numFmtId="0" fontId="49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67" applyNumberFormat="0" applyFill="0" applyAlignment="0" applyProtection="0"/>
    <xf numFmtId="0" fontId="28" fillId="0" borderId="321"/>
    <xf numFmtId="0" fontId="24" fillId="24" borderId="279" applyNumberFormat="0" applyAlignment="0" applyProtection="0"/>
    <xf numFmtId="0" fontId="48" fillId="24" borderId="314" applyNumberFormat="0" applyAlignment="0" applyProtection="0"/>
    <xf numFmtId="0" fontId="48" fillId="12" borderId="314" applyNumberFormat="0" applyAlignment="0" applyProtection="0"/>
    <xf numFmtId="0" fontId="48" fillId="12" borderId="268" applyNumberFormat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29" fillId="12" borderId="271" applyNumberFormat="0" applyAlignment="0" applyProtection="0"/>
    <xf numFmtId="0" fontId="31" fillId="0" borderId="266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4" fillId="24" borderId="270" applyNumberFormat="0" applyAlignment="0" applyProtection="0"/>
    <xf numFmtId="0" fontId="8" fillId="10" borderId="269" applyNumberFormat="0" applyFont="0" applyAlignment="0" applyProtection="0"/>
    <xf numFmtId="0" fontId="25" fillId="8" borderId="268" applyNumberFormat="0" applyAlignment="0" applyProtection="0"/>
    <xf numFmtId="0" fontId="48" fillId="12" borderId="268" applyNumberFormat="0" applyAlignment="0" applyProtection="0"/>
    <xf numFmtId="0" fontId="49" fillId="10" borderId="269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49" fillId="10" borderId="292" applyNumberFormat="0" applyFont="0" applyAlignment="0" applyProtection="0"/>
    <xf numFmtId="0" fontId="8" fillId="10" borderId="315" applyNumberFormat="0" applyFont="0" applyAlignment="0" applyProtection="0"/>
    <xf numFmtId="0" fontId="28" fillId="10" borderId="244" applyNumberFormat="0" applyFont="0" applyAlignment="0" applyProtection="0"/>
    <xf numFmtId="0" fontId="48" fillId="24" borderId="314" applyNumberFormat="0" applyAlignment="0" applyProtection="0"/>
    <xf numFmtId="0" fontId="25" fillId="13" borderId="291" applyNumberFormat="0" applyAlignment="0" applyProtection="0"/>
    <xf numFmtId="0" fontId="25" fillId="8" borderId="314" applyNumberFormat="0" applyAlignment="0" applyProtection="0"/>
    <xf numFmtId="0" fontId="8" fillId="10" borderId="269" applyNumberFormat="0" applyFont="0" applyAlignment="0" applyProtection="0"/>
    <xf numFmtId="0" fontId="8" fillId="10" borderId="315" applyNumberFormat="0" applyFont="0" applyAlignment="0" applyProtection="0"/>
    <xf numFmtId="0" fontId="41" fillId="13" borderId="314" applyNumberFormat="0" applyAlignment="0" applyProtection="0"/>
    <xf numFmtId="0" fontId="85" fillId="0" borderId="298"/>
    <xf numFmtId="0" fontId="48" fillId="24" borderId="291" applyNumberFormat="0" applyAlignment="0" applyProtection="0"/>
    <xf numFmtId="0" fontId="28" fillId="10" borderId="292" applyNumberFormat="0" applyFont="0" applyAlignment="0" applyProtection="0"/>
    <xf numFmtId="0" fontId="16" fillId="24" borderId="284" applyNumberFormat="0" applyAlignment="0" applyProtection="0"/>
    <xf numFmtId="0" fontId="49" fillId="10" borderId="292" applyNumberFormat="0" applyFont="0" applyAlignment="0" applyProtection="0"/>
    <xf numFmtId="0" fontId="49" fillId="10" borderId="292" applyNumberFormat="0" applyFont="0" applyAlignment="0" applyProtection="0"/>
    <xf numFmtId="0" fontId="25" fillId="13" borderId="268" applyNumberFormat="0" applyAlignment="0" applyProtection="0"/>
    <xf numFmtId="0" fontId="28" fillId="0" borderId="321"/>
    <xf numFmtId="0" fontId="16" fillId="24" borderId="323" applyNumberFormat="0" applyAlignment="0" applyProtection="0"/>
    <xf numFmtId="0" fontId="28" fillId="10" borderId="324" applyNumberFormat="0" applyFont="0" applyAlignment="0" applyProtection="0"/>
    <xf numFmtId="0" fontId="29" fillId="24" borderId="283" applyNumberFormat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31" fillId="0" borderId="295" applyNumberFormat="0" applyFill="0" applyAlignment="0" applyProtection="0"/>
    <xf numFmtId="0" fontId="16" fillId="24" borderId="284" applyNumberFormat="0" applyAlignment="0" applyProtection="0"/>
    <xf numFmtId="0" fontId="31" fillId="0" borderId="313" applyNumberFormat="0" applyFill="0" applyAlignment="0" applyProtection="0"/>
    <xf numFmtId="0" fontId="25" fillId="13" borderId="314" applyNumberFormat="0" applyAlignment="0" applyProtection="0"/>
    <xf numFmtId="0" fontId="29" fillId="12" borderId="294" applyNumberFormat="0" applyAlignment="0" applyProtection="0"/>
    <xf numFmtId="0" fontId="31" fillId="0" borderId="290" applyNumberFormat="0" applyFill="0" applyAlignment="0" applyProtection="0"/>
    <xf numFmtId="0" fontId="49" fillId="10" borderId="244" applyNumberFormat="0" applyFont="0" applyAlignment="0" applyProtection="0"/>
    <xf numFmtId="0" fontId="85" fillId="0" borderId="247"/>
    <xf numFmtId="0" fontId="16" fillId="24" borderId="291" applyNumberFormat="0" applyAlignment="0" applyProtection="0"/>
    <xf numFmtId="0" fontId="31" fillId="0" borderId="252" applyNumberFormat="0" applyFill="0" applyAlignment="0" applyProtection="0"/>
    <xf numFmtId="0" fontId="8" fillId="10" borderId="292" applyNumberFormat="0" applyFont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41" fillId="13" borderId="314" applyNumberFormat="0" applyAlignment="0" applyProtection="0"/>
    <xf numFmtId="0" fontId="18" fillId="10" borderId="301" applyNumberFormat="0" applyFont="0" applyAlignment="0" applyProtection="0"/>
    <xf numFmtId="0" fontId="16" fillId="24" borderId="300" applyNumberFormat="0" applyAlignment="0" applyProtection="0"/>
    <xf numFmtId="0" fontId="28" fillId="0" borderId="298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8" fillId="45" borderId="299" applyNumberFormat="0" applyFont="0" applyAlignment="0" applyProtection="0"/>
    <xf numFmtId="0" fontId="28" fillId="0" borderId="275"/>
    <xf numFmtId="0" fontId="29" fillId="24" borderId="283" applyNumberFormat="0" applyAlignment="0" applyProtection="0"/>
    <xf numFmtId="0" fontId="25" fillId="8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28" fillId="0" borderId="275"/>
    <xf numFmtId="0" fontId="48" fillId="12" borderId="314" applyNumberFormat="0" applyAlignment="0" applyProtection="0"/>
    <xf numFmtId="0" fontId="31" fillId="0" borderId="318" applyNumberFormat="0" applyFill="0" applyAlignment="0" applyProtection="0"/>
    <xf numFmtId="0" fontId="85" fillId="0" borderId="321"/>
    <xf numFmtId="0" fontId="16" fillId="24" borderId="291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31" fillId="0" borderId="313" applyNumberFormat="0" applyFill="0" applyAlignment="0" applyProtection="0"/>
    <xf numFmtId="0" fontId="28" fillId="0" borderId="321"/>
    <xf numFmtId="0" fontId="48" fillId="12" borderId="268" applyNumberFormat="0" applyAlignment="0" applyProtection="0"/>
    <xf numFmtId="0" fontId="48" fillId="24" borderId="314" applyNumberFormat="0" applyAlignment="0" applyProtection="0"/>
    <xf numFmtId="0" fontId="49" fillId="10" borderId="315" applyNumberFormat="0" applyFont="0" applyAlignment="0" applyProtection="0"/>
    <xf numFmtId="0" fontId="49" fillId="10" borderId="315" applyNumberFormat="0" applyFont="0" applyAlignment="0" applyProtection="0"/>
    <xf numFmtId="0" fontId="73" fillId="0" borderId="288" applyBorder="0">
      <alignment horizontal="center" vertical="center" wrapText="1"/>
    </xf>
    <xf numFmtId="0" fontId="31" fillId="0" borderId="290" applyNumberFormat="0" applyFill="0" applyAlignment="0" applyProtection="0"/>
    <xf numFmtId="0" fontId="49" fillId="10" borderId="315" applyNumberFormat="0" applyFont="0" applyAlignment="0" applyProtection="0"/>
    <xf numFmtId="0" fontId="24" fillId="24" borderId="256" applyNumberFormat="0" applyAlignment="0" applyProtection="0"/>
    <xf numFmtId="0" fontId="31" fillId="0" borderId="289" applyNumberFormat="0" applyFill="0" applyAlignment="0" applyProtection="0"/>
    <xf numFmtId="0" fontId="85" fillId="0" borderId="247"/>
    <xf numFmtId="0" fontId="31" fillId="0" borderId="246" applyNumberFormat="0" applyFill="0" applyAlignment="0" applyProtection="0"/>
    <xf numFmtId="0" fontId="18" fillId="10" borderId="244" applyNumberFormat="0" applyFont="0" applyAlignment="0" applyProtection="0"/>
    <xf numFmtId="0" fontId="32" fillId="24" borderId="291" applyNumberFormat="0" applyAlignment="0" applyProtection="0"/>
    <xf numFmtId="0" fontId="31" fillId="0" borderId="252" applyNumberFormat="0" applyFill="0" applyAlignment="0" applyProtection="0"/>
    <xf numFmtId="0" fontId="28" fillId="0" borderId="247"/>
    <xf numFmtId="0" fontId="31" fillId="0" borderId="252" applyNumberFormat="0" applyFill="0" applyAlignment="0" applyProtection="0"/>
    <xf numFmtId="0" fontId="28" fillId="10" borderId="292" applyNumberFormat="0" applyFont="0" applyAlignment="0" applyProtection="0"/>
    <xf numFmtId="0" fontId="41" fillId="13" borderId="261" applyNumberFormat="0" applyAlignment="0" applyProtection="0"/>
    <xf numFmtId="0" fontId="29" fillId="24" borderId="260" applyNumberFormat="0" applyAlignment="0" applyProtection="0"/>
    <xf numFmtId="0" fontId="31" fillId="0" borderId="295" applyNumberFormat="0" applyFill="0" applyAlignment="0" applyProtection="0"/>
    <xf numFmtId="0" fontId="31" fillId="0" borderId="249" applyNumberFormat="0" applyFill="0" applyAlignment="0" applyProtection="0"/>
    <xf numFmtId="0" fontId="31" fillId="0" borderId="267" applyNumberFormat="0" applyFill="0" applyAlignment="0" applyProtection="0"/>
    <xf numFmtId="0" fontId="28" fillId="10" borderId="262" applyNumberFormat="0" applyFont="0" applyAlignment="0" applyProtection="0"/>
    <xf numFmtId="0" fontId="85" fillId="0" borderId="275"/>
    <xf numFmtId="0" fontId="31" fillId="0" borderId="273" applyNumberFormat="0" applyFill="0" applyAlignment="0" applyProtection="0"/>
    <xf numFmtId="0" fontId="8" fillId="10" borderId="269" applyNumberFormat="0" applyFont="0" applyAlignment="0" applyProtection="0"/>
    <xf numFmtId="0" fontId="16" fillId="24" borderId="237" applyNumberFormat="0" applyAlignment="0" applyProtection="0"/>
    <xf numFmtId="0" fontId="85" fillId="73" borderId="275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28" fillId="0" borderId="298"/>
    <xf numFmtId="0" fontId="28" fillId="0" borderId="275"/>
    <xf numFmtId="0" fontId="29" fillId="24" borderId="294" applyNumberFormat="0" applyAlignment="0" applyProtection="0"/>
    <xf numFmtId="0" fontId="29" fillId="12" borderId="317" applyNumberFormat="0" applyAlignment="0" applyProtection="0"/>
    <xf numFmtId="0" fontId="29" fillId="24" borderId="271" applyNumberFormat="0" applyAlignment="0" applyProtection="0"/>
    <xf numFmtId="0" fontId="48" fillId="12" borderId="268" applyNumberForma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41" fillId="13" borderId="268" applyNumberFormat="0" applyAlignment="0" applyProtection="0"/>
    <xf numFmtId="0" fontId="31" fillId="0" borderId="272" applyNumberFormat="0" applyFill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28" fillId="0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272" applyNumberFormat="0" applyFill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9" applyNumberFormat="0" applyFill="0" applyAlignment="0" applyProtection="0"/>
    <xf numFmtId="0" fontId="25" fillId="13" borderId="291" applyNumberFormat="0" applyAlignment="0" applyProtection="0"/>
    <xf numFmtId="0" fontId="31" fillId="0" borderId="295" applyNumberFormat="0" applyFill="0" applyAlignment="0" applyProtection="0"/>
    <xf numFmtId="0" fontId="8" fillId="10" borderId="244" applyNumberFormat="0" applyFont="0" applyAlignment="0" applyProtection="0"/>
    <xf numFmtId="0" fontId="25" fillId="13" borderId="261" applyNumberForma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31" fillId="0" borderId="240" applyNumberFormat="0" applyFill="0" applyAlignment="0" applyProtection="0"/>
    <xf numFmtId="0" fontId="85" fillId="0" borderId="234"/>
    <xf numFmtId="0" fontId="25" fillId="8" borderId="237" applyNumberFormat="0" applyAlignment="0" applyProtection="0"/>
    <xf numFmtId="0" fontId="73" fillId="0" borderId="242" applyBorder="0">
      <alignment horizontal="center" vertical="center" wrapText="1"/>
    </xf>
    <xf numFmtId="0" fontId="41" fillId="13" borderId="237" applyNumberFormat="0" applyAlignment="0" applyProtection="0"/>
    <xf numFmtId="0" fontId="49" fillId="10" borderId="238" applyNumberFormat="0" applyFont="0" applyAlignment="0" applyProtection="0"/>
    <xf numFmtId="0" fontId="48" fillId="24" borderId="291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85" fillId="73" borderId="298"/>
    <xf numFmtId="0" fontId="32" fillId="24" borderId="237" applyNumberFormat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24" fillId="24" borderId="245" applyNumberFormat="0" applyAlignment="0" applyProtection="0"/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31" fillId="0" borderId="273" applyNumberFormat="0" applyFill="0" applyAlignment="0" applyProtection="0"/>
    <xf numFmtId="0" fontId="73" fillId="0" borderId="311" applyBorder="0">
      <alignment horizontal="center" vertical="center" wrapText="1"/>
    </xf>
    <xf numFmtId="0" fontId="1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16" fillId="24" borderId="291" applyNumberFormat="0" applyAlignment="0" applyProtection="0"/>
    <xf numFmtId="0" fontId="31" fillId="0" borderId="290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49" fillId="10" borderId="292" applyNumberFormat="0" applyFont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25" fillId="8" borderId="314" applyNumberFormat="0" applyAlignment="0" applyProtection="0"/>
    <xf numFmtId="0" fontId="31" fillId="0" borderId="319" applyNumberFormat="0" applyFill="0" applyAlignment="0" applyProtection="0"/>
    <xf numFmtId="0" fontId="8" fillId="10" borderId="315" applyNumberFormat="0" applyFont="0" applyAlignment="0" applyProtection="0"/>
    <xf numFmtId="0" fontId="31" fillId="0" borderId="319" applyNumberFormat="0" applyFill="0" applyAlignment="0" applyProtection="0"/>
    <xf numFmtId="0" fontId="85" fillId="0" borderId="321"/>
    <xf numFmtId="0" fontId="28" fillId="10" borderId="324" applyNumberFormat="0" applyFont="0" applyAlignment="0" applyProtection="0"/>
    <xf numFmtId="0" fontId="31" fillId="0" borderId="290" applyNumberFormat="0" applyFill="0" applyAlignment="0" applyProtection="0"/>
    <xf numFmtId="0" fontId="29" fillId="24" borderId="317" applyNumberFormat="0" applyAlignment="0" applyProtection="0"/>
    <xf numFmtId="0" fontId="31" fillId="0" borderId="273" applyNumberFormat="0" applyFill="0" applyAlignment="0" applyProtection="0"/>
    <xf numFmtId="0" fontId="25" fillId="8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9" fillId="24" borderId="317" applyNumberFormat="0" applyAlignment="0" applyProtection="0"/>
    <xf numFmtId="0" fontId="28" fillId="0" borderId="321"/>
    <xf numFmtId="0" fontId="73" fillId="0" borderId="288" applyBorder="0">
      <alignment horizontal="center" vertical="center" wrapText="1"/>
    </xf>
    <xf numFmtId="0" fontId="31" fillId="0" borderId="289" applyNumberFormat="0" applyFill="0" applyAlignment="0" applyProtection="0"/>
    <xf numFmtId="0" fontId="48" fillId="24" borderId="291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5" fillId="8" borderId="291" applyNumberFormat="0" applyAlignment="0" applyProtection="0"/>
    <xf numFmtId="0" fontId="41" fillId="13" borderId="284" applyNumberFormat="0" applyAlignment="0" applyProtection="0"/>
    <xf numFmtId="0" fontId="16" fillId="24" borderId="307" applyNumberForma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32" fillId="24" borderId="314" applyNumberFormat="0" applyAlignment="0" applyProtection="0"/>
    <xf numFmtId="0" fontId="16" fillId="24" borderId="254" applyNumberFormat="0" applyAlignment="0" applyProtection="0"/>
    <xf numFmtId="0" fontId="8" fillId="45" borderId="253" applyNumberFormat="0" applyFont="0" applyAlignment="0" applyProtection="0"/>
    <xf numFmtId="0" fontId="31" fillId="0" borderId="249" applyNumberFormat="0" applyFill="0" applyAlignment="0" applyProtection="0"/>
    <xf numFmtId="0" fontId="29" fillId="24" borderId="250" applyNumberForma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8" fillId="10" borderId="315" applyNumberFormat="0" applyFont="0" applyAlignment="0" applyProtection="0"/>
    <xf numFmtId="0" fontId="8" fillId="45" borderId="253" applyNumberFormat="0" applyFont="0" applyAlignment="0" applyProtection="0"/>
    <xf numFmtId="0" fontId="25" fillId="8" borderId="314" applyNumberFormat="0" applyAlignment="0" applyProtection="0"/>
    <xf numFmtId="0" fontId="31" fillId="0" borderId="303" applyNumberFormat="0" applyFill="0" applyAlignment="0" applyProtection="0"/>
    <xf numFmtId="0" fontId="28" fillId="10" borderId="301" applyNumberFormat="0" applyFont="0" applyAlignment="0" applyProtection="0"/>
    <xf numFmtId="0" fontId="16" fillId="24" borderId="300" applyNumberFormat="0" applyAlignment="0" applyProtection="0"/>
    <xf numFmtId="0" fontId="48" fillId="12" borderId="291" applyNumberForma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28" fillId="0" borderId="298"/>
    <xf numFmtId="0" fontId="25" fillId="13" borderId="291" applyNumberFormat="0" applyAlignment="0" applyProtection="0"/>
    <xf numFmtId="0" fontId="25" fillId="13" borderId="291" applyNumberFormat="0" applyAlignment="0" applyProtection="0"/>
    <xf numFmtId="0" fontId="25" fillId="13" borderId="291" applyNumberFormat="0" applyAlignment="0" applyProtection="0"/>
    <xf numFmtId="0" fontId="31" fillId="0" borderId="272" applyNumberFormat="0" applyFill="0" applyAlignment="0" applyProtection="0"/>
    <xf numFmtId="0" fontId="31" fillId="0" borderId="290" applyNumberFormat="0" applyFill="0" applyAlignment="0" applyProtection="0"/>
    <xf numFmtId="0" fontId="18" fillId="10" borderId="292" applyNumberFormat="0" applyFont="0" applyAlignment="0" applyProtection="0"/>
    <xf numFmtId="0" fontId="24" fillId="24" borderId="286" applyNumberFormat="0" applyAlignment="0" applyProtection="0"/>
    <xf numFmtId="0" fontId="16" fillId="24" borderId="314" applyNumberFormat="0" applyAlignment="0" applyProtection="0"/>
    <xf numFmtId="0" fontId="48" fillId="24" borderId="300" applyNumberFormat="0" applyAlignment="0" applyProtection="0"/>
    <xf numFmtId="0" fontId="49" fillId="10" borderId="292" applyNumberFormat="0" applyFont="0" applyAlignment="0" applyProtection="0"/>
    <xf numFmtId="0" fontId="25" fillId="13" borderId="291" applyNumberFormat="0" applyAlignment="0" applyProtection="0"/>
    <xf numFmtId="0" fontId="41" fillId="13" borderId="291" applyNumberFormat="0" applyAlignment="0" applyProtection="0"/>
    <xf numFmtId="0" fontId="31" fillId="0" borderId="289" applyNumberFormat="0" applyFill="0" applyAlignment="0" applyProtection="0"/>
    <xf numFmtId="0" fontId="16" fillId="24" borderId="314" applyNumberForma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48" fillId="24" borderId="268" applyNumberFormat="0" applyAlignment="0" applyProtection="0"/>
    <xf numFmtId="0" fontId="8" fillId="10" borderId="315" applyNumberFormat="0" applyFont="0" applyAlignment="0" applyProtection="0"/>
    <xf numFmtId="0" fontId="25" fillId="13" borderId="314" applyNumberFormat="0" applyAlignment="0" applyProtection="0"/>
    <xf numFmtId="0" fontId="49" fillId="10" borderId="315" applyNumberFormat="0" applyFont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8" fillId="10" borderId="292" applyNumberFormat="0" applyFont="0" applyAlignment="0" applyProtection="0"/>
    <xf numFmtId="0" fontId="25" fillId="13" borderId="284" applyNumberFormat="0" applyAlignment="0" applyProtection="0"/>
    <xf numFmtId="0" fontId="31" fillId="0" borderId="312" applyNumberFormat="0" applyFill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41" fillId="13" borderId="314" applyNumberFormat="0" applyAlignment="0" applyProtection="0"/>
    <xf numFmtId="0" fontId="32" fillId="24" borderId="314" applyNumberFormat="0" applyAlignment="0" applyProtection="0"/>
    <xf numFmtId="0" fontId="48" fillId="12" borderId="314" applyNumberFormat="0" applyAlignment="0" applyProtection="0"/>
    <xf numFmtId="0" fontId="16" fillId="24" borderId="314" applyNumberFormat="0" applyAlignment="0" applyProtection="0"/>
    <xf numFmtId="0" fontId="29" fillId="12" borderId="317" applyNumberFormat="0" applyAlignment="0" applyProtection="0"/>
    <xf numFmtId="0" fontId="28" fillId="10" borderId="315" applyNumberFormat="0" applyFon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8" fillId="45" borderId="322" applyNumberFormat="0" applyFont="0" applyAlignment="0" applyProtection="0"/>
    <xf numFmtId="0" fontId="24" fillId="24" borderId="316" applyNumberFormat="0" applyAlignment="0" applyProtection="0"/>
    <xf numFmtId="0" fontId="28" fillId="0" borderId="321"/>
    <xf numFmtId="0" fontId="73" fillId="0" borderId="297" applyBorder="0">
      <alignment horizontal="center" vertical="center" wrapText="1"/>
    </xf>
    <xf numFmtId="0" fontId="31" fillId="0" borderId="290" applyNumberFormat="0" applyFill="0" applyAlignment="0" applyProtection="0"/>
    <xf numFmtId="0" fontId="48" fillId="24" borderId="291" applyNumberFormat="0" applyAlignment="0" applyProtection="0"/>
    <xf numFmtId="0" fontId="85" fillId="0" borderId="321"/>
    <xf numFmtId="0" fontId="31" fillId="0" borderId="319" applyNumberFormat="0" applyFill="0" applyAlignment="0" applyProtection="0"/>
    <xf numFmtId="0" fontId="28" fillId="0" borderId="275"/>
    <xf numFmtId="0" fontId="49" fillId="10" borderId="292" applyNumberFormat="0" applyFont="0" applyAlignment="0" applyProtection="0"/>
    <xf numFmtId="0" fontId="28" fillId="0" borderId="247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85" fillId="0" borderId="247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29" fillId="12" borderId="317" applyNumberFormat="0" applyAlignment="0" applyProtection="0"/>
    <xf numFmtId="0" fontId="48" fillId="24" borderId="291" applyNumberFormat="0" applyAlignment="0" applyProtection="0"/>
    <xf numFmtId="0" fontId="24" fillId="24" borderId="232" applyNumberFormat="0" applyAlignment="0" applyProtection="0"/>
    <xf numFmtId="0" fontId="28" fillId="10" borderId="231" applyNumberFormat="0" applyFont="0" applyAlignment="0" applyProtection="0"/>
    <xf numFmtId="0" fontId="28" fillId="10" borderId="231" applyNumberFormat="0" applyFont="0" applyAlignment="0" applyProtection="0"/>
    <xf numFmtId="0" fontId="18" fillId="10" borderId="231" applyNumberFormat="0" applyFont="0" applyAlignment="0" applyProtection="0"/>
    <xf numFmtId="0" fontId="28" fillId="10" borderId="238" applyNumberFormat="0" applyFont="0" applyAlignment="0" applyProtection="0"/>
    <xf numFmtId="0" fontId="25" fillId="13" borderId="230" applyNumberFormat="0" applyAlignment="0" applyProtection="0"/>
    <xf numFmtId="0" fontId="48" fillId="24" borderId="230" applyNumberFormat="0" applyAlignment="0" applyProtection="0"/>
    <xf numFmtId="0" fontId="48" fillId="12" borderId="221" applyNumberFormat="0" applyAlignment="0" applyProtection="0"/>
    <xf numFmtId="0" fontId="85" fillId="0" borderId="218"/>
    <xf numFmtId="0" fontId="28" fillId="0" borderId="218"/>
    <xf numFmtId="0" fontId="49" fillId="10" borderId="222" applyNumberFormat="0" applyFon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49" fillId="10" borderId="222" applyNumberFormat="0" applyFont="0" applyAlignment="0" applyProtection="0"/>
    <xf numFmtId="0" fontId="31" fillId="0" borderId="224" applyNumberFormat="0" applyFill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73" fillId="0" borderId="225" applyBorder="0">
      <alignment horizontal="center" vertical="center" wrapText="1"/>
    </xf>
    <xf numFmtId="0" fontId="48" fillId="12" borderId="221" applyNumberFormat="0" applyAlignment="0" applyProtection="0"/>
    <xf numFmtId="0" fontId="41" fillId="13" borderId="221" applyNumberFormat="0" applyAlignment="0" applyProtection="0"/>
    <xf numFmtId="0" fontId="31" fillId="0" borderId="219" applyNumberFormat="0" applyFill="0" applyAlignment="0" applyProtection="0"/>
    <xf numFmtId="0" fontId="41" fillId="13" borderId="221" applyNumberFormat="0" applyAlignment="0" applyProtection="0"/>
    <xf numFmtId="0" fontId="73" fillId="0" borderId="228" applyBorder="0">
      <alignment horizontal="center" vertical="center" wrapText="1"/>
    </xf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73" fillId="0" borderId="225" applyBorder="0">
      <alignment horizontal="center" vertical="center" wrapText="1"/>
    </xf>
    <xf numFmtId="0" fontId="24" fillId="24" borderId="223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4" fillId="24" borderId="223" applyNumberFormat="0" applyAlignment="0" applyProtection="0"/>
    <xf numFmtId="0" fontId="32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29" fillId="12" borderId="220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25" fillId="13" borderId="261" applyNumberForma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28" fillId="0" borderId="321"/>
    <xf numFmtId="0" fontId="85" fillId="73" borderId="298"/>
    <xf numFmtId="0" fontId="32" fillId="24" borderId="314" applyNumberFormat="0" applyAlignment="0" applyProtection="0"/>
    <xf numFmtId="0" fontId="25" fillId="13" borderId="254" applyNumberFormat="0" applyAlignment="0" applyProtection="0"/>
    <xf numFmtId="0" fontId="29" fillId="12" borderId="250" applyNumberFormat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31" fillId="0" borderId="313" applyNumberFormat="0" applyFill="0" applyAlignment="0" applyProtection="0"/>
    <xf numFmtId="0" fontId="28" fillId="10" borderId="292" applyNumberFormat="0" applyFont="0" applyAlignment="0" applyProtection="0"/>
    <xf numFmtId="0" fontId="28" fillId="10" borderId="255" applyNumberFormat="0" applyFont="0" applyAlignment="0" applyProtection="0"/>
    <xf numFmtId="0" fontId="29" fillId="24" borderId="271" applyNumberFormat="0" applyAlignment="0" applyProtection="0"/>
    <xf numFmtId="0" fontId="28" fillId="10" borderId="292" applyNumberFormat="0" applyFon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8" fillId="0" borderId="298"/>
    <xf numFmtId="0" fontId="29" fillId="24" borderId="250" applyNumberFormat="0" applyAlignment="0" applyProtection="0"/>
    <xf numFmtId="0" fontId="73" fillId="0" borderId="320" applyBorder="0">
      <alignment horizontal="center" vertical="center" wrapText="1"/>
    </xf>
    <xf numFmtId="0" fontId="31" fillId="0" borderId="313" applyNumberFormat="0" applyFill="0" applyAlignment="0" applyProtection="0"/>
    <xf numFmtId="0" fontId="73" fillId="0" borderId="297" applyBorder="0">
      <alignment horizontal="center" vertical="center" wrapText="1"/>
    </xf>
    <xf numFmtId="0" fontId="31" fillId="0" borderId="251" applyNumberFormat="0" applyFill="0" applyAlignment="0" applyProtection="0"/>
    <xf numFmtId="0" fontId="31" fillId="0" borderId="267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73" fillId="0" borderId="228" applyBorder="0">
      <alignment horizontal="center" vertical="center" wrapText="1"/>
    </xf>
    <xf numFmtId="0" fontId="31" fillId="0" borderId="252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318" applyNumberFormat="0" applyFill="0" applyAlignment="0" applyProtection="0"/>
    <xf numFmtId="0" fontId="29" fillId="12" borderId="271" applyNumberFormat="0" applyAlignment="0" applyProtection="0"/>
    <xf numFmtId="0" fontId="85" fillId="0" borderId="275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8" fillId="0" borderId="321"/>
    <xf numFmtId="0" fontId="41" fillId="13" borderId="291" applyNumberFormat="0" applyAlignment="0" applyProtection="0"/>
    <xf numFmtId="0" fontId="24" fillId="24" borderId="270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318" applyNumberFormat="0" applyFill="0" applyAlignment="0" applyProtection="0"/>
    <xf numFmtId="0" fontId="24" fillId="24" borderId="279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48" fillId="24" borderId="314" applyNumberFormat="0" applyAlignment="0" applyProtection="0"/>
    <xf numFmtId="0" fontId="41" fillId="13" borderId="314" applyNumberFormat="0" applyAlignment="0" applyProtection="0"/>
    <xf numFmtId="0" fontId="25" fillId="13" borderId="314" applyNumberFormat="0" applyAlignment="0" applyProtection="0"/>
    <xf numFmtId="0" fontId="25" fillId="13" borderId="314" applyNumberFormat="0" applyAlignment="0" applyProtection="0"/>
    <xf numFmtId="0" fontId="31" fillId="0" borderId="290" applyNumberFormat="0" applyFill="0" applyAlignment="0" applyProtection="0"/>
    <xf numFmtId="0" fontId="32" fillId="24" borderId="291" applyNumberFormat="0" applyAlignment="0" applyProtection="0"/>
    <xf numFmtId="0" fontId="31" fillId="0" borderId="290" applyNumberFormat="0" applyFill="0" applyAlignment="0" applyProtection="0"/>
    <xf numFmtId="0" fontId="41" fillId="13" borderId="221" applyNumberFormat="0" applyAlignment="0" applyProtection="0"/>
    <xf numFmtId="0" fontId="32" fillId="24" borderId="291" applyNumberFormat="0" applyAlignment="0" applyProtection="0"/>
    <xf numFmtId="0" fontId="41" fillId="13" borderId="314" applyNumberFormat="0" applyAlignment="0" applyProtection="0"/>
    <xf numFmtId="0" fontId="25" fillId="13" borderId="291" applyNumberFormat="0" applyAlignment="0" applyProtection="0"/>
    <xf numFmtId="0" fontId="28" fillId="10" borderId="292" applyNumberFormat="0" applyFont="0" applyAlignment="0" applyProtection="0"/>
    <xf numFmtId="0" fontId="31" fillId="0" borderId="249" applyNumberFormat="0" applyFill="0" applyAlignment="0" applyProtection="0"/>
    <xf numFmtId="0" fontId="16" fillId="24" borderId="221" applyNumberFormat="0" applyAlignment="0" applyProtection="0"/>
    <xf numFmtId="0" fontId="73" fillId="0" borderId="225" applyBorder="0">
      <alignment horizontal="center" vertical="center" wrapText="1"/>
    </xf>
    <xf numFmtId="0" fontId="41" fillId="13" borderId="300" applyNumberFormat="0" applyAlignment="0" applyProtection="0"/>
    <xf numFmtId="0" fontId="31" fillId="0" borderId="295" applyNumberFormat="0" applyFill="0" applyAlignment="0" applyProtection="0"/>
    <xf numFmtId="0" fontId="31" fillId="0" borderId="289" applyNumberFormat="0" applyFill="0" applyAlignment="0" applyProtection="0"/>
    <xf numFmtId="0" fontId="24" fillId="24" borderId="293" applyNumberFormat="0" applyAlignment="0" applyProtection="0"/>
    <xf numFmtId="0" fontId="49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9" applyNumberFormat="0" applyFill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68" applyNumberFormat="0" applyAlignment="0" applyProtection="0"/>
    <xf numFmtId="0" fontId="28" fillId="10" borderId="285" applyNumberFormat="0" applyFont="0" applyAlignment="0" applyProtection="0"/>
    <xf numFmtId="0" fontId="41" fillId="13" borderId="300" applyNumberFormat="0" applyAlignment="0" applyProtection="0"/>
    <xf numFmtId="0" fontId="85" fillId="0" borderId="298"/>
    <xf numFmtId="0" fontId="48" fillId="12" borderId="291" applyNumberFormat="0" applyAlignment="0" applyProtection="0"/>
    <xf numFmtId="0" fontId="29" fillId="12" borderId="294" applyNumberFormat="0" applyAlignment="0" applyProtection="0"/>
    <xf numFmtId="0" fontId="32" fillId="24" borderId="300" applyNumberFormat="0" applyAlignment="0" applyProtection="0"/>
    <xf numFmtId="0" fontId="41" fillId="13" borderId="268" applyNumberFormat="0" applyAlignment="0" applyProtection="0"/>
    <xf numFmtId="0" fontId="31" fillId="0" borderId="267" applyNumberFormat="0" applyFill="0" applyAlignment="0" applyProtection="0"/>
    <xf numFmtId="0" fontId="25" fillId="13" borderId="268" applyNumberFormat="0" applyAlignment="0" applyProtection="0"/>
    <xf numFmtId="0" fontId="31" fillId="0" borderId="240" applyNumberFormat="0" applyFill="0" applyAlignment="0" applyProtection="0"/>
    <xf numFmtId="0" fontId="16" fillId="24" borderId="237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73" fillId="0" borderId="274" applyBorder="0">
      <alignment horizontal="center" vertical="center" wrapText="1"/>
    </xf>
    <xf numFmtId="0" fontId="48" fillId="12" borderId="237" applyNumberFormat="0" applyAlignment="0" applyProtection="0"/>
    <xf numFmtId="0" fontId="28" fillId="0" borderId="298"/>
    <xf numFmtId="0" fontId="49" fillId="10" borderId="315" applyNumberFormat="0" applyFont="0" applyAlignment="0" applyProtection="0"/>
    <xf numFmtId="0" fontId="25" fillId="8" borderId="237" applyNumberFormat="0" applyAlignment="0" applyProtection="0"/>
    <xf numFmtId="0" fontId="28" fillId="10" borderId="238" applyNumberFormat="0" applyFont="0" applyAlignment="0" applyProtection="0"/>
    <xf numFmtId="0" fontId="41" fillId="13" borderId="237" applyNumberForma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48" fillId="12" borderId="221" applyNumberFormat="0" applyAlignment="0" applyProtection="0"/>
    <xf numFmtId="0" fontId="48" fillId="12" borderId="291" applyNumberFormat="0" applyAlignment="0" applyProtection="0"/>
    <xf numFmtId="0" fontId="24" fillId="24" borderId="316" applyNumberFormat="0" applyAlignment="0" applyProtection="0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91" applyNumberFormat="0" applyAlignment="0" applyProtection="0"/>
    <xf numFmtId="0" fontId="31" fillId="0" borderId="241" applyNumberFormat="0" applyFill="0" applyAlignment="0" applyProtection="0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31" fillId="0" borderId="290" applyNumberFormat="0" applyFill="0" applyAlignment="0" applyProtection="0"/>
    <xf numFmtId="0" fontId="31" fillId="0" borderId="267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73" fillId="0" borderId="242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0" borderId="321"/>
    <xf numFmtId="0" fontId="41" fillId="13" borderId="268" applyNumberFormat="0" applyAlignment="0" applyProtection="0"/>
    <xf numFmtId="0" fontId="29" fillId="24" borderId="250" applyNumberFormat="0" applyAlignment="0" applyProtection="0"/>
    <xf numFmtId="0" fontId="29" fillId="12" borderId="271" applyNumberFormat="0" applyAlignment="0" applyProtection="0"/>
    <xf numFmtId="0" fontId="49" fillId="10" borderId="222" applyNumberFormat="0" applyFon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48" fillId="24" borderId="221" applyNumberForma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8" fillId="10" borderId="222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31" fillId="0" borderId="217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19" applyNumberFormat="0" applyFill="0" applyAlignment="0" applyProtection="0"/>
    <xf numFmtId="0" fontId="48" fillId="24" borderId="268" applyNumberFormat="0" applyAlignment="0" applyProtection="0"/>
    <xf numFmtId="0" fontId="29" fillId="24" borderId="260" applyNumberFormat="0" applyAlignment="0" applyProtection="0"/>
    <xf numFmtId="0" fontId="8" fillId="10" borderId="262" applyNumberFormat="0" applyFont="0" applyAlignment="0" applyProtection="0"/>
    <xf numFmtId="0" fontId="73" fillId="0" borderId="198" applyBorder="0">
      <alignment horizontal="center" vertical="center" wrapText="1"/>
    </xf>
    <xf numFmtId="0" fontId="28" fillId="0" borderId="275"/>
    <xf numFmtId="0" fontId="8" fillId="10" borderId="292" applyNumberFormat="0" applyFont="0" applyAlignment="0" applyProtection="0"/>
    <xf numFmtId="0" fontId="85" fillId="0" borderId="298"/>
    <xf numFmtId="0" fontId="25" fillId="13" borderId="268" applyNumberFormat="0" applyAlignment="0" applyProtection="0"/>
    <xf numFmtId="0" fontId="25" fillId="13" borderId="237" applyNumberFormat="0" applyAlignment="0" applyProtection="0"/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29" fillId="24" borderId="306" applyNumberFormat="0" applyAlignment="0" applyProtection="0"/>
    <xf numFmtId="0" fontId="73" fillId="0" borderId="274" applyBorder="0">
      <alignment horizontal="center" vertical="center" wrapText="1"/>
    </xf>
    <xf numFmtId="0" fontId="16" fillId="24" borderId="268" applyNumberFormat="0" applyAlignment="0" applyProtection="0"/>
    <xf numFmtId="0" fontId="8" fillId="10" borderId="315" applyNumberFormat="0" applyFont="0" applyAlignment="0" applyProtection="0"/>
    <xf numFmtId="0" fontId="29" fillId="12" borderId="271" applyNumberFormat="0" applyAlignment="0" applyProtection="0"/>
    <xf numFmtId="0" fontId="8" fillId="10" borderId="315" applyNumberFormat="0" applyFont="0" applyAlignment="0" applyProtection="0"/>
    <xf numFmtId="0" fontId="41" fillId="13" borderId="268" applyNumberFormat="0" applyAlignment="0" applyProtection="0"/>
    <xf numFmtId="0" fontId="18" fillId="10" borderId="285" applyNumberFormat="0" applyFont="0" applyAlignment="0" applyProtection="0"/>
    <xf numFmtId="0" fontId="28" fillId="0" borderId="298"/>
    <xf numFmtId="0" fontId="49" fillId="10" borderId="238" applyNumberFormat="0" applyFont="0" applyAlignment="0" applyProtection="0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24" fillId="24" borderId="239" applyNumberFormat="0" applyAlignment="0" applyProtection="0"/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31" fillId="0" borderId="235" applyNumberFormat="0" applyFill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9" fillId="12" borderId="236" applyNumberFormat="0" applyAlignment="0" applyProtection="0"/>
    <xf numFmtId="0" fontId="8" fillId="10" borderId="238" applyNumberFormat="0" applyFont="0" applyAlignment="0" applyProtection="0"/>
    <xf numFmtId="0" fontId="8" fillId="10" borderId="231" applyNumberFormat="0" applyFont="0" applyAlignment="0" applyProtection="0"/>
    <xf numFmtId="0" fontId="49" fillId="10" borderId="231" applyNumberFormat="0" applyFont="0" applyAlignment="0" applyProtection="0"/>
    <xf numFmtId="0" fontId="31" fillId="0" borderId="233" applyNumberFormat="0" applyFill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31" fillId="0" borderId="235" applyNumberFormat="0" applyFill="0" applyAlignment="0" applyProtection="0"/>
    <xf numFmtId="0" fontId="31" fillId="0" borderId="290" applyNumberFormat="0" applyFill="0" applyAlignment="0" applyProtection="0"/>
    <xf numFmtId="0" fontId="73" fillId="0" borderId="248" applyBorder="0">
      <alignment horizontal="center" vertical="center" wrapText="1"/>
    </xf>
    <xf numFmtId="0" fontId="31" fillId="0" borderId="296" applyNumberFormat="0" applyFill="0" applyAlignment="0" applyProtection="0"/>
    <xf numFmtId="0" fontId="28" fillId="0" borderId="321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10" borderId="292" applyNumberFormat="0" applyFont="0" applyAlignment="0" applyProtection="0"/>
    <xf numFmtId="0" fontId="48" fillId="24" borderId="291" applyNumberFormat="0" applyAlignment="0" applyProtection="0"/>
    <xf numFmtId="0" fontId="73" fillId="0" borderId="297" applyBorder="0">
      <alignment horizontal="center" vertical="center" wrapText="1"/>
    </xf>
    <xf numFmtId="0" fontId="8" fillId="10" borderId="285" applyNumberFormat="0" applyFont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29" fillId="24" borderId="317" applyNumberFormat="0" applyAlignment="0" applyProtection="0"/>
    <xf numFmtId="0" fontId="31" fillId="0" borderId="296" applyNumberFormat="0" applyFill="0" applyAlignment="0" applyProtection="0"/>
    <xf numFmtId="0" fontId="16" fillId="24" borderId="314" applyNumberFormat="0" applyAlignment="0" applyProtection="0"/>
    <xf numFmtId="0" fontId="85" fillId="73" borderId="321"/>
    <xf numFmtId="0" fontId="48" fillId="12" borderId="268" applyNumberFormat="0" applyAlignment="0" applyProtection="0"/>
    <xf numFmtId="0" fontId="25" fillId="13" borderId="291" applyNumberFormat="0" applyAlignment="0" applyProtection="0"/>
    <xf numFmtId="0" fontId="24" fillId="24" borderId="293" applyNumberFormat="0" applyAlignment="0" applyProtection="0"/>
    <xf numFmtId="0" fontId="31" fillId="0" borderId="326" applyNumberFormat="0" applyFill="0" applyAlignment="0" applyProtection="0"/>
    <xf numFmtId="0" fontId="48" fillId="12" borderId="291" applyNumberFormat="0" applyAlignment="0" applyProtection="0"/>
    <xf numFmtId="0" fontId="73" fillId="0" borderId="274" applyBorder="0">
      <alignment horizontal="center" vertical="center" wrapText="1"/>
    </xf>
    <xf numFmtId="0" fontId="49" fillId="10" borderId="269" applyNumberFormat="0" applyFont="0" applyAlignment="0" applyProtection="0"/>
    <xf numFmtId="0" fontId="85" fillId="73" borderId="275"/>
    <xf numFmtId="0" fontId="31" fillId="0" borderId="272" applyNumberFormat="0" applyFill="0" applyAlignment="0" applyProtection="0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8" fillId="12" borderId="268" applyNumberFormat="0" applyAlignment="0" applyProtection="0"/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73" fillId="0" borderId="265" applyBorder="0">
      <alignment horizontal="center" vertical="center" wrapText="1"/>
    </xf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48" fillId="12" borderId="243" applyNumberFormat="0" applyAlignment="0" applyProtection="0"/>
    <xf numFmtId="0" fontId="25" fillId="8" borderId="243" applyNumberFormat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41" fillId="13" borderId="243" applyNumberFormat="0" applyAlignment="0" applyProtection="0"/>
    <xf numFmtId="0" fontId="48" fillId="12" borderId="243" applyNumberFormat="0" applyAlignment="0" applyProtection="0"/>
    <xf numFmtId="0" fontId="48" fillId="24" borderId="243" applyNumberFormat="0" applyAlignment="0" applyProtection="0"/>
    <xf numFmtId="0" fontId="31" fillId="0" borderId="249" applyNumberFormat="0" applyFill="0" applyAlignment="0" applyProtection="0"/>
    <xf numFmtId="0" fontId="48" fillId="24" borderId="243" applyNumberFormat="0" applyAlignment="0" applyProtection="0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28" fillId="0" borderId="298"/>
    <xf numFmtId="0" fontId="73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29" fillId="24" borderId="317" applyNumberFormat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73" fillId="0" borderId="265" applyBorder="0">
      <alignment horizontal="center" vertical="center" wrapText="1"/>
    </xf>
    <xf numFmtId="0" fontId="29" fillId="24" borderId="317" applyNumberFormat="0" applyAlignment="0" applyProtection="0"/>
    <xf numFmtId="0" fontId="25" fillId="8" borderId="291" applyNumberFormat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5" fillId="13" borderId="261" applyNumberFormat="0" applyAlignment="0" applyProtection="0"/>
    <xf numFmtId="0" fontId="25" fillId="13" borderId="291" applyNumberFormat="0" applyAlignment="0" applyProtection="0"/>
    <xf numFmtId="0" fontId="73" fillId="0" borderId="297" applyBorder="0">
      <alignment horizontal="center" vertical="center" wrapText="1"/>
    </xf>
    <xf numFmtId="0" fontId="28" fillId="10" borderId="292" applyNumberFormat="0" applyFont="0" applyAlignment="0" applyProtection="0"/>
    <xf numFmtId="0" fontId="28" fillId="10" borderId="292" applyNumberFormat="0" applyFont="0" applyAlignment="0" applyProtection="0"/>
    <xf numFmtId="0" fontId="29" fillId="24" borderId="294" applyNumberFormat="0" applyAlignment="0" applyProtection="0"/>
    <xf numFmtId="0" fontId="31" fillId="0" borderId="290" applyNumberFormat="0" applyFill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85" fillId="0" borderId="29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85" fillId="73" borderId="321"/>
    <xf numFmtId="0" fontId="28" fillId="10" borderId="308" applyNumberFormat="0" applyFont="0" applyAlignment="0" applyProtection="0"/>
    <xf numFmtId="0" fontId="49" fillId="10" borderId="262" applyNumberFormat="0" applyFont="0" applyAlignment="0" applyProtection="0"/>
    <xf numFmtId="0" fontId="48" fillId="12" borderId="261" applyNumberFormat="0" applyAlignment="0" applyProtection="0"/>
    <xf numFmtId="0" fontId="25" fillId="8" borderId="261" applyNumberFormat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24" fillId="24" borderId="263" applyNumberFormat="0" applyAlignment="0" applyProtection="0"/>
    <xf numFmtId="0" fontId="8" fillId="10" borderId="262" applyNumberFormat="0" applyFont="0" applyAlignment="0" applyProtection="0"/>
    <xf numFmtId="0" fontId="41" fillId="13" borderId="261" applyNumberFormat="0" applyAlignment="0" applyProtection="0"/>
    <xf numFmtId="0" fontId="48" fillId="12" borderId="261" applyNumberFormat="0" applyAlignment="0" applyProtection="0"/>
    <xf numFmtId="0" fontId="48" fillId="24" borderId="261" applyNumberFormat="0" applyAlignment="0" applyProtection="0"/>
    <xf numFmtId="0" fontId="31" fillId="0" borderId="259" applyNumberFormat="0" applyFill="0" applyAlignment="0" applyProtection="0"/>
    <xf numFmtId="0" fontId="48" fillId="24" borderId="261" applyNumberFormat="0" applyAlignment="0" applyProtection="0"/>
    <xf numFmtId="0" fontId="49" fillId="10" borderId="262" applyNumberFormat="0" applyFont="0" applyAlignment="0" applyProtection="0"/>
    <xf numFmtId="0" fontId="29" fillId="12" borderId="260" applyNumberFormat="0" applyAlignment="0" applyProtection="0"/>
    <xf numFmtId="0" fontId="8" fillId="10" borderId="262" applyNumberFormat="0" applyFont="0" applyAlignment="0" applyProtection="0"/>
    <xf numFmtId="0" fontId="8" fillId="10" borderId="255" applyNumberFormat="0" applyFont="0" applyAlignment="0" applyProtection="0"/>
    <xf numFmtId="0" fontId="49" fillId="10" borderId="255" applyNumberFormat="0" applyFont="0" applyAlignment="0" applyProtection="0"/>
    <xf numFmtId="0" fontId="31" fillId="0" borderId="257" applyNumberFormat="0" applyFill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31" fillId="0" borderId="259" applyNumberFormat="0" applyFill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73" fillId="0" borderId="288" applyBorder="0">
      <alignment horizontal="center" vertical="center" wrapText="1"/>
    </xf>
    <xf numFmtId="0" fontId="8" fillId="10" borderId="324" applyNumberFormat="0" applyFont="0" applyAlignment="0" applyProtection="0"/>
    <xf numFmtId="0" fontId="25" fillId="13" borderId="284" applyNumberFormat="0" applyAlignment="0" applyProtection="0"/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49" fillId="10" borderId="285" applyNumberFormat="0" applyFont="0" applyAlignment="0" applyProtection="0"/>
    <xf numFmtId="0" fontId="48" fillId="12" borderId="284" applyNumberFormat="0" applyAlignment="0" applyProtection="0"/>
    <xf numFmtId="0" fontId="25" fillId="8" borderId="284" applyNumberFormat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24" fillId="24" borderId="286" applyNumberFormat="0" applyAlignment="0" applyProtection="0"/>
    <xf numFmtId="0" fontId="8" fillId="10" borderId="285" applyNumberFormat="0" applyFont="0" applyAlignment="0" applyProtection="0"/>
    <xf numFmtId="0" fontId="41" fillId="13" borderId="284" applyNumberFormat="0" applyAlignment="0" applyProtection="0"/>
    <xf numFmtId="0" fontId="48" fillId="12" borderId="284" applyNumberFormat="0" applyAlignment="0" applyProtection="0"/>
    <xf numFmtId="0" fontId="48" fillId="24" borderId="284" applyNumberFormat="0" applyAlignment="0" applyProtection="0"/>
    <xf numFmtId="0" fontId="31" fillId="0" borderId="282" applyNumberFormat="0" applyFill="0" applyAlignment="0" applyProtection="0"/>
    <xf numFmtId="0" fontId="48" fillId="24" borderId="284" applyNumberFormat="0" applyAlignment="0" applyProtection="0"/>
    <xf numFmtId="0" fontId="49" fillId="10" borderId="285" applyNumberFormat="0" applyFont="0" applyAlignment="0" applyProtection="0"/>
    <xf numFmtId="0" fontId="29" fillId="12" borderId="283" applyNumberFormat="0" applyAlignment="0" applyProtection="0"/>
    <xf numFmtId="0" fontId="8" fillId="10" borderId="285" applyNumberFormat="0" applyFont="0" applyAlignment="0" applyProtection="0"/>
    <xf numFmtId="0" fontId="8" fillId="10" borderId="278" applyNumberFormat="0" applyFont="0" applyAlignment="0" applyProtection="0"/>
    <xf numFmtId="0" fontId="49" fillId="10" borderId="278" applyNumberFormat="0" applyFont="0" applyAlignment="0" applyProtection="0"/>
    <xf numFmtId="0" fontId="31" fillId="0" borderId="280" applyNumberFormat="0" applyFill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31" fillId="0" borderId="282" applyNumberFormat="0" applyFill="0" applyAlignment="0" applyProtection="0"/>
    <xf numFmtId="0" fontId="16" fillId="24" borderId="307" applyNumberFormat="0" applyAlignment="0" applyProtection="0"/>
    <xf numFmtId="0" fontId="32" fillId="24" borderId="307" applyNumberFormat="0" applyAlignment="0" applyProtection="0"/>
    <xf numFmtId="0" fontId="73" fillId="0" borderId="311" applyBorder="0">
      <alignment horizontal="center" vertical="center" wrapText="1"/>
    </xf>
    <xf numFmtId="0" fontId="25" fillId="13" borderId="307" applyNumberFormat="0" applyAlignment="0" applyProtection="0"/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49" fillId="10" borderId="308" applyNumberFormat="0" applyFont="0" applyAlignment="0" applyProtection="0"/>
    <xf numFmtId="0" fontId="48" fillId="12" borderId="307" applyNumberFormat="0" applyAlignment="0" applyProtection="0"/>
    <xf numFmtId="0" fontId="25" fillId="8" borderId="307" applyNumberFormat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24" fillId="24" borderId="309" applyNumberFormat="0" applyAlignment="0" applyProtection="0"/>
    <xf numFmtId="0" fontId="8" fillId="10" borderId="308" applyNumberFormat="0" applyFont="0" applyAlignment="0" applyProtection="0"/>
    <xf numFmtId="0" fontId="41" fillId="13" borderId="307" applyNumberFormat="0" applyAlignment="0" applyProtection="0"/>
    <xf numFmtId="0" fontId="48" fillId="12" borderId="307" applyNumberFormat="0" applyAlignment="0" applyProtection="0"/>
    <xf numFmtId="0" fontId="48" fillId="24" borderId="307" applyNumberFormat="0" applyAlignment="0" applyProtection="0"/>
    <xf numFmtId="0" fontId="31" fillId="0" borderId="305" applyNumberFormat="0" applyFill="0" applyAlignment="0" applyProtection="0"/>
    <xf numFmtId="0" fontId="48" fillId="24" borderId="307" applyNumberFormat="0" applyAlignment="0" applyProtection="0"/>
    <xf numFmtId="0" fontId="49" fillId="10" borderId="308" applyNumberFormat="0" applyFont="0" applyAlignment="0" applyProtection="0"/>
    <xf numFmtId="0" fontId="29" fillId="12" borderId="306" applyNumberFormat="0" applyAlignment="0" applyProtection="0"/>
    <xf numFmtId="0" fontId="8" fillId="10" borderId="308" applyNumberFormat="0" applyFont="0" applyAlignment="0" applyProtection="0"/>
    <xf numFmtId="0" fontId="8" fillId="10" borderId="301" applyNumberFormat="0" applyFont="0" applyAlignment="0" applyProtection="0"/>
    <xf numFmtId="0" fontId="49" fillId="10" borderId="301" applyNumberFormat="0" applyFont="0" applyAlignment="0" applyProtection="0"/>
    <xf numFmtId="0" fontId="31" fillId="0" borderId="303" applyNumberFormat="0" applyFill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31" fillId="0" borderId="305" applyNumberFormat="0" applyFill="0" applyAlignment="0" applyProtection="0"/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49" fillId="10" borderId="331" applyNumberFormat="0" applyFon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8" fillId="10" borderId="331" applyNumberFormat="0" applyFont="0" applyAlignment="0" applyProtection="0"/>
    <xf numFmtId="0" fontId="8" fillId="10" borderId="324" applyNumberFormat="0" applyFont="0" applyAlignment="0" applyProtection="0"/>
    <xf numFmtId="0" fontId="49" fillId="10" borderId="324" applyNumberFormat="0" applyFont="0" applyAlignment="0" applyProtection="0"/>
    <xf numFmtId="0" fontId="31" fillId="0" borderId="326" applyNumberFormat="0" applyFill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73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3" fillId="0" borderId="350" applyBorder="0">
      <alignment horizontal="center" vertical="center" wrapText="1"/>
    </xf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8" fillId="10" borderId="347" applyNumberFormat="0" applyFon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73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8" fillId="10" borderId="347" applyNumberFormat="0" applyFont="0" applyAlignment="0" applyProtection="0"/>
    <xf numFmtId="0" fontId="25" fillId="13" borderId="355" applyNumberFormat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3" fillId="0" borderId="311" applyBorder="0">
      <alignment horizontal="center" vertical="center" wrapText="1"/>
    </xf>
    <xf numFmtId="0" fontId="25" fillId="13" borderId="335" applyNumberFormat="0" applyAlignment="0" applyProtection="0"/>
    <xf numFmtId="0" fontId="25" fillId="13" borderId="335" applyNumberFormat="0" applyAlignment="0" applyProtection="0"/>
    <xf numFmtId="0" fontId="25" fillId="13" borderId="335" applyNumberFormat="0" applyAlignment="0" applyProtection="0"/>
    <xf numFmtId="0" fontId="41" fillId="13" borderId="335" applyNumberFormat="0" applyAlignment="0" applyProtection="0"/>
    <xf numFmtId="0" fontId="21" fillId="11" borderId="0" applyNumberFormat="0" applyBorder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73" fillId="0" borderId="311" applyBorder="0">
      <alignment horizontal="center" vertical="center" wrapText="1"/>
    </xf>
    <xf numFmtId="0" fontId="2" fillId="0" borderId="0"/>
    <xf numFmtId="0" fontId="2" fillId="0" borderId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32" fillId="24" borderId="335" applyNumberFormat="0" applyAlignment="0" applyProtection="0"/>
    <xf numFmtId="0" fontId="6" fillId="0" borderId="0"/>
    <xf numFmtId="0" fontId="2" fillId="0" borderId="0"/>
    <xf numFmtId="175" fontId="28" fillId="0" borderId="0"/>
    <xf numFmtId="0" fontId="6" fillId="0" borderId="0"/>
    <xf numFmtId="0" fontId="31" fillId="0" borderId="352" applyNumberFormat="0" applyFill="0" applyAlignment="0" applyProtection="0"/>
    <xf numFmtId="0" fontId="6" fillId="0" borderId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29" fillId="12" borderId="336" applyNumberFormat="0" applyAlignment="0" applyProtection="0"/>
    <xf numFmtId="0" fontId="31" fillId="0" borderId="349" applyNumberFormat="0" applyFill="0" applyAlignment="0" applyProtection="0"/>
    <xf numFmtId="0" fontId="25" fillId="8" borderId="335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" fillId="0" borderId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41" fillId="13" borderId="355" applyNumberFormat="0" applyAlignment="0" applyProtection="0"/>
    <xf numFmtId="0" fontId="2" fillId="0" borderId="0"/>
    <xf numFmtId="0" fontId="2" fillId="0" borderId="0"/>
    <xf numFmtId="0" fontId="41" fillId="13" borderId="335" applyNumberFormat="0" applyAlignment="0" applyProtection="0"/>
    <xf numFmtId="0" fontId="2" fillId="0" borderId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3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73" fillId="0" borderId="350" applyBorder="0">
      <alignment horizontal="center" vertical="center" wrapText="1"/>
    </xf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32" fillId="24" borderId="346" applyNumberFormat="0" applyAlignment="0" applyProtection="0"/>
    <xf numFmtId="0" fontId="41" fillId="13" borderId="346" applyNumberForma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1" fillId="0" borderId="344" applyNumberFormat="0" applyFill="0" applyAlignment="0" applyProtection="0"/>
    <xf numFmtId="0" fontId="29" fillId="12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32" fillId="24" borderId="330" applyNumberFormat="0" applyAlignment="0" applyProtection="0"/>
    <xf numFmtId="0" fontId="48" fillId="12" borderId="330" applyNumberFormat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29" fillId="24" borderId="329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48" fillId="24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8" fillId="24" borderId="330" applyNumberFormat="0" applyAlignment="0" applyProtection="0"/>
    <xf numFmtId="0" fontId="29" fillId="24" borderId="329" applyNumberFormat="0" applyAlignment="0" applyProtection="0"/>
    <xf numFmtId="0" fontId="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28" fillId="0" borderId="327"/>
    <xf numFmtId="0" fontId="85" fillId="0" borderId="327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8" fillId="10" borderId="331" applyNumberFormat="0" applyFont="0" applyAlignment="0" applyProtection="0"/>
    <xf numFmtId="0" fontId="18" fillId="10" borderId="331" applyNumberFormat="0" applyFont="0" applyAlignment="0" applyProtection="0"/>
    <xf numFmtId="0" fontId="25" fillId="13" borderId="330" applyNumberFormat="0" applyAlignment="0" applyProtection="0"/>
    <xf numFmtId="0" fontId="41" fillId="13" borderId="330" applyNumberFormat="0" applyAlignment="0" applyProtection="0"/>
    <xf numFmtId="0" fontId="32" fillId="24" borderId="330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8" fillId="10" borderId="331" applyNumberFormat="0" applyFont="0" applyAlignment="0" applyProtection="0"/>
    <xf numFmtId="0" fontId="25" fillId="8" borderId="330" applyNumberForma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28" fillId="0" borderId="327"/>
    <xf numFmtId="0" fontId="31" fillId="0" borderId="333" applyNumberFormat="0" applyFill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31" fillId="0" borderId="328" applyNumberFormat="0" applyFill="0" applyAlignment="0" applyProtection="0"/>
    <xf numFmtId="0" fontId="29" fillId="12" borderId="329" applyNumberFormat="0" applyAlignment="0" applyProtection="0"/>
    <xf numFmtId="0" fontId="28" fillId="10" borderId="331" applyNumberFormat="0" applyFont="0" applyAlignment="0" applyProtection="0"/>
    <xf numFmtId="0" fontId="16" fillId="24" borderId="330" applyNumberFormat="0" applyAlignment="0" applyProtection="0"/>
    <xf numFmtId="0" fontId="48" fillId="24" borderId="330" applyNumberFormat="0" applyAlignment="0" applyProtection="0"/>
    <xf numFmtId="0" fontId="2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12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1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28" fillId="10" borderId="340" applyNumberFormat="0" applyFont="0" applyAlignment="0" applyProtection="0"/>
    <xf numFmtId="0" fontId="24" fillId="24" borderId="341" applyNumberFormat="0" applyAlignment="0" applyProtection="0"/>
    <xf numFmtId="0" fontId="24" fillId="24" borderId="341" applyNumberFormat="0" applyAlignment="0" applyProtection="0"/>
    <xf numFmtId="0" fontId="31" fillId="0" borderId="342" applyNumberFormat="0" applyFill="0" applyAlignment="0" applyProtection="0"/>
    <xf numFmtId="0" fontId="31" fillId="0" borderId="358" applyNumberFormat="0" applyFill="0" applyAlignment="0" applyProtection="0"/>
    <xf numFmtId="0" fontId="24" fillId="24" borderId="357" applyNumberFormat="0" applyAlignment="0" applyProtection="0"/>
    <xf numFmtId="0" fontId="28" fillId="10" borderId="356" applyNumberFormat="0" applyFont="0" applyAlignment="0" applyProtection="0"/>
    <xf numFmtId="0" fontId="8" fillId="10" borderId="356" applyNumberFormat="0" applyFont="0" applyAlignment="0" applyProtection="0"/>
    <xf numFmtId="0" fontId="8" fillId="10" borderId="356" applyNumberFormat="0" applyFont="0" applyAlignment="0" applyProtection="0"/>
    <xf numFmtId="0" fontId="28" fillId="10" borderId="356" applyNumberFormat="0" applyFont="0" applyAlignment="0" applyProtection="0"/>
    <xf numFmtId="0" fontId="18" fillId="10" borderId="356" applyNumberFormat="0" applyFont="0" applyAlignment="0" applyProtection="0"/>
    <xf numFmtId="0" fontId="41" fillId="13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32" fillId="24" borderId="355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31" fillId="0" borderId="349" applyNumberFormat="0" applyFill="0" applyAlignment="0" applyProtection="0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48" fillId="24" borderId="346" applyNumberFormat="0" applyAlignment="0" applyProtection="0"/>
    <xf numFmtId="0" fontId="28" fillId="10" borderId="347" applyNumberFormat="0" applyFon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28" fillId="0" borderId="343"/>
    <xf numFmtId="0" fontId="48" fillId="24" borderId="346" applyNumberFormat="0" applyAlignment="0" applyProtection="0"/>
    <xf numFmtId="0" fontId="48" fillId="24" borderId="346" applyNumberFormat="0" applyAlignment="0" applyProtection="0"/>
    <xf numFmtId="0" fontId="48" fillId="12" borderId="346" applyNumberFormat="0" applyAlignment="0" applyProtection="0"/>
    <xf numFmtId="0" fontId="41" fillId="13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73" fillId="0" borderId="353" applyBorder="0">
      <alignment horizontal="center" vertical="center" wrapText="1"/>
    </xf>
    <xf numFmtId="0" fontId="32" fillId="24" borderId="346" applyNumberFormat="0" applyAlignment="0" applyProtection="0"/>
    <xf numFmtId="0" fontId="25" fillId="13" borderId="346" applyNumberFormat="0" applyAlignment="0" applyProtection="0"/>
    <xf numFmtId="0" fontId="73" fillId="0" borderId="353" applyBorder="0">
      <alignment horizontal="center" vertical="center" wrapText="1"/>
    </xf>
    <xf numFmtId="0" fontId="28" fillId="10" borderId="347" applyNumberFormat="0" applyFont="0" applyAlignment="0" applyProtection="0"/>
    <xf numFmtId="0" fontId="31" fillId="0" borderId="344" applyNumberFormat="0" applyFill="0" applyAlignment="0" applyProtection="0"/>
    <xf numFmtId="0" fontId="73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85" fillId="0" borderId="343"/>
    <xf numFmtId="0" fontId="28" fillId="0" borderId="343"/>
    <xf numFmtId="0" fontId="31" fillId="0" borderId="349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73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31" fillId="0" borderId="351" applyNumberFormat="0" applyFill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2" fillId="24" borderId="346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73" fillId="0" borderId="353" applyBorder="0">
      <alignment horizontal="center" vertical="center" wrapText="1"/>
    </xf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73" fillId="0" borderId="353" applyBorder="0">
      <alignment horizontal="center" vertical="center" wrapText="1"/>
    </xf>
    <xf numFmtId="0" fontId="25" fillId="13" borderId="346" applyNumberFormat="0" applyAlignment="0" applyProtection="0"/>
    <xf numFmtId="0" fontId="25" fillId="13" borderId="346" applyNumberFormat="0" applyAlignment="0" applyProtection="0"/>
    <xf numFmtId="0" fontId="73" fillId="0" borderId="353" applyBorder="0">
      <alignment horizontal="center" vertical="center" wrapText="1"/>
    </xf>
    <xf numFmtId="0" fontId="24" fillId="24" borderId="348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24" fillId="24" borderId="357" applyNumberFormat="0" applyAlignment="0" applyProtection="0"/>
    <xf numFmtId="0" fontId="49" fillId="10" borderId="356" applyNumberFormat="0" applyFont="0" applyAlignment="0" applyProtection="0"/>
    <xf numFmtId="0" fontId="28" fillId="10" borderId="356" applyNumberFormat="0" applyFon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5" fillId="0" borderId="343"/>
    <xf numFmtId="0" fontId="28" fillId="0" borderId="343"/>
    <xf numFmtId="0" fontId="49" fillId="10" borderId="347" applyNumberFormat="0" applyFon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85" fillId="0" borderId="343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73" fillId="0" borderId="350" applyBorder="0">
      <alignment horizontal="center" vertical="center" wrapText="1"/>
    </xf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31" fillId="0" borderId="344" applyNumberFormat="0" applyFill="0" applyAlignment="0" applyProtection="0"/>
    <xf numFmtId="0" fontId="41" fillId="13" borderId="346" applyNumberFormat="0" applyAlignment="0" applyProtection="0"/>
    <xf numFmtId="0" fontId="18" fillId="10" borderId="347" applyNumberFormat="0" applyFont="0" applyAlignment="0" applyProtection="0"/>
    <xf numFmtId="0" fontId="29" fillId="24" borderId="345" applyNumberFormat="0" applyAlignment="0" applyProtection="0"/>
    <xf numFmtId="0" fontId="25" fillId="8" borderId="346" applyNumberFormat="0" applyAlignment="0" applyProtection="0"/>
    <xf numFmtId="0" fontId="8" fillId="45" borderId="354" applyNumberFormat="0" applyFont="0" applyAlignment="0" applyProtection="0"/>
    <xf numFmtId="0" fontId="24" fillId="24" borderId="348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5" fillId="8" borderId="346" applyNumberFormat="0" applyAlignment="0" applyProtection="0"/>
    <xf numFmtId="0" fontId="48" fillId="24" borderId="346" applyNumberFormat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29" fillId="12" borderId="345" applyNumberFormat="0" applyAlignment="0" applyProtection="0"/>
    <xf numFmtId="0" fontId="31" fillId="0" borderId="352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12" borderId="345" applyNumberForma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73" fillId="0" borderId="350" applyBorder="0">
      <alignment horizontal="center" vertical="center" wrapText="1"/>
    </xf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49" fillId="10" borderId="347" applyNumberFormat="0" applyFont="0" applyAlignment="0" applyProtection="0"/>
    <xf numFmtId="0" fontId="48" fillId="12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48" fillId="24" borderId="346" applyNumberFormat="0" applyAlignment="0" applyProtection="0"/>
    <xf numFmtId="0" fontId="49" fillId="10" borderId="347" applyNumberFormat="0" applyFont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31" fillId="0" borderId="342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49" fillId="10" borderId="363" applyNumberFormat="0" applyFont="0" applyAlignment="0" applyProtection="0"/>
    <xf numFmtId="0" fontId="48" fillId="12" borderId="362" applyNumberFormat="0" applyAlignment="0" applyProtection="0"/>
    <xf numFmtId="0" fontId="25" fillId="8" borderId="362" applyNumberFormat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24" fillId="24" borderId="364" applyNumberFormat="0" applyAlignment="0" applyProtection="0"/>
    <xf numFmtId="0" fontId="8" fillId="10" borderId="363" applyNumberFormat="0" applyFont="0" applyAlignment="0" applyProtection="0"/>
    <xf numFmtId="0" fontId="41" fillId="13" borderId="362" applyNumberFormat="0" applyAlignment="0" applyProtection="0"/>
    <xf numFmtId="0" fontId="48" fillId="12" borderId="362" applyNumberFormat="0" applyAlignment="0" applyProtection="0"/>
    <xf numFmtId="0" fontId="48" fillId="24" borderId="362" applyNumberFormat="0" applyAlignment="0" applyProtection="0"/>
    <xf numFmtId="0" fontId="31" fillId="0" borderId="360" applyNumberFormat="0" applyFill="0" applyAlignment="0" applyProtection="0"/>
    <xf numFmtId="0" fontId="48" fillId="24" borderId="362" applyNumberFormat="0" applyAlignment="0" applyProtection="0"/>
    <xf numFmtId="0" fontId="49" fillId="10" borderId="363" applyNumberFormat="0" applyFont="0" applyAlignment="0" applyProtection="0"/>
    <xf numFmtId="0" fontId="29" fillId="12" borderId="361" applyNumberFormat="0" applyAlignment="0" applyProtection="0"/>
    <xf numFmtId="0" fontId="8" fillId="10" borderId="363" applyNumberFormat="0" applyFont="0" applyAlignment="0" applyProtection="0"/>
    <xf numFmtId="0" fontId="8" fillId="10" borderId="356" applyNumberFormat="0" applyFont="0" applyAlignment="0" applyProtection="0"/>
    <xf numFmtId="0" fontId="49" fillId="10" borderId="356" applyNumberFormat="0" applyFont="0" applyAlignment="0" applyProtection="0"/>
    <xf numFmtId="0" fontId="31" fillId="0" borderId="358" applyNumberFormat="0" applyFill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31" fillId="0" borderId="360" applyNumberFormat="0" applyFill="0" applyAlignment="0" applyProtection="0"/>
    <xf numFmtId="0" fontId="99" fillId="0" borderId="0" applyNumberFormat="0" applyFill="0" applyBorder="0" applyAlignment="0" applyProtection="0"/>
    <xf numFmtId="0" fontId="16" fillId="24" borderId="362" applyNumberFormat="0" applyAlignment="0" applyProtection="0"/>
    <xf numFmtId="0" fontId="32" fillId="24" borderId="362" applyNumberFormat="0" applyAlignment="0" applyProtection="0"/>
    <xf numFmtId="0" fontId="25" fillId="13" borderId="362" applyNumberFormat="0" applyAlignment="0" applyProtection="0"/>
    <xf numFmtId="0" fontId="28" fillId="10" borderId="363" applyNumberFormat="0" applyFont="0" applyAlignment="0" applyProtection="0"/>
    <xf numFmtId="0" fontId="18" fillId="10" borderId="363" applyNumberFormat="0" applyFont="0" applyAlignment="0" applyProtection="0"/>
    <xf numFmtId="0" fontId="29" fillId="24" borderId="361" applyNumberFormat="0" applyAlignment="0" applyProtection="0"/>
    <xf numFmtId="0" fontId="48" fillId="24" borderId="374" applyNumberFormat="0" applyAlignment="0" applyProtection="0"/>
    <xf numFmtId="37" fontId="4" fillId="72" borderId="0" applyFill="0"/>
    <xf numFmtId="0" fontId="8" fillId="10" borderId="375" applyNumberFormat="0" applyFont="0" applyAlignment="0" applyProtection="0"/>
    <xf numFmtId="0" fontId="62" fillId="39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376" applyNumberFormat="0" applyFill="0" applyAlignment="0" applyProtection="0"/>
    <xf numFmtId="0" fontId="8" fillId="8" borderId="0" applyNumberFormat="0" applyBorder="0" applyAlignment="0" applyProtection="0"/>
    <xf numFmtId="0" fontId="73" fillId="0" borderId="384" applyBorder="0">
      <alignment horizontal="center" vertical="center" wrapText="1"/>
    </xf>
    <xf numFmtId="0" fontId="8" fillId="8" borderId="0" applyNumberFormat="0" applyBorder="0" applyAlignment="0" applyProtection="0"/>
    <xf numFmtId="0" fontId="73" fillId="0" borderId="384" applyBorder="0">
      <alignment horizontal="center" vertical="center" wrapText="1"/>
    </xf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37" borderId="0" applyNumberFormat="0" applyBorder="0" applyAlignment="0" applyProtection="0"/>
    <xf numFmtId="0" fontId="14" fillId="22" borderId="0" applyNumberFormat="0" applyBorder="0" applyAlignment="0" applyProtection="0"/>
    <xf numFmtId="0" fontId="32" fillId="24" borderId="374" applyNumberFormat="0" applyAlignment="0" applyProtection="0"/>
    <xf numFmtId="0" fontId="48" fillId="24" borderId="374" applyNumberFormat="0" applyAlignment="0" applyProtection="0"/>
    <xf numFmtId="0" fontId="16" fillId="24" borderId="374" applyNumberFormat="0" applyAlignment="0" applyProtection="0"/>
    <xf numFmtId="0" fontId="17" fillId="25" borderId="377" applyNumberFormat="0" applyAlignment="0" applyProtection="0"/>
    <xf numFmtId="0" fontId="73" fillId="0" borderId="384" applyBorder="0">
      <alignment horizontal="center" vertical="center" wrapText="1"/>
    </xf>
    <xf numFmtId="44" fontId="2" fillId="0" borderId="0" applyFont="0" applyFill="0" applyBorder="0" applyAlignment="0" applyProtection="0"/>
    <xf numFmtId="0" fontId="36" fillId="0" borderId="7" applyNumberFormat="0" applyFill="0" applyAlignment="0" applyProtection="0"/>
    <xf numFmtId="0" fontId="37" fillId="0" borderId="9" applyNumberFormat="0" applyFill="0" applyAlignment="0" applyProtection="0"/>
    <xf numFmtId="0" fontId="38" fillId="0" borderId="11" applyNumberFormat="0" applyFill="0" applyAlignment="0" applyProtection="0"/>
    <xf numFmtId="0" fontId="41" fillId="13" borderId="374" applyNumberFormat="0" applyAlignment="0" applyProtection="0"/>
    <xf numFmtId="0" fontId="25" fillId="8" borderId="374" applyNumberFormat="0" applyAlignment="0" applyProtection="0"/>
    <xf numFmtId="0" fontId="25" fillId="13" borderId="374" applyNumberFormat="0" applyAlignment="0" applyProtection="0"/>
    <xf numFmtId="0" fontId="42" fillId="0" borderId="13" applyNumberFormat="0" applyFill="0" applyAlignment="0" applyProtection="0"/>
    <xf numFmtId="0" fontId="4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6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6" fillId="0" borderId="0"/>
    <xf numFmtId="0" fontId="76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37" fontId="4" fillId="72" borderId="0" applyFill="0"/>
    <xf numFmtId="0" fontId="4" fillId="0" borderId="0"/>
    <xf numFmtId="0" fontId="8" fillId="10" borderId="375" applyNumberFormat="0" applyFont="0" applyAlignment="0" applyProtection="0"/>
    <xf numFmtId="0" fontId="28" fillId="10" borderId="375" applyNumberFormat="0" applyFont="0" applyAlignment="0" applyProtection="0"/>
    <xf numFmtId="0" fontId="24" fillId="24" borderId="378" applyNumberFormat="0" applyAlignment="0" applyProtection="0"/>
    <xf numFmtId="0" fontId="31" fillId="26" borderId="379" applyNumberFormat="0" applyAlignment="0" applyProtection="0"/>
    <xf numFmtId="0" fontId="29" fillId="24" borderId="380" applyNumberFormat="0" applyAlignment="0" applyProtection="0"/>
    <xf numFmtId="44" fontId="106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1" fillId="0" borderId="381" applyNumberFormat="0" applyFill="0" applyAlignment="0" applyProtection="0"/>
    <xf numFmtId="0" fontId="31" fillId="0" borderId="376" applyNumberFormat="0" applyFill="0" applyAlignment="0" applyProtection="0"/>
    <xf numFmtId="0" fontId="31" fillId="0" borderId="382" applyNumberFormat="0" applyFill="0" applyAlignment="0" applyProtection="0"/>
    <xf numFmtId="0" fontId="86" fillId="0" borderId="0"/>
    <xf numFmtId="0" fontId="48" fillId="12" borderId="374" applyNumberFormat="0" applyAlignment="0" applyProtection="0"/>
    <xf numFmtId="0" fontId="49" fillId="10" borderId="375" applyNumberFormat="0" applyFont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0" fontId="31" fillId="0" borderId="383" applyNumberFormat="0" applyFill="0" applyAlignment="0" applyProtection="0"/>
    <xf numFmtId="0" fontId="48" fillId="24" borderId="374" applyNumberFormat="0" applyAlignment="0" applyProtection="0"/>
    <xf numFmtId="0" fontId="32" fillId="24" borderId="374" applyNumberFormat="0" applyAlignment="0" applyProtection="0"/>
    <xf numFmtId="0" fontId="16" fillId="24" borderId="374" applyNumberFormat="0" applyAlignment="0" applyProtection="0"/>
    <xf numFmtId="0" fontId="48" fillId="12" borderId="374" applyNumberFormat="0" applyAlignment="0" applyProtection="0"/>
    <xf numFmtId="0" fontId="16" fillId="24" borderId="374" applyNumberFormat="0" applyAlignment="0" applyProtection="0"/>
    <xf numFmtId="0" fontId="48" fillId="12" borderId="374" applyNumberFormat="0" applyAlignment="0" applyProtection="0"/>
    <xf numFmtId="0" fontId="16" fillId="24" borderId="374" applyNumberFormat="0" applyAlignment="0" applyProtection="0"/>
    <xf numFmtId="0" fontId="86" fillId="0" borderId="0"/>
    <xf numFmtId="0" fontId="28" fillId="0" borderId="379"/>
    <xf numFmtId="0" fontId="73" fillId="0" borderId="384" applyBorder="0">
      <alignment horizontal="center" vertical="center" wrapText="1"/>
    </xf>
    <xf numFmtId="0" fontId="41" fillId="13" borderId="374" applyNumberFormat="0" applyAlignment="0" applyProtection="0"/>
    <xf numFmtId="0" fontId="25" fillId="13" borderId="374" applyNumberFormat="0" applyAlignment="0" applyProtection="0"/>
    <xf numFmtId="0" fontId="25" fillId="13" borderId="374" applyNumberFormat="0" applyAlignment="0" applyProtection="0"/>
    <xf numFmtId="0" fontId="25" fillId="8" borderId="374" applyNumberFormat="0" applyAlignment="0" applyProtection="0"/>
    <xf numFmtId="0" fontId="25" fillId="13" borderId="374" applyNumberFormat="0" applyAlignment="0" applyProtection="0"/>
    <xf numFmtId="0" fontId="25" fillId="8" borderId="374" applyNumberFormat="0" applyAlignment="0" applyProtection="0"/>
    <xf numFmtId="0" fontId="73" fillId="0" borderId="384" applyBorder="0">
      <alignment horizontal="center" vertical="center" wrapText="1"/>
    </xf>
    <xf numFmtId="0" fontId="85" fillId="73" borderId="379"/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73" fillId="0" borderId="384" applyBorder="0">
      <alignment horizontal="center" vertical="center" wrapText="1"/>
    </xf>
    <xf numFmtId="0" fontId="8" fillId="10" borderId="375" applyNumberFormat="0" applyFont="0" applyAlignment="0" applyProtection="0"/>
    <xf numFmtId="0" fontId="18" fillId="10" borderId="375" applyNumberFormat="0" applyFont="0" applyAlignment="0" applyProtection="0"/>
    <xf numFmtId="0" fontId="28" fillId="10" borderId="375" applyNumberFormat="0" applyFont="0" applyAlignment="0" applyProtection="0"/>
    <xf numFmtId="0" fontId="49" fillId="10" borderId="375" applyNumberFormat="0" applyFont="0" applyAlignment="0" applyProtection="0"/>
    <xf numFmtId="0" fontId="28" fillId="10" borderId="375" applyNumberFormat="0" applyFont="0" applyAlignment="0" applyProtection="0"/>
    <xf numFmtId="0" fontId="8" fillId="10" borderId="375" applyNumberFormat="0" applyFont="0" applyAlignment="0" applyProtection="0"/>
    <xf numFmtId="0" fontId="28" fillId="10" borderId="375" applyNumberFormat="0" applyFont="0" applyAlignment="0" applyProtection="0"/>
    <xf numFmtId="0" fontId="8" fillId="45" borderId="385" applyNumberFormat="0" applyFont="0" applyAlignment="0" applyProtection="0"/>
    <xf numFmtId="0" fontId="24" fillId="24" borderId="378" applyNumberFormat="0" applyAlignment="0" applyProtection="0"/>
    <xf numFmtId="0" fontId="29" fillId="24" borderId="380" applyNumberFormat="0" applyAlignment="0" applyProtection="0"/>
    <xf numFmtId="0" fontId="29" fillId="24" borderId="380" applyNumberFormat="0" applyAlignment="0" applyProtection="0"/>
    <xf numFmtId="0" fontId="24" fillId="24" borderId="378" applyNumberFormat="0" applyAlignment="0" applyProtection="0"/>
    <xf numFmtId="0" fontId="29" fillId="12" borderId="380" applyNumberFormat="0" applyAlignment="0" applyProtection="0"/>
    <xf numFmtId="0" fontId="29" fillId="24" borderId="380" applyNumberFormat="0" applyAlignment="0" applyProtection="0"/>
    <xf numFmtId="0" fontId="29" fillId="12" borderId="380" applyNumberFormat="0" applyAlignment="0" applyProtection="0"/>
    <xf numFmtId="0" fontId="29" fillId="12" borderId="380" applyNumberFormat="0" applyAlignment="0" applyProtection="0"/>
    <xf numFmtId="0" fontId="73" fillId="0" borderId="384" applyBorder="0">
      <alignment horizontal="center" vertical="center" wrapText="1"/>
    </xf>
    <xf numFmtId="0" fontId="28" fillId="0" borderId="379"/>
    <xf numFmtId="0" fontId="28" fillId="0" borderId="379"/>
    <xf numFmtId="0" fontId="31" fillId="0" borderId="376" applyNumberFormat="0" applyFill="0" applyAlignment="0" applyProtection="0"/>
    <xf numFmtId="0" fontId="31" fillId="0" borderId="376" applyNumberFormat="0" applyFill="0" applyAlignment="0" applyProtection="0"/>
    <xf numFmtId="0" fontId="31" fillId="0" borderId="381" applyNumberFormat="0" applyFill="0" applyAlignment="0" applyProtection="0"/>
    <xf numFmtId="0" fontId="31" fillId="0" borderId="382" applyNumberFormat="0" applyFill="0" applyAlignment="0" applyProtection="0"/>
    <xf numFmtId="0" fontId="31" fillId="0" borderId="376" applyNumberFormat="0" applyFill="0" applyAlignment="0" applyProtection="0"/>
    <xf numFmtId="0" fontId="31" fillId="0" borderId="383" applyNumberFormat="0" applyFill="0" applyAlignment="0" applyProtection="0"/>
    <xf numFmtId="0" fontId="31" fillId="0" borderId="383" applyNumberFormat="0" applyFill="0" applyAlignment="0" applyProtection="0"/>
    <xf numFmtId="0" fontId="31" fillId="0" borderId="382" applyNumberFormat="0" applyFill="0" applyAlignment="0" applyProtection="0"/>
    <xf numFmtId="0" fontId="31" fillId="0" borderId="383" applyNumberFormat="0" applyFill="0" applyAlignment="0" applyProtection="0"/>
    <xf numFmtId="0" fontId="31" fillId="0" borderId="383" applyNumberFormat="0" applyFill="0" applyAlignment="0" applyProtection="0"/>
    <xf numFmtId="0" fontId="31" fillId="0" borderId="382" applyNumberFormat="0" applyFill="0" applyAlignment="0" applyProtection="0"/>
    <xf numFmtId="0" fontId="85" fillId="0" borderId="379"/>
    <xf numFmtId="0" fontId="85" fillId="0" borderId="379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6" fillId="0" borderId="0"/>
    <xf numFmtId="0" fontId="48" fillId="24" borderId="387" applyNumberFormat="0" applyAlignment="0" applyProtection="0"/>
    <xf numFmtId="0" fontId="48" fillId="24" borderId="387" applyNumberFormat="0" applyAlignment="0" applyProtection="0"/>
    <xf numFmtId="0" fontId="16" fillId="24" borderId="387" applyNumberFormat="0" applyAlignment="0" applyProtection="0"/>
    <xf numFmtId="0" fontId="41" fillId="13" borderId="387" applyNumberFormat="0" applyAlignment="0" applyProtection="0"/>
    <xf numFmtId="0" fontId="25" fillId="8" borderId="387" applyNumberFormat="0" applyAlignment="0" applyProtection="0"/>
    <xf numFmtId="0" fontId="25" fillId="13" borderId="387" applyNumberFormat="0" applyAlignment="0" applyProtection="0"/>
    <xf numFmtId="0" fontId="24" fillId="24" borderId="388" applyNumberFormat="0" applyAlignment="0" applyProtection="0"/>
    <xf numFmtId="0" fontId="31" fillId="26" borderId="389" applyNumberFormat="0" applyAlignment="0" applyProtection="0"/>
    <xf numFmtId="0" fontId="29" fillId="24" borderId="390" applyNumberFormat="0" applyAlignment="0" applyProtection="0"/>
    <xf numFmtId="0" fontId="31" fillId="0" borderId="391" applyNumberFormat="0" applyFill="0" applyAlignment="0" applyProtection="0"/>
    <xf numFmtId="0" fontId="48" fillId="12" borderId="387" applyNumberFormat="0" applyAlignment="0" applyProtection="0"/>
    <xf numFmtId="0" fontId="31" fillId="0" borderId="392" applyNumberFormat="0" applyFill="0" applyAlignment="0" applyProtection="0"/>
    <xf numFmtId="44" fontId="2" fillId="0" borderId="0" applyFont="0" applyFill="0" applyBorder="0" applyAlignment="0" applyProtection="0"/>
  </cellStyleXfs>
  <cellXfs count="473">
    <xf numFmtId="0" fontId="0" fillId="0" borderId="0" xfId="0"/>
    <xf numFmtId="43" fontId="0" fillId="0" borderId="0" xfId="1" applyFont="1"/>
    <xf numFmtId="0" fontId="3" fillId="0" borderId="0" xfId="0" applyFont="1"/>
    <xf numFmtId="0" fontId="0" fillId="0" borderId="0" xfId="0" applyFont="1"/>
    <xf numFmtId="167" fontId="0" fillId="0" borderId="0" xfId="1" applyNumberFormat="1" applyFont="1"/>
    <xf numFmtId="167" fontId="0" fillId="0" borderId="0" xfId="1" applyNumberFormat="1" applyFont="1" applyBorder="1"/>
    <xf numFmtId="167" fontId="0" fillId="0" borderId="1" xfId="1" applyNumberFormat="1" applyFont="1" applyBorder="1"/>
    <xf numFmtId="166" fontId="0" fillId="0" borderId="0" xfId="1" applyNumberFormat="1" applyFont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3" fontId="0" fillId="0" borderId="0" xfId="0" applyNumberFormat="1" applyFont="1" applyBorder="1" applyAlignment="1">
      <alignment horizontal="center"/>
    </xf>
    <xf numFmtId="43" fontId="0" fillId="0" borderId="0" xfId="0" applyNumberFormat="1" applyFont="1"/>
    <xf numFmtId="0" fontId="0" fillId="0" borderId="0" xfId="0" applyFont="1" applyAlignment="1">
      <alignment horizontal="left" indent="1"/>
    </xf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168" fontId="0" fillId="0" borderId="0" xfId="0" applyNumberFormat="1" applyFont="1"/>
    <xf numFmtId="44" fontId="0" fillId="0" borderId="0" xfId="0" applyNumberFormat="1" applyFont="1"/>
    <xf numFmtId="170" fontId="0" fillId="0" borderId="0" xfId="0" applyNumberFormat="1" applyFont="1"/>
    <xf numFmtId="0" fontId="0" fillId="6" borderId="1" xfId="0" applyFont="1" applyFill="1" applyBorder="1" applyAlignment="1">
      <alignment horizontal="center"/>
    </xf>
    <xf numFmtId="0" fontId="0" fillId="6" borderId="1" xfId="0" applyFont="1" applyFill="1" applyBorder="1"/>
    <xf numFmtId="0" fontId="3" fillId="6" borderId="1" xfId="0" applyFont="1" applyFill="1" applyBorder="1"/>
    <xf numFmtId="0" fontId="0" fillId="0" borderId="0" xfId="0" applyFont="1"/>
    <xf numFmtId="43" fontId="0" fillId="0" borderId="0" xfId="0" applyNumberFormat="1" applyFont="1"/>
    <xf numFmtId="0" fontId="3" fillId="0" borderId="0" xfId="0" applyFont="1"/>
    <xf numFmtId="166" fontId="0" fillId="0" borderId="0" xfId="1" applyNumberFormat="1" applyFont="1"/>
    <xf numFmtId="43" fontId="0" fillId="0" borderId="0" xfId="0" applyNumberFormat="1" applyFont="1"/>
    <xf numFmtId="0" fontId="0" fillId="0" borderId="0" xfId="0" applyFont="1" applyAlignment="1">
      <alignment horizontal="left" indent="1"/>
    </xf>
    <xf numFmtId="43" fontId="0" fillId="0" borderId="0" xfId="1" applyFont="1" applyAlignment="1">
      <alignment horizontal="center"/>
    </xf>
    <xf numFmtId="43" fontId="0" fillId="0" borderId="0" xfId="1" applyFont="1" applyFill="1" applyBorder="1"/>
    <xf numFmtId="43" fontId="0" fillId="0" borderId="0" xfId="1" applyFont="1" applyBorder="1"/>
    <xf numFmtId="44" fontId="0" fillId="0" borderId="0" xfId="2" applyFon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6" fontId="0" fillId="0" borderId="0" xfId="1" applyNumberFormat="1" applyFont="1"/>
    <xf numFmtId="0" fontId="0" fillId="0" borderId="0" xfId="0" applyFont="1" applyBorder="1" applyAlignment="1">
      <alignment horizontal="center" wrapText="1"/>
    </xf>
    <xf numFmtId="43" fontId="0" fillId="0" borderId="0" xfId="0" applyNumberFormat="1" applyFont="1" applyBorder="1"/>
    <xf numFmtId="44" fontId="0" fillId="0" borderId="0" xfId="0" applyNumberFormat="1" applyFont="1" applyBorder="1"/>
    <xf numFmtId="0" fontId="11" fillId="0" borderId="0" xfId="4" applyFont="1" applyFill="1" applyBorder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43" fontId="0" fillId="0" borderId="0" xfId="0" applyNumberFormat="1" applyFont="1"/>
    <xf numFmtId="0" fontId="0" fillId="0" borderId="0" xfId="0" applyFont="1" applyAlignment="1">
      <alignment horizontal="left" indent="1"/>
    </xf>
    <xf numFmtId="166" fontId="0" fillId="0" borderId="0" xfId="1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vertical="center"/>
    </xf>
    <xf numFmtId="0" fontId="3" fillId="6" borderId="1" xfId="0" applyFont="1" applyFill="1" applyBorder="1"/>
    <xf numFmtId="0" fontId="12" fillId="6" borderId="1" xfId="4" applyFont="1" applyFill="1" applyBorder="1" applyAlignment="1">
      <alignment horizontal="left"/>
    </xf>
    <xf numFmtId="3" fontId="3" fillId="6" borderId="1" xfId="0" applyNumberFormat="1" applyFont="1" applyFill="1" applyBorder="1" applyAlignment="1">
      <alignment horizontal="right"/>
    </xf>
    <xf numFmtId="43" fontId="0" fillId="6" borderId="1" xfId="0" applyNumberFormat="1" applyFont="1" applyFill="1" applyBorder="1"/>
    <xf numFmtId="44" fontId="0" fillId="0" borderId="0" xfId="1" applyNumberFormat="1" applyFont="1" applyFill="1" applyBorder="1"/>
    <xf numFmtId="166" fontId="0" fillId="0" borderId="0" xfId="1" applyNumberFormat="1" applyFont="1" applyBorder="1"/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/>
    <xf numFmtId="164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44" fontId="0" fillId="0" borderId="0" xfId="2" applyFont="1" applyFill="1" applyBorder="1"/>
    <xf numFmtId="0" fontId="0" fillId="0" borderId="0" xfId="0" applyFont="1" applyFill="1" applyBorder="1" applyAlignment="1"/>
    <xf numFmtId="0" fontId="9" fillId="0" borderId="0" xfId="4" applyFont="1" applyFill="1" applyBorder="1" applyAlignment="1">
      <alignment horizontal="left"/>
    </xf>
    <xf numFmtId="0" fontId="3" fillId="0" borderId="19" xfId="0" applyFont="1" applyBorder="1"/>
    <xf numFmtId="0" fontId="0" fillId="0" borderId="20" xfId="0" applyFont="1" applyBorder="1"/>
    <xf numFmtId="0" fontId="11" fillId="0" borderId="0" xfId="296" applyFont="1" applyBorder="1"/>
    <xf numFmtId="166" fontId="11" fillId="0" borderId="0" xfId="1" applyNumberFormat="1" applyFont="1" applyFill="1" applyBorder="1"/>
    <xf numFmtId="3" fontId="0" fillId="0" borderId="0" xfId="0" applyNumberFormat="1" applyFont="1" applyBorder="1"/>
    <xf numFmtId="3" fontId="0" fillId="0" borderId="0" xfId="2" applyNumberFormat="1" applyFont="1" applyFill="1" applyBorder="1"/>
    <xf numFmtId="3" fontId="0" fillId="0" borderId="0" xfId="0" applyNumberFormat="1" applyFont="1" applyBorder="1" applyAlignment="1">
      <alignment horizontal="right"/>
    </xf>
    <xf numFmtId="167" fontId="0" fillId="0" borderId="0" xfId="0" applyNumberFormat="1" applyFont="1"/>
    <xf numFmtId="169" fontId="0" fillId="0" borderId="0" xfId="0" applyNumberFormat="1" applyFont="1"/>
    <xf numFmtId="0" fontId="11" fillId="0" borderId="0" xfId="0" applyFont="1" applyFill="1"/>
    <xf numFmtId="10" fontId="0" fillId="0" borderId="0" xfId="0" applyNumberFormat="1" applyFont="1"/>
    <xf numFmtId="44" fontId="0" fillId="0" borderId="0" xfId="2" applyFont="1" applyFill="1"/>
    <xf numFmtId="165" fontId="0" fillId="0" borderId="0" xfId="2" applyNumberFormat="1" applyFont="1" applyFill="1"/>
    <xf numFmtId="165" fontId="0" fillId="0" borderId="1" xfId="2" applyNumberFormat="1" applyFont="1" applyFill="1" applyBorder="1"/>
    <xf numFmtId="169" fontId="0" fillId="0" borderId="0" xfId="2" applyNumberFormat="1" applyFont="1" applyFill="1"/>
    <xf numFmtId="0" fontId="0" fillId="0" borderId="0" xfId="0" applyFont="1" applyAlignment="1">
      <alignment horizontal="left"/>
    </xf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3" fillId="0" borderId="31" xfId="0" applyFont="1" applyBorder="1"/>
    <xf numFmtId="41" fontId="0" fillId="0" borderId="0" xfId="1" applyNumberFormat="1" applyFont="1"/>
    <xf numFmtId="0" fontId="11" fillId="38" borderId="0" xfId="0" applyFont="1" applyFill="1" applyAlignment="1">
      <alignment horizontal="right"/>
    </xf>
    <xf numFmtId="0" fontId="0" fillId="6" borderId="3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57" fillId="0" borderId="0" xfId="1" applyNumberFormat="1" applyFont="1" applyFill="1" applyBorder="1" applyAlignment="1">
      <alignment horizontal="left"/>
    </xf>
    <xf numFmtId="0" fontId="0" fillId="0" borderId="0" xfId="1" applyNumberFormat="1" applyFont="1" applyFill="1" applyBorder="1"/>
    <xf numFmtId="10" fontId="0" fillId="0" borderId="0" xfId="3" applyNumberFormat="1" applyFont="1" applyFill="1" applyBorder="1"/>
    <xf numFmtId="3" fontId="3" fillId="6" borderId="32" xfId="0" applyNumberFormat="1" applyFont="1" applyFill="1" applyBorder="1" applyAlignment="1">
      <alignment horizontal="right"/>
    </xf>
    <xf numFmtId="42" fontId="3" fillId="0" borderId="0" xfId="0" applyNumberFormat="1" applyFont="1"/>
    <xf numFmtId="0" fontId="0" fillId="0" borderId="22" xfId="0" applyFont="1" applyBorder="1"/>
    <xf numFmtId="0" fontId="3" fillId="0" borderId="0" xfId="0" applyFont="1" applyFill="1" applyBorder="1"/>
    <xf numFmtId="42" fontId="0" fillId="0" borderId="0" xfId="0" applyNumberFormat="1" applyFont="1" applyFill="1" applyBorder="1" applyAlignment="1">
      <alignment horizontal="right"/>
    </xf>
    <xf numFmtId="0" fontId="0" fillId="0" borderId="2" xfId="0" applyFont="1" applyBorder="1"/>
    <xf numFmtId="0" fontId="0" fillId="0" borderId="23" xfId="0" applyFont="1" applyBorder="1"/>
    <xf numFmtId="0" fontId="0" fillId="6" borderId="32" xfId="0" applyFont="1" applyFill="1" applyBorder="1" applyAlignment="1">
      <alignment horizontal="center" vertical="center"/>
    </xf>
    <xf numFmtId="0" fontId="12" fillId="6" borderId="32" xfId="4" applyFont="1" applyFill="1" applyBorder="1" applyAlignment="1">
      <alignment horizontal="left"/>
    </xf>
    <xf numFmtId="43" fontId="0" fillId="6" borderId="32" xfId="0" applyNumberFormat="1" applyFont="1" applyFill="1" applyBorder="1"/>
    <xf numFmtId="0" fontId="3" fillId="0" borderId="0" xfId="0" applyFont="1" applyBorder="1"/>
    <xf numFmtId="4" fontId="0" fillId="0" borderId="0" xfId="2" applyNumberFormat="1" applyFont="1" applyFill="1" applyBorder="1"/>
    <xf numFmtId="44" fontId="0" fillId="70" borderId="0" xfId="2" applyFont="1" applyFill="1" applyBorder="1"/>
    <xf numFmtId="0" fontId="97" fillId="0" borderId="0" xfId="0" applyFont="1" applyBorder="1"/>
    <xf numFmtId="0" fontId="97" fillId="0" borderId="0" xfId="0" applyFont="1" applyBorder="1" applyAlignment="1">
      <alignment horizontal="right"/>
    </xf>
    <xf numFmtId="43" fontId="0" fillId="0" borderId="0" xfId="0" applyNumberFormat="1" applyFont="1" applyFill="1"/>
    <xf numFmtId="0" fontId="0" fillId="0" borderId="0" xfId="0" applyFill="1" applyAlignment="1">
      <alignment horizontal="right"/>
    </xf>
    <xf numFmtId="0" fontId="0" fillId="0" borderId="0" xfId="0" applyFont="1" applyBorder="1"/>
    <xf numFmtId="166" fontId="0" fillId="0" borderId="0" xfId="1" applyNumberFormat="1" applyFont="1" applyFill="1" applyBorder="1"/>
    <xf numFmtId="0" fontId="0" fillId="6" borderId="1" xfId="0" applyFont="1" applyFill="1" applyBorder="1" applyAlignment="1">
      <alignment horizontal="center"/>
    </xf>
    <xf numFmtId="3" fontId="0" fillId="0" borderId="0" xfId="0" applyNumberFormat="1" applyFont="1" applyFill="1" applyBorder="1"/>
    <xf numFmtId="0" fontId="0" fillId="0" borderId="0" xfId="0" applyFont="1" applyBorder="1" applyAlignment="1">
      <alignment horizontal="left"/>
    </xf>
    <xf numFmtId="43" fontId="0" fillId="0" borderId="0" xfId="0" applyNumberFormat="1" applyFont="1" applyFill="1" applyBorder="1"/>
    <xf numFmtId="0" fontId="0" fillId="6" borderId="366" xfId="0" applyFont="1" applyFill="1" applyBorder="1" applyAlignment="1">
      <alignment horizontal="center" vertical="center"/>
    </xf>
    <xf numFmtId="166" fontId="0" fillId="0" borderId="0" xfId="1" applyNumberFormat="1" applyFont="1" applyFill="1"/>
    <xf numFmtId="43" fontId="3" fillId="0" borderId="0" xfId="0" applyNumberFormat="1" applyFont="1" applyFill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indent="1"/>
    </xf>
    <xf numFmtId="0" fontId="0" fillId="0" borderId="0" xfId="0" applyFill="1"/>
    <xf numFmtId="0" fontId="0" fillId="0" borderId="0" xfId="0" applyFont="1" applyFill="1"/>
    <xf numFmtId="0" fontId="96" fillId="0" borderId="0" xfId="6089" applyFont="1" applyFill="1" applyBorder="1"/>
    <xf numFmtId="44" fontId="0" fillId="0" borderId="0" xfId="2" applyFont="1" applyFill="1" applyBorder="1"/>
    <xf numFmtId="0" fontId="0" fillId="0" borderId="0" xfId="0" applyFont="1" applyFill="1" applyBorder="1"/>
    <xf numFmtId="164" fontId="0" fillId="0" borderId="0" xfId="2" applyNumberFormat="1" applyFont="1" applyFill="1" applyBorder="1"/>
    <xf numFmtId="0" fontId="3" fillId="6" borderId="367" xfId="0" applyFont="1" applyFill="1" applyBorder="1" applyAlignment="1">
      <alignment horizontal="center" vertical="center" wrapText="1"/>
    </xf>
    <xf numFmtId="166" fontId="3" fillId="6" borderId="367" xfId="1" applyNumberFormat="1" applyFont="1" applyFill="1" applyBorder="1" applyAlignment="1">
      <alignment horizontal="center" vertical="center" wrapText="1"/>
    </xf>
    <xf numFmtId="3" fontId="3" fillId="6" borderId="367" xfId="0" applyNumberFormat="1" applyFont="1" applyFill="1" applyBorder="1" applyAlignment="1">
      <alignment horizontal="center" vertical="center" wrapText="1"/>
    </xf>
    <xf numFmtId="0" fontId="3" fillId="2" borderId="36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166" fontId="0" fillId="0" borderId="0" xfId="1" applyNumberFormat="1" applyFont="1" applyFill="1" applyAlignment="1">
      <alignment horizontal="right"/>
    </xf>
    <xf numFmtId="0" fontId="3" fillId="2" borderId="0" xfId="0" applyFont="1" applyFill="1" applyAlignment="1">
      <alignment horizontal="center" vertical="center" wrapText="1"/>
    </xf>
    <xf numFmtId="166" fontId="3" fillId="2" borderId="367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6" borderId="334" xfId="0" applyFont="1" applyFill="1" applyBorder="1" applyAlignment="1">
      <alignment vertical="center" textRotation="90"/>
    </xf>
    <xf numFmtId="0" fontId="3" fillId="6" borderId="1" xfId="0" applyFont="1" applyFill="1" applyBorder="1" applyAlignment="1">
      <alignment vertical="center" textRotation="90"/>
    </xf>
    <xf numFmtId="0" fontId="3" fillId="0" borderId="0" xfId="0" applyFont="1" applyFill="1" applyBorder="1" applyAlignment="1">
      <alignment horizontal="center" vertical="center" textRotation="90"/>
    </xf>
    <xf numFmtId="0" fontId="11" fillId="0" borderId="0" xfId="366" applyFont="1"/>
    <xf numFmtId="166" fontId="3" fillId="6" borderId="32" xfId="1" applyNumberFormat="1" applyFont="1" applyFill="1" applyBorder="1" applyAlignment="1">
      <alignment horizontal="right"/>
    </xf>
    <xf numFmtId="166" fontId="3" fillId="6" borderId="1" xfId="1" applyNumberFormat="1" applyFont="1" applyFill="1" applyBorder="1" applyAlignment="1">
      <alignment horizontal="right"/>
    </xf>
    <xf numFmtId="10" fontId="0" fillId="2" borderId="0" xfId="3" applyNumberFormat="1" applyFont="1" applyFill="1" applyBorder="1"/>
    <xf numFmtId="166" fontId="3" fillId="0" borderId="0" xfId="1" applyNumberFormat="1" applyFont="1" applyFill="1" applyBorder="1" applyAlignment="1">
      <alignment horizontal="right"/>
    </xf>
    <xf numFmtId="166" fontId="0" fillId="0" borderId="369" xfId="1" applyNumberFormat="1" applyFont="1" applyFill="1" applyBorder="1"/>
    <xf numFmtId="44" fontId="99" fillId="0" borderId="0" xfId="37394" applyNumberFormat="1" applyBorder="1"/>
    <xf numFmtId="10" fontId="3" fillId="0" borderId="0" xfId="3" applyNumberFormat="1" applyFont="1" applyFill="1" applyBorder="1" applyAlignment="1">
      <alignment horizontal="right"/>
    </xf>
    <xf numFmtId="42" fontId="0" fillId="0" borderId="21" xfId="2" applyNumberFormat="1" applyFont="1" applyFill="1" applyBorder="1"/>
    <xf numFmtId="166" fontId="0" fillId="0" borderId="1" xfId="1" applyNumberFormat="1" applyFont="1" applyFill="1" applyBorder="1"/>
    <xf numFmtId="0" fontId="100" fillId="0" borderId="0" xfId="0" applyFont="1"/>
    <xf numFmtId="0" fontId="3" fillId="70" borderId="0" xfId="0" applyFont="1" applyFill="1" applyAlignment="1">
      <alignment horizontal="center"/>
    </xf>
    <xf numFmtId="0" fontId="101" fillId="0" borderId="0" xfId="0" applyFont="1" applyFill="1" applyAlignment="1">
      <alignment horizontal="center" vertical="center" wrapText="1"/>
    </xf>
    <xf numFmtId="3" fontId="3" fillId="6" borderId="33" xfId="0" applyNumberFormat="1" applyFont="1" applyFill="1" applyBorder="1" applyAlignment="1">
      <alignment horizontal="right"/>
    </xf>
    <xf numFmtId="3" fontId="3" fillId="6" borderId="371" xfId="0" applyNumberFormat="1" applyFont="1" applyFill="1" applyBorder="1" applyAlignment="1">
      <alignment horizontal="right"/>
    </xf>
    <xf numFmtId="0" fontId="0" fillId="6" borderId="368" xfId="0" applyFont="1" applyFill="1" applyBorder="1" applyAlignment="1">
      <alignment horizontal="center"/>
    </xf>
    <xf numFmtId="0" fontId="12" fillId="6" borderId="368" xfId="4" applyFont="1" applyFill="1" applyBorder="1" applyAlignment="1">
      <alignment horizontal="left"/>
    </xf>
    <xf numFmtId="3" fontId="3" fillId="6" borderId="368" xfId="0" applyNumberFormat="1" applyFont="1" applyFill="1" applyBorder="1" applyAlignment="1">
      <alignment horizontal="right"/>
    </xf>
    <xf numFmtId="43" fontId="0" fillId="6" borderId="368" xfId="0" applyNumberFormat="1" applyFont="1" applyFill="1" applyBorder="1"/>
    <xf numFmtId="166" fontId="3" fillId="6" borderId="368" xfId="1" applyNumberFormat="1" applyFont="1" applyFill="1" applyBorder="1" applyAlignment="1">
      <alignment horizontal="right"/>
    </xf>
    <xf numFmtId="0" fontId="97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 wrapText="1"/>
    </xf>
    <xf numFmtId="166" fontId="0" fillId="0" borderId="0" xfId="1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right"/>
    </xf>
    <xf numFmtId="0" fontId="0" fillId="0" borderId="0" xfId="0" applyFont="1" applyFill="1" applyBorder="1"/>
    <xf numFmtId="44" fontId="0" fillId="0" borderId="0" xfId="2" applyFont="1" applyFill="1" applyBorder="1"/>
    <xf numFmtId="166" fontId="0" fillId="0" borderId="0" xfId="1" applyNumberFormat="1" applyFont="1" applyFill="1" applyBorder="1"/>
    <xf numFmtId="43" fontId="0" fillId="0" borderId="0" xfId="1" applyNumberFormat="1" applyFont="1" applyFill="1" applyBorder="1"/>
    <xf numFmtId="3" fontId="3" fillId="6" borderId="368" xfId="0" applyNumberFormat="1" applyFont="1" applyFill="1" applyBorder="1" applyAlignment="1">
      <alignment horizontal="right"/>
    </xf>
    <xf numFmtId="44" fontId="0" fillId="0" borderId="0" xfId="0" applyNumberFormat="1" applyFont="1" applyFill="1" applyBorder="1"/>
    <xf numFmtId="0" fontId="3" fillId="0" borderId="1" xfId="0" applyFont="1" applyFill="1" applyBorder="1" applyAlignment="1">
      <alignment horizontal="center"/>
    </xf>
    <xf numFmtId="0" fontId="3" fillId="6" borderId="372" xfId="0" applyFont="1" applyFill="1" applyBorder="1" applyAlignment="1">
      <alignment vertical="center"/>
    </xf>
    <xf numFmtId="178" fontId="3" fillId="0" borderId="0" xfId="2" applyNumberFormat="1" applyFont="1" applyBorder="1"/>
    <xf numFmtId="0" fontId="3" fillId="6" borderId="373" xfId="0" applyFont="1" applyFill="1" applyBorder="1" applyAlignment="1">
      <alignment vertical="center" textRotation="90"/>
    </xf>
    <xf numFmtId="0" fontId="3" fillId="75" borderId="0" xfId="0" applyFont="1" applyFill="1" applyAlignment="1">
      <alignment horizontal="center"/>
    </xf>
    <xf numFmtId="0" fontId="3" fillId="77" borderId="0" xfId="0" applyFont="1" applyFill="1" applyAlignment="1">
      <alignment horizontal="center"/>
    </xf>
    <xf numFmtId="44" fontId="0" fillId="76" borderId="0" xfId="2" applyFont="1" applyFill="1" applyBorder="1"/>
    <xf numFmtId="0" fontId="3" fillId="78" borderId="367" xfId="0" applyFont="1" applyFill="1" applyBorder="1" applyAlignment="1">
      <alignment horizontal="center" vertical="center" wrapText="1"/>
    </xf>
    <xf numFmtId="0" fontId="3" fillId="79" borderId="367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166" fontId="0" fillId="0" borderId="0" xfId="1" applyNumberFormat="1" applyFont="1" applyFill="1" applyBorder="1" applyAlignment="1">
      <alignment horizontal="center" vertical="center" wrapText="1"/>
    </xf>
    <xf numFmtId="44" fontId="0" fillId="0" borderId="0" xfId="2" applyFont="1" applyFill="1" applyBorder="1" applyAlignment="1">
      <alignment horizontal="center" vertical="center" wrapText="1"/>
    </xf>
    <xf numFmtId="3" fontId="0" fillId="0" borderId="0" xfId="2" applyNumberFormat="1" applyFont="1" applyFill="1" applyBorder="1" applyAlignment="1">
      <alignment horizontal="center" vertical="center" wrapText="1"/>
    </xf>
    <xf numFmtId="43" fontId="0" fillId="0" borderId="0" xfId="1" applyNumberFormat="1" applyFont="1" applyFill="1" applyBorder="1" applyAlignment="1">
      <alignment horizontal="center" vertical="center" wrapText="1"/>
    </xf>
    <xf numFmtId="0" fontId="98" fillId="2" borderId="367" xfId="0" applyFont="1" applyFill="1" applyBorder="1" applyAlignment="1">
      <alignment horizontal="center" vertical="center" wrapText="1"/>
    </xf>
    <xf numFmtId="43" fontId="98" fillId="2" borderId="367" xfId="0" applyNumberFormat="1" applyFont="1" applyFill="1" applyBorder="1" applyAlignment="1">
      <alignment horizontal="center" vertical="center" wrapText="1"/>
    </xf>
    <xf numFmtId="3" fontId="96" fillId="0" borderId="0" xfId="6089" applyNumberFormat="1" applyFont="1" applyFill="1" applyBorder="1"/>
    <xf numFmtId="3" fontId="102" fillId="6" borderId="367" xfId="0" applyNumberFormat="1" applyFont="1" applyFill="1" applyBorder="1" applyAlignment="1">
      <alignment horizontal="center" vertical="center" wrapText="1"/>
    </xf>
    <xf numFmtId="0" fontId="3" fillId="76" borderId="0" xfId="0" applyFont="1" applyFill="1" applyBorder="1" applyAlignment="1">
      <alignment horizontal="center"/>
    </xf>
    <xf numFmtId="43" fontId="0" fillId="0" borderId="0" xfId="1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3" fontId="0" fillId="77" borderId="0" xfId="1" applyNumberFormat="1" applyFont="1" applyFill="1"/>
    <xf numFmtId="43" fontId="0" fillId="70" borderId="0" xfId="1" applyNumberFormat="1" applyFont="1" applyFill="1"/>
    <xf numFmtId="0" fontId="103" fillId="0" borderId="0" xfId="0" applyFont="1" applyBorder="1" applyAlignment="1">
      <alignment horizontal="left"/>
    </xf>
    <xf numFmtId="10" fontId="0" fillId="0" borderId="0" xfId="3" applyNumberFormat="1" applyFont="1" applyBorder="1"/>
    <xf numFmtId="43" fontId="0" fillId="0" borderId="0" xfId="1" applyNumberFormat="1" applyFont="1" applyBorder="1"/>
    <xf numFmtId="10" fontId="104" fillId="0" borderId="0" xfId="3" applyNumberFormat="1" applyFont="1" applyFill="1" applyBorder="1"/>
    <xf numFmtId="0" fontId="0" fillId="77" borderId="0" xfId="0" applyFill="1" applyAlignment="1">
      <alignment horizontal="right"/>
    </xf>
    <xf numFmtId="0" fontId="0" fillId="77" borderId="0" xfId="0" applyFill="1" applyAlignment="1">
      <alignment horizontal="left"/>
    </xf>
    <xf numFmtId="0" fontId="3" fillId="77" borderId="0" xfId="0" applyFont="1" applyFill="1" applyAlignment="1">
      <alignment horizontal="right"/>
    </xf>
    <xf numFmtId="0" fontId="0" fillId="0" borderId="0" xfId="0" applyFont="1" applyFill="1"/>
    <xf numFmtId="43" fontId="0" fillId="77" borderId="0" xfId="1" applyFont="1" applyFill="1" applyAlignment="1">
      <alignment horizontal="left"/>
    </xf>
    <xf numFmtId="0" fontId="0" fillId="75" borderId="0" xfId="0" applyFont="1" applyFill="1" applyAlignment="1">
      <alignment horizontal="left"/>
    </xf>
    <xf numFmtId="0" fontId="96" fillId="75" borderId="0" xfId="37476" applyFont="1" applyFill="1" applyBorder="1"/>
    <xf numFmtId="0" fontId="96" fillId="75" borderId="0" xfId="37544" applyFont="1" applyFill="1" applyBorder="1"/>
    <xf numFmtId="0" fontId="0" fillId="75" borderId="0" xfId="0" applyFill="1" applyAlignment="1">
      <alignment horizontal="right"/>
    </xf>
    <xf numFmtId="0" fontId="96" fillId="75" borderId="0" xfId="37543" applyFont="1" applyFill="1" applyBorder="1"/>
    <xf numFmtId="0" fontId="3" fillId="75" borderId="0" xfId="0" applyFont="1" applyFill="1" applyAlignment="1">
      <alignment horizontal="right"/>
    </xf>
    <xf numFmtId="43" fontId="0" fillId="75" borderId="0" xfId="1" applyFont="1" applyFill="1" applyAlignment="1">
      <alignment horizontal="left"/>
    </xf>
    <xf numFmtId="44" fontId="0" fillId="75" borderId="0" xfId="2" applyFont="1" applyFill="1" applyAlignment="1">
      <alignment horizontal="right"/>
    </xf>
    <xf numFmtId="44" fontId="0" fillId="77" borderId="0" xfId="2" applyFont="1" applyFill="1" applyAlignment="1">
      <alignment horizontal="right"/>
    </xf>
    <xf numFmtId="0" fontId="0" fillId="75" borderId="0" xfId="0" applyFill="1" applyAlignment="1">
      <alignment horizontal="left"/>
    </xf>
    <xf numFmtId="43" fontId="0" fillId="77" borderId="0" xfId="0" applyNumberFormat="1" applyFill="1" applyAlignment="1">
      <alignment horizontal="right"/>
    </xf>
    <xf numFmtId="43" fontId="0" fillId="75" borderId="0" xfId="0" applyNumberFormat="1" applyFill="1" applyAlignment="1">
      <alignment horizontal="right"/>
    </xf>
    <xf numFmtId="166" fontId="0" fillId="77" borderId="0" xfId="1" applyNumberFormat="1" applyFont="1" applyFill="1" applyAlignment="1">
      <alignment horizontal="right"/>
    </xf>
    <xf numFmtId="166" fontId="0" fillId="75" borderId="0" xfId="1" applyNumberFormat="1" applyFont="1" applyFill="1" applyAlignment="1">
      <alignment horizontal="right"/>
    </xf>
    <xf numFmtId="0" fontId="0" fillId="77" borderId="0" xfId="0" applyFont="1" applyFill="1" applyAlignment="1">
      <alignment horizontal="left"/>
    </xf>
    <xf numFmtId="43" fontId="3" fillId="2" borderId="367" xfId="1" applyFont="1" applyFill="1" applyBorder="1" applyAlignment="1">
      <alignment horizontal="left" vertical="center" wrapText="1"/>
    </xf>
    <xf numFmtId="43" fontId="0" fillId="0" borderId="0" xfId="1" applyFont="1" applyFill="1" applyAlignment="1">
      <alignment horizontal="left"/>
    </xf>
    <xf numFmtId="43" fontId="0" fillId="0" borderId="0" xfId="1" applyNumberFormat="1" applyFont="1" applyFill="1" applyAlignment="1">
      <alignment horizontal="right"/>
    </xf>
    <xf numFmtId="0" fontId="0" fillId="75" borderId="0" xfId="0" applyFont="1" applyFill="1" applyAlignment="1">
      <alignment horizontal="right"/>
    </xf>
    <xf numFmtId="44" fontId="0" fillId="76" borderId="0" xfId="2" applyFont="1" applyFill="1" applyAlignment="1">
      <alignment horizontal="right"/>
    </xf>
    <xf numFmtId="0" fontId="0" fillId="6" borderId="368" xfId="0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 applyFont="1" applyFill="1" applyBorder="1" applyAlignment="1">
      <alignment horizontal="center"/>
    </xf>
    <xf numFmtId="0" fontId="3" fillId="80" borderId="0" xfId="0" applyFont="1" applyFill="1" applyAlignment="1">
      <alignment horizontal="center"/>
    </xf>
    <xf numFmtId="0" fontId="0" fillId="80" borderId="0" xfId="0" applyFill="1" applyAlignment="1">
      <alignment horizontal="right"/>
    </xf>
    <xf numFmtId="0" fontId="3" fillId="80" borderId="0" xfId="0" applyFont="1" applyFill="1" applyAlignment="1">
      <alignment horizontal="right"/>
    </xf>
    <xf numFmtId="166" fontId="0" fillId="80" borderId="0" xfId="1" applyNumberFormat="1" applyFont="1" applyFill="1" applyAlignment="1">
      <alignment horizontal="right"/>
    </xf>
    <xf numFmtId="44" fontId="0" fillId="80" borderId="0" xfId="2" applyFont="1" applyFill="1" applyAlignment="1">
      <alignment horizontal="right"/>
    </xf>
    <xf numFmtId="43" fontId="0" fillId="80" borderId="0" xfId="0" applyNumberFormat="1" applyFill="1" applyAlignment="1">
      <alignment horizontal="right"/>
    </xf>
    <xf numFmtId="0" fontId="0" fillId="80" borderId="0" xfId="0" applyFill="1" applyAlignment="1">
      <alignment horizontal="left"/>
    </xf>
    <xf numFmtId="43" fontId="0" fillId="80" borderId="0" xfId="1" applyFont="1" applyFill="1" applyAlignment="1">
      <alignment horizontal="left"/>
    </xf>
    <xf numFmtId="0" fontId="0" fillId="80" borderId="0" xfId="0" applyFont="1" applyFill="1" applyAlignment="1">
      <alignment horizontal="left"/>
    </xf>
    <xf numFmtId="0" fontId="108" fillId="0" borderId="0" xfId="6089" applyFont="1" applyFill="1"/>
    <xf numFmtId="0" fontId="109" fillId="0" borderId="0" xfId="6089" applyFont="1" applyFill="1"/>
    <xf numFmtId="0" fontId="109" fillId="0" borderId="0" xfId="6089" applyFont="1" applyFill="1" applyAlignment="1">
      <alignment horizontal="center"/>
    </xf>
    <xf numFmtId="0" fontId="109" fillId="0" borderId="0" xfId="6089" applyFont="1"/>
    <xf numFmtId="44" fontId="109" fillId="0" borderId="0" xfId="6089" applyNumberFormat="1" applyFont="1" applyFill="1"/>
    <xf numFmtId="166" fontId="109" fillId="0" borderId="0" xfId="6089" applyNumberFormat="1" applyFont="1"/>
    <xf numFmtId="0" fontId="108" fillId="0" borderId="0" xfId="6089" applyFont="1" applyFill="1" applyAlignment="1">
      <alignment horizontal="center" wrapText="1"/>
    </xf>
    <xf numFmtId="0" fontId="109" fillId="0" borderId="0" xfId="6089" applyFont="1" applyFill="1" applyAlignment="1"/>
    <xf numFmtId="0" fontId="108" fillId="0" borderId="0" xfId="6089" applyFont="1" applyFill="1" applyAlignment="1">
      <alignment horizontal="center"/>
    </xf>
    <xf numFmtId="17" fontId="108" fillId="0" borderId="0" xfId="6089" applyNumberFormat="1" applyFont="1" applyFill="1" applyAlignment="1">
      <alignment horizontal="center" wrapText="1"/>
    </xf>
    <xf numFmtId="0" fontId="110" fillId="0" borderId="0" xfId="6089" applyFont="1" applyFill="1" applyAlignment="1">
      <alignment horizontal="left"/>
    </xf>
    <xf numFmtId="0" fontId="110" fillId="0" borderId="0" xfId="6089" applyFont="1" applyFill="1" applyAlignment="1">
      <alignment horizontal="center"/>
    </xf>
    <xf numFmtId="0" fontId="111" fillId="0" borderId="0" xfId="6089" applyFont="1" applyFill="1" applyAlignment="1">
      <alignment horizontal="center"/>
    </xf>
    <xf numFmtId="0" fontId="112" fillId="0" borderId="0" xfId="37552" applyFont="1"/>
    <xf numFmtId="0" fontId="108" fillId="0" borderId="0" xfId="6089" applyFont="1" applyFill="1" applyAlignment="1">
      <alignment horizontal="left"/>
    </xf>
    <xf numFmtId="0" fontId="109" fillId="0" borderId="0" xfId="6089" applyFont="1" applyFill="1" applyBorder="1"/>
    <xf numFmtId="43" fontId="109" fillId="0" borderId="0" xfId="1311" applyFont="1" applyFill="1"/>
    <xf numFmtId="166" fontId="109" fillId="0" borderId="0" xfId="1311" applyNumberFormat="1" applyFont="1"/>
    <xf numFmtId="166" fontId="109" fillId="0" borderId="0" xfId="1311" applyNumberFormat="1" applyFont="1" applyFill="1"/>
    <xf numFmtId="166" fontId="109" fillId="75" borderId="0" xfId="6089" applyNumberFormat="1" applyFont="1" applyFill="1"/>
    <xf numFmtId="0" fontId="108" fillId="0" borderId="0" xfId="6089" applyFont="1" applyFill="1" applyBorder="1" applyAlignment="1">
      <alignment horizontal="right"/>
    </xf>
    <xf numFmtId="44" fontId="113" fillId="0" borderId="0" xfId="3515" applyFont="1" applyFill="1" applyBorder="1"/>
    <xf numFmtId="43" fontId="109" fillId="0" borderId="368" xfId="1311" applyFont="1" applyFill="1" applyBorder="1"/>
    <xf numFmtId="164" fontId="108" fillId="0" borderId="368" xfId="3515" applyNumberFormat="1" applyFont="1" applyFill="1" applyBorder="1"/>
    <xf numFmtId="0" fontId="108" fillId="0" borderId="0" xfId="6089" applyFont="1" applyFill="1" applyBorder="1"/>
    <xf numFmtId="43" fontId="109" fillId="0" borderId="0" xfId="1311" applyFont="1" applyFill="1" applyBorder="1"/>
    <xf numFmtId="164" fontId="108" fillId="0" borderId="0" xfId="3515" applyNumberFormat="1" applyFont="1" applyFill="1" applyBorder="1"/>
    <xf numFmtId="0" fontId="108" fillId="0" borderId="0" xfId="6089" applyFont="1"/>
    <xf numFmtId="43" fontId="109" fillId="0" borderId="0" xfId="6089" applyNumberFormat="1" applyFont="1"/>
    <xf numFmtId="166" fontId="109" fillId="0" borderId="0" xfId="6089" applyNumberFormat="1" applyFont="1" applyBorder="1"/>
    <xf numFmtId="166" fontId="108" fillId="0" borderId="386" xfId="6089" applyNumberFormat="1" applyFont="1" applyBorder="1"/>
    <xf numFmtId="43" fontId="108" fillId="0" borderId="0" xfId="1311" applyFont="1" applyFill="1"/>
    <xf numFmtId="166" fontId="108" fillId="81" borderId="0" xfId="1311" applyNumberFormat="1" applyFont="1" applyFill="1"/>
    <xf numFmtId="0" fontId="108" fillId="0" borderId="0" xfId="6089" applyFont="1" applyFill="1" applyAlignment="1">
      <alignment horizontal="right"/>
    </xf>
    <xf numFmtId="166" fontId="108" fillId="81" borderId="0" xfId="1311" applyNumberFormat="1" applyFont="1" applyFill="1" applyAlignment="1">
      <alignment horizontal="right"/>
    </xf>
    <xf numFmtId="166" fontId="108" fillId="0" borderId="0" xfId="1311" applyNumberFormat="1" applyFont="1" applyFill="1" applyAlignment="1">
      <alignment horizontal="right"/>
    </xf>
    <xf numFmtId="44" fontId="109" fillId="0" borderId="0" xfId="6089" applyNumberFormat="1" applyFont="1" applyFill="1" applyAlignment="1">
      <alignment horizontal="center"/>
    </xf>
    <xf numFmtId="0" fontId="111" fillId="0" borderId="0" xfId="6089" applyFont="1" applyAlignment="1">
      <alignment horizontal="center"/>
    </xf>
    <xf numFmtId="0" fontId="86" fillId="0" borderId="0" xfId="6089" applyAlignment="1">
      <alignment horizontal="left" indent="1"/>
    </xf>
    <xf numFmtId="0" fontId="109" fillId="0" borderId="0" xfId="6089" applyFont="1" applyFill="1" applyBorder="1" applyAlignment="1">
      <alignment horizontal="center"/>
    </xf>
    <xf numFmtId="44" fontId="109" fillId="0" borderId="0" xfId="6089" applyNumberFormat="1" applyFont="1"/>
    <xf numFmtId="164" fontId="108" fillId="82" borderId="0" xfId="6089" applyNumberFormat="1" applyFont="1" applyFill="1"/>
    <xf numFmtId="164" fontId="108" fillId="82" borderId="0" xfId="6089" applyNumberFormat="1" applyFont="1" applyFill="1" applyAlignment="1">
      <alignment horizontal="right"/>
    </xf>
    <xf numFmtId="164" fontId="108" fillId="0" borderId="0" xfId="6089" applyNumberFormat="1" applyFont="1" applyAlignment="1">
      <alignment horizontal="right"/>
    </xf>
    <xf numFmtId="44" fontId="109" fillId="0" borderId="0" xfId="3515" applyFont="1" applyFill="1"/>
    <xf numFmtId="43" fontId="109" fillId="0" borderId="0" xfId="6089" applyNumberFormat="1" applyFont="1" applyFill="1" applyAlignment="1">
      <alignment horizontal="center"/>
    </xf>
    <xf numFmtId="166" fontId="108" fillId="82" borderId="0" xfId="1311" applyNumberFormat="1" applyFont="1" applyFill="1"/>
    <xf numFmtId="166" fontId="108" fillId="82" borderId="0" xfId="1311" applyNumberFormat="1" applyFont="1" applyFill="1" applyAlignment="1">
      <alignment horizontal="right"/>
    </xf>
    <xf numFmtId="166" fontId="108" fillId="0" borderId="0" xfId="1311" applyNumberFormat="1" applyFont="1" applyAlignment="1">
      <alignment horizontal="right"/>
    </xf>
    <xf numFmtId="166" fontId="108" fillId="0" borderId="368" xfId="1311" applyNumberFormat="1" applyFont="1" applyBorder="1"/>
    <xf numFmtId="43" fontId="108" fillId="0" borderId="368" xfId="6089" applyNumberFormat="1" applyFont="1" applyFill="1" applyBorder="1"/>
    <xf numFmtId="43" fontId="108" fillId="0" borderId="0" xfId="6089" applyNumberFormat="1" applyFont="1" applyFill="1" applyBorder="1"/>
    <xf numFmtId="43" fontId="108" fillId="0" borderId="370" xfId="6089" applyNumberFormat="1" applyFont="1" applyFill="1" applyBorder="1"/>
    <xf numFmtId="43" fontId="108" fillId="0" borderId="0" xfId="1311" applyFont="1" applyFill="1" applyAlignment="1">
      <alignment horizontal="right"/>
    </xf>
    <xf numFmtId="43" fontId="108" fillId="0" borderId="0" xfId="6089" applyNumberFormat="1" applyFont="1" applyFill="1" applyAlignment="1">
      <alignment horizontal="right"/>
    </xf>
    <xf numFmtId="0" fontId="109" fillId="0" borderId="0" xfId="6089" applyFont="1" applyFill="1" applyAlignment="1">
      <alignment horizontal="right"/>
    </xf>
    <xf numFmtId="166" fontId="109" fillId="0" borderId="0" xfId="6089" applyNumberFormat="1" applyFont="1" applyFill="1"/>
    <xf numFmtId="166" fontId="109" fillId="0" borderId="1" xfId="6089" applyNumberFormat="1" applyFont="1" applyFill="1" applyBorder="1"/>
    <xf numFmtId="43" fontId="109" fillId="0" borderId="0" xfId="6089" applyNumberFormat="1" applyFont="1" applyFill="1"/>
    <xf numFmtId="43" fontId="109" fillId="83" borderId="0" xfId="1311" applyFont="1" applyFill="1"/>
    <xf numFmtId="43" fontId="109" fillId="84" borderId="0" xfId="1311" applyFont="1" applyFill="1"/>
    <xf numFmtId="166" fontId="108" fillId="0" borderId="0" xfId="1311" applyNumberFormat="1" applyFont="1" applyFill="1"/>
    <xf numFmtId="166" fontId="113" fillId="0" borderId="0" xfId="1311" applyNumberFormat="1" applyFont="1" applyFill="1" applyBorder="1"/>
    <xf numFmtId="164" fontId="108" fillId="82" borderId="0" xfId="3515" applyNumberFormat="1" applyFont="1" applyFill="1"/>
    <xf numFmtId="164" fontId="108" fillId="0" borderId="0" xfId="6089" applyNumberFormat="1" applyFont="1"/>
    <xf numFmtId="166" fontId="108" fillId="0" borderId="0" xfId="1311" applyNumberFormat="1" applyFont="1"/>
    <xf numFmtId="166" fontId="108" fillId="0" borderId="0" xfId="1311" applyNumberFormat="1" applyFont="1" applyBorder="1"/>
    <xf numFmtId="0" fontId="114" fillId="0" borderId="0" xfId="6089" applyFont="1" applyFill="1"/>
    <xf numFmtId="0" fontId="114" fillId="0" borderId="0" xfId="6089" applyFont="1" applyFill="1" applyAlignment="1">
      <alignment horizontal="center"/>
    </xf>
    <xf numFmtId="0" fontId="11" fillId="0" borderId="0" xfId="296" applyFont="1" applyFill="1" applyBorder="1"/>
    <xf numFmtId="0" fontId="96" fillId="0" borderId="0" xfId="37544" applyFont="1" applyFill="1" applyBorder="1"/>
    <xf numFmtId="0" fontId="96" fillId="0" borderId="0" xfId="37476" applyFont="1" applyFill="1" applyBorder="1"/>
    <xf numFmtId="0" fontId="96" fillId="0" borderId="0" xfId="37543" applyFont="1" applyFill="1" applyBorder="1"/>
    <xf numFmtId="1" fontId="0" fillId="0" borderId="0" xfId="1" applyNumberFormat="1" applyFont="1" applyFill="1" applyAlignment="1">
      <alignment horizontal="center"/>
    </xf>
    <xf numFmtId="43" fontId="0" fillId="0" borderId="0" xfId="0" applyNumberFormat="1" applyFont="1"/>
    <xf numFmtId="0" fontId="0" fillId="0" borderId="0" xfId="0" applyFont="1" applyAlignment="1">
      <alignment horizontal="left"/>
    </xf>
    <xf numFmtId="1" fontId="0" fillId="70" borderId="0" xfId="1" applyNumberFormat="1" applyFont="1" applyFill="1" applyAlignment="1">
      <alignment horizontal="center"/>
    </xf>
    <xf numFmtId="0" fontId="0" fillId="70" borderId="0" xfId="0" applyFill="1" applyAlignment="1">
      <alignment horizontal="left"/>
    </xf>
    <xf numFmtId="0" fontId="11" fillId="70" borderId="0" xfId="296" applyFont="1" applyFill="1" applyBorder="1"/>
    <xf numFmtId="0" fontId="109" fillId="70" borderId="0" xfId="6089" applyFont="1" applyFill="1" applyBorder="1"/>
    <xf numFmtId="0" fontId="9" fillId="77" borderId="0" xfId="0" applyFont="1" applyFill="1" applyAlignment="1">
      <alignment horizontal="left"/>
    </xf>
    <xf numFmtId="44" fontId="11" fillId="70" borderId="0" xfId="2" applyFont="1" applyFill="1" applyBorder="1"/>
    <xf numFmtId="44" fontId="0" fillId="70" borderId="1" xfId="2" applyFont="1" applyFill="1" applyBorder="1"/>
    <xf numFmtId="43" fontId="0" fillId="0" borderId="0" xfId="1" applyNumberFormat="1" applyFont="1" applyFill="1"/>
    <xf numFmtId="1" fontId="0" fillId="77" borderId="0" xfId="1" applyNumberFormat="1" applyFont="1" applyFill="1" applyAlignment="1">
      <alignment horizontal="center"/>
    </xf>
    <xf numFmtId="0" fontId="0" fillId="0" borderId="1" xfId="0" applyFont="1" applyBorder="1" applyAlignment="1">
      <alignment horizontal="center" wrapText="1"/>
    </xf>
    <xf numFmtId="44" fontId="116" fillId="70" borderId="0" xfId="2" applyFont="1" applyFill="1" applyBorder="1"/>
    <xf numFmtId="0" fontId="2" fillId="0" borderId="0" xfId="156"/>
    <xf numFmtId="0" fontId="2" fillId="31" borderId="0" xfId="156" applyFill="1"/>
    <xf numFmtId="0" fontId="72" fillId="0" borderId="394" xfId="156" applyFont="1" applyBorder="1"/>
    <xf numFmtId="0" fontId="72" fillId="0" borderId="369" xfId="156" applyFont="1" applyBorder="1"/>
    <xf numFmtId="0" fontId="2" fillId="0" borderId="369" xfId="156" applyBorder="1"/>
    <xf numFmtId="0" fontId="2" fillId="0" borderId="395" xfId="156" applyBorder="1"/>
    <xf numFmtId="180" fontId="0" fillId="0" borderId="0" xfId="103" applyNumberFormat="1" applyFont="1"/>
    <xf numFmtId="0" fontId="2" fillId="0" borderId="334" xfId="156" applyBorder="1"/>
    <xf numFmtId="0" fontId="2" fillId="0" borderId="0" xfId="156" applyBorder="1"/>
    <xf numFmtId="0" fontId="2" fillId="0" borderId="396" xfId="156" applyBorder="1"/>
    <xf numFmtId="0" fontId="119" fillId="0" borderId="334" xfId="156" applyFont="1" applyBorder="1"/>
    <xf numFmtId="17" fontId="119" fillId="0" borderId="0" xfId="156" applyNumberFormat="1" applyFont="1" applyFill="1" applyAlignment="1">
      <alignment horizontal="center"/>
    </xf>
    <xf numFmtId="0" fontId="119" fillId="0" borderId="396" xfId="156" applyFont="1" applyBorder="1" applyAlignment="1">
      <alignment horizontal="center"/>
    </xf>
    <xf numFmtId="180" fontId="119" fillId="0" borderId="0" xfId="103" applyNumberFormat="1" applyFont="1"/>
    <xf numFmtId="0" fontId="119" fillId="0" borderId="0" xfId="156" applyFont="1"/>
    <xf numFmtId="43" fontId="2" fillId="0" borderId="0" xfId="156" applyNumberFormat="1" applyFill="1" applyBorder="1"/>
    <xf numFmtId="43" fontId="2" fillId="0" borderId="0" xfId="156" applyNumberFormat="1" applyBorder="1"/>
    <xf numFmtId="43" fontId="0" fillId="0" borderId="396" xfId="103" applyFont="1" applyBorder="1"/>
    <xf numFmtId="44" fontId="2" fillId="0" borderId="334" xfId="156" applyNumberFormat="1" applyBorder="1"/>
    <xf numFmtId="44" fontId="2" fillId="85" borderId="0" xfId="156" applyNumberFormat="1" applyFill="1" applyBorder="1"/>
    <xf numFmtId="181" fontId="2" fillId="0" borderId="396" xfId="156" applyNumberFormat="1" applyBorder="1"/>
    <xf numFmtId="44" fontId="2" fillId="0" borderId="0" xfId="156" applyNumberFormat="1"/>
    <xf numFmtId="44" fontId="2" fillId="0" borderId="0" xfId="156" applyNumberFormat="1" applyFont="1" applyAlignment="1">
      <alignment horizontal="right"/>
    </xf>
    <xf numFmtId="166" fontId="0" fillId="0" borderId="0" xfId="103" applyNumberFormat="1" applyFont="1"/>
    <xf numFmtId="44" fontId="0" fillId="0" borderId="0" xfId="103" applyNumberFormat="1" applyFont="1" applyFill="1" applyBorder="1"/>
    <xf numFmtId="43" fontId="0" fillId="0" borderId="0" xfId="1132" applyFont="1" applyFill="1" applyBorder="1"/>
    <xf numFmtId="43" fontId="0" fillId="0" borderId="0" xfId="103" applyFont="1" applyFill="1" applyBorder="1"/>
    <xf numFmtId="43" fontId="0" fillId="0" borderId="0" xfId="103" applyFont="1" applyBorder="1"/>
    <xf numFmtId="166" fontId="2" fillId="0" borderId="396" xfId="156" applyNumberFormat="1" applyBorder="1"/>
    <xf numFmtId="0" fontId="2" fillId="0" borderId="0" xfId="156" applyFont="1" applyAlignment="1">
      <alignment horizontal="right"/>
    </xf>
    <xf numFmtId="0" fontId="2" fillId="0" borderId="0" xfId="156" applyFill="1" applyBorder="1"/>
    <xf numFmtId="44" fontId="2" fillId="0" borderId="0" xfId="156" applyNumberFormat="1" applyBorder="1"/>
    <xf numFmtId="43" fontId="2" fillId="0" borderId="0" xfId="156" applyNumberFormat="1"/>
    <xf numFmtId="2" fontId="2" fillId="0" borderId="0" xfId="156" applyNumberFormat="1"/>
    <xf numFmtId="0" fontId="121" fillId="86" borderId="397" xfId="156" applyNumberFormat="1" applyFont="1" applyFill="1" applyBorder="1" applyAlignment="1">
      <alignment horizontal="center"/>
    </xf>
    <xf numFmtId="0" fontId="121" fillId="86" borderId="398" xfId="156" applyNumberFormat="1" applyFont="1" applyFill="1" applyBorder="1" applyAlignment="1">
      <alignment horizontal="center"/>
    </xf>
    <xf numFmtId="0" fontId="121" fillId="86" borderId="399" xfId="156" applyNumberFormat="1" applyFont="1" applyFill="1" applyBorder="1" applyAlignment="1">
      <alignment horizontal="center"/>
    </xf>
    <xf numFmtId="0" fontId="121" fillId="86" borderId="400" xfId="156" applyFont="1" applyFill="1" applyBorder="1" applyAlignment="1">
      <alignment horizontal="center"/>
    </xf>
    <xf numFmtId="43" fontId="2" fillId="0" borderId="0" xfId="156" applyNumberFormat="1" applyFont="1" applyFill="1" applyBorder="1"/>
    <xf numFmtId="182" fontId="2" fillId="0" borderId="0" xfId="156" applyNumberFormat="1"/>
    <xf numFmtId="165" fontId="2" fillId="0" borderId="0" xfId="156" applyNumberFormat="1"/>
    <xf numFmtId="0" fontId="2" fillId="0" borderId="394" xfId="156" applyBorder="1"/>
    <xf numFmtId="44" fontId="2" fillId="0" borderId="0" xfId="37565" applyFont="1" applyFill="1" applyBorder="1"/>
    <xf numFmtId="0" fontId="2" fillId="0" borderId="401" xfId="156" applyBorder="1"/>
    <xf numFmtId="0" fontId="2" fillId="0" borderId="1" xfId="156" applyBorder="1"/>
    <xf numFmtId="0" fontId="2" fillId="0" borderId="371" xfId="156" applyBorder="1"/>
    <xf numFmtId="44" fontId="119" fillId="0" borderId="334" xfId="156" applyNumberFormat="1" applyFont="1" applyBorder="1"/>
    <xf numFmtId="44" fontId="119" fillId="0" borderId="0" xfId="156" applyNumberFormat="1" applyFont="1" applyBorder="1"/>
    <xf numFmtId="44" fontId="119" fillId="0" borderId="396" xfId="156" applyNumberFormat="1" applyFont="1" applyBorder="1"/>
    <xf numFmtId="10" fontId="0" fillId="0" borderId="0" xfId="12504" applyNumberFormat="1" applyFont="1"/>
    <xf numFmtId="43" fontId="0" fillId="0" borderId="0" xfId="1132" applyFont="1" applyBorder="1"/>
    <xf numFmtId="44" fontId="2" fillId="0" borderId="396" xfId="156" applyNumberFormat="1" applyBorder="1"/>
    <xf numFmtId="166" fontId="2" fillId="0" borderId="0" xfId="156" applyNumberFormat="1" applyBorder="1"/>
    <xf numFmtId="44" fontId="119" fillId="0" borderId="0" xfId="37565" applyFont="1" applyBorder="1"/>
    <xf numFmtId="44" fontId="119" fillId="0" borderId="0" xfId="3265" applyFont="1" applyBorder="1"/>
    <xf numFmtId="44" fontId="119" fillId="0" borderId="0" xfId="156" applyNumberFormat="1" applyFont="1"/>
    <xf numFmtId="43" fontId="0" fillId="0" borderId="0" xfId="103" applyNumberFormat="1" applyFont="1"/>
    <xf numFmtId="43" fontId="0" fillId="0" borderId="1" xfId="103" applyFont="1" applyBorder="1"/>
    <xf numFmtId="43" fontId="0" fillId="0" borderId="0" xfId="103" applyFont="1"/>
    <xf numFmtId="0" fontId="2" fillId="0" borderId="0" xfId="156" applyNumberFormat="1"/>
    <xf numFmtId="43" fontId="0" fillId="0" borderId="0" xfId="1132" applyFont="1"/>
    <xf numFmtId="183" fontId="0" fillId="0" borderId="0" xfId="103" applyNumberFormat="1" applyFont="1"/>
    <xf numFmtId="0" fontId="119" fillId="0" borderId="394" xfId="156" applyFont="1" applyBorder="1" applyAlignment="1">
      <alignment horizontal="left"/>
    </xf>
    <xf numFmtId="44" fontId="2" fillId="0" borderId="369" xfId="156" applyNumberFormat="1" applyBorder="1"/>
    <xf numFmtId="0" fontId="2" fillId="0" borderId="334" xfId="156" applyFont="1" applyBorder="1" applyAlignment="1">
      <alignment horizontal="right"/>
    </xf>
    <xf numFmtId="0" fontId="2" fillId="0" borderId="0" xfId="156" applyFont="1"/>
    <xf numFmtId="0" fontId="119" fillId="0" borderId="334" xfId="156" applyFont="1" applyBorder="1" applyAlignment="1">
      <alignment horizontal="left"/>
    </xf>
    <xf numFmtId="3" fontId="0" fillId="7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/>
    <xf numFmtId="164" fontId="3" fillId="0" borderId="0" xfId="2" applyNumberFormat="1" applyFont="1" applyFill="1" applyBorder="1"/>
    <xf numFmtId="44" fontId="0" fillId="0" borderId="0" xfId="2" applyFont="1" applyFill="1" applyAlignment="1">
      <alignment horizontal="right"/>
    </xf>
    <xf numFmtId="0" fontId="11" fillId="77" borderId="0" xfId="0" applyFont="1" applyFill="1" applyAlignment="1">
      <alignment horizontal="left"/>
    </xf>
    <xf numFmtId="43" fontId="11" fillId="77" borderId="0" xfId="1" applyFont="1" applyFill="1" applyAlignment="1">
      <alignment horizontal="left"/>
    </xf>
    <xf numFmtId="0" fontId="11" fillId="77" borderId="0" xfId="0" applyFont="1" applyFill="1" applyAlignment="1">
      <alignment horizontal="right"/>
    </xf>
    <xf numFmtId="43" fontId="11" fillId="77" borderId="0" xfId="0" applyNumberFormat="1" applyFont="1" applyFill="1" applyAlignment="1">
      <alignment horizontal="right"/>
    </xf>
    <xf numFmtId="166" fontId="11" fillId="77" borderId="0" xfId="1" applyNumberFormat="1" applyFont="1" applyFill="1" applyAlignment="1">
      <alignment horizontal="right"/>
    </xf>
    <xf numFmtId="0" fontId="3" fillId="0" borderId="1" xfId="0" applyFont="1" applyFill="1" applyBorder="1" applyAlignment="1">
      <alignment horizontal="center" wrapText="1"/>
    </xf>
    <xf numFmtId="166" fontId="0" fillId="0" borderId="0" xfId="0" applyNumberFormat="1" applyFill="1"/>
    <xf numFmtId="166" fontId="0" fillId="38" borderId="0" xfId="1" applyNumberFormat="1" applyFont="1" applyFill="1"/>
    <xf numFmtId="0" fontId="116" fillId="0" borderId="0" xfId="296" applyFont="1" applyFill="1" applyBorder="1"/>
    <xf numFmtId="0" fontId="116" fillId="0" borderId="0" xfId="0" applyFont="1" applyFill="1" applyAlignment="1">
      <alignment horizontal="left"/>
    </xf>
    <xf numFmtId="166" fontId="3" fillId="0" borderId="0" xfId="0" applyNumberFormat="1" applyFont="1" applyFill="1" applyAlignment="1">
      <alignment horizontal="center" vertical="center" wrapText="1"/>
    </xf>
    <xf numFmtId="166" fontId="3" fillId="0" borderId="0" xfId="1" applyNumberFormat="1" applyFont="1" applyFill="1" applyAlignment="1">
      <alignment horizontal="center" vertical="center" wrapText="1"/>
    </xf>
    <xf numFmtId="179" fontId="3" fillId="0" borderId="0" xfId="3" applyNumberFormat="1" applyFont="1" applyFill="1" applyAlignment="1">
      <alignment horizontal="center" vertical="center" wrapText="1"/>
    </xf>
    <xf numFmtId="43" fontId="0" fillId="87" borderId="0" xfId="1" applyNumberFormat="1" applyFont="1" applyFill="1"/>
    <xf numFmtId="0" fontId="104" fillId="0" borderId="0" xfId="0" applyFont="1"/>
    <xf numFmtId="43" fontId="104" fillId="0" borderId="0" xfId="1" applyFont="1" applyFill="1" applyBorder="1"/>
    <xf numFmtId="43" fontId="0" fillId="0" borderId="0" xfId="0" applyNumberFormat="1"/>
    <xf numFmtId="43" fontId="104" fillId="5" borderId="0" xfId="1" applyFont="1" applyFill="1" applyBorder="1"/>
    <xf numFmtId="44" fontId="0" fillId="0" borderId="0" xfId="0" applyNumberFormat="1" applyFont="1" applyFill="1"/>
    <xf numFmtId="166" fontId="0" fillId="75" borderId="0" xfId="0" applyNumberFormat="1" applyFill="1" applyAlignment="1">
      <alignment horizontal="right"/>
    </xf>
    <xf numFmtId="166" fontId="0" fillId="0" borderId="0" xfId="1" applyNumberFormat="1" applyFont="1" applyFill="1" applyAlignment="1">
      <alignment horizontal="left"/>
    </xf>
    <xf numFmtId="44" fontId="104" fillId="0" borderId="0" xfId="2" applyFont="1" applyFill="1" applyBorder="1"/>
    <xf numFmtId="166" fontId="109" fillId="75" borderId="0" xfId="1" applyNumberFormat="1" applyFont="1" applyFill="1"/>
    <xf numFmtId="166" fontId="114" fillId="0" borderId="0" xfId="1" applyNumberFormat="1" applyFont="1" applyFill="1"/>
    <xf numFmtId="166" fontId="109" fillId="75" borderId="0" xfId="1" applyNumberFormat="1" applyFont="1" applyFill="1" applyAlignment="1">
      <alignment horizontal="center"/>
    </xf>
    <xf numFmtId="166" fontId="108" fillId="75" borderId="0" xfId="1" applyNumberFormat="1" applyFont="1" applyFill="1" applyAlignment="1">
      <alignment horizontal="center" wrapText="1"/>
    </xf>
    <xf numFmtId="166" fontId="111" fillId="75" borderId="0" xfId="1" applyNumberFormat="1" applyFont="1" applyFill="1" applyAlignment="1">
      <alignment horizontal="center"/>
    </xf>
    <xf numFmtId="166" fontId="109" fillId="0" borderId="368" xfId="1" applyNumberFormat="1" applyFont="1" applyFill="1" applyBorder="1"/>
    <xf numFmtId="166" fontId="109" fillId="75" borderId="0" xfId="1" applyNumberFormat="1" applyFont="1" applyFill="1" applyBorder="1"/>
    <xf numFmtId="166" fontId="108" fillId="75" borderId="0" xfId="1" applyNumberFormat="1" applyFont="1" applyFill="1"/>
    <xf numFmtId="166" fontId="108" fillId="0" borderId="0" xfId="1" applyNumberFormat="1" applyFont="1" applyFill="1"/>
    <xf numFmtId="166" fontId="108" fillId="0" borderId="368" xfId="1" applyNumberFormat="1" applyFont="1" applyFill="1" applyBorder="1"/>
    <xf numFmtId="166" fontId="108" fillId="75" borderId="0" xfId="1" applyNumberFormat="1" applyFont="1" applyFill="1" applyAlignment="1">
      <alignment horizontal="right"/>
    </xf>
    <xf numFmtId="166" fontId="108" fillId="0" borderId="370" xfId="1" applyNumberFormat="1" applyFont="1" applyFill="1" applyBorder="1"/>
    <xf numFmtId="166" fontId="109" fillId="0" borderId="0" xfId="1" applyNumberFormat="1" applyFont="1"/>
    <xf numFmtId="166" fontId="109" fillId="0" borderId="0" xfId="1" applyNumberFormat="1" applyFont="1" applyFill="1"/>
    <xf numFmtId="166" fontId="114" fillId="0" borderId="0" xfId="1" applyNumberFormat="1" applyFont="1" applyFill="1" applyAlignment="1">
      <alignment horizontal="center"/>
    </xf>
    <xf numFmtId="166" fontId="109" fillId="0" borderId="369" xfId="1" applyNumberFormat="1" applyFont="1" applyFill="1" applyBorder="1"/>
    <xf numFmtId="166" fontId="109" fillId="0" borderId="0" xfId="1" applyNumberFormat="1" applyFont="1" applyFill="1" applyBorder="1"/>
    <xf numFmtId="166" fontId="109" fillId="0" borderId="368" xfId="1" applyNumberFormat="1" applyFont="1" applyBorder="1"/>
    <xf numFmtId="166" fontId="109" fillId="5" borderId="0" xfId="1" applyNumberFormat="1" applyFont="1" applyFill="1"/>
    <xf numFmtId="166" fontId="108" fillId="0" borderId="0" xfId="1" applyNumberFormat="1" applyFont="1"/>
    <xf numFmtId="14" fontId="108" fillId="0" borderId="0" xfId="1" applyNumberFormat="1" applyFont="1" applyFill="1" applyAlignment="1">
      <alignment horizontal="center" wrapText="1"/>
    </xf>
    <xf numFmtId="166" fontId="108" fillId="0" borderId="0" xfId="1" applyNumberFormat="1" applyFont="1" applyAlignment="1">
      <alignment horizontal="center" vertical="center" wrapText="1"/>
    </xf>
    <xf numFmtId="166" fontId="108" fillId="75" borderId="0" xfId="1" applyNumberFormat="1" applyFont="1" applyFill="1" applyBorder="1"/>
    <xf numFmtId="166" fontId="113" fillId="75" borderId="0" xfId="1" applyNumberFormat="1" applyFont="1" applyFill="1" applyBorder="1"/>
    <xf numFmtId="166" fontId="108" fillId="75" borderId="368" xfId="1" applyNumberFormat="1" applyFont="1" applyFill="1" applyBorder="1"/>
    <xf numFmtId="164" fontId="2" fillId="0" borderId="0" xfId="2" applyNumberFormat="1" applyFont="1" applyFill="1" applyBorder="1"/>
    <xf numFmtId="164" fontId="2" fillId="0" borderId="0" xfId="2" applyNumberFormat="1" applyFont="1" applyBorder="1"/>
    <xf numFmtId="164" fontId="0" fillId="0" borderId="396" xfId="2" applyNumberFormat="1" applyFont="1" applyBorder="1"/>
    <xf numFmtId="164" fontId="2" fillId="0" borderId="396" xfId="2" applyNumberFormat="1" applyFont="1" applyBorder="1"/>
    <xf numFmtId="164" fontId="0" fillId="0" borderId="0" xfId="2" applyNumberFormat="1" applyFont="1" applyBorder="1"/>
    <xf numFmtId="164" fontId="119" fillId="0" borderId="0" xfId="2" applyNumberFormat="1" applyFont="1" applyFill="1" applyBorder="1"/>
    <xf numFmtId="164" fontId="119" fillId="0" borderId="396" xfId="2" applyNumberFormat="1" applyFont="1" applyBorder="1"/>
    <xf numFmtId="44" fontId="2" fillId="85" borderId="0" xfId="2" applyNumberFormat="1" applyFont="1" applyFill="1" applyBorder="1"/>
    <xf numFmtId="43" fontId="2" fillId="0" borderId="0" xfId="1" applyFont="1" applyFill="1" applyBorder="1"/>
    <xf numFmtId="43" fontId="2" fillId="0" borderId="0" xfId="1" applyFont="1" applyBorder="1"/>
    <xf numFmtId="43" fontId="0" fillId="0" borderId="396" xfId="1" applyFont="1" applyBorder="1"/>
    <xf numFmtId="166" fontId="119" fillId="0" borderId="0" xfId="1" applyNumberFormat="1" applyFont="1" applyBorder="1"/>
    <xf numFmtId="166" fontId="119" fillId="0" borderId="396" xfId="1" applyNumberFormat="1" applyFont="1" applyBorder="1"/>
    <xf numFmtId="164" fontId="2" fillId="0" borderId="396" xfId="156" applyNumberFormat="1" applyBorder="1"/>
    <xf numFmtId="164" fontId="119" fillId="0" borderId="396" xfId="156" applyNumberFormat="1" applyFont="1" applyBorder="1"/>
    <xf numFmtId="164" fontId="0" fillId="0" borderId="0" xfId="1132" applyNumberFormat="1" applyFont="1" applyFill="1" applyBorder="1"/>
    <xf numFmtId="164" fontId="0" fillId="0" borderId="0" xfId="103" applyNumberFormat="1" applyFont="1" applyFill="1" applyBorder="1"/>
    <xf numFmtId="164" fontId="0" fillId="0" borderId="396" xfId="3265" applyNumberFormat="1" applyFont="1" applyBorder="1"/>
    <xf numFmtId="0" fontId="118" fillId="0" borderId="0" xfId="156" applyFont="1" applyAlignment="1"/>
    <xf numFmtId="0" fontId="0" fillId="6" borderId="0" xfId="0" applyFont="1" applyFill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" fillId="77" borderId="337" xfId="0" applyFont="1" applyFill="1" applyBorder="1" applyAlignment="1">
      <alignment horizontal="center" vertical="center" textRotation="90"/>
    </xf>
    <xf numFmtId="0" fontId="3" fillId="77" borderId="338" xfId="0" applyFont="1" applyFill="1" applyBorder="1" applyAlignment="1">
      <alignment horizontal="center" vertical="center" textRotation="90"/>
    </xf>
    <xf numFmtId="0" fontId="3" fillId="80" borderId="337" xfId="0" applyFont="1" applyFill="1" applyBorder="1" applyAlignment="1">
      <alignment horizontal="center" vertical="center" textRotation="90"/>
    </xf>
    <xf numFmtId="0" fontId="3" fillId="80" borderId="338" xfId="0" applyFont="1" applyFill="1" applyBorder="1" applyAlignment="1">
      <alignment horizontal="center" vertical="center" textRotation="90"/>
    </xf>
    <xf numFmtId="0" fontId="115" fillId="80" borderId="338" xfId="0" applyFont="1" applyFill="1" applyBorder="1" applyAlignment="1">
      <alignment horizontal="center" vertical="center" textRotation="90"/>
    </xf>
    <xf numFmtId="0" fontId="3" fillId="6" borderId="350" xfId="0" applyFont="1" applyFill="1" applyBorder="1" applyAlignment="1">
      <alignment horizontal="center"/>
    </xf>
    <xf numFmtId="0" fontId="3" fillId="6" borderId="368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/>
    </xf>
    <xf numFmtId="0" fontId="3" fillId="77" borderId="393" xfId="0" applyFont="1" applyFill="1" applyBorder="1" applyAlignment="1">
      <alignment horizontal="center" vertical="center" textRotation="90"/>
    </xf>
    <xf numFmtId="0" fontId="3" fillId="75" borderId="337" xfId="0" applyFont="1" applyFill="1" applyBorder="1" applyAlignment="1">
      <alignment horizontal="center" vertical="center" textRotation="90"/>
    </xf>
    <xf numFmtId="0" fontId="3" fillId="75" borderId="338" xfId="0" applyFont="1" applyFill="1" applyBorder="1" applyAlignment="1">
      <alignment horizontal="center" vertical="center" textRotation="90"/>
    </xf>
    <xf numFmtId="0" fontId="117" fillId="31" borderId="0" xfId="156" applyFont="1" applyFill="1" applyAlignment="1">
      <alignment horizontal="center"/>
    </xf>
    <xf numFmtId="0" fontId="118" fillId="0" borderId="0" xfId="156" applyFont="1" applyAlignment="1">
      <alignment horizontal="center"/>
    </xf>
    <xf numFmtId="43" fontId="120" fillId="0" borderId="1" xfId="156" applyNumberFormat="1" applyFont="1" applyBorder="1" applyAlignment="1">
      <alignment horizontal="center"/>
    </xf>
    <xf numFmtId="0" fontId="117" fillId="0" borderId="0" xfId="156" applyFont="1" applyFill="1" applyAlignment="1">
      <alignment horizontal="center" vertical="center"/>
    </xf>
    <xf numFmtId="0" fontId="2" fillId="0" borderId="0" xfId="156" applyFill="1" applyAlignment="1">
      <alignment horizontal="center" vertical="center"/>
    </xf>
    <xf numFmtId="0" fontId="109" fillId="0" borderId="0" xfId="6089" applyFont="1" applyFill="1" applyAlignment="1">
      <alignment horizontal="center"/>
    </xf>
    <xf numFmtId="166" fontId="109" fillId="0" borderId="0" xfId="1" applyNumberFormat="1" applyFont="1" applyFill="1" applyAlignment="1">
      <alignment horizontal="center"/>
    </xf>
  </cellXfs>
  <cellStyles count="37566">
    <cellStyle name="20% - Accent1" xfId="13366" builtinId="30" customBuiltin="1"/>
    <cellStyle name="20% - Accent1 2" xfId="40"/>
    <cellStyle name="20% - Accent1 2 2" xfId="297"/>
    <cellStyle name="20% - Accent1 2 2 2" xfId="371"/>
    <cellStyle name="20% - Accent1 2 3" xfId="372"/>
    <cellStyle name="20% - Accent1 2 4" xfId="373"/>
    <cellStyle name="20% - Accent1 2 5" xfId="374"/>
    <cellStyle name="20% - Accent1 2_Rate Sheet" xfId="37407"/>
    <cellStyle name="20% - Accent1 3" xfId="39"/>
    <cellStyle name="20% - Accent1 3 2" xfId="298"/>
    <cellStyle name="20% - Accent1 3 2 2" xfId="375"/>
    <cellStyle name="20% - Accent1 3 3" xfId="376"/>
    <cellStyle name="20% - Accent1 4" xfId="377"/>
    <cellStyle name="20% - Accent1 4 2" xfId="378"/>
    <cellStyle name="20% - Accent1 4 3" xfId="379"/>
    <cellStyle name="20% - Accent1 5" xfId="380"/>
    <cellStyle name="20% - Accent1 6" xfId="381"/>
    <cellStyle name="20% - Accent2" xfId="13370" builtinId="34" customBuiltin="1"/>
    <cellStyle name="20% - Accent2 2" xfId="42"/>
    <cellStyle name="20% - Accent2 2 2" xfId="382"/>
    <cellStyle name="20% - Accent2 2 3" xfId="383"/>
    <cellStyle name="20% - Accent2 3" xfId="41"/>
    <cellStyle name="20% - Accent2 3 2" xfId="385"/>
    <cellStyle name="20% - Accent2 3 3" xfId="386"/>
    <cellStyle name="20% - Accent2 3 4" xfId="384"/>
    <cellStyle name="20% - Accent2 4" xfId="387"/>
    <cellStyle name="20% - Accent2 4 2" xfId="388"/>
    <cellStyle name="20% - Accent2 5" xfId="389"/>
    <cellStyle name="20% - Accent2 6" xfId="390"/>
    <cellStyle name="20% - Accent3" xfId="13374" builtinId="38" customBuiltin="1"/>
    <cellStyle name="20% - Accent3 2" xfId="44"/>
    <cellStyle name="20% - Accent3 2 2" xfId="391"/>
    <cellStyle name="20% - Accent3 3" xfId="43"/>
    <cellStyle name="20% - Accent3 3 2" xfId="393"/>
    <cellStyle name="20% - Accent3 3 3" xfId="394"/>
    <cellStyle name="20% - Accent3 3 4" xfId="392"/>
    <cellStyle name="20% - Accent3 4" xfId="395"/>
    <cellStyle name="20% - Accent3 4 2" xfId="396"/>
    <cellStyle name="20% - Accent3 5" xfId="397"/>
    <cellStyle name="20% - Accent3 6" xfId="398"/>
    <cellStyle name="20% - Accent4" xfId="13378" builtinId="42" customBuiltin="1"/>
    <cellStyle name="20% - Accent4 2" xfId="46"/>
    <cellStyle name="20% - Accent4 2 2" xfId="299"/>
    <cellStyle name="20% - Accent4 2 2 2" xfId="399"/>
    <cellStyle name="20% - Accent4 2 3" xfId="400"/>
    <cellStyle name="20% - Accent4 2_Rate Sheet" xfId="37409"/>
    <cellStyle name="20% - Accent4 3" xfId="45"/>
    <cellStyle name="20% - Accent4 3 2" xfId="300"/>
    <cellStyle name="20% - Accent4 3 2 2" xfId="401"/>
    <cellStyle name="20% - Accent4 3 3" xfId="402"/>
    <cellStyle name="20% - Accent4 4" xfId="403"/>
    <cellStyle name="20% - Accent4 4 2" xfId="404"/>
    <cellStyle name="20% - Accent4 4 3" xfId="405"/>
    <cellStyle name="20% - Accent4 5" xfId="406"/>
    <cellStyle name="20% - Accent4 6" xfId="407"/>
    <cellStyle name="20% - Accent5" xfId="13382" builtinId="46" customBuiltin="1"/>
    <cellStyle name="20% - Accent5 2" xfId="48"/>
    <cellStyle name="20% - Accent5 2 2" xfId="408"/>
    <cellStyle name="20% - Accent5 3" xfId="47"/>
    <cellStyle name="20% - Accent5 3 2" xfId="409"/>
    <cellStyle name="20% - Accent5 3 3" xfId="410"/>
    <cellStyle name="20% - Accent5 4" xfId="411"/>
    <cellStyle name="20% - Accent5 4 2" xfId="412"/>
    <cellStyle name="20% - Accent5 5" xfId="413"/>
    <cellStyle name="20% - Accent6" xfId="13386" builtinId="50" customBuiltin="1"/>
    <cellStyle name="20% - Accent6 2" xfId="50"/>
    <cellStyle name="20% - Accent6 2 2" xfId="414"/>
    <cellStyle name="20% - Accent6 2 3" xfId="415"/>
    <cellStyle name="20% - Accent6 3" xfId="49"/>
    <cellStyle name="20% - Accent6 3 2" xfId="417"/>
    <cellStyle name="20% - Accent6 3 3" xfId="418"/>
    <cellStyle name="20% - Accent6 3 4" xfId="416"/>
    <cellStyle name="20% - Accent6 4" xfId="419"/>
    <cellStyle name="20% - Accent6 4 2" xfId="420"/>
    <cellStyle name="20% - Accent6 5" xfId="421"/>
    <cellStyle name="40% - Accent1" xfId="13367" builtinId="31" customBuiltin="1"/>
    <cellStyle name="40% - Accent1 2" xfId="52"/>
    <cellStyle name="40% - Accent1 2 2" xfId="422"/>
    <cellStyle name="40% - Accent1 2 3" xfId="423"/>
    <cellStyle name="40% - Accent1 3" xfId="51"/>
    <cellStyle name="40% - Accent1 3 2" xfId="301"/>
    <cellStyle name="40% - Accent1 3 2 2" xfId="424"/>
    <cellStyle name="40% - Accent1 3 3" xfId="425"/>
    <cellStyle name="40% - Accent1 4" xfId="426"/>
    <cellStyle name="40% - Accent1 4 2" xfId="427"/>
    <cellStyle name="40% - Accent1 5" xfId="428"/>
    <cellStyle name="40% - Accent1 6" xfId="429"/>
    <cellStyle name="40% - Accent2" xfId="13371" builtinId="35" customBuiltin="1"/>
    <cellStyle name="40% - Accent2 2" xfId="54"/>
    <cellStyle name="40% - Accent2 2 2" xfId="430"/>
    <cellStyle name="40% - Accent2 3" xfId="53"/>
    <cellStyle name="40% - Accent2 3 2" xfId="431"/>
    <cellStyle name="40% - Accent2 3 3" xfId="432"/>
    <cellStyle name="40% - Accent2 4" xfId="433"/>
    <cellStyle name="40% - Accent2 4 2" xfId="434"/>
    <cellStyle name="40% - Accent2 5" xfId="435"/>
    <cellStyle name="40% - Accent3" xfId="13375" builtinId="39" customBuiltin="1"/>
    <cellStyle name="40% - Accent3 2" xfId="56"/>
    <cellStyle name="40% - Accent3 2 2" xfId="436"/>
    <cellStyle name="40% - Accent3 2 3" xfId="437"/>
    <cellStyle name="40% - Accent3 3" xfId="55"/>
    <cellStyle name="40% - Accent3 3 2" xfId="439"/>
    <cellStyle name="40% - Accent3 3 3" xfId="440"/>
    <cellStyle name="40% - Accent3 3 4" xfId="438"/>
    <cellStyle name="40% - Accent3 4" xfId="441"/>
    <cellStyle name="40% - Accent3 4 2" xfId="442"/>
    <cellStyle name="40% - Accent3 5" xfId="443"/>
    <cellStyle name="40% - Accent3 6" xfId="444"/>
    <cellStyle name="40% - Accent4" xfId="13379" builtinId="43" customBuiltin="1"/>
    <cellStyle name="40% - Accent4 2" xfId="58"/>
    <cellStyle name="40% - Accent4 2 2" xfId="445"/>
    <cellStyle name="40% - Accent4 2 3" xfId="446"/>
    <cellStyle name="40% - Accent4 3" xfId="57"/>
    <cellStyle name="40% - Accent4 3 2" xfId="302"/>
    <cellStyle name="40% - Accent4 3 2 2" xfId="447"/>
    <cellStyle name="40% - Accent4 3 3" xfId="448"/>
    <cellStyle name="40% - Accent4 4" xfId="449"/>
    <cellStyle name="40% - Accent4 4 2" xfId="450"/>
    <cellStyle name="40% - Accent4 5" xfId="451"/>
    <cellStyle name="40% - Accent4 6" xfId="452"/>
    <cellStyle name="40% - Accent5" xfId="13383" builtinId="47" customBuiltin="1"/>
    <cellStyle name="40% - Accent5 2" xfId="60"/>
    <cellStyle name="40% - Accent5 2 2" xfId="453"/>
    <cellStyle name="40% - Accent5 2 3" xfId="454"/>
    <cellStyle name="40% - Accent5 3" xfId="59"/>
    <cellStyle name="40% - Accent5 3 2" xfId="456"/>
    <cellStyle name="40% - Accent5 3 3" xfId="457"/>
    <cellStyle name="40% - Accent5 3 4" xfId="455"/>
    <cellStyle name="40% - Accent5 4" xfId="458"/>
    <cellStyle name="40% - Accent5 4 2" xfId="459"/>
    <cellStyle name="40% - Accent5 5" xfId="460"/>
    <cellStyle name="40% - Accent6" xfId="13387" builtinId="51" customBuiltin="1"/>
    <cellStyle name="40% - Accent6 2" xfId="62"/>
    <cellStyle name="40% - Accent6 2 2" xfId="461"/>
    <cellStyle name="40% - Accent6 2 2 2" xfId="462"/>
    <cellStyle name="40% - Accent6 2 3" xfId="463"/>
    <cellStyle name="40% - Accent6 3" xfId="61"/>
    <cellStyle name="40% - Accent6 3 2" xfId="303"/>
    <cellStyle name="40% - Accent6 3 2 2" xfId="464"/>
    <cellStyle name="40% - Accent6 3 3" xfId="465"/>
    <cellStyle name="40% - Accent6 4" xfId="466"/>
    <cellStyle name="40% - Accent6 4 2" xfId="467"/>
    <cellStyle name="40% - Accent6 5" xfId="468"/>
    <cellStyle name="40% - Accent6 6" xfId="469"/>
    <cellStyle name="60% - Accent1" xfId="13368" builtinId="32" customBuiltin="1"/>
    <cellStyle name="60% - Accent1 2" xfId="64"/>
    <cellStyle name="60% - Accent1 2 2" xfId="304"/>
    <cellStyle name="60% - Accent1 2 2 2" xfId="470"/>
    <cellStyle name="60% - Accent1 2 3" xfId="471"/>
    <cellStyle name="60% - Accent1 2 4" xfId="472"/>
    <cellStyle name="60% - Accent1 2_Rate Sheet" xfId="37411"/>
    <cellStyle name="60% - Accent1 3" xfId="63"/>
    <cellStyle name="60% - Accent1 3 2" xfId="305"/>
    <cellStyle name="60% - Accent1 3 3" xfId="473"/>
    <cellStyle name="60% - Accent1 4" xfId="474"/>
    <cellStyle name="60% - Accent1 4 2" xfId="475"/>
    <cellStyle name="60% - Accent2" xfId="13372" builtinId="36" customBuiltin="1"/>
    <cellStyle name="60% - Accent2 2" xfId="66"/>
    <cellStyle name="60% - Accent2 2 2" xfId="476"/>
    <cellStyle name="60% - Accent2 2 3" xfId="477"/>
    <cellStyle name="60% - Accent2 3" xfId="65"/>
    <cellStyle name="60% - Accent2 3 2" xfId="479"/>
    <cellStyle name="60% - Accent2 3 3" xfId="478"/>
    <cellStyle name="60% - Accent2 4" xfId="480"/>
    <cellStyle name="60% - Accent3" xfId="13376" builtinId="40" customBuiltin="1"/>
    <cellStyle name="60% - Accent3 2" xfId="68"/>
    <cellStyle name="60% - Accent3 2 2" xfId="481"/>
    <cellStyle name="60% - Accent3 2 3" xfId="482"/>
    <cellStyle name="60% - Accent3 3" xfId="67"/>
    <cellStyle name="60% - Accent3 3 2" xfId="306"/>
    <cellStyle name="60% - Accent3 3 3" xfId="483"/>
    <cellStyle name="60% - Accent3 4" xfId="484"/>
    <cellStyle name="60% - Accent3 4 2" xfId="485"/>
    <cellStyle name="60% - Accent3 4 3" xfId="486"/>
    <cellStyle name="60% - Accent4" xfId="13380" builtinId="44" customBuiltin="1"/>
    <cellStyle name="60% - Accent4 2" xfId="70"/>
    <cellStyle name="60% - Accent4 2 2" xfId="487"/>
    <cellStyle name="60% - Accent4 2 3" xfId="488"/>
    <cellStyle name="60% - Accent4 3" xfId="69"/>
    <cellStyle name="60% - Accent4 3 2" xfId="307"/>
    <cellStyle name="60% - Accent4 3 3" xfId="489"/>
    <cellStyle name="60% - Accent4 4" xfId="490"/>
    <cellStyle name="60% - Accent4 4 2" xfId="491"/>
    <cellStyle name="60% - Accent4 4 3" xfId="492"/>
    <cellStyle name="60% - Accent5" xfId="13384" builtinId="48" customBuiltin="1"/>
    <cellStyle name="60% - Accent5 2" xfId="72"/>
    <cellStyle name="60% - Accent5 2 2" xfId="308"/>
    <cellStyle name="60% - Accent5 2 2 2" xfId="493"/>
    <cellStyle name="60% - Accent5 2 3" xfId="494"/>
    <cellStyle name="60% - Accent5 2 4" xfId="495"/>
    <cellStyle name="60% - Accent5 2_Rate Sheet" xfId="37412"/>
    <cellStyle name="60% - Accent5 3" xfId="71"/>
    <cellStyle name="60% - Accent5 3 2" xfId="497"/>
    <cellStyle name="60% - Accent5 3 3" xfId="496"/>
    <cellStyle name="60% - Accent5 4" xfId="498"/>
    <cellStyle name="60% - Accent6" xfId="13388" builtinId="52" customBuiltin="1"/>
    <cellStyle name="60% - Accent6 2" xfId="74"/>
    <cellStyle name="60% - Accent6 2 2" xfId="499"/>
    <cellStyle name="60% - Accent6 2 3" xfId="500"/>
    <cellStyle name="60% - Accent6 3" xfId="73"/>
    <cellStyle name="60% - Accent6 3 2" xfId="502"/>
    <cellStyle name="60% - Accent6 3 3" xfId="501"/>
    <cellStyle name="60% - Accent6 4" xfId="503"/>
    <cellStyle name="Accent1" xfId="13365" builtinId="29" customBuiltin="1"/>
    <cellStyle name="Accent1 2" xfId="76"/>
    <cellStyle name="Accent1 2 2" xfId="309"/>
    <cellStyle name="Accent1 2 2 2" xfId="504"/>
    <cellStyle name="Accent1 2 3" xfId="505"/>
    <cellStyle name="Accent1 2 4" xfId="506"/>
    <cellStyle name="Accent1 2_Rate Sheet" xfId="37413"/>
    <cellStyle name="Accent1 3" xfId="75"/>
    <cellStyle name="Accent1 3 2" xfId="310"/>
    <cellStyle name="Accent1 3 3" xfId="507"/>
    <cellStyle name="Accent1 4" xfId="508"/>
    <cellStyle name="Accent1 4 2" xfId="509"/>
    <cellStyle name="Accent2" xfId="13369" builtinId="33" customBuiltin="1"/>
    <cellStyle name="Accent2 2" xfId="78"/>
    <cellStyle name="Accent2 2 2" xfId="510"/>
    <cellStyle name="Accent2 2 3" xfId="511"/>
    <cellStyle name="Accent2 3" xfId="77"/>
    <cellStyle name="Accent2 3 2" xfId="513"/>
    <cellStyle name="Accent2 3 3" xfId="512"/>
    <cellStyle name="Accent2 4" xfId="514"/>
    <cellStyle name="Accent3" xfId="13373" builtinId="37" customBuiltin="1"/>
    <cellStyle name="Accent3 2" xfId="80"/>
    <cellStyle name="Accent3 2 2" xfId="311"/>
    <cellStyle name="Accent3 2 3" xfId="515"/>
    <cellStyle name="Accent3 2 4" xfId="516"/>
    <cellStyle name="Accent3 2_Rate Sheet" xfId="37414"/>
    <cellStyle name="Accent3 3" xfId="79"/>
    <cellStyle name="Accent3 3 2" xfId="518"/>
    <cellStyle name="Accent3 3 3" xfId="517"/>
    <cellStyle name="Accent3 4" xfId="519"/>
    <cellStyle name="Accent4" xfId="13377" builtinId="41" customBuiltin="1"/>
    <cellStyle name="Accent4 2" xfId="82"/>
    <cellStyle name="Accent4 2 2" xfId="520"/>
    <cellStyle name="Accent4 2 2 2" xfId="521"/>
    <cellStyle name="Accent4 2 3" xfId="522"/>
    <cellStyle name="Accent4 3" xfId="81"/>
    <cellStyle name="Accent4 3 2" xfId="524"/>
    <cellStyle name="Accent4 3 3" xfId="523"/>
    <cellStyle name="Accent4 4" xfId="525"/>
    <cellStyle name="Accent5" xfId="13381" builtinId="45" customBuiltin="1"/>
    <cellStyle name="Accent5 2" xfId="84"/>
    <cellStyle name="Accent5 2 2" xfId="526"/>
    <cellStyle name="Accent5 2 2 2" xfId="527"/>
    <cellStyle name="Accent5 2 2 3" xfId="37415"/>
    <cellStyle name="Accent5 2 3" xfId="528"/>
    <cellStyle name="Accent5 2 3 2" xfId="529"/>
    <cellStyle name="Accent5 2 4" xfId="530"/>
    <cellStyle name="Accent5 3" xfId="83"/>
    <cellStyle name="Accent5 4" xfId="531"/>
    <cellStyle name="Accent6" xfId="13385" builtinId="49" customBuiltin="1"/>
    <cellStyle name="Accent6 2" xfId="86"/>
    <cellStyle name="Accent6 2 2" xfId="312"/>
    <cellStyle name="Accent6 2 3" xfId="532"/>
    <cellStyle name="Accent6 2 4" xfId="533"/>
    <cellStyle name="Accent6 2_Rate Sheet" xfId="37416"/>
    <cellStyle name="Accent6 3" xfId="85"/>
    <cellStyle name="Accent6 3 2" xfId="535"/>
    <cellStyle name="Accent6 3 3" xfId="534"/>
    <cellStyle name="Accent6 4" xfId="536"/>
    <cellStyle name="Accounting" xfId="87"/>
    <cellStyle name="Accounting 2" xfId="88"/>
    <cellStyle name="Accounting 2 2" xfId="537"/>
    <cellStyle name="Accounting 3" xfId="89"/>
    <cellStyle name="Accounting 3 2" xfId="538"/>
    <cellStyle name="Accounting 4" xfId="539"/>
    <cellStyle name="Accounting_2011-11" xfId="90"/>
    <cellStyle name="APS" xfId="540"/>
    <cellStyle name="APSLabels" xfId="541"/>
    <cellStyle name="APSLabels 10" xfId="13448"/>
    <cellStyle name="APSLabels 11" xfId="15298"/>
    <cellStyle name="APSLabels 12" xfId="15476"/>
    <cellStyle name="APSLabels 13" xfId="17825"/>
    <cellStyle name="APSLabels 14" xfId="14955"/>
    <cellStyle name="APSLabels 15" xfId="15721"/>
    <cellStyle name="APSLabels 16" xfId="27814"/>
    <cellStyle name="APSLabels 17" xfId="26672"/>
    <cellStyle name="APSLabels 18" xfId="26688"/>
    <cellStyle name="APSLabels 19" xfId="26895"/>
    <cellStyle name="APSLabels 2" xfId="542"/>
    <cellStyle name="APSLabels 2 10" xfId="15234"/>
    <cellStyle name="APSLabels 2 11" xfId="21857"/>
    <cellStyle name="APSLabels 2 12" xfId="21868"/>
    <cellStyle name="APSLabels 2 13" xfId="27779"/>
    <cellStyle name="APSLabels 2 14" xfId="28752"/>
    <cellStyle name="APSLabels 2 15" xfId="26730"/>
    <cellStyle name="APSLabels 2 16" xfId="25984"/>
    <cellStyle name="APSLabels 2 17" xfId="30834"/>
    <cellStyle name="APSLabels 2 18" xfId="35366"/>
    <cellStyle name="APSLabels 2 2" xfId="543"/>
    <cellStyle name="APSLabels 2 2 10" xfId="13576"/>
    <cellStyle name="APSLabels 2 2 11" xfId="14280"/>
    <cellStyle name="APSLabels 2 2 12" xfId="27090"/>
    <cellStyle name="APSLabels 2 2 13" xfId="26161"/>
    <cellStyle name="APSLabels 2 2 14" xfId="27838"/>
    <cellStyle name="APSLabels 2 2 15" xfId="27312"/>
    <cellStyle name="APSLabels 2 2 16" xfId="26878"/>
    <cellStyle name="APSLabels 2 2 17" xfId="35245"/>
    <cellStyle name="APSLabels 2 2 2" xfId="544"/>
    <cellStyle name="APSLabels 2 2 2 10" xfId="29831"/>
    <cellStyle name="APSLabels 2 2 2 11" xfId="31833"/>
    <cellStyle name="APSLabels 2 2 2 12" xfId="32836"/>
    <cellStyle name="APSLabels 2 2 2 13" xfId="33835"/>
    <cellStyle name="APSLabels 2 2 2 14" xfId="36395"/>
    <cellStyle name="APSLabels 2 2 2 2" xfId="545"/>
    <cellStyle name="APSLabels 2 2 2 2 10" xfId="31834"/>
    <cellStyle name="APSLabels 2 2 2 2 11" xfId="32837"/>
    <cellStyle name="APSLabels 2 2 2 2 12" xfId="33836"/>
    <cellStyle name="APSLabels 2 2 2 2 13" xfId="36396"/>
    <cellStyle name="APSLabels 2 2 2 2 2" xfId="15860"/>
    <cellStyle name="APSLabels 2 2 2 2 3" xfId="17866"/>
    <cellStyle name="APSLabels 2 2 2 2 4" xfId="19920"/>
    <cellStyle name="APSLabels 2 2 2 2 5" xfId="21903"/>
    <cellStyle name="APSLabels 2 2 2 2 6" xfId="22908"/>
    <cellStyle name="APSLabels 2 2 2 2 7" xfId="24879"/>
    <cellStyle name="APSLabels 2 2 2 2 8" xfId="28793"/>
    <cellStyle name="APSLabels 2 2 2 2 9" xfId="29832"/>
    <cellStyle name="APSLabels 2 2 2 3" xfId="15859"/>
    <cellStyle name="APSLabels 2 2 2 4" xfId="17865"/>
    <cellStyle name="APSLabels 2 2 2 5" xfId="19919"/>
    <cellStyle name="APSLabels 2 2 2 6" xfId="21902"/>
    <cellStyle name="APSLabels 2 2 2 7" xfId="22907"/>
    <cellStyle name="APSLabels 2 2 2 8" xfId="24878"/>
    <cellStyle name="APSLabels 2 2 2 9" xfId="28792"/>
    <cellStyle name="APSLabels 2 2 3" xfId="546"/>
    <cellStyle name="APSLabels 2 2 3 10" xfId="29833"/>
    <cellStyle name="APSLabels 2 2 3 11" xfId="31835"/>
    <cellStyle name="APSLabels 2 2 3 12" xfId="32838"/>
    <cellStyle name="APSLabels 2 2 3 13" xfId="33837"/>
    <cellStyle name="APSLabels 2 2 3 14" xfId="36397"/>
    <cellStyle name="APSLabels 2 2 3 2" xfId="547"/>
    <cellStyle name="APSLabels 2 2 3 2 10" xfId="31836"/>
    <cellStyle name="APSLabels 2 2 3 2 11" xfId="32839"/>
    <cellStyle name="APSLabels 2 2 3 2 12" xfId="33838"/>
    <cellStyle name="APSLabels 2 2 3 2 13" xfId="36398"/>
    <cellStyle name="APSLabels 2 2 3 2 2" xfId="15862"/>
    <cellStyle name="APSLabels 2 2 3 2 3" xfId="17868"/>
    <cellStyle name="APSLabels 2 2 3 2 4" xfId="19922"/>
    <cellStyle name="APSLabels 2 2 3 2 5" xfId="21905"/>
    <cellStyle name="APSLabels 2 2 3 2 6" xfId="22910"/>
    <cellStyle name="APSLabels 2 2 3 2 7" xfId="24881"/>
    <cellStyle name="APSLabels 2 2 3 2 8" xfId="28795"/>
    <cellStyle name="APSLabels 2 2 3 2 9" xfId="29834"/>
    <cellStyle name="APSLabels 2 2 3 3" xfId="15861"/>
    <cellStyle name="APSLabels 2 2 3 4" xfId="17867"/>
    <cellStyle name="APSLabels 2 2 3 5" xfId="19921"/>
    <cellStyle name="APSLabels 2 2 3 6" xfId="21904"/>
    <cellStyle name="APSLabels 2 2 3 7" xfId="22909"/>
    <cellStyle name="APSLabels 2 2 3 8" xfId="24880"/>
    <cellStyle name="APSLabels 2 2 3 9" xfId="28794"/>
    <cellStyle name="APSLabels 2 2 4" xfId="548"/>
    <cellStyle name="APSLabels 2 2 4 10" xfId="31837"/>
    <cellStyle name="APSLabels 2 2 4 11" xfId="32840"/>
    <cellStyle name="APSLabels 2 2 4 12" xfId="33839"/>
    <cellStyle name="APSLabels 2 2 4 13" xfId="36399"/>
    <cellStyle name="APSLabels 2 2 4 2" xfId="15863"/>
    <cellStyle name="APSLabels 2 2 4 3" xfId="17869"/>
    <cellStyle name="APSLabels 2 2 4 4" xfId="19923"/>
    <cellStyle name="APSLabels 2 2 4 5" xfId="21906"/>
    <cellStyle name="APSLabels 2 2 4 6" xfId="22911"/>
    <cellStyle name="APSLabels 2 2 4 7" xfId="24882"/>
    <cellStyle name="APSLabels 2 2 4 8" xfId="28796"/>
    <cellStyle name="APSLabels 2 2 4 9" xfId="29835"/>
    <cellStyle name="APSLabels 2 2 5" xfId="549"/>
    <cellStyle name="APSLabels 2 2 5 10" xfId="31838"/>
    <cellStyle name="APSLabels 2 2 5 11" xfId="32841"/>
    <cellStyle name="APSLabels 2 2 5 12" xfId="33840"/>
    <cellStyle name="APSLabels 2 2 5 13" xfId="36400"/>
    <cellStyle name="APSLabels 2 2 5 2" xfId="15864"/>
    <cellStyle name="APSLabels 2 2 5 3" xfId="17870"/>
    <cellStyle name="APSLabels 2 2 5 4" xfId="19924"/>
    <cellStyle name="APSLabels 2 2 5 5" xfId="21907"/>
    <cellStyle name="APSLabels 2 2 5 6" xfId="22912"/>
    <cellStyle name="APSLabels 2 2 5 7" xfId="24883"/>
    <cellStyle name="APSLabels 2 2 5 8" xfId="28797"/>
    <cellStyle name="APSLabels 2 2 5 9" xfId="29836"/>
    <cellStyle name="APSLabels 2 2 6" xfId="13928"/>
    <cellStyle name="APSLabels 2 2 7" xfId="13553"/>
    <cellStyle name="APSLabels 2 2 8" xfId="15387"/>
    <cellStyle name="APSLabels 2 2 9" xfId="14289"/>
    <cellStyle name="APSLabels 2 3" xfId="550"/>
    <cellStyle name="APSLabels 2 3 10" xfId="29837"/>
    <cellStyle name="APSLabels 2 3 11" xfId="31839"/>
    <cellStyle name="APSLabels 2 3 12" xfId="32842"/>
    <cellStyle name="APSLabels 2 3 13" xfId="33841"/>
    <cellStyle name="APSLabels 2 3 14" xfId="36401"/>
    <cellStyle name="APSLabels 2 3 2" xfId="551"/>
    <cellStyle name="APSLabels 2 3 2 10" xfId="31840"/>
    <cellStyle name="APSLabels 2 3 2 11" xfId="32843"/>
    <cellStyle name="APSLabels 2 3 2 12" xfId="33842"/>
    <cellStyle name="APSLabels 2 3 2 13" xfId="36402"/>
    <cellStyle name="APSLabels 2 3 2 2" xfId="15866"/>
    <cellStyle name="APSLabels 2 3 2 3" xfId="17872"/>
    <cellStyle name="APSLabels 2 3 2 4" xfId="19926"/>
    <cellStyle name="APSLabels 2 3 2 5" xfId="21909"/>
    <cellStyle name="APSLabels 2 3 2 6" xfId="22914"/>
    <cellStyle name="APSLabels 2 3 2 7" xfId="24885"/>
    <cellStyle name="APSLabels 2 3 2 8" xfId="28799"/>
    <cellStyle name="APSLabels 2 3 2 9" xfId="29838"/>
    <cellStyle name="APSLabels 2 3 3" xfId="15865"/>
    <cellStyle name="APSLabels 2 3 4" xfId="17871"/>
    <cellStyle name="APSLabels 2 3 5" xfId="19925"/>
    <cellStyle name="APSLabels 2 3 6" xfId="21908"/>
    <cellStyle name="APSLabels 2 3 7" xfId="22913"/>
    <cellStyle name="APSLabels 2 3 8" xfId="24884"/>
    <cellStyle name="APSLabels 2 3 9" xfId="28798"/>
    <cellStyle name="APSLabels 2 4" xfId="552"/>
    <cellStyle name="APSLabels 2 4 10" xfId="29839"/>
    <cellStyle name="APSLabels 2 4 11" xfId="31841"/>
    <cellStyle name="APSLabels 2 4 12" xfId="32844"/>
    <cellStyle name="APSLabels 2 4 13" xfId="33843"/>
    <cellStyle name="APSLabels 2 4 14" xfId="36403"/>
    <cellStyle name="APSLabels 2 4 2" xfId="553"/>
    <cellStyle name="APSLabels 2 4 2 10" xfId="31842"/>
    <cellStyle name="APSLabels 2 4 2 11" xfId="32845"/>
    <cellStyle name="APSLabels 2 4 2 12" xfId="33844"/>
    <cellStyle name="APSLabels 2 4 2 13" xfId="36404"/>
    <cellStyle name="APSLabels 2 4 2 2" xfId="15868"/>
    <cellStyle name="APSLabels 2 4 2 3" xfId="17874"/>
    <cellStyle name="APSLabels 2 4 2 4" xfId="19928"/>
    <cellStyle name="APSLabels 2 4 2 5" xfId="21911"/>
    <cellStyle name="APSLabels 2 4 2 6" xfId="22916"/>
    <cellStyle name="APSLabels 2 4 2 7" xfId="24887"/>
    <cellStyle name="APSLabels 2 4 2 8" xfId="28801"/>
    <cellStyle name="APSLabels 2 4 2 9" xfId="29840"/>
    <cellStyle name="APSLabels 2 4 3" xfId="15867"/>
    <cellStyle name="APSLabels 2 4 4" xfId="17873"/>
    <cellStyle name="APSLabels 2 4 5" xfId="19927"/>
    <cellStyle name="APSLabels 2 4 6" xfId="21910"/>
    <cellStyle name="APSLabels 2 4 7" xfId="22915"/>
    <cellStyle name="APSLabels 2 4 8" xfId="24886"/>
    <cellStyle name="APSLabels 2 4 9" xfId="28800"/>
    <cellStyle name="APSLabels 2 5" xfId="554"/>
    <cellStyle name="APSLabels 2 5 10" xfId="31843"/>
    <cellStyle name="APSLabels 2 5 11" xfId="32846"/>
    <cellStyle name="APSLabels 2 5 12" xfId="33845"/>
    <cellStyle name="APSLabels 2 5 13" xfId="36405"/>
    <cellStyle name="APSLabels 2 5 2" xfId="15869"/>
    <cellStyle name="APSLabels 2 5 3" xfId="17875"/>
    <cellStyle name="APSLabels 2 5 4" xfId="19929"/>
    <cellStyle name="APSLabels 2 5 5" xfId="21912"/>
    <cellStyle name="APSLabels 2 5 6" xfId="22917"/>
    <cellStyle name="APSLabels 2 5 7" xfId="24888"/>
    <cellStyle name="APSLabels 2 5 8" xfId="28802"/>
    <cellStyle name="APSLabels 2 5 9" xfId="29841"/>
    <cellStyle name="APSLabels 2 6" xfId="555"/>
    <cellStyle name="APSLabels 2 6 10" xfId="31844"/>
    <cellStyle name="APSLabels 2 6 11" xfId="32847"/>
    <cellStyle name="APSLabels 2 6 12" xfId="33846"/>
    <cellStyle name="APSLabels 2 6 13" xfId="36406"/>
    <cellStyle name="APSLabels 2 6 2" xfId="15870"/>
    <cellStyle name="APSLabels 2 6 3" xfId="17876"/>
    <cellStyle name="APSLabels 2 6 4" xfId="19930"/>
    <cellStyle name="APSLabels 2 6 5" xfId="21913"/>
    <cellStyle name="APSLabels 2 6 6" xfId="22918"/>
    <cellStyle name="APSLabels 2 6 7" xfId="24889"/>
    <cellStyle name="APSLabels 2 6 8" xfId="28803"/>
    <cellStyle name="APSLabels 2 6 9" xfId="29842"/>
    <cellStyle name="APSLabels 2 7" xfId="13645"/>
    <cellStyle name="APSLabels 2 8" xfId="13990"/>
    <cellStyle name="APSLabels 2 9" xfId="14937"/>
    <cellStyle name="APSLabels 20" xfId="32834"/>
    <cellStyle name="APSLabels 21" xfId="35485"/>
    <cellStyle name="APSLabels 22" xfId="37408"/>
    <cellStyle name="APSLabels 3" xfId="556"/>
    <cellStyle name="APSLabels 3 10" xfId="14573"/>
    <cellStyle name="APSLabels 3 11" xfId="14097"/>
    <cellStyle name="APSLabels 3 12" xfId="15271"/>
    <cellStyle name="APSLabels 3 13" xfId="13434"/>
    <cellStyle name="APSLabels 3 14" xfId="26031"/>
    <cellStyle name="APSLabels 3 15" xfId="27237"/>
    <cellStyle name="APSLabels 3 16" xfId="25966"/>
    <cellStyle name="APSLabels 3 17" xfId="25917"/>
    <cellStyle name="APSLabels 3 18" xfId="27536"/>
    <cellStyle name="APSLabels 3 19" xfId="34841"/>
    <cellStyle name="APSLabels 3 2" xfId="557"/>
    <cellStyle name="APSLabels 3 2 10" xfId="29843"/>
    <cellStyle name="APSLabels 3 2 11" xfId="31845"/>
    <cellStyle name="APSLabels 3 2 12" xfId="32848"/>
    <cellStyle name="APSLabels 3 2 13" xfId="33847"/>
    <cellStyle name="APSLabels 3 2 14" xfId="36407"/>
    <cellStyle name="APSLabels 3 2 2" xfId="558"/>
    <cellStyle name="APSLabels 3 2 2 10" xfId="31846"/>
    <cellStyle name="APSLabels 3 2 2 11" xfId="32849"/>
    <cellStyle name="APSLabels 3 2 2 12" xfId="33848"/>
    <cellStyle name="APSLabels 3 2 2 13" xfId="36408"/>
    <cellStyle name="APSLabels 3 2 2 2" xfId="15872"/>
    <cellStyle name="APSLabels 3 2 2 3" xfId="17878"/>
    <cellStyle name="APSLabels 3 2 2 4" xfId="19932"/>
    <cellStyle name="APSLabels 3 2 2 5" xfId="21915"/>
    <cellStyle name="APSLabels 3 2 2 6" xfId="22920"/>
    <cellStyle name="APSLabels 3 2 2 7" xfId="24891"/>
    <cellStyle name="APSLabels 3 2 2 8" xfId="28805"/>
    <cellStyle name="APSLabels 3 2 2 9" xfId="29844"/>
    <cellStyle name="APSLabels 3 2 3" xfId="15871"/>
    <cellStyle name="APSLabels 3 2 4" xfId="17877"/>
    <cellStyle name="APSLabels 3 2 5" xfId="19931"/>
    <cellStyle name="APSLabels 3 2 6" xfId="21914"/>
    <cellStyle name="APSLabels 3 2 7" xfId="22919"/>
    <cellStyle name="APSLabels 3 2 8" xfId="24890"/>
    <cellStyle name="APSLabels 3 2 9" xfId="28804"/>
    <cellStyle name="APSLabels 3 3" xfId="559"/>
    <cellStyle name="APSLabels 3 3 10" xfId="29845"/>
    <cellStyle name="APSLabels 3 3 11" xfId="31847"/>
    <cellStyle name="APSLabels 3 3 12" xfId="32850"/>
    <cellStyle name="APSLabels 3 3 13" xfId="33849"/>
    <cellStyle name="APSLabels 3 3 14" xfId="36409"/>
    <cellStyle name="APSLabels 3 3 2" xfId="560"/>
    <cellStyle name="APSLabels 3 3 2 10" xfId="31848"/>
    <cellStyle name="APSLabels 3 3 2 11" xfId="32851"/>
    <cellStyle name="APSLabels 3 3 2 12" xfId="33850"/>
    <cellStyle name="APSLabels 3 3 2 13" xfId="36410"/>
    <cellStyle name="APSLabels 3 3 2 2" xfId="15874"/>
    <cellStyle name="APSLabels 3 3 2 3" xfId="17880"/>
    <cellStyle name="APSLabels 3 3 2 4" xfId="19934"/>
    <cellStyle name="APSLabels 3 3 2 5" xfId="21917"/>
    <cellStyle name="APSLabels 3 3 2 6" xfId="22922"/>
    <cellStyle name="APSLabels 3 3 2 7" xfId="24893"/>
    <cellStyle name="APSLabels 3 3 2 8" xfId="28807"/>
    <cellStyle name="APSLabels 3 3 2 9" xfId="29846"/>
    <cellStyle name="APSLabels 3 3 3" xfId="15873"/>
    <cellStyle name="APSLabels 3 3 4" xfId="17879"/>
    <cellStyle name="APSLabels 3 3 5" xfId="19933"/>
    <cellStyle name="APSLabels 3 3 6" xfId="21916"/>
    <cellStyle name="APSLabels 3 3 7" xfId="22921"/>
    <cellStyle name="APSLabels 3 3 8" xfId="24892"/>
    <cellStyle name="APSLabels 3 3 9" xfId="28806"/>
    <cellStyle name="APSLabels 3 4" xfId="561"/>
    <cellStyle name="APSLabels 3 4 10" xfId="31849"/>
    <cellStyle name="APSLabels 3 4 11" xfId="32852"/>
    <cellStyle name="APSLabels 3 4 12" xfId="33851"/>
    <cellStyle name="APSLabels 3 4 13" xfId="36411"/>
    <cellStyle name="APSLabels 3 4 2" xfId="15875"/>
    <cellStyle name="APSLabels 3 4 3" xfId="17881"/>
    <cellStyle name="APSLabels 3 4 4" xfId="19935"/>
    <cellStyle name="APSLabels 3 4 5" xfId="21918"/>
    <cellStyle name="APSLabels 3 4 6" xfId="22923"/>
    <cellStyle name="APSLabels 3 4 7" xfId="24894"/>
    <cellStyle name="APSLabels 3 4 8" xfId="28808"/>
    <cellStyle name="APSLabels 3 4 9" xfId="29847"/>
    <cellStyle name="APSLabels 3 5" xfId="562"/>
    <cellStyle name="APSLabels 3 5 10" xfId="31850"/>
    <cellStyle name="APSLabels 3 5 11" xfId="32853"/>
    <cellStyle name="APSLabels 3 5 12" xfId="33852"/>
    <cellStyle name="APSLabels 3 5 13" xfId="36412"/>
    <cellStyle name="APSLabels 3 5 2" xfId="15876"/>
    <cellStyle name="APSLabels 3 5 3" xfId="17882"/>
    <cellStyle name="APSLabels 3 5 4" xfId="19936"/>
    <cellStyle name="APSLabels 3 5 5" xfId="21919"/>
    <cellStyle name="APSLabels 3 5 6" xfId="22924"/>
    <cellStyle name="APSLabels 3 5 7" xfId="24895"/>
    <cellStyle name="APSLabels 3 5 8" xfId="28809"/>
    <cellStyle name="APSLabels 3 5 9" xfId="29848"/>
    <cellStyle name="APSLabels 3 6" xfId="15685"/>
    <cellStyle name="APSLabels 3 7" xfId="13759"/>
    <cellStyle name="APSLabels 3 8" xfId="13621"/>
    <cellStyle name="APSLabels 3 9" xfId="14381"/>
    <cellStyle name="APSLabels 4" xfId="563"/>
    <cellStyle name="APSLabels 4 10" xfId="14276"/>
    <cellStyle name="APSLabels 4 11" xfId="14952"/>
    <cellStyle name="APSLabels 4 12" xfId="13689"/>
    <cellStyle name="APSLabels 4 13" xfId="13855"/>
    <cellStyle name="APSLabels 4 14" xfId="26027"/>
    <cellStyle name="APSLabels 4 15" xfId="27205"/>
    <cellStyle name="APSLabels 4 16" xfId="26781"/>
    <cellStyle name="APSLabels 4 17" xfId="27562"/>
    <cellStyle name="APSLabels 4 18" xfId="26992"/>
    <cellStyle name="APSLabels 4 19" xfId="35251"/>
    <cellStyle name="APSLabels 4 2" xfId="564"/>
    <cellStyle name="APSLabels 4 2 10" xfId="29849"/>
    <cellStyle name="APSLabels 4 2 11" xfId="31851"/>
    <cellStyle name="APSLabels 4 2 12" xfId="32854"/>
    <cellStyle name="APSLabels 4 2 13" xfId="33853"/>
    <cellStyle name="APSLabels 4 2 14" xfId="36413"/>
    <cellStyle name="APSLabels 4 2 2" xfId="565"/>
    <cellStyle name="APSLabels 4 2 2 10" xfId="31852"/>
    <cellStyle name="APSLabels 4 2 2 11" xfId="32855"/>
    <cellStyle name="APSLabels 4 2 2 12" xfId="33854"/>
    <cellStyle name="APSLabels 4 2 2 13" xfId="36414"/>
    <cellStyle name="APSLabels 4 2 2 2" xfId="15878"/>
    <cellStyle name="APSLabels 4 2 2 3" xfId="17884"/>
    <cellStyle name="APSLabels 4 2 2 4" xfId="19938"/>
    <cellStyle name="APSLabels 4 2 2 5" xfId="21921"/>
    <cellStyle name="APSLabels 4 2 2 6" xfId="22926"/>
    <cellStyle name="APSLabels 4 2 2 7" xfId="24897"/>
    <cellStyle name="APSLabels 4 2 2 8" xfId="28811"/>
    <cellStyle name="APSLabels 4 2 2 9" xfId="29850"/>
    <cellStyle name="APSLabels 4 2 3" xfId="15877"/>
    <cellStyle name="APSLabels 4 2 4" xfId="17883"/>
    <cellStyle name="APSLabels 4 2 5" xfId="19937"/>
    <cellStyle name="APSLabels 4 2 6" xfId="21920"/>
    <cellStyle name="APSLabels 4 2 7" xfId="22925"/>
    <cellStyle name="APSLabels 4 2 8" xfId="24896"/>
    <cellStyle name="APSLabels 4 2 9" xfId="28810"/>
    <cellStyle name="APSLabels 4 3" xfId="566"/>
    <cellStyle name="APSLabels 4 3 10" xfId="29851"/>
    <cellStyle name="APSLabels 4 3 11" xfId="31853"/>
    <cellStyle name="APSLabels 4 3 12" xfId="32856"/>
    <cellStyle name="APSLabels 4 3 13" xfId="33855"/>
    <cellStyle name="APSLabels 4 3 14" xfId="36415"/>
    <cellStyle name="APSLabels 4 3 2" xfId="567"/>
    <cellStyle name="APSLabels 4 3 2 10" xfId="31854"/>
    <cellStyle name="APSLabels 4 3 2 11" xfId="32857"/>
    <cellStyle name="APSLabels 4 3 2 12" xfId="33856"/>
    <cellStyle name="APSLabels 4 3 2 13" xfId="36416"/>
    <cellStyle name="APSLabels 4 3 2 2" xfId="15880"/>
    <cellStyle name="APSLabels 4 3 2 3" xfId="17886"/>
    <cellStyle name="APSLabels 4 3 2 4" xfId="19940"/>
    <cellStyle name="APSLabels 4 3 2 5" xfId="21923"/>
    <cellStyle name="APSLabels 4 3 2 6" xfId="22928"/>
    <cellStyle name="APSLabels 4 3 2 7" xfId="24899"/>
    <cellStyle name="APSLabels 4 3 2 8" xfId="28813"/>
    <cellStyle name="APSLabels 4 3 2 9" xfId="29852"/>
    <cellStyle name="APSLabels 4 3 3" xfId="15879"/>
    <cellStyle name="APSLabels 4 3 4" xfId="17885"/>
    <cellStyle name="APSLabels 4 3 5" xfId="19939"/>
    <cellStyle name="APSLabels 4 3 6" xfId="21922"/>
    <cellStyle name="APSLabels 4 3 7" xfId="22927"/>
    <cellStyle name="APSLabels 4 3 8" xfId="24898"/>
    <cellStyle name="APSLabels 4 3 9" xfId="28812"/>
    <cellStyle name="APSLabels 4 4" xfId="568"/>
    <cellStyle name="APSLabels 4 4 10" xfId="31855"/>
    <cellStyle name="APSLabels 4 4 11" xfId="32858"/>
    <cellStyle name="APSLabels 4 4 12" xfId="33857"/>
    <cellStyle name="APSLabels 4 4 13" xfId="36417"/>
    <cellStyle name="APSLabels 4 4 2" xfId="15881"/>
    <cellStyle name="APSLabels 4 4 3" xfId="17887"/>
    <cellStyle name="APSLabels 4 4 4" xfId="19941"/>
    <cellStyle name="APSLabels 4 4 5" xfId="21924"/>
    <cellStyle name="APSLabels 4 4 6" xfId="22929"/>
    <cellStyle name="APSLabels 4 4 7" xfId="24900"/>
    <cellStyle name="APSLabels 4 4 8" xfId="28814"/>
    <cellStyle name="APSLabels 4 4 9" xfId="29853"/>
    <cellStyle name="APSLabels 4 5" xfId="569"/>
    <cellStyle name="APSLabels 4 5 10" xfId="31856"/>
    <cellStyle name="APSLabels 4 5 11" xfId="32859"/>
    <cellStyle name="APSLabels 4 5 12" xfId="33858"/>
    <cellStyle name="APSLabels 4 5 13" xfId="36418"/>
    <cellStyle name="APSLabels 4 5 2" xfId="15882"/>
    <cellStyle name="APSLabels 4 5 3" xfId="17888"/>
    <cellStyle name="APSLabels 4 5 4" xfId="19942"/>
    <cellStyle name="APSLabels 4 5 5" xfId="21925"/>
    <cellStyle name="APSLabels 4 5 6" xfId="22930"/>
    <cellStyle name="APSLabels 4 5 7" xfId="24901"/>
    <cellStyle name="APSLabels 4 5 8" xfId="28815"/>
    <cellStyle name="APSLabels 4 5 9" xfId="29854"/>
    <cellStyle name="APSLabels 4 6" xfId="14855"/>
    <cellStyle name="APSLabels 4 7" xfId="13546"/>
    <cellStyle name="APSLabels 4 8" xfId="15766"/>
    <cellStyle name="APSLabels 4 9" xfId="14384"/>
    <cellStyle name="APSLabels 5" xfId="570"/>
    <cellStyle name="APSLabels 5 10" xfId="29855"/>
    <cellStyle name="APSLabels 5 11" xfId="31857"/>
    <cellStyle name="APSLabels 5 12" xfId="32860"/>
    <cellStyle name="APSLabels 5 13" xfId="33859"/>
    <cellStyle name="APSLabels 5 14" xfId="36419"/>
    <cellStyle name="APSLabels 5 2" xfId="571"/>
    <cellStyle name="APSLabels 5 2 10" xfId="31858"/>
    <cellStyle name="APSLabels 5 2 11" xfId="32861"/>
    <cellStyle name="APSLabels 5 2 12" xfId="33860"/>
    <cellStyle name="APSLabels 5 2 13" xfId="36420"/>
    <cellStyle name="APSLabels 5 2 2" xfId="15884"/>
    <cellStyle name="APSLabels 5 2 3" xfId="17890"/>
    <cellStyle name="APSLabels 5 2 4" xfId="19944"/>
    <cellStyle name="APSLabels 5 2 5" xfId="21927"/>
    <cellStyle name="APSLabels 5 2 6" xfId="22932"/>
    <cellStyle name="APSLabels 5 2 7" xfId="24903"/>
    <cellStyle name="APSLabels 5 2 8" xfId="28817"/>
    <cellStyle name="APSLabels 5 2 9" xfId="29856"/>
    <cellStyle name="APSLabels 5 3" xfId="15883"/>
    <cellStyle name="APSLabels 5 4" xfId="17889"/>
    <cellStyle name="APSLabels 5 5" xfId="19943"/>
    <cellStyle name="APSLabels 5 6" xfId="21926"/>
    <cellStyle name="APSLabels 5 7" xfId="22931"/>
    <cellStyle name="APSLabels 5 8" xfId="24902"/>
    <cellStyle name="APSLabels 5 9" xfId="28816"/>
    <cellStyle name="APSLabels 6" xfId="572"/>
    <cellStyle name="APSLabels 6 10" xfId="29857"/>
    <cellStyle name="APSLabels 6 11" xfId="31859"/>
    <cellStyle name="APSLabels 6 12" xfId="32862"/>
    <cellStyle name="APSLabels 6 13" xfId="33861"/>
    <cellStyle name="APSLabels 6 14" xfId="36421"/>
    <cellStyle name="APSLabels 6 2" xfId="573"/>
    <cellStyle name="APSLabels 6 2 10" xfId="31860"/>
    <cellStyle name="APSLabels 6 2 11" xfId="32863"/>
    <cellStyle name="APSLabels 6 2 12" xfId="33862"/>
    <cellStyle name="APSLabels 6 2 13" xfId="36422"/>
    <cellStyle name="APSLabels 6 2 2" xfId="15886"/>
    <cellStyle name="APSLabels 6 2 3" xfId="17892"/>
    <cellStyle name="APSLabels 6 2 4" xfId="19946"/>
    <cellStyle name="APSLabels 6 2 5" xfId="21929"/>
    <cellStyle name="APSLabels 6 2 6" xfId="22934"/>
    <cellStyle name="APSLabels 6 2 7" xfId="24905"/>
    <cellStyle name="APSLabels 6 2 8" xfId="28819"/>
    <cellStyle name="APSLabels 6 2 9" xfId="29858"/>
    <cellStyle name="APSLabels 6 3" xfId="15885"/>
    <cellStyle name="APSLabels 6 4" xfId="17891"/>
    <cellStyle name="APSLabels 6 5" xfId="19945"/>
    <cellStyle name="APSLabels 6 6" xfId="21928"/>
    <cellStyle name="APSLabels 6 7" xfId="22933"/>
    <cellStyle name="APSLabels 6 8" xfId="24904"/>
    <cellStyle name="APSLabels 6 9" xfId="28818"/>
    <cellStyle name="APSLabels 7" xfId="574"/>
    <cellStyle name="APSLabels 7 10" xfId="31861"/>
    <cellStyle name="APSLabels 7 11" xfId="32864"/>
    <cellStyle name="APSLabels 7 12" xfId="33863"/>
    <cellStyle name="APSLabels 7 13" xfId="36423"/>
    <cellStyle name="APSLabels 7 2" xfId="15887"/>
    <cellStyle name="APSLabels 7 3" xfId="17893"/>
    <cellStyle name="APSLabels 7 4" xfId="19947"/>
    <cellStyle name="APSLabels 7 5" xfId="21930"/>
    <cellStyle name="APSLabels 7 6" xfId="22935"/>
    <cellStyle name="APSLabels 7 7" xfId="24906"/>
    <cellStyle name="APSLabels 7 8" xfId="28820"/>
    <cellStyle name="APSLabels 7 9" xfId="29859"/>
    <cellStyle name="APSLabels 8" xfId="575"/>
    <cellStyle name="APSLabels 8 10" xfId="31862"/>
    <cellStyle name="APSLabels 8 11" xfId="32865"/>
    <cellStyle name="APSLabels 8 12" xfId="33864"/>
    <cellStyle name="APSLabels 8 13" xfId="36424"/>
    <cellStyle name="APSLabels 8 2" xfId="15888"/>
    <cellStyle name="APSLabels 8 3" xfId="17894"/>
    <cellStyle name="APSLabels 8 4" xfId="19948"/>
    <cellStyle name="APSLabels 8 5" xfId="21931"/>
    <cellStyle name="APSLabels 8 6" xfId="22936"/>
    <cellStyle name="APSLabels 8 7" xfId="24907"/>
    <cellStyle name="APSLabels 8 8" xfId="28821"/>
    <cellStyle name="APSLabels 8 9" xfId="29860"/>
    <cellStyle name="APSLabels 9" xfId="15117"/>
    <cellStyle name="Bad" xfId="13354" builtinId="27" customBuiltin="1"/>
    <cellStyle name="Bad 2" xfId="92"/>
    <cellStyle name="Bad 2 2" xfId="576"/>
    <cellStyle name="Bad 2 3" xfId="577"/>
    <cellStyle name="Bad 3" xfId="91"/>
    <cellStyle name="Bad 3 2" xfId="579"/>
    <cellStyle name="Bad 3 3" xfId="578"/>
    <cellStyle name="Bad 4" xfId="580"/>
    <cellStyle name="Budget" xfId="93"/>
    <cellStyle name="Budget 2" xfId="94"/>
    <cellStyle name="Budget 3" xfId="95"/>
    <cellStyle name="Budget_2011-11" xfId="96"/>
    <cellStyle name="Calculation" xfId="13358" builtinId="22" customBuiltin="1"/>
    <cellStyle name="Calculation 2" xfId="98"/>
    <cellStyle name="Calculation 2 10" xfId="581"/>
    <cellStyle name="Calculation 2 10 10" xfId="23909"/>
    <cellStyle name="Calculation 2 10 11" xfId="24908"/>
    <cellStyle name="Calculation 2 10 12" xfId="27853"/>
    <cellStyle name="Calculation 2 10 13" xfId="28822"/>
    <cellStyle name="Calculation 2 10 14" xfId="29861"/>
    <cellStyle name="Calculation 2 10 15" xfId="30854"/>
    <cellStyle name="Calculation 2 10 16" xfId="31863"/>
    <cellStyle name="Calculation 2 10 17" xfId="32866"/>
    <cellStyle name="Calculation 2 10 18" xfId="33865"/>
    <cellStyle name="Calculation 2 10 19" xfId="35486"/>
    <cellStyle name="Calculation 2 10 2" xfId="15889"/>
    <cellStyle name="Calculation 2 10 20" xfId="36425"/>
    <cellStyle name="Calculation 2 10 3" xfId="13449"/>
    <cellStyle name="Calculation 2 10 4" xfId="17895"/>
    <cellStyle name="Calculation 2 10 5" xfId="18927"/>
    <cellStyle name="Calculation 2 10 6" xfId="19949"/>
    <cellStyle name="Calculation 2 10 7" xfId="20958"/>
    <cellStyle name="Calculation 2 10 8" xfId="21932"/>
    <cellStyle name="Calculation 2 10 9" xfId="22937"/>
    <cellStyle name="Calculation 2 11" xfId="582"/>
    <cellStyle name="Calculation 2 11 10" xfId="24866"/>
    <cellStyle name="Calculation 2 11 11" xfId="25865"/>
    <cellStyle name="Calculation 2 11 12" xfId="28771"/>
    <cellStyle name="Calculation 2 11 13" xfId="29788"/>
    <cellStyle name="Calculation 2 11 14" xfId="30821"/>
    <cellStyle name="Calculation 2 11 15" xfId="31816"/>
    <cellStyle name="Calculation 2 11 16" xfId="32820"/>
    <cellStyle name="Calculation 2 11 17" xfId="33823"/>
    <cellStyle name="Calculation 2 11 18" xfId="34822"/>
    <cellStyle name="Calculation 2 11 19" xfId="36383"/>
    <cellStyle name="Calculation 2 11 2" xfId="16855"/>
    <cellStyle name="Calculation 2 11 20" xfId="37382"/>
    <cellStyle name="Calculation 2 11 3" xfId="17835"/>
    <cellStyle name="Calculation 2 11 4" xfId="18860"/>
    <cellStyle name="Calculation 2 11 5" xfId="19894"/>
    <cellStyle name="Calculation 2 11 6" xfId="20919"/>
    <cellStyle name="Calculation 2 11 7" xfId="21879"/>
    <cellStyle name="Calculation 2 11 8" xfId="22891"/>
    <cellStyle name="Calculation 2 11 9" xfId="23894"/>
    <cellStyle name="Calculation 2 12" xfId="34906"/>
    <cellStyle name="Calculation 2 13" xfId="37396"/>
    <cellStyle name="Calculation 2 14" xfId="37401"/>
    <cellStyle name="Calculation 2 15" xfId="37553"/>
    <cellStyle name="Calculation 2 2" xfId="313"/>
    <cellStyle name="Calculation 2 2 10" xfId="37418"/>
    <cellStyle name="Calculation 2 2 11" xfId="37554"/>
    <cellStyle name="Calculation 2 2 2" xfId="583"/>
    <cellStyle name="Calculation 2 2 2 10" xfId="14364"/>
    <cellStyle name="Calculation 2 2 2 11" xfId="15059"/>
    <cellStyle name="Calculation 2 2 2 12" xfId="14204"/>
    <cellStyle name="Calculation 2 2 2 13" xfId="14333"/>
    <cellStyle name="Calculation 2 2 2 14" xfId="14149"/>
    <cellStyle name="Calculation 2 2 2 15" xfId="15343"/>
    <cellStyle name="Calculation 2 2 2 16" xfId="26113"/>
    <cellStyle name="Calculation 2 2 2 17" xfId="27246"/>
    <cellStyle name="Calculation 2 2 2 18" xfId="26245"/>
    <cellStyle name="Calculation 2 2 2 19" xfId="26011"/>
    <cellStyle name="Calculation 2 2 2 2" xfId="584"/>
    <cellStyle name="Calculation 2 2 2 2 10" xfId="13906"/>
    <cellStyle name="Calculation 2 2 2 2 11" xfId="15720"/>
    <cellStyle name="Calculation 2 2 2 2 12" xfId="26328"/>
    <cellStyle name="Calculation 2 2 2 2 13" xfId="27724"/>
    <cellStyle name="Calculation 2 2 2 2 14" xfId="26252"/>
    <cellStyle name="Calculation 2 2 2 2 15" xfId="26759"/>
    <cellStyle name="Calculation 2 2 2 2 16" xfId="27305"/>
    <cellStyle name="Calculation 2 2 2 2 17" xfId="27227"/>
    <cellStyle name="Calculation 2 2 2 2 18" xfId="35023"/>
    <cellStyle name="Calculation 2 2 2 2 19" xfId="35315"/>
    <cellStyle name="Calculation 2 2 2 2 2" xfId="585"/>
    <cellStyle name="Calculation 2 2 2 2 2 10" xfId="22938"/>
    <cellStyle name="Calculation 2 2 2 2 2 11" xfId="23910"/>
    <cellStyle name="Calculation 2 2 2 2 2 12" xfId="24909"/>
    <cellStyle name="Calculation 2 2 2 2 2 13" xfId="27854"/>
    <cellStyle name="Calculation 2 2 2 2 2 14" xfId="28823"/>
    <cellStyle name="Calculation 2 2 2 2 2 15" xfId="29862"/>
    <cellStyle name="Calculation 2 2 2 2 2 16" xfId="30855"/>
    <cellStyle name="Calculation 2 2 2 2 2 17" xfId="31864"/>
    <cellStyle name="Calculation 2 2 2 2 2 18" xfId="32867"/>
    <cellStyle name="Calculation 2 2 2 2 2 19" xfId="33866"/>
    <cellStyle name="Calculation 2 2 2 2 2 2" xfId="586"/>
    <cellStyle name="Calculation 2 2 2 2 2 2 10" xfId="23911"/>
    <cellStyle name="Calculation 2 2 2 2 2 2 11" xfId="24910"/>
    <cellStyle name="Calculation 2 2 2 2 2 2 12" xfId="27855"/>
    <cellStyle name="Calculation 2 2 2 2 2 2 13" xfId="28824"/>
    <cellStyle name="Calculation 2 2 2 2 2 2 14" xfId="29863"/>
    <cellStyle name="Calculation 2 2 2 2 2 2 15" xfId="30856"/>
    <cellStyle name="Calculation 2 2 2 2 2 2 16" xfId="31865"/>
    <cellStyle name="Calculation 2 2 2 2 2 2 17" xfId="32868"/>
    <cellStyle name="Calculation 2 2 2 2 2 2 18" xfId="33867"/>
    <cellStyle name="Calculation 2 2 2 2 2 2 19" xfId="35488"/>
    <cellStyle name="Calculation 2 2 2 2 2 2 2" xfId="15891"/>
    <cellStyle name="Calculation 2 2 2 2 2 2 20" xfId="36427"/>
    <cellStyle name="Calculation 2 2 2 2 2 2 3" xfId="16869"/>
    <cellStyle name="Calculation 2 2 2 2 2 2 4" xfId="17897"/>
    <cellStyle name="Calculation 2 2 2 2 2 2 5" xfId="18929"/>
    <cellStyle name="Calculation 2 2 2 2 2 2 6" xfId="19951"/>
    <cellStyle name="Calculation 2 2 2 2 2 2 7" xfId="20960"/>
    <cellStyle name="Calculation 2 2 2 2 2 2 8" xfId="21934"/>
    <cellStyle name="Calculation 2 2 2 2 2 2 9" xfId="22939"/>
    <cellStyle name="Calculation 2 2 2 2 2 20" xfId="35487"/>
    <cellStyle name="Calculation 2 2 2 2 2 21" xfId="36426"/>
    <cellStyle name="Calculation 2 2 2 2 2 3" xfId="15890"/>
    <cellStyle name="Calculation 2 2 2 2 2 4" xfId="16868"/>
    <cellStyle name="Calculation 2 2 2 2 2 5" xfId="17896"/>
    <cellStyle name="Calculation 2 2 2 2 2 6" xfId="18928"/>
    <cellStyle name="Calculation 2 2 2 2 2 7" xfId="19950"/>
    <cellStyle name="Calculation 2 2 2 2 2 8" xfId="20959"/>
    <cellStyle name="Calculation 2 2 2 2 2 9" xfId="21933"/>
    <cellStyle name="Calculation 2 2 2 2 3" xfId="587"/>
    <cellStyle name="Calculation 2 2 2 2 3 10" xfId="22940"/>
    <cellStyle name="Calculation 2 2 2 2 3 11" xfId="23912"/>
    <cellStyle name="Calculation 2 2 2 2 3 12" xfId="24911"/>
    <cellStyle name="Calculation 2 2 2 2 3 13" xfId="27856"/>
    <cellStyle name="Calculation 2 2 2 2 3 14" xfId="28825"/>
    <cellStyle name="Calculation 2 2 2 2 3 15" xfId="29864"/>
    <cellStyle name="Calculation 2 2 2 2 3 16" xfId="30857"/>
    <cellStyle name="Calculation 2 2 2 2 3 17" xfId="31866"/>
    <cellStyle name="Calculation 2 2 2 2 3 18" xfId="32869"/>
    <cellStyle name="Calculation 2 2 2 2 3 19" xfId="33868"/>
    <cellStyle name="Calculation 2 2 2 2 3 2" xfId="588"/>
    <cellStyle name="Calculation 2 2 2 2 3 2 10" xfId="23913"/>
    <cellStyle name="Calculation 2 2 2 2 3 2 11" xfId="24912"/>
    <cellStyle name="Calculation 2 2 2 2 3 2 12" xfId="27857"/>
    <cellStyle name="Calculation 2 2 2 2 3 2 13" xfId="28826"/>
    <cellStyle name="Calculation 2 2 2 2 3 2 14" xfId="29865"/>
    <cellStyle name="Calculation 2 2 2 2 3 2 15" xfId="30858"/>
    <cellStyle name="Calculation 2 2 2 2 3 2 16" xfId="31867"/>
    <cellStyle name="Calculation 2 2 2 2 3 2 17" xfId="32870"/>
    <cellStyle name="Calculation 2 2 2 2 3 2 18" xfId="33869"/>
    <cellStyle name="Calculation 2 2 2 2 3 2 19" xfId="35490"/>
    <cellStyle name="Calculation 2 2 2 2 3 2 2" xfId="15893"/>
    <cellStyle name="Calculation 2 2 2 2 3 2 20" xfId="36429"/>
    <cellStyle name="Calculation 2 2 2 2 3 2 3" xfId="16871"/>
    <cellStyle name="Calculation 2 2 2 2 3 2 4" xfId="17899"/>
    <cellStyle name="Calculation 2 2 2 2 3 2 5" xfId="18931"/>
    <cellStyle name="Calculation 2 2 2 2 3 2 6" xfId="19953"/>
    <cellStyle name="Calculation 2 2 2 2 3 2 7" xfId="20962"/>
    <cellStyle name="Calculation 2 2 2 2 3 2 8" xfId="21936"/>
    <cellStyle name="Calculation 2 2 2 2 3 2 9" xfId="22941"/>
    <cellStyle name="Calculation 2 2 2 2 3 20" xfId="35489"/>
    <cellStyle name="Calculation 2 2 2 2 3 21" xfId="36428"/>
    <cellStyle name="Calculation 2 2 2 2 3 3" xfId="15892"/>
    <cellStyle name="Calculation 2 2 2 2 3 4" xfId="16870"/>
    <cellStyle name="Calculation 2 2 2 2 3 5" xfId="17898"/>
    <cellStyle name="Calculation 2 2 2 2 3 6" xfId="18930"/>
    <cellStyle name="Calculation 2 2 2 2 3 7" xfId="19952"/>
    <cellStyle name="Calculation 2 2 2 2 3 8" xfId="20961"/>
    <cellStyle name="Calculation 2 2 2 2 3 9" xfId="21935"/>
    <cellStyle name="Calculation 2 2 2 2 4" xfId="589"/>
    <cellStyle name="Calculation 2 2 2 2 4 10" xfId="22942"/>
    <cellStyle name="Calculation 2 2 2 2 4 11" xfId="23914"/>
    <cellStyle name="Calculation 2 2 2 2 4 12" xfId="24913"/>
    <cellStyle name="Calculation 2 2 2 2 4 13" xfId="27858"/>
    <cellStyle name="Calculation 2 2 2 2 4 14" xfId="28827"/>
    <cellStyle name="Calculation 2 2 2 2 4 15" xfId="29866"/>
    <cellStyle name="Calculation 2 2 2 2 4 16" xfId="30859"/>
    <cellStyle name="Calculation 2 2 2 2 4 17" xfId="31868"/>
    <cellStyle name="Calculation 2 2 2 2 4 18" xfId="32871"/>
    <cellStyle name="Calculation 2 2 2 2 4 19" xfId="33870"/>
    <cellStyle name="Calculation 2 2 2 2 4 2" xfId="590"/>
    <cellStyle name="Calculation 2 2 2 2 4 2 10" xfId="23915"/>
    <cellStyle name="Calculation 2 2 2 2 4 2 11" xfId="24914"/>
    <cellStyle name="Calculation 2 2 2 2 4 2 12" xfId="27859"/>
    <cellStyle name="Calculation 2 2 2 2 4 2 13" xfId="28828"/>
    <cellStyle name="Calculation 2 2 2 2 4 2 14" xfId="29867"/>
    <cellStyle name="Calculation 2 2 2 2 4 2 15" xfId="30860"/>
    <cellStyle name="Calculation 2 2 2 2 4 2 16" xfId="31869"/>
    <cellStyle name="Calculation 2 2 2 2 4 2 17" xfId="32872"/>
    <cellStyle name="Calculation 2 2 2 2 4 2 18" xfId="33871"/>
    <cellStyle name="Calculation 2 2 2 2 4 2 19" xfId="35492"/>
    <cellStyle name="Calculation 2 2 2 2 4 2 2" xfId="15895"/>
    <cellStyle name="Calculation 2 2 2 2 4 2 20" xfId="36431"/>
    <cellStyle name="Calculation 2 2 2 2 4 2 3" xfId="16873"/>
    <cellStyle name="Calculation 2 2 2 2 4 2 4" xfId="17901"/>
    <cellStyle name="Calculation 2 2 2 2 4 2 5" xfId="18933"/>
    <cellStyle name="Calculation 2 2 2 2 4 2 6" xfId="19955"/>
    <cellStyle name="Calculation 2 2 2 2 4 2 7" xfId="20964"/>
    <cellStyle name="Calculation 2 2 2 2 4 2 8" xfId="21938"/>
    <cellStyle name="Calculation 2 2 2 2 4 2 9" xfId="22943"/>
    <cellStyle name="Calculation 2 2 2 2 4 20" xfId="35491"/>
    <cellStyle name="Calculation 2 2 2 2 4 21" xfId="36430"/>
    <cellStyle name="Calculation 2 2 2 2 4 3" xfId="15894"/>
    <cellStyle name="Calculation 2 2 2 2 4 4" xfId="16872"/>
    <cellStyle name="Calculation 2 2 2 2 4 5" xfId="17900"/>
    <cellStyle name="Calculation 2 2 2 2 4 6" xfId="18932"/>
    <cellStyle name="Calculation 2 2 2 2 4 7" xfId="19954"/>
    <cellStyle name="Calculation 2 2 2 2 4 8" xfId="20963"/>
    <cellStyle name="Calculation 2 2 2 2 4 9" xfId="21937"/>
    <cellStyle name="Calculation 2 2 2 2 5" xfId="591"/>
    <cellStyle name="Calculation 2 2 2 2 5 10" xfId="23916"/>
    <cellStyle name="Calculation 2 2 2 2 5 11" xfId="24915"/>
    <cellStyle name="Calculation 2 2 2 2 5 12" xfId="27860"/>
    <cellStyle name="Calculation 2 2 2 2 5 13" xfId="28829"/>
    <cellStyle name="Calculation 2 2 2 2 5 14" xfId="29868"/>
    <cellStyle name="Calculation 2 2 2 2 5 15" xfId="30861"/>
    <cellStyle name="Calculation 2 2 2 2 5 16" xfId="31870"/>
    <cellStyle name="Calculation 2 2 2 2 5 17" xfId="32873"/>
    <cellStyle name="Calculation 2 2 2 2 5 18" xfId="33872"/>
    <cellStyle name="Calculation 2 2 2 2 5 19" xfId="35493"/>
    <cellStyle name="Calculation 2 2 2 2 5 2" xfId="15896"/>
    <cellStyle name="Calculation 2 2 2 2 5 20" xfId="36432"/>
    <cellStyle name="Calculation 2 2 2 2 5 3" xfId="16874"/>
    <cellStyle name="Calculation 2 2 2 2 5 4" xfId="17902"/>
    <cellStyle name="Calculation 2 2 2 2 5 5" xfId="18934"/>
    <cellStyle name="Calculation 2 2 2 2 5 6" xfId="19956"/>
    <cellStyle name="Calculation 2 2 2 2 5 7" xfId="20965"/>
    <cellStyle name="Calculation 2 2 2 2 5 8" xfId="21939"/>
    <cellStyle name="Calculation 2 2 2 2 5 9" xfId="22944"/>
    <cellStyle name="Calculation 2 2 2 2 6" xfId="13737"/>
    <cellStyle name="Calculation 2 2 2 2 7" xfId="14261"/>
    <cellStyle name="Calculation 2 2 2 2 8" xfId="14203"/>
    <cellStyle name="Calculation 2 2 2 2 9" xfId="14677"/>
    <cellStyle name="Calculation 2 2 2 20" xfId="26925"/>
    <cellStyle name="Calculation 2 2 2 21" xfId="26742"/>
    <cellStyle name="Calculation 2 2 2 22" xfId="34966"/>
    <cellStyle name="Calculation 2 2 2 23" xfId="35354"/>
    <cellStyle name="Calculation 2 2 2 24" xfId="37469"/>
    <cellStyle name="Calculation 2 2 2 3" xfId="592"/>
    <cellStyle name="Calculation 2 2 2 3 10" xfId="14697"/>
    <cellStyle name="Calculation 2 2 2 3 11" xfId="15089"/>
    <cellStyle name="Calculation 2 2 2 3 12" xfId="26408"/>
    <cellStyle name="Calculation 2 2 2 3 13" xfId="27696"/>
    <cellStyle name="Calculation 2 2 2 3 14" xfId="27845"/>
    <cellStyle name="Calculation 2 2 2 3 15" xfId="27614"/>
    <cellStyle name="Calculation 2 2 2 3 16" xfId="29809"/>
    <cellStyle name="Calculation 2 2 2 3 17" xfId="26209"/>
    <cellStyle name="Calculation 2 2 2 3 18" xfId="35098"/>
    <cellStyle name="Calculation 2 2 2 3 19" xfId="35420"/>
    <cellStyle name="Calculation 2 2 2 3 2" xfId="593"/>
    <cellStyle name="Calculation 2 2 2 3 2 10" xfId="22945"/>
    <cellStyle name="Calculation 2 2 2 3 2 11" xfId="23917"/>
    <cellStyle name="Calculation 2 2 2 3 2 12" xfId="24916"/>
    <cellStyle name="Calculation 2 2 2 3 2 13" xfId="27861"/>
    <cellStyle name="Calculation 2 2 2 3 2 14" xfId="28830"/>
    <cellStyle name="Calculation 2 2 2 3 2 15" xfId="29869"/>
    <cellStyle name="Calculation 2 2 2 3 2 16" xfId="30862"/>
    <cellStyle name="Calculation 2 2 2 3 2 17" xfId="31871"/>
    <cellStyle name="Calculation 2 2 2 3 2 18" xfId="32874"/>
    <cellStyle name="Calculation 2 2 2 3 2 19" xfId="33873"/>
    <cellStyle name="Calculation 2 2 2 3 2 2" xfId="594"/>
    <cellStyle name="Calculation 2 2 2 3 2 2 10" xfId="23918"/>
    <cellStyle name="Calculation 2 2 2 3 2 2 11" xfId="24917"/>
    <cellStyle name="Calculation 2 2 2 3 2 2 12" xfId="27862"/>
    <cellStyle name="Calculation 2 2 2 3 2 2 13" xfId="28831"/>
    <cellStyle name="Calculation 2 2 2 3 2 2 14" xfId="29870"/>
    <cellStyle name="Calculation 2 2 2 3 2 2 15" xfId="30863"/>
    <cellStyle name="Calculation 2 2 2 3 2 2 16" xfId="31872"/>
    <cellStyle name="Calculation 2 2 2 3 2 2 17" xfId="32875"/>
    <cellStyle name="Calculation 2 2 2 3 2 2 18" xfId="33874"/>
    <cellStyle name="Calculation 2 2 2 3 2 2 19" xfId="35495"/>
    <cellStyle name="Calculation 2 2 2 3 2 2 2" xfId="15898"/>
    <cellStyle name="Calculation 2 2 2 3 2 2 20" xfId="36434"/>
    <cellStyle name="Calculation 2 2 2 3 2 2 3" xfId="16876"/>
    <cellStyle name="Calculation 2 2 2 3 2 2 4" xfId="17904"/>
    <cellStyle name="Calculation 2 2 2 3 2 2 5" xfId="18936"/>
    <cellStyle name="Calculation 2 2 2 3 2 2 6" xfId="19958"/>
    <cellStyle name="Calculation 2 2 2 3 2 2 7" xfId="20967"/>
    <cellStyle name="Calculation 2 2 2 3 2 2 8" xfId="21941"/>
    <cellStyle name="Calculation 2 2 2 3 2 2 9" xfId="22946"/>
    <cellStyle name="Calculation 2 2 2 3 2 20" xfId="35494"/>
    <cellStyle name="Calculation 2 2 2 3 2 21" xfId="36433"/>
    <cellStyle name="Calculation 2 2 2 3 2 3" xfId="15897"/>
    <cellStyle name="Calculation 2 2 2 3 2 4" xfId="16875"/>
    <cellStyle name="Calculation 2 2 2 3 2 5" xfId="17903"/>
    <cellStyle name="Calculation 2 2 2 3 2 6" xfId="18935"/>
    <cellStyle name="Calculation 2 2 2 3 2 7" xfId="19957"/>
    <cellStyle name="Calculation 2 2 2 3 2 8" xfId="20966"/>
    <cellStyle name="Calculation 2 2 2 3 2 9" xfId="21940"/>
    <cellStyle name="Calculation 2 2 2 3 3" xfId="595"/>
    <cellStyle name="Calculation 2 2 2 3 3 10" xfId="22947"/>
    <cellStyle name="Calculation 2 2 2 3 3 11" xfId="23919"/>
    <cellStyle name="Calculation 2 2 2 3 3 12" xfId="24918"/>
    <cellStyle name="Calculation 2 2 2 3 3 13" xfId="27863"/>
    <cellStyle name="Calculation 2 2 2 3 3 14" xfId="28832"/>
    <cellStyle name="Calculation 2 2 2 3 3 15" xfId="29871"/>
    <cellStyle name="Calculation 2 2 2 3 3 16" xfId="30864"/>
    <cellStyle name="Calculation 2 2 2 3 3 17" xfId="31873"/>
    <cellStyle name="Calculation 2 2 2 3 3 18" xfId="32876"/>
    <cellStyle name="Calculation 2 2 2 3 3 19" xfId="33875"/>
    <cellStyle name="Calculation 2 2 2 3 3 2" xfId="596"/>
    <cellStyle name="Calculation 2 2 2 3 3 2 10" xfId="23920"/>
    <cellStyle name="Calculation 2 2 2 3 3 2 11" xfId="24919"/>
    <cellStyle name="Calculation 2 2 2 3 3 2 12" xfId="27864"/>
    <cellStyle name="Calculation 2 2 2 3 3 2 13" xfId="28833"/>
    <cellStyle name="Calculation 2 2 2 3 3 2 14" xfId="29872"/>
    <cellStyle name="Calculation 2 2 2 3 3 2 15" xfId="30865"/>
    <cellStyle name="Calculation 2 2 2 3 3 2 16" xfId="31874"/>
    <cellStyle name="Calculation 2 2 2 3 3 2 17" xfId="32877"/>
    <cellStyle name="Calculation 2 2 2 3 3 2 18" xfId="33876"/>
    <cellStyle name="Calculation 2 2 2 3 3 2 19" xfId="35497"/>
    <cellStyle name="Calculation 2 2 2 3 3 2 2" xfId="15900"/>
    <cellStyle name="Calculation 2 2 2 3 3 2 20" xfId="36436"/>
    <cellStyle name="Calculation 2 2 2 3 3 2 3" xfId="16878"/>
    <cellStyle name="Calculation 2 2 2 3 3 2 4" xfId="17906"/>
    <cellStyle name="Calculation 2 2 2 3 3 2 5" xfId="18938"/>
    <cellStyle name="Calculation 2 2 2 3 3 2 6" xfId="19960"/>
    <cellStyle name="Calculation 2 2 2 3 3 2 7" xfId="20969"/>
    <cellStyle name="Calculation 2 2 2 3 3 2 8" xfId="21943"/>
    <cellStyle name="Calculation 2 2 2 3 3 2 9" xfId="22948"/>
    <cellStyle name="Calculation 2 2 2 3 3 20" xfId="35496"/>
    <cellStyle name="Calculation 2 2 2 3 3 21" xfId="36435"/>
    <cellStyle name="Calculation 2 2 2 3 3 3" xfId="15899"/>
    <cellStyle name="Calculation 2 2 2 3 3 4" xfId="16877"/>
    <cellStyle name="Calculation 2 2 2 3 3 5" xfId="17905"/>
    <cellStyle name="Calculation 2 2 2 3 3 6" xfId="18937"/>
    <cellStyle name="Calculation 2 2 2 3 3 7" xfId="19959"/>
    <cellStyle name="Calculation 2 2 2 3 3 8" xfId="20968"/>
    <cellStyle name="Calculation 2 2 2 3 3 9" xfId="21942"/>
    <cellStyle name="Calculation 2 2 2 3 4" xfId="597"/>
    <cellStyle name="Calculation 2 2 2 3 4 10" xfId="22949"/>
    <cellStyle name="Calculation 2 2 2 3 4 11" xfId="23921"/>
    <cellStyle name="Calculation 2 2 2 3 4 12" xfId="24920"/>
    <cellStyle name="Calculation 2 2 2 3 4 13" xfId="27865"/>
    <cellStyle name="Calculation 2 2 2 3 4 14" xfId="28834"/>
    <cellStyle name="Calculation 2 2 2 3 4 15" xfId="29873"/>
    <cellStyle name="Calculation 2 2 2 3 4 16" xfId="30866"/>
    <cellStyle name="Calculation 2 2 2 3 4 17" xfId="31875"/>
    <cellStyle name="Calculation 2 2 2 3 4 18" xfId="32878"/>
    <cellStyle name="Calculation 2 2 2 3 4 19" xfId="33877"/>
    <cellStyle name="Calculation 2 2 2 3 4 2" xfId="598"/>
    <cellStyle name="Calculation 2 2 2 3 4 2 10" xfId="23922"/>
    <cellStyle name="Calculation 2 2 2 3 4 2 11" xfId="24921"/>
    <cellStyle name="Calculation 2 2 2 3 4 2 12" xfId="27866"/>
    <cellStyle name="Calculation 2 2 2 3 4 2 13" xfId="28835"/>
    <cellStyle name="Calculation 2 2 2 3 4 2 14" xfId="29874"/>
    <cellStyle name="Calculation 2 2 2 3 4 2 15" xfId="30867"/>
    <cellStyle name="Calculation 2 2 2 3 4 2 16" xfId="31876"/>
    <cellStyle name="Calculation 2 2 2 3 4 2 17" xfId="32879"/>
    <cellStyle name="Calculation 2 2 2 3 4 2 18" xfId="33878"/>
    <cellStyle name="Calculation 2 2 2 3 4 2 19" xfId="35499"/>
    <cellStyle name="Calculation 2 2 2 3 4 2 2" xfId="15902"/>
    <cellStyle name="Calculation 2 2 2 3 4 2 20" xfId="36438"/>
    <cellStyle name="Calculation 2 2 2 3 4 2 3" xfId="16880"/>
    <cellStyle name="Calculation 2 2 2 3 4 2 4" xfId="17908"/>
    <cellStyle name="Calculation 2 2 2 3 4 2 5" xfId="18940"/>
    <cellStyle name="Calculation 2 2 2 3 4 2 6" xfId="19962"/>
    <cellStyle name="Calculation 2 2 2 3 4 2 7" xfId="20971"/>
    <cellStyle name="Calculation 2 2 2 3 4 2 8" xfId="21945"/>
    <cellStyle name="Calculation 2 2 2 3 4 2 9" xfId="22950"/>
    <cellStyle name="Calculation 2 2 2 3 4 20" xfId="35498"/>
    <cellStyle name="Calculation 2 2 2 3 4 21" xfId="36437"/>
    <cellStyle name="Calculation 2 2 2 3 4 3" xfId="15901"/>
    <cellStyle name="Calculation 2 2 2 3 4 4" xfId="16879"/>
    <cellStyle name="Calculation 2 2 2 3 4 5" xfId="17907"/>
    <cellStyle name="Calculation 2 2 2 3 4 6" xfId="18939"/>
    <cellStyle name="Calculation 2 2 2 3 4 7" xfId="19961"/>
    <cellStyle name="Calculation 2 2 2 3 4 8" xfId="20970"/>
    <cellStyle name="Calculation 2 2 2 3 4 9" xfId="21944"/>
    <cellStyle name="Calculation 2 2 2 3 5" xfId="599"/>
    <cellStyle name="Calculation 2 2 2 3 5 10" xfId="23923"/>
    <cellStyle name="Calculation 2 2 2 3 5 11" xfId="24922"/>
    <cellStyle name="Calculation 2 2 2 3 5 12" xfId="27867"/>
    <cellStyle name="Calculation 2 2 2 3 5 13" xfId="28836"/>
    <cellStyle name="Calculation 2 2 2 3 5 14" xfId="29875"/>
    <cellStyle name="Calculation 2 2 2 3 5 15" xfId="30868"/>
    <cellStyle name="Calculation 2 2 2 3 5 16" xfId="31877"/>
    <cellStyle name="Calculation 2 2 2 3 5 17" xfId="32880"/>
    <cellStyle name="Calculation 2 2 2 3 5 18" xfId="33879"/>
    <cellStyle name="Calculation 2 2 2 3 5 19" xfId="35500"/>
    <cellStyle name="Calculation 2 2 2 3 5 2" xfId="15903"/>
    <cellStyle name="Calculation 2 2 2 3 5 20" xfId="36439"/>
    <cellStyle name="Calculation 2 2 2 3 5 3" xfId="16881"/>
    <cellStyle name="Calculation 2 2 2 3 5 4" xfId="17909"/>
    <cellStyle name="Calculation 2 2 2 3 5 5" xfId="18941"/>
    <cellStyle name="Calculation 2 2 2 3 5 6" xfId="19963"/>
    <cellStyle name="Calculation 2 2 2 3 5 7" xfId="20972"/>
    <cellStyle name="Calculation 2 2 2 3 5 8" xfId="21946"/>
    <cellStyle name="Calculation 2 2 2 3 5 9" xfId="22951"/>
    <cellStyle name="Calculation 2 2 2 3 6" xfId="13896"/>
    <cellStyle name="Calculation 2 2 2 3 7" xfId="13797"/>
    <cellStyle name="Calculation 2 2 2 3 8" xfId="14675"/>
    <cellStyle name="Calculation 2 2 2 3 9" xfId="14591"/>
    <cellStyle name="Calculation 2 2 2 4" xfId="600"/>
    <cellStyle name="Calculation 2 2 2 4 10" xfId="14237"/>
    <cellStyle name="Calculation 2 2 2 4 11" xfId="14968"/>
    <cellStyle name="Calculation 2 2 2 4 12" xfId="26343"/>
    <cellStyle name="Calculation 2 2 2 4 13" xfId="27151"/>
    <cellStyle name="Calculation 2 2 2 4 14" xfId="26255"/>
    <cellStyle name="Calculation 2 2 2 4 15" xfId="26275"/>
    <cellStyle name="Calculation 2 2 2 4 16" xfId="27658"/>
    <cellStyle name="Calculation 2 2 2 4 17" xfId="26869"/>
    <cellStyle name="Calculation 2 2 2 4 18" xfId="35037"/>
    <cellStyle name="Calculation 2 2 2 4 19" xfId="35306"/>
    <cellStyle name="Calculation 2 2 2 4 2" xfId="601"/>
    <cellStyle name="Calculation 2 2 2 4 2 10" xfId="22952"/>
    <cellStyle name="Calculation 2 2 2 4 2 11" xfId="23924"/>
    <cellStyle name="Calculation 2 2 2 4 2 12" xfId="24923"/>
    <cellStyle name="Calculation 2 2 2 4 2 13" xfId="27868"/>
    <cellStyle name="Calculation 2 2 2 4 2 14" xfId="28837"/>
    <cellStyle name="Calculation 2 2 2 4 2 15" xfId="29876"/>
    <cellStyle name="Calculation 2 2 2 4 2 16" xfId="30869"/>
    <cellStyle name="Calculation 2 2 2 4 2 17" xfId="31878"/>
    <cellStyle name="Calculation 2 2 2 4 2 18" xfId="32881"/>
    <cellStyle name="Calculation 2 2 2 4 2 19" xfId="33880"/>
    <cellStyle name="Calculation 2 2 2 4 2 2" xfId="602"/>
    <cellStyle name="Calculation 2 2 2 4 2 2 10" xfId="23925"/>
    <cellStyle name="Calculation 2 2 2 4 2 2 11" xfId="24924"/>
    <cellStyle name="Calculation 2 2 2 4 2 2 12" xfId="27869"/>
    <cellStyle name="Calculation 2 2 2 4 2 2 13" xfId="28838"/>
    <cellStyle name="Calculation 2 2 2 4 2 2 14" xfId="29877"/>
    <cellStyle name="Calculation 2 2 2 4 2 2 15" xfId="30870"/>
    <cellStyle name="Calculation 2 2 2 4 2 2 16" xfId="31879"/>
    <cellStyle name="Calculation 2 2 2 4 2 2 17" xfId="32882"/>
    <cellStyle name="Calculation 2 2 2 4 2 2 18" xfId="33881"/>
    <cellStyle name="Calculation 2 2 2 4 2 2 19" xfId="35502"/>
    <cellStyle name="Calculation 2 2 2 4 2 2 2" xfId="15905"/>
    <cellStyle name="Calculation 2 2 2 4 2 2 20" xfId="36441"/>
    <cellStyle name="Calculation 2 2 2 4 2 2 3" xfId="16883"/>
    <cellStyle name="Calculation 2 2 2 4 2 2 4" xfId="17911"/>
    <cellStyle name="Calculation 2 2 2 4 2 2 5" xfId="18943"/>
    <cellStyle name="Calculation 2 2 2 4 2 2 6" xfId="19965"/>
    <cellStyle name="Calculation 2 2 2 4 2 2 7" xfId="20974"/>
    <cellStyle name="Calculation 2 2 2 4 2 2 8" xfId="21948"/>
    <cellStyle name="Calculation 2 2 2 4 2 2 9" xfId="22953"/>
    <cellStyle name="Calculation 2 2 2 4 2 20" xfId="35501"/>
    <cellStyle name="Calculation 2 2 2 4 2 21" xfId="36440"/>
    <cellStyle name="Calculation 2 2 2 4 2 3" xfId="15904"/>
    <cellStyle name="Calculation 2 2 2 4 2 4" xfId="16882"/>
    <cellStyle name="Calculation 2 2 2 4 2 5" xfId="17910"/>
    <cellStyle name="Calculation 2 2 2 4 2 6" xfId="18942"/>
    <cellStyle name="Calculation 2 2 2 4 2 7" xfId="19964"/>
    <cellStyle name="Calculation 2 2 2 4 2 8" xfId="20973"/>
    <cellStyle name="Calculation 2 2 2 4 2 9" xfId="21947"/>
    <cellStyle name="Calculation 2 2 2 4 3" xfId="603"/>
    <cellStyle name="Calculation 2 2 2 4 3 10" xfId="22954"/>
    <cellStyle name="Calculation 2 2 2 4 3 11" xfId="23926"/>
    <cellStyle name="Calculation 2 2 2 4 3 12" xfId="24925"/>
    <cellStyle name="Calculation 2 2 2 4 3 13" xfId="27870"/>
    <cellStyle name="Calculation 2 2 2 4 3 14" xfId="28839"/>
    <cellStyle name="Calculation 2 2 2 4 3 15" xfId="29878"/>
    <cellStyle name="Calculation 2 2 2 4 3 16" xfId="30871"/>
    <cellStyle name="Calculation 2 2 2 4 3 17" xfId="31880"/>
    <cellStyle name="Calculation 2 2 2 4 3 18" xfId="32883"/>
    <cellStyle name="Calculation 2 2 2 4 3 19" xfId="33882"/>
    <cellStyle name="Calculation 2 2 2 4 3 2" xfId="604"/>
    <cellStyle name="Calculation 2 2 2 4 3 2 10" xfId="23927"/>
    <cellStyle name="Calculation 2 2 2 4 3 2 11" xfId="24926"/>
    <cellStyle name="Calculation 2 2 2 4 3 2 12" xfId="27871"/>
    <cellStyle name="Calculation 2 2 2 4 3 2 13" xfId="28840"/>
    <cellStyle name="Calculation 2 2 2 4 3 2 14" xfId="29879"/>
    <cellStyle name="Calculation 2 2 2 4 3 2 15" xfId="30872"/>
    <cellStyle name="Calculation 2 2 2 4 3 2 16" xfId="31881"/>
    <cellStyle name="Calculation 2 2 2 4 3 2 17" xfId="32884"/>
    <cellStyle name="Calculation 2 2 2 4 3 2 18" xfId="33883"/>
    <cellStyle name="Calculation 2 2 2 4 3 2 19" xfId="35504"/>
    <cellStyle name="Calculation 2 2 2 4 3 2 2" xfId="15907"/>
    <cellStyle name="Calculation 2 2 2 4 3 2 20" xfId="36443"/>
    <cellStyle name="Calculation 2 2 2 4 3 2 3" xfId="16885"/>
    <cellStyle name="Calculation 2 2 2 4 3 2 4" xfId="17913"/>
    <cellStyle name="Calculation 2 2 2 4 3 2 5" xfId="18945"/>
    <cellStyle name="Calculation 2 2 2 4 3 2 6" xfId="19967"/>
    <cellStyle name="Calculation 2 2 2 4 3 2 7" xfId="20976"/>
    <cellStyle name="Calculation 2 2 2 4 3 2 8" xfId="21950"/>
    <cellStyle name="Calculation 2 2 2 4 3 2 9" xfId="22955"/>
    <cellStyle name="Calculation 2 2 2 4 3 20" xfId="35503"/>
    <cellStyle name="Calculation 2 2 2 4 3 21" xfId="36442"/>
    <cellStyle name="Calculation 2 2 2 4 3 3" xfId="15906"/>
    <cellStyle name="Calculation 2 2 2 4 3 4" xfId="16884"/>
    <cellStyle name="Calculation 2 2 2 4 3 5" xfId="17912"/>
    <cellStyle name="Calculation 2 2 2 4 3 6" xfId="18944"/>
    <cellStyle name="Calculation 2 2 2 4 3 7" xfId="19966"/>
    <cellStyle name="Calculation 2 2 2 4 3 8" xfId="20975"/>
    <cellStyle name="Calculation 2 2 2 4 3 9" xfId="21949"/>
    <cellStyle name="Calculation 2 2 2 4 4" xfId="605"/>
    <cellStyle name="Calculation 2 2 2 4 4 10" xfId="22956"/>
    <cellStyle name="Calculation 2 2 2 4 4 11" xfId="23928"/>
    <cellStyle name="Calculation 2 2 2 4 4 12" xfId="24927"/>
    <cellStyle name="Calculation 2 2 2 4 4 13" xfId="27872"/>
    <cellStyle name="Calculation 2 2 2 4 4 14" xfId="28841"/>
    <cellStyle name="Calculation 2 2 2 4 4 15" xfId="29880"/>
    <cellStyle name="Calculation 2 2 2 4 4 16" xfId="30873"/>
    <cellStyle name="Calculation 2 2 2 4 4 17" xfId="31882"/>
    <cellStyle name="Calculation 2 2 2 4 4 18" xfId="32885"/>
    <cellStyle name="Calculation 2 2 2 4 4 19" xfId="33884"/>
    <cellStyle name="Calculation 2 2 2 4 4 2" xfId="606"/>
    <cellStyle name="Calculation 2 2 2 4 4 2 10" xfId="23929"/>
    <cellStyle name="Calculation 2 2 2 4 4 2 11" xfId="24928"/>
    <cellStyle name="Calculation 2 2 2 4 4 2 12" xfId="27873"/>
    <cellStyle name="Calculation 2 2 2 4 4 2 13" xfId="28842"/>
    <cellStyle name="Calculation 2 2 2 4 4 2 14" xfId="29881"/>
    <cellStyle name="Calculation 2 2 2 4 4 2 15" xfId="30874"/>
    <cellStyle name="Calculation 2 2 2 4 4 2 16" xfId="31883"/>
    <cellStyle name="Calculation 2 2 2 4 4 2 17" xfId="32886"/>
    <cellStyle name="Calculation 2 2 2 4 4 2 18" xfId="33885"/>
    <cellStyle name="Calculation 2 2 2 4 4 2 19" xfId="35506"/>
    <cellStyle name="Calculation 2 2 2 4 4 2 2" xfId="15909"/>
    <cellStyle name="Calculation 2 2 2 4 4 2 20" xfId="36445"/>
    <cellStyle name="Calculation 2 2 2 4 4 2 3" xfId="16887"/>
    <cellStyle name="Calculation 2 2 2 4 4 2 4" xfId="17915"/>
    <cellStyle name="Calculation 2 2 2 4 4 2 5" xfId="18947"/>
    <cellStyle name="Calculation 2 2 2 4 4 2 6" xfId="19969"/>
    <cellStyle name="Calculation 2 2 2 4 4 2 7" xfId="20978"/>
    <cellStyle name="Calculation 2 2 2 4 4 2 8" xfId="21952"/>
    <cellStyle name="Calculation 2 2 2 4 4 2 9" xfId="22957"/>
    <cellStyle name="Calculation 2 2 2 4 4 20" xfId="35505"/>
    <cellStyle name="Calculation 2 2 2 4 4 21" xfId="36444"/>
    <cellStyle name="Calculation 2 2 2 4 4 3" xfId="15908"/>
    <cellStyle name="Calculation 2 2 2 4 4 4" xfId="16886"/>
    <cellStyle name="Calculation 2 2 2 4 4 5" xfId="17914"/>
    <cellStyle name="Calculation 2 2 2 4 4 6" xfId="18946"/>
    <cellStyle name="Calculation 2 2 2 4 4 7" xfId="19968"/>
    <cellStyle name="Calculation 2 2 2 4 4 8" xfId="20977"/>
    <cellStyle name="Calculation 2 2 2 4 4 9" xfId="21951"/>
    <cellStyle name="Calculation 2 2 2 4 5" xfId="607"/>
    <cellStyle name="Calculation 2 2 2 4 5 10" xfId="23930"/>
    <cellStyle name="Calculation 2 2 2 4 5 11" xfId="24929"/>
    <cellStyle name="Calculation 2 2 2 4 5 12" xfId="27874"/>
    <cellStyle name="Calculation 2 2 2 4 5 13" xfId="28843"/>
    <cellStyle name="Calculation 2 2 2 4 5 14" xfId="29882"/>
    <cellStyle name="Calculation 2 2 2 4 5 15" xfId="30875"/>
    <cellStyle name="Calculation 2 2 2 4 5 16" xfId="31884"/>
    <cellStyle name="Calculation 2 2 2 4 5 17" xfId="32887"/>
    <cellStyle name="Calculation 2 2 2 4 5 18" xfId="33886"/>
    <cellStyle name="Calculation 2 2 2 4 5 19" xfId="35507"/>
    <cellStyle name="Calculation 2 2 2 4 5 2" xfId="15910"/>
    <cellStyle name="Calculation 2 2 2 4 5 20" xfId="36446"/>
    <cellStyle name="Calculation 2 2 2 4 5 3" xfId="16888"/>
    <cellStyle name="Calculation 2 2 2 4 5 4" xfId="17916"/>
    <cellStyle name="Calculation 2 2 2 4 5 5" xfId="18948"/>
    <cellStyle name="Calculation 2 2 2 4 5 6" xfId="19970"/>
    <cellStyle name="Calculation 2 2 2 4 5 7" xfId="20979"/>
    <cellStyle name="Calculation 2 2 2 4 5 8" xfId="21953"/>
    <cellStyle name="Calculation 2 2 2 4 5 9" xfId="22958"/>
    <cellStyle name="Calculation 2 2 2 4 6" xfId="15803"/>
    <cellStyle name="Calculation 2 2 2 4 7" xfId="13481"/>
    <cellStyle name="Calculation 2 2 2 4 8" xfId="13505"/>
    <cellStyle name="Calculation 2 2 2 4 9" xfId="15241"/>
    <cellStyle name="Calculation 2 2 2 5" xfId="608"/>
    <cellStyle name="Calculation 2 2 2 5 10" xfId="17817"/>
    <cellStyle name="Calculation 2 2 2 5 11" xfId="14343"/>
    <cellStyle name="Calculation 2 2 2 5 12" xfId="26367"/>
    <cellStyle name="Calculation 2 2 2 5 13" xfId="27713"/>
    <cellStyle name="Calculation 2 2 2 5 14" xfId="27524"/>
    <cellStyle name="Calculation 2 2 2 5 15" xfId="27485"/>
    <cellStyle name="Calculation 2 2 2 5 16" xfId="27387"/>
    <cellStyle name="Calculation 2 2 2 5 17" xfId="27800"/>
    <cellStyle name="Calculation 2 2 2 5 18" xfId="35059"/>
    <cellStyle name="Calculation 2 2 2 5 19" xfId="34843"/>
    <cellStyle name="Calculation 2 2 2 5 2" xfId="609"/>
    <cellStyle name="Calculation 2 2 2 5 2 10" xfId="22959"/>
    <cellStyle name="Calculation 2 2 2 5 2 11" xfId="23931"/>
    <cellStyle name="Calculation 2 2 2 5 2 12" xfId="24930"/>
    <cellStyle name="Calculation 2 2 2 5 2 13" xfId="27875"/>
    <cellStyle name="Calculation 2 2 2 5 2 14" xfId="28844"/>
    <cellStyle name="Calculation 2 2 2 5 2 15" xfId="29883"/>
    <cellStyle name="Calculation 2 2 2 5 2 16" xfId="30876"/>
    <cellStyle name="Calculation 2 2 2 5 2 17" xfId="31885"/>
    <cellStyle name="Calculation 2 2 2 5 2 18" xfId="32888"/>
    <cellStyle name="Calculation 2 2 2 5 2 19" xfId="33887"/>
    <cellStyle name="Calculation 2 2 2 5 2 2" xfId="610"/>
    <cellStyle name="Calculation 2 2 2 5 2 2 10" xfId="23932"/>
    <cellStyle name="Calculation 2 2 2 5 2 2 11" xfId="24931"/>
    <cellStyle name="Calculation 2 2 2 5 2 2 12" xfId="27876"/>
    <cellStyle name="Calculation 2 2 2 5 2 2 13" xfId="28845"/>
    <cellStyle name="Calculation 2 2 2 5 2 2 14" xfId="29884"/>
    <cellStyle name="Calculation 2 2 2 5 2 2 15" xfId="30877"/>
    <cellStyle name="Calculation 2 2 2 5 2 2 16" xfId="31886"/>
    <cellStyle name="Calculation 2 2 2 5 2 2 17" xfId="32889"/>
    <cellStyle name="Calculation 2 2 2 5 2 2 18" xfId="33888"/>
    <cellStyle name="Calculation 2 2 2 5 2 2 19" xfId="35509"/>
    <cellStyle name="Calculation 2 2 2 5 2 2 2" xfId="15912"/>
    <cellStyle name="Calculation 2 2 2 5 2 2 20" xfId="36448"/>
    <cellStyle name="Calculation 2 2 2 5 2 2 3" xfId="16890"/>
    <cellStyle name="Calculation 2 2 2 5 2 2 4" xfId="17918"/>
    <cellStyle name="Calculation 2 2 2 5 2 2 5" xfId="18950"/>
    <cellStyle name="Calculation 2 2 2 5 2 2 6" xfId="19972"/>
    <cellStyle name="Calculation 2 2 2 5 2 2 7" xfId="20981"/>
    <cellStyle name="Calculation 2 2 2 5 2 2 8" xfId="21955"/>
    <cellStyle name="Calculation 2 2 2 5 2 2 9" xfId="22960"/>
    <cellStyle name="Calculation 2 2 2 5 2 20" xfId="35508"/>
    <cellStyle name="Calculation 2 2 2 5 2 21" xfId="36447"/>
    <cellStyle name="Calculation 2 2 2 5 2 3" xfId="15911"/>
    <cellStyle name="Calculation 2 2 2 5 2 4" xfId="16889"/>
    <cellStyle name="Calculation 2 2 2 5 2 5" xfId="17917"/>
    <cellStyle name="Calculation 2 2 2 5 2 6" xfId="18949"/>
    <cellStyle name="Calculation 2 2 2 5 2 7" xfId="19971"/>
    <cellStyle name="Calculation 2 2 2 5 2 8" xfId="20980"/>
    <cellStyle name="Calculation 2 2 2 5 2 9" xfId="21954"/>
    <cellStyle name="Calculation 2 2 2 5 3" xfId="611"/>
    <cellStyle name="Calculation 2 2 2 5 3 10" xfId="22961"/>
    <cellStyle name="Calculation 2 2 2 5 3 11" xfId="23933"/>
    <cellStyle name="Calculation 2 2 2 5 3 12" xfId="24932"/>
    <cellStyle name="Calculation 2 2 2 5 3 13" xfId="27877"/>
    <cellStyle name="Calculation 2 2 2 5 3 14" xfId="28846"/>
    <cellStyle name="Calculation 2 2 2 5 3 15" xfId="29885"/>
    <cellStyle name="Calculation 2 2 2 5 3 16" xfId="30878"/>
    <cellStyle name="Calculation 2 2 2 5 3 17" xfId="31887"/>
    <cellStyle name="Calculation 2 2 2 5 3 18" xfId="32890"/>
    <cellStyle name="Calculation 2 2 2 5 3 19" xfId="33889"/>
    <cellStyle name="Calculation 2 2 2 5 3 2" xfId="612"/>
    <cellStyle name="Calculation 2 2 2 5 3 2 10" xfId="23934"/>
    <cellStyle name="Calculation 2 2 2 5 3 2 11" xfId="24933"/>
    <cellStyle name="Calculation 2 2 2 5 3 2 12" xfId="27878"/>
    <cellStyle name="Calculation 2 2 2 5 3 2 13" xfId="28847"/>
    <cellStyle name="Calculation 2 2 2 5 3 2 14" xfId="29886"/>
    <cellStyle name="Calculation 2 2 2 5 3 2 15" xfId="30879"/>
    <cellStyle name="Calculation 2 2 2 5 3 2 16" xfId="31888"/>
    <cellStyle name="Calculation 2 2 2 5 3 2 17" xfId="32891"/>
    <cellStyle name="Calculation 2 2 2 5 3 2 18" xfId="33890"/>
    <cellStyle name="Calculation 2 2 2 5 3 2 19" xfId="35511"/>
    <cellStyle name="Calculation 2 2 2 5 3 2 2" xfId="15914"/>
    <cellStyle name="Calculation 2 2 2 5 3 2 20" xfId="36450"/>
    <cellStyle name="Calculation 2 2 2 5 3 2 3" xfId="16892"/>
    <cellStyle name="Calculation 2 2 2 5 3 2 4" xfId="17920"/>
    <cellStyle name="Calculation 2 2 2 5 3 2 5" xfId="18952"/>
    <cellStyle name="Calculation 2 2 2 5 3 2 6" xfId="19974"/>
    <cellStyle name="Calculation 2 2 2 5 3 2 7" xfId="20983"/>
    <cellStyle name="Calculation 2 2 2 5 3 2 8" xfId="21957"/>
    <cellStyle name="Calculation 2 2 2 5 3 2 9" xfId="22962"/>
    <cellStyle name="Calculation 2 2 2 5 3 20" xfId="35510"/>
    <cellStyle name="Calculation 2 2 2 5 3 21" xfId="36449"/>
    <cellStyle name="Calculation 2 2 2 5 3 3" xfId="15913"/>
    <cellStyle name="Calculation 2 2 2 5 3 4" xfId="16891"/>
    <cellStyle name="Calculation 2 2 2 5 3 5" xfId="17919"/>
    <cellStyle name="Calculation 2 2 2 5 3 6" xfId="18951"/>
    <cellStyle name="Calculation 2 2 2 5 3 7" xfId="19973"/>
    <cellStyle name="Calculation 2 2 2 5 3 8" xfId="20982"/>
    <cellStyle name="Calculation 2 2 2 5 3 9" xfId="21956"/>
    <cellStyle name="Calculation 2 2 2 5 4" xfId="613"/>
    <cellStyle name="Calculation 2 2 2 5 4 10" xfId="22963"/>
    <cellStyle name="Calculation 2 2 2 5 4 11" xfId="23935"/>
    <cellStyle name="Calculation 2 2 2 5 4 12" xfId="24934"/>
    <cellStyle name="Calculation 2 2 2 5 4 13" xfId="27879"/>
    <cellStyle name="Calculation 2 2 2 5 4 14" xfId="28848"/>
    <cellStyle name="Calculation 2 2 2 5 4 15" xfId="29887"/>
    <cellStyle name="Calculation 2 2 2 5 4 16" xfId="30880"/>
    <cellStyle name="Calculation 2 2 2 5 4 17" xfId="31889"/>
    <cellStyle name="Calculation 2 2 2 5 4 18" xfId="32892"/>
    <cellStyle name="Calculation 2 2 2 5 4 19" xfId="33891"/>
    <cellStyle name="Calculation 2 2 2 5 4 2" xfId="614"/>
    <cellStyle name="Calculation 2 2 2 5 4 2 10" xfId="23936"/>
    <cellStyle name="Calculation 2 2 2 5 4 2 11" xfId="24935"/>
    <cellStyle name="Calculation 2 2 2 5 4 2 12" xfId="27880"/>
    <cellStyle name="Calculation 2 2 2 5 4 2 13" xfId="28849"/>
    <cellStyle name="Calculation 2 2 2 5 4 2 14" xfId="29888"/>
    <cellStyle name="Calculation 2 2 2 5 4 2 15" xfId="30881"/>
    <cellStyle name="Calculation 2 2 2 5 4 2 16" xfId="31890"/>
    <cellStyle name="Calculation 2 2 2 5 4 2 17" xfId="32893"/>
    <cellStyle name="Calculation 2 2 2 5 4 2 18" xfId="33892"/>
    <cellStyle name="Calculation 2 2 2 5 4 2 19" xfId="35513"/>
    <cellStyle name="Calculation 2 2 2 5 4 2 2" xfId="15916"/>
    <cellStyle name="Calculation 2 2 2 5 4 2 20" xfId="36452"/>
    <cellStyle name="Calculation 2 2 2 5 4 2 3" xfId="16894"/>
    <cellStyle name="Calculation 2 2 2 5 4 2 4" xfId="17922"/>
    <cellStyle name="Calculation 2 2 2 5 4 2 5" xfId="18954"/>
    <cellStyle name="Calculation 2 2 2 5 4 2 6" xfId="19976"/>
    <cellStyle name="Calculation 2 2 2 5 4 2 7" xfId="20985"/>
    <cellStyle name="Calculation 2 2 2 5 4 2 8" xfId="21959"/>
    <cellStyle name="Calculation 2 2 2 5 4 2 9" xfId="22964"/>
    <cellStyle name="Calculation 2 2 2 5 4 20" xfId="35512"/>
    <cellStyle name="Calculation 2 2 2 5 4 21" xfId="36451"/>
    <cellStyle name="Calculation 2 2 2 5 4 3" xfId="15915"/>
    <cellStyle name="Calculation 2 2 2 5 4 4" xfId="16893"/>
    <cellStyle name="Calculation 2 2 2 5 4 5" xfId="17921"/>
    <cellStyle name="Calculation 2 2 2 5 4 6" xfId="18953"/>
    <cellStyle name="Calculation 2 2 2 5 4 7" xfId="19975"/>
    <cellStyle name="Calculation 2 2 2 5 4 8" xfId="20984"/>
    <cellStyle name="Calculation 2 2 2 5 4 9" xfId="21958"/>
    <cellStyle name="Calculation 2 2 2 5 5" xfId="615"/>
    <cellStyle name="Calculation 2 2 2 5 5 10" xfId="23937"/>
    <cellStyle name="Calculation 2 2 2 5 5 11" xfId="24936"/>
    <cellStyle name="Calculation 2 2 2 5 5 12" xfId="27881"/>
    <cellStyle name="Calculation 2 2 2 5 5 13" xfId="28850"/>
    <cellStyle name="Calculation 2 2 2 5 5 14" xfId="29889"/>
    <cellStyle name="Calculation 2 2 2 5 5 15" xfId="30882"/>
    <cellStyle name="Calculation 2 2 2 5 5 16" xfId="31891"/>
    <cellStyle name="Calculation 2 2 2 5 5 17" xfId="32894"/>
    <cellStyle name="Calculation 2 2 2 5 5 18" xfId="33893"/>
    <cellStyle name="Calculation 2 2 2 5 5 19" xfId="35514"/>
    <cellStyle name="Calculation 2 2 2 5 5 2" xfId="15917"/>
    <cellStyle name="Calculation 2 2 2 5 5 20" xfId="36453"/>
    <cellStyle name="Calculation 2 2 2 5 5 3" xfId="16895"/>
    <cellStyle name="Calculation 2 2 2 5 5 4" xfId="17923"/>
    <cellStyle name="Calculation 2 2 2 5 5 5" xfId="18955"/>
    <cellStyle name="Calculation 2 2 2 5 5 6" xfId="19977"/>
    <cellStyle name="Calculation 2 2 2 5 5 7" xfId="20986"/>
    <cellStyle name="Calculation 2 2 2 5 5 8" xfId="21960"/>
    <cellStyle name="Calculation 2 2 2 5 5 9" xfId="22965"/>
    <cellStyle name="Calculation 2 2 2 5 6" xfId="13761"/>
    <cellStyle name="Calculation 2 2 2 5 7" xfId="14551"/>
    <cellStyle name="Calculation 2 2 2 5 8" xfId="14103"/>
    <cellStyle name="Calculation 2 2 2 5 9" xfId="14526"/>
    <cellStyle name="Calculation 2 2 2 6" xfId="616"/>
    <cellStyle name="Calculation 2 2 2 6 10" xfId="22966"/>
    <cellStyle name="Calculation 2 2 2 6 11" xfId="23938"/>
    <cellStyle name="Calculation 2 2 2 6 12" xfId="24937"/>
    <cellStyle name="Calculation 2 2 2 6 13" xfId="27882"/>
    <cellStyle name="Calculation 2 2 2 6 14" xfId="28851"/>
    <cellStyle name="Calculation 2 2 2 6 15" xfId="29890"/>
    <cellStyle name="Calculation 2 2 2 6 16" xfId="30883"/>
    <cellStyle name="Calculation 2 2 2 6 17" xfId="31892"/>
    <cellStyle name="Calculation 2 2 2 6 18" xfId="32895"/>
    <cellStyle name="Calculation 2 2 2 6 19" xfId="33894"/>
    <cellStyle name="Calculation 2 2 2 6 2" xfId="617"/>
    <cellStyle name="Calculation 2 2 2 6 2 10" xfId="23939"/>
    <cellStyle name="Calculation 2 2 2 6 2 11" xfId="24938"/>
    <cellStyle name="Calculation 2 2 2 6 2 12" xfId="27883"/>
    <cellStyle name="Calculation 2 2 2 6 2 13" xfId="28852"/>
    <cellStyle name="Calculation 2 2 2 6 2 14" xfId="29891"/>
    <cellStyle name="Calculation 2 2 2 6 2 15" xfId="30884"/>
    <cellStyle name="Calculation 2 2 2 6 2 16" xfId="31893"/>
    <cellStyle name="Calculation 2 2 2 6 2 17" xfId="32896"/>
    <cellStyle name="Calculation 2 2 2 6 2 18" xfId="33895"/>
    <cellStyle name="Calculation 2 2 2 6 2 19" xfId="35516"/>
    <cellStyle name="Calculation 2 2 2 6 2 2" xfId="15919"/>
    <cellStyle name="Calculation 2 2 2 6 2 20" xfId="36455"/>
    <cellStyle name="Calculation 2 2 2 6 2 3" xfId="16897"/>
    <cellStyle name="Calculation 2 2 2 6 2 4" xfId="17925"/>
    <cellStyle name="Calculation 2 2 2 6 2 5" xfId="18957"/>
    <cellStyle name="Calculation 2 2 2 6 2 6" xfId="19979"/>
    <cellStyle name="Calculation 2 2 2 6 2 7" xfId="20988"/>
    <cellStyle name="Calculation 2 2 2 6 2 8" xfId="21962"/>
    <cellStyle name="Calculation 2 2 2 6 2 9" xfId="22967"/>
    <cellStyle name="Calculation 2 2 2 6 20" xfId="35515"/>
    <cellStyle name="Calculation 2 2 2 6 21" xfId="36454"/>
    <cellStyle name="Calculation 2 2 2 6 3" xfId="15918"/>
    <cellStyle name="Calculation 2 2 2 6 4" xfId="16896"/>
    <cellStyle name="Calculation 2 2 2 6 5" xfId="17924"/>
    <cellStyle name="Calculation 2 2 2 6 6" xfId="18956"/>
    <cellStyle name="Calculation 2 2 2 6 7" xfId="19978"/>
    <cellStyle name="Calculation 2 2 2 6 8" xfId="20987"/>
    <cellStyle name="Calculation 2 2 2 6 9" xfId="21961"/>
    <cellStyle name="Calculation 2 2 2 7" xfId="618"/>
    <cellStyle name="Calculation 2 2 2 7 10" xfId="22968"/>
    <cellStyle name="Calculation 2 2 2 7 11" xfId="23940"/>
    <cellStyle name="Calculation 2 2 2 7 12" xfId="24939"/>
    <cellStyle name="Calculation 2 2 2 7 13" xfId="27884"/>
    <cellStyle name="Calculation 2 2 2 7 14" xfId="28853"/>
    <cellStyle name="Calculation 2 2 2 7 15" xfId="29892"/>
    <cellStyle name="Calculation 2 2 2 7 16" xfId="30885"/>
    <cellStyle name="Calculation 2 2 2 7 17" xfId="31894"/>
    <cellStyle name="Calculation 2 2 2 7 18" xfId="32897"/>
    <cellStyle name="Calculation 2 2 2 7 19" xfId="33896"/>
    <cellStyle name="Calculation 2 2 2 7 2" xfId="619"/>
    <cellStyle name="Calculation 2 2 2 7 2 10" xfId="23941"/>
    <cellStyle name="Calculation 2 2 2 7 2 11" xfId="24940"/>
    <cellStyle name="Calculation 2 2 2 7 2 12" xfId="27885"/>
    <cellStyle name="Calculation 2 2 2 7 2 13" xfId="28854"/>
    <cellStyle name="Calculation 2 2 2 7 2 14" xfId="29893"/>
    <cellStyle name="Calculation 2 2 2 7 2 15" xfId="30886"/>
    <cellStyle name="Calculation 2 2 2 7 2 16" xfId="31895"/>
    <cellStyle name="Calculation 2 2 2 7 2 17" xfId="32898"/>
    <cellStyle name="Calculation 2 2 2 7 2 18" xfId="33897"/>
    <cellStyle name="Calculation 2 2 2 7 2 19" xfId="35518"/>
    <cellStyle name="Calculation 2 2 2 7 2 2" xfId="15921"/>
    <cellStyle name="Calculation 2 2 2 7 2 20" xfId="36457"/>
    <cellStyle name="Calculation 2 2 2 7 2 3" xfId="16899"/>
    <cellStyle name="Calculation 2 2 2 7 2 4" xfId="17927"/>
    <cellStyle name="Calculation 2 2 2 7 2 5" xfId="18959"/>
    <cellStyle name="Calculation 2 2 2 7 2 6" xfId="19981"/>
    <cellStyle name="Calculation 2 2 2 7 2 7" xfId="20990"/>
    <cellStyle name="Calculation 2 2 2 7 2 8" xfId="21964"/>
    <cellStyle name="Calculation 2 2 2 7 2 9" xfId="22969"/>
    <cellStyle name="Calculation 2 2 2 7 20" xfId="35517"/>
    <cellStyle name="Calculation 2 2 2 7 21" xfId="36456"/>
    <cellStyle name="Calculation 2 2 2 7 3" xfId="15920"/>
    <cellStyle name="Calculation 2 2 2 7 4" xfId="16898"/>
    <cellStyle name="Calculation 2 2 2 7 5" xfId="17926"/>
    <cellStyle name="Calculation 2 2 2 7 6" xfId="18958"/>
    <cellStyle name="Calculation 2 2 2 7 7" xfId="19980"/>
    <cellStyle name="Calculation 2 2 2 7 8" xfId="20989"/>
    <cellStyle name="Calculation 2 2 2 7 9" xfId="21963"/>
    <cellStyle name="Calculation 2 2 2 8" xfId="620"/>
    <cellStyle name="Calculation 2 2 2 8 10" xfId="22970"/>
    <cellStyle name="Calculation 2 2 2 8 11" xfId="23942"/>
    <cellStyle name="Calculation 2 2 2 8 12" xfId="24941"/>
    <cellStyle name="Calculation 2 2 2 8 13" xfId="27886"/>
    <cellStyle name="Calculation 2 2 2 8 14" xfId="28855"/>
    <cellStyle name="Calculation 2 2 2 8 15" xfId="29894"/>
    <cellStyle name="Calculation 2 2 2 8 16" xfId="30887"/>
    <cellStyle name="Calculation 2 2 2 8 17" xfId="31896"/>
    <cellStyle name="Calculation 2 2 2 8 18" xfId="32899"/>
    <cellStyle name="Calculation 2 2 2 8 19" xfId="33898"/>
    <cellStyle name="Calculation 2 2 2 8 2" xfId="621"/>
    <cellStyle name="Calculation 2 2 2 8 2 10" xfId="23943"/>
    <cellStyle name="Calculation 2 2 2 8 2 11" xfId="24942"/>
    <cellStyle name="Calculation 2 2 2 8 2 12" xfId="27887"/>
    <cellStyle name="Calculation 2 2 2 8 2 13" xfId="28856"/>
    <cellStyle name="Calculation 2 2 2 8 2 14" xfId="29895"/>
    <cellStyle name="Calculation 2 2 2 8 2 15" xfId="30888"/>
    <cellStyle name="Calculation 2 2 2 8 2 16" xfId="31897"/>
    <cellStyle name="Calculation 2 2 2 8 2 17" xfId="32900"/>
    <cellStyle name="Calculation 2 2 2 8 2 18" xfId="33899"/>
    <cellStyle name="Calculation 2 2 2 8 2 19" xfId="35520"/>
    <cellStyle name="Calculation 2 2 2 8 2 2" xfId="15923"/>
    <cellStyle name="Calculation 2 2 2 8 2 20" xfId="36459"/>
    <cellStyle name="Calculation 2 2 2 8 2 3" xfId="16901"/>
    <cellStyle name="Calculation 2 2 2 8 2 4" xfId="17929"/>
    <cellStyle name="Calculation 2 2 2 8 2 5" xfId="18961"/>
    <cellStyle name="Calculation 2 2 2 8 2 6" xfId="19983"/>
    <cellStyle name="Calculation 2 2 2 8 2 7" xfId="20992"/>
    <cellStyle name="Calculation 2 2 2 8 2 8" xfId="21966"/>
    <cellStyle name="Calculation 2 2 2 8 2 9" xfId="22971"/>
    <cellStyle name="Calculation 2 2 2 8 20" xfId="35519"/>
    <cellStyle name="Calculation 2 2 2 8 21" xfId="36458"/>
    <cellStyle name="Calculation 2 2 2 8 3" xfId="15922"/>
    <cellStyle name="Calculation 2 2 2 8 4" xfId="16900"/>
    <cellStyle name="Calculation 2 2 2 8 5" xfId="17928"/>
    <cellStyle name="Calculation 2 2 2 8 6" xfId="18960"/>
    <cellStyle name="Calculation 2 2 2 8 7" xfId="19982"/>
    <cellStyle name="Calculation 2 2 2 8 8" xfId="20991"/>
    <cellStyle name="Calculation 2 2 2 8 9" xfId="21965"/>
    <cellStyle name="Calculation 2 2 2 9" xfId="622"/>
    <cellStyle name="Calculation 2 2 2 9 10" xfId="23944"/>
    <cellStyle name="Calculation 2 2 2 9 11" xfId="24943"/>
    <cellStyle name="Calculation 2 2 2 9 12" xfId="27888"/>
    <cellStyle name="Calculation 2 2 2 9 13" xfId="28857"/>
    <cellStyle name="Calculation 2 2 2 9 14" xfId="29896"/>
    <cellStyle name="Calculation 2 2 2 9 15" xfId="30889"/>
    <cellStyle name="Calculation 2 2 2 9 16" xfId="31898"/>
    <cellStyle name="Calculation 2 2 2 9 17" xfId="32901"/>
    <cellStyle name="Calculation 2 2 2 9 18" xfId="33900"/>
    <cellStyle name="Calculation 2 2 2 9 19" xfId="35521"/>
    <cellStyle name="Calculation 2 2 2 9 2" xfId="15924"/>
    <cellStyle name="Calculation 2 2 2 9 20" xfId="36460"/>
    <cellStyle name="Calculation 2 2 2 9 3" xfId="16902"/>
    <cellStyle name="Calculation 2 2 2 9 4" xfId="17930"/>
    <cellStyle name="Calculation 2 2 2 9 5" xfId="18962"/>
    <cellStyle name="Calculation 2 2 2 9 6" xfId="19984"/>
    <cellStyle name="Calculation 2 2 2 9 7" xfId="20993"/>
    <cellStyle name="Calculation 2 2 2 9 8" xfId="21967"/>
    <cellStyle name="Calculation 2 2 2 9 9" xfId="22972"/>
    <cellStyle name="Calculation 2 2 3" xfId="623"/>
    <cellStyle name="Calculation 2 2 3 10" xfId="13632"/>
    <cellStyle name="Calculation 2 2 3 11" xfId="13788"/>
    <cellStyle name="Calculation 2 2 3 12" xfId="15484"/>
    <cellStyle name="Calculation 2 2 3 13" xfId="15262"/>
    <cellStyle name="Calculation 2 2 3 14" xfId="13425"/>
    <cellStyle name="Calculation 2 2 3 15" xfId="21867"/>
    <cellStyle name="Calculation 2 2 3 16" xfId="26072"/>
    <cellStyle name="Calculation 2 2 3 17" xfId="26053"/>
    <cellStyle name="Calculation 2 2 3 18" xfId="27209"/>
    <cellStyle name="Calculation 2 2 3 19" xfId="27613"/>
    <cellStyle name="Calculation 2 2 3 2" xfId="624"/>
    <cellStyle name="Calculation 2 2 3 2 10" xfId="18893"/>
    <cellStyle name="Calculation 2 2 3 2 11" xfId="14255"/>
    <cellStyle name="Calculation 2 2 3 2 12" xfId="26295"/>
    <cellStyle name="Calculation 2 2 3 2 13" xfId="27184"/>
    <cellStyle name="Calculation 2 2 3 2 14" xfId="26812"/>
    <cellStyle name="Calculation 2 2 3 2 15" xfId="27339"/>
    <cellStyle name="Calculation 2 2 3 2 16" xfId="27638"/>
    <cellStyle name="Calculation 2 2 3 2 17" xfId="26577"/>
    <cellStyle name="Calculation 2 2 3 2 18" xfId="34991"/>
    <cellStyle name="Calculation 2 2 3 2 19" xfId="35337"/>
    <cellStyle name="Calculation 2 2 3 2 2" xfId="625"/>
    <cellStyle name="Calculation 2 2 3 2 2 10" xfId="22973"/>
    <cellStyle name="Calculation 2 2 3 2 2 11" xfId="23945"/>
    <cellStyle name="Calculation 2 2 3 2 2 12" xfId="24944"/>
    <cellStyle name="Calculation 2 2 3 2 2 13" xfId="27889"/>
    <cellStyle name="Calculation 2 2 3 2 2 14" xfId="28858"/>
    <cellStyle name="Calculation 2 2 3 2 2 15" xfId="29897"/>
    <cellStyle name="Calculation 2 2 3 2 2 16" xfId="30890"/>
    <cellStyle name="Calculation 2 2 3 2 2 17" xfId="31899"/>
    <cellStyle name="Calculation 2 2 3 2 2 18" xfId="32902"/>
    <cellStyle name="Calculation 2 2 3 2 2 19" xfId="33901"/>
    <cellStyle name="Calculation 2 2 3 2 2 2" xfId="626"/>
    <cellStyle name="Calculation 2 2 3 2 2 2 10" xfId="23946"/>
    <cellStyle name="Calculation 2 2 3 2 2 2 11" xfId="24945"/>
    <cellStyle name="Calculation 2 2 3 2 2 2 12" xfId="27890"/>
    <cellStyle name="Calculation 2 2 3 2 2 2 13" xfId="28859"/>
    <cellStyle name="Calculation 2 2 3 2 2 2 14" xfId="29898"/>
    <cellStyle name="Calculation 2 2 3 2 2 2 15" xfId="30891"/>
    <cellStyle name="Calculation 2 2 3 2 2 2 16" xfId="31900"/>
    <cellStyle name="Calculation 2 2 3 2 2 2 17" xfId="32903"/>
    <cellStyle name="Calculation 2 2 3 2 2 2 18" xfId="33902"/>
    <cellStyle name="Calculation 2 2 3 2 2 2 19" xfId="35523"/>
    <cellStyle name="Calculation 2 2 3 2 2 2 2" xfId="15926"/>
    <cellStyle name="Calculation 2 2 3 2 2 2 20" xfId="36462"/>
    <cellStyle name="Calculation 2 2 3 2 2 2 3" xfId="16904"/>
    <cellStyle name="Calculation 2 2 3 2 2 2 4" xfId="17932"/>
    <cellStyle name="Calculation 2 2 3 2 2 2 5" xfId="18964"/>
    <cellStyle name="Calculation 2 2 3 2 2 2 6" xfId="19986"/>
    <cellStyle name="Calculation 2 2 3 2 2 2 7" xfId="20995"/>
    <cellStyle name="Calculation 2 2 3 2 2 2 8" xfId="21969"/>
    <cellStyle name="Calculation 2 2 3 2 2 2 9" xfId="22974"/>
    <cellStyle name="Calculation 2 2 3 2 2 20" xfId="35522"/>
    <cellStyle name="Calculation 2 2 3 2 2 21" xfId="36461"/>
    <cellStyle name="Calculation 2 2 3 2 2 3" xfId="15925"/>
    <cellStyle name="Calculation 2 2 3 2 2 4" xfId="16903"/>
    <cellStyle name="Calculation 2 2 3 2 2 5" xfId="17931"/>
    <cellStyle name="Calculation 2 2 3 2 2 6" xfId="18963"/>
    <cellStyle name="Calculation 2 2 3 2 2 7" xfId="19985"/>
    <cellStyle name="Calculation 2 2 3 2 2 8" xfId="20994"/>
    <cellStyle name="Calculation 2 2 3 2 2 9" xfId="21968"/>
    <cellStyle name="Calculation 2 2 3 2 3" xfId="627"/>
    <cellStyle name="Calculation 2 2 3 2 3 10" xfId="22975"/>
    <cellStyle name="Calculation 2 2 3 2 3 11" xfId="23947"/>
    <cellStyle name="Calculation 2 2 3 2 3 12" xfId="24946"/>
    <cellStyle name="Calculation 2 2 3 2 3 13" xfId="27891"/>
    <cellStyle name="Calculation 2 2 3 2 3 14" xfId="28860"/>
    <cellStyle name="Calculation 2 2 3 2 3 15" xfId="29899"/>
    <cellStyle name="Calculation 2 2 3 2 3 16" xfId="30892"/>
    <cellStyle name="Calculation 2 2 3 2 3 17" xfId="31901"/>
    <cellStyle name="Calculation 2 2 3 2 3 18" xfId="32904"/>
    <cellStyle name="Calculation 2 2 3 2 3 19" xfId="33903"/>
    <cellStyle name="Calculation 2 2 3 2 3 2" xfId="628"/>
    <cellStyle name="Calculation 2 2 3 2 3 2 10" xfId="23948"/>
    <cellStyle name="Calculation 2 2 3 2 3 2 11" xfId="24947"/>
    <cellStyle name="Calculation 2 2 3 2 3 2 12" xfId="27892"/>
    <cellStyle name="Calculation 2 2 3 2 3 2 13" xfId="28861"/>
    <cellStyle name="Calculation 2 2 3 2 3 2 14" xfId="29900"/>
    <cellStyle name="Calculation 2 2 3 2 3 2 15" xfId="30893"/>
    <cellStyle name="Calculation 2 2 3 2 3 2 16" xfId="31902"/>
    <cellStyle name="Calculation 2 2 3 2 3 2 17" xfId="32905"/>
    <cellStyle name="Calculation 2 2 3 2 3 2 18" xfId="33904"/>
    <cellStyle name="Calculation 2 2 3 2 3 2 19" xfId="35525"/>
    <cellStyle name="Calculation 2 2 3 2 3 2 2" xfId="15928"/>
    <cellStyle name="Calculation 2 2 3 2 3 2 20" xfId="36464"/>
    <cellStyle name="Calculation 2 2 3 2 3 2 3" xfId="16906"/>
    <cellStyle name="Calculation 2 2 3 2 3 2 4" xfId="17934"/>
    <cellStyle name="Calculation 2 2 3 2 3 2 5" xfId="18966"/>
    <cellStyle name="Calculation 2 2 3 2 3 2 6" xfId="19988"/>
    <cellStyle name="Calculation 2 2 3 2 3 2 7" xfId="20997"/>
    <cellStyle name="Calculation 2 2 3 2 3 2 8" xfId="21971"/>
    <cellStyle name="Calculation 2 2 3 2 3 2 9" xfId="22976"/>
    <cellStyle name="Calculation 2 2 3 2 3 20" xfId="35524"/>
    <cellStyle name="Calculation 2 2 3 2 3 21" xfId="36463"/>
    <cellStyle name="Calculation 2 2 3 2 3 3" xfId="15927"/>
    <cellStyle name="Calculation 2 2 3 2 3 4" xfId="16905"/>
    <cellStyle name="Calculation 2 2 3 2 3 5" xfId="17933"/>
    <cellStyle name="Calculation 2 2 3 2 3 6" xfId="18965"/>
    <cellStyle name="Calculation 2 2 3 2 3 7" xfId="19987"/>
    <cellStyle name="Calculation 2 2 3 2 3 8" xfId="20996"/>
    <cellStyle name="Calculation 2 2 3 2 3 9" xfId="21970"/>
    <cellStyle name="Calculation 2 2 3 2 4" xfId="629"/>
    <cellStyle name="Calculation 2 2 3 2 4 10" xfId="22977"/>
    <cellStyle name="Calculation 2 2 3 2 4 11" xfId="23949"/>
    <cellStyle name="Calculation 2 2 3 2 4 12" xfId="24948"/>
    <cellStyle name="Calculation 2 2 3 2 4 13" xfId="27893"/>
    <cellStyle name="Calculation 2 2 3 2 4 14" xfId="28862"/>
    <cellStyle name="Calculation 2 2 3 2 4 15" xfId="29901"/>
    <cellStyle name="Calculation 2 2 3 2 4 16" xfId="30894"/>
    <cellStyle name="Calculation 2 2 3 2 4 17" xfId="31903"/>
    <cellStyle name="Calculation 2 2 3 2 4 18" xfId="32906"/>
    <cellStyle name="Calculation 2 2 3 2 4 19" xfId="33905"/>
    <cellStyle name="Calculation 2 2 3 2 4 2" xfId="630"/>
    <cellStyle name="Calculation 2 2 3 2 4 2 10" xfId="23950"/>
    <cellStyle name="Calculation 2 2 3 2 4 2 11" xfId="24949"/>
    <cellStyle name="Calculation 2 2 3 2 4 2 12" xfId="27894"/>
    <cellStyle name="Calculation 2 2 3 2 4 2 13" xfId="28863"/>
    <cellStyle name="Calculation 2 2 3 2 4 2 14" xfId="29902"/>
    <cellStyle name="Calculation 2 2 3 2 4 2 15" xfId="30895"/>
    <cellStyle name="Calculation 2 2 3 2 4 2 16" xfId="31904"/>
    <cellStyle name="Calculation 2 2 3 2 4 2 17" xfId="32907"/>
    <cellStyle name="Calculation 2 2 3 2 4 2 18" xfId="33906"/>
    <cellStyle name="Calculation 2 2 3 2 4 2 19" xfId="35527"/>
    <cellStyle name="Calculation 2 2 3 2 4 2 2" xfId="15930"/>
    <cellStyle name="Calculation 2 2 3 2 4 2 20" xfId="36466"/>
    <cellStyle name="Calculation 2 2 3 2 4 2 3" xfId="16908"/>
    <cellStyle name="Calculation 2 2 3 2 4 2 4" xfId="17936"/>
    <cellStyle name="Calculation 2 2 3 2 4 2 5" xfId="18968"/>
    <cellStyle name="Calculation 2 2 3 2 4 2 6" xfId="19990"/>
    <cellStyle name="Calculation 2 2 3 2 4 2 7" xfId="20999"/>
    <cellStyle name="Calculation 2 2 3 2 4 2 8" xfId="21973"/>
    <cellStyle name="Calculation 2 2 3 2 4 2 9" xfId="22978"/>
    <cellStyle name="Calculation 2 2 3 2 4 20" xfId="35526"/>
    <cellStyle name="Calculation 2 2 3 2 4 21" xfId="36465"/>
    <cellStyle name="Calculation 2 2 3 2 4 3" xfId="15929"/>
    <cellStyle name="Calculation 2 2 3 2 4 4" xfId="16907"/>
    <cellStyle name="Calculation 2 2 3 2 4 5" xfId="17935"/>
    <cellStyle name="Calculation 2 2 3 2 4 6" xfId="18967"/>
    <cellStyle name="Calculation 2 2 3 2 4 7" xfId="19989"/>
    <cellStyle name="Calculation 2 2 3 2 4 8" xfId="20998"/>
    <cellStyle name="Calculation 2 2 3 2 4 9" xfId="21972"/>
    <cellStyle name="Calculation 2 2 3 2 5" xfId="631"/>
    <cellStyle name="Calculation 2 2 3 2 5 10" xfId="23951"/>
    <cellStyle name="Calculation 2 2 3 2 5 11" xfId="24950"/>
    <cellStyle name="Calculation 2 2 3 2 5 12" xfId="27895"/>
    <cellStyle name="Calculation 2 2 3 2 5 13" xfId="28864"/>
    <cellStyle name="Calculation 2 2 3 2 5 14" xfId="29903"/>
    <cellStyle name="Calculation 2 2 3 2 5 15" xfId="30896"/>
    <cellStyle name="Calculation 2 2 3 2 5 16" xfId="31905"/>
    <cellStyle name="Calculation 2 2 3 2 5 17" xfId="32908"/>
    <cellStyle name="Calculation 2 2 3 2 5 18" xfId="33907"/>
    <cellStyle name="Calculation 2 2 3 2 5 19" xfId="35528"/>
    <cellStyle name="Calculation 2 2 3 2 5 2" xfId="15931"/>
    <cellStyle name="Calculation 2 2 3 2 5 20" xfId="36467"/>
    <cellStyle name="Calculation 2 2 3 2 5 3" xfId="16909"/>
    <cellStyle name="Calculation 2 2 3 2 5 4" xfId="17937"/>
    <cellStyle name="Calculation 2 2 3 2 5 5" xfId="18969"/>
    <cellStyle name="Calculation 2 2 3 2 5 6" xfId="19991"/>
    <cellStyle name="Calculation 2 2 3 2 5 7" xfId="21000"/>
    <cellStyle name="Calculation 2 2 3 2 5 8" xfId="21974"/>
    <cellStyle name="Calculation 2 2 3 2 5 9" xfId="22979"/>
    <cellStyle name="Calculation 2 2 3 2 6" xfId="15191"/>
    <cellStyle name="Calculation 2 2 3 2 7" xfId="14076"/>
    <cellStyle name="Calculation 2 2 3 2 8" xfId="14574"/>
    <cellStyle name="Calculation 2 2 3 2 9" xfId="14751"/>
    <cellStyle name="Calculation 2 2 3 20" xfId="26987"/>
    <cellStyle name="Calculation 2 2 3 21" xfId="26010"/>
    <cellStyle name="Calculation 2 2 3 22" xfId="34934"/>
    <cellStyle name="Calculation 2 2 3 23" xfId="35370"/>
    <cellStyle name="Calculation 2 2 3 3" xfId="632"/>
    <cellStyle name="Calculation 2 2 3 3 10" xfId="14404"/>
    <cellStyle name="Calculation 2 2 3 3 11" xfId="15444"/>
    <cellStyle name="Calculation 2 2 3 3 12" xfId="26375"/>
    <cellStyle name="Calculation 2 2 3 3 13" xfId="27132"/>
    <cellStyle name="Calculation 2 2 3 3 14" xfId="26142"/>
    <cellStyle name="Calculation 2 2 3 3 15" xfId="26768"/>
    <cellStyle name="Calculation 2 2 3 3 16" xfId="27564"/>
    <cellStyle name="Calculation 2 2 3 3 17" xfId="27342"/>
    <cellStyle name="Calculation 2 2 3 3 18" xfId="35066"/>
    <cellStyle name="Calculation 2 2 3 3 19" xfId="35287"/>
    <cellStyle name="Calculation 2 2 3 3 2" xfId="633"/>
    <cellStyle name="Calculation 2 2 3 3 2 10" xfId="22980"/>
    <cellStyle name="Calculation 2 2 3 3 2 11" xfId="23952"/>
    <cellStyle name="Calculation 2 2 3 3 2 12" xfId="24951"/>
    <cellStyle name="Calculation 2 2 3 3 2 13" xfId="27896"/>
    <cellStyle name="Calculation 2 2 3 3 2 14" xfId="28865"/>
    <cellStyle name="Calculation 2 2 3 3 2 15" xfId="29904"/>
    <cellStyle name="Calculation 2 2 3 3 2 16" xfId="30897"/>
    <cellStyle name="Calculation 2 2 3 3 2 17" xfId="31906"/>
    <cellStyle name="Calculation 2 2 3 3 2 18" xfId="32909"/>
    <cellStyle name="Calculation 2 2 3 3 2 19" xfId="33908"/>
    <cellStyle name="Calculation 2 2 3 3 2 2" xfId="634"/>
    <cellStyle name="Calculation 2 2 3 3 2 2 10" xfId="23953"/>
    <cellStyle name="Calculation 2 2 3 3 2 2 11" xfId="24952"/>
    <cellStyle name="Calculation 2 2 3 3 2 2 12" xfId="27897"/>
    <cellStyle name="Calculation 2 2 3 3 2 2 13" xfId="28866"/>
    <cellStyle name="Calculation 2 2 3 3 2 2 14" xfId="29905"/>
    <cellStyle name="Calculation 2 2 3 3 2 2 15" xfId="30898"/>
    <cellStyle name="Calculation 2 2 3 3 2 2 16" xfId="31907"/>
    <cellStyle name="Calculation 2 2 3 3 2 2 17" xfId="32910"/>
    <cellStyle name="Calculation 2 2 3 3 2 2 18" xfId="33909"/>
    <cellStyle name="Calculation 2 2 3 3 2 2 19" xfId="35530"/>
    <cellStyle name="Calculation 2 2 3 3 2 2 2" xfId="15933"/>
    <cellStyle name="Calculation 2 2 3 3 2 2 20" xfId="36469"/>
    <cellStyle name="Calculation 2 2 3 3 2 2 3" xfId="16911"/>
    <cellStyle name="Calculation 2 2 3 3 2 2 4" xfId="17939"/>
    <cellStyle name="Calculation 2 2 3 3 2 2 5" xfId="18971"/>
    <cellStyle name="Calculation 2 2 3 3 2 2 6" xfId="19993"/>
    <cellStyle name="Calculation 2 2 3 3 2 2 7" xfId="21002"/>
    <cellStyle name="Calculation 2 2 3 3 2 2 8" xfId="21976"/>
    <cellStyle name="Calculation 2 2 3 3 2 2 9" xfId="22981"/>
    <cellStyle name="Calculation 2 2 3 3 2 20" xfId="35529"/>
    <cellStyle name="Calculation 2 2 3 3 2 21" xfId="36468"/>
    <cellStyle name="Calculation 2 2 3 3 2 3" xfId="15932"/>
    <cellStyle name="Calculation 2 2 3 3 2 4" xfId="16910"/>
    <cellStyle name="Calculation 2 2 3 3 2 5" xfId="17938"/>
    <cellStyle name="Calculation 2 2 3 3 2 6" xfId="18970"/>
    <cellStyle name="Calculation 2 2 3 3 2 7" xfId="19992"/>
    <cellStyle name="Calculation 2 2 3 3 2 8" xfId="21001"/>
    <cellStyle name="Calculation 2 2 3 3 2 9" xfId="21975"/>
    <cellStyle name="Calculation 2 2 3 3 3" xfId="635"/>
    <cellStyle name="Calculation 2 2 3 3 3 10" xfId="22982"/>
    <cellStyle name="Calculation 2 2 3 3 3 11" xfId="23954"/>
    <cellStyle name="Calculation 2 2 3 3 3 12" xfId="24953"/>
    <cellStyle name="Calculation 2 2 3 3 3 13" xfId="27898"/>
    <cellStyle name="Calculation 2 2 3 3 3 14" xfId="28867"/>
    <cellStyle name="Calculation 2 2 3 3 3 15" xfId="29906"/>
    <cellStyle name="Calculation 2 2 3 3 3 16" xfId="30899"/>
    <cellStyle name="Calculation 2 2 3 3 3 17" xfId="31908"/>
    <cellStyle name="Calculation 2 2 3 3 3 18" xfId="32911"/>
    <cellStyle name="Calculation 2 2 3 3 3 19" xfId="33910"/>
    <cellStyle name="Calculation 2 2 3 3 3 2" xfId="636"/>
    <cellStyle name="Calculation 2 2 3 3 3 2 10" xfId="23955"/>
    <cellStyle name="Calculation 2 2 3 3 3 2 11" xfId="24954"/>
    <cellStyle name="Calculation 2 2 3 3 3 2 12" xfId="27899"/>
    <cellStyle name="Calculation 2 2 3 3 3 2 13" xfId="28868"/>
    <cellStyle name="Calculation 2 2 3 3 3 2 14" xfId="29907"/>
    <cellStyle name="Calculation 2 2 3 3 3 2 15" xfId="30900"/>
    <cellStyle name="Calculation 2 2 3 3 3 2 16" xfId="31909"/>
    <cellStyle name="Calculation 2 2 3 3 3 2 17" xfId="32912"/>
    <cellStyle name="Calculation 2 2 3 3 3 2 18" xfId="33911"/>
    <cellStyle name="Calculation 2 2 3 3 3 2 19" xfId="35532"/>
    <cellStyle name="Calculation 2 2 3 3 3 2 2" xfId="15935"/>
    <cellStyle name="Calculation 2 2 3 3 3 2 20" xfId="36471"/>
    <cellStyle name="Calculation 2 2 3 3 3 2 3" xfId="16913"/>
    <cellStyle name="Calculation 2 2 3 3 3 2 4" xfId="17941"/>
    <cellStyle name="Calculation 2 2 3 3 3 2 5" xfId="18973"/>
    <cellStyle name="Calculation 2 2 3 3 3 2 6" xfId="19995"/>
    <cellStyle name="Calculation 2 2 3 3 3 2 7" xfId="21004"/>
    <cellStyle name="Calculation 2 2 3 3 3 2 8" xfId="21978"/>
    <cellStyle name="Calculation 2 2 3 3 3 2 9" xfId="22983"/>
    <cellStyle name="Calculation 2 2 3 3 3 20" xfId="35531"/>
    <cellStyle name="Calculation 2 2 3 3 3 21" xfId="36470"/>
    <cellStyle name="Calculation 2 2 3 3 3 3" xfId="15934"/>
    <cellStyle name="Calculation 2 2 3 3 3 4" xfId="16912"/>
    <cellStyle name="Calculation 2 2 3 3 3 5" xfId="17940"/>
    <cellStyle name="Calculation 2 2 3 3 3 6" xfId="18972"/>
    <cellStyle name="Calculation 2 2 3 3 3 7" xfId="19994"/>
    <cellStyle name="Calculation 2 2 3 3 3 8" xfId="21003"/>
    <cellStyle name="Calculation 2 2 3 3 3 9" xfId="21977"/>
    <cellStyle name="Calculation 2 2 3 3 4" xfId="637"/>
    <cellStyle name="Calculation 2 2 3 3 4 10" xfId="22984"/>
    <cellStyle name="Calculation 2 2 3 3 4 11" xfId="23956"/>
    <cellStyle name="Calculation 2 2 3 3 4 12" xfId="24955"/>
    <cellStyle name="Calculation 2 2 3 3 4 13" xfId="27900"/>
    <cellStyle name="Calculation 2 2 3 3 4 14" xfId="28869"/>
    <cellStyle name="Calculation 2 2 3 3 4 15" xfId="29908"/>
    <cellStyle name="Calculation 2 2 3 3 4 16" xfId="30901"/>
    <cellStyle name="Calculation 2 2 3 3 4 17" xfId="31910"/>
    <cellStyle name="Calculation 2 2 3 3 4 18" xfId="32913"/>
    <cellStyle name="Calculation 2 2 3 3 4 19" xfId="33912"/>
    <cellStyle name="Calculation 2 2 3 3 4 2" xfId="638"/>
    <cellStyle name="Calculation 2 2 3 3 4 2 10" xfId="23957"/>
    <cellStyle name="Calculation 2 2 3 3 4 2 11" xfId="24956"/>
    <cellStyle name="Calculation 2 2 3 3 4 2 12" xfId="27901"/>
    <cellStyle name="Calculation 2 2 3 3 4 2 13" xfId="28870"/>
    <cellStyle name="Calculation 2 2 3 3 4 2 14" xfId="29909"/>
    <cellStyle name="Calculation 2 2 3 3 4 2 15" xfId="30902"/>
    <cellStyle name="Calculation 2 2 3 3 4 2 16" xfId="31911"/>
    <cellStyle name="Calculation 2 2 3 3 4 2 17" xfId="32914"/>
    <cellStyle name="Calculation 2 2 3 3 4 2 18" xfId="33913"/>
    <cellStyle name="Calculation 2 2 3 3 4 2 19" xfId="35534"/>
    <cellStyle name="Calculation 2 2 3 3 4 2 2" xfId="15937"/>
    <cellStyle name="Calculation 2 2 3 3 4 2 20" xfId="36473"/>
    <cellStyle name="Calculation 2 2 3 3 4 2 3" xfId="16915"/>
    <cellStyle name="Calculation 2 2 3 3 4 2 4" xfId="17943"/>
    <cellStyle name="Calculation 2 2 3 3 4 2 5" xfId="18975"/>
    <cellStyle name="Calculation 2 2 3 3 4 2 6" xfId="19997"/>
    <cellStyle name="Calculation 2 2 3 3 4 2 7" xfId="21006"/>
    <cellStyle name="Calculation 2 2 3 3 4 2 8" xfId="21980"/>
    <cellStyle name="Calculation 2 2 3 3 4 2 9" xfId="22985"/>
    <cellStyle name="Calculation 2 2 3 3 4 20" xfId="35533"/>
    <cellStyle name="Calculation 2 2 3 3 4 21" xfId="36472"/>
    <cellStyle name="Calculation 2 2 3 3 4 3" xfId="15936"/>
    <cellStyle name="Calculation 2 2 3 3 4 4" xfId="16914"/>
    <cellStyle name="Calculation 2 2 3 3 4 5" xfId="17942"/>
    <cellStyle name="Calculation 2 2 3 3 4 6" xfId="18974"/>
    <cellStyle name="Calculation 2 2 3 3 4 7" xfId="19996"/>
    <cellStyle name="Calculation 2 2 3 3 4 8" xfId="21005"/>
    <cellStyle name="Calculation 2 2 3 3 4 9" xfId="21979"/>
    <cellStyle name="Calculation 2 2 3 3 5" xfId="639"/>
    <cellStyle name="Calculation 2 2 3 3 5 10" xfId="23958"/>
    <cellStyle name="Calculation 2 2 3 3 5 11" xfId="24957"/>
    <cellStyle name="Calculation 2 2 3 3 5 12" xfId="27902"/>
    <cellStyle name="Calculation 2 2 3 3 5 13" xfId="28871"/>
    <cellStyle name="Calculation 2 2 3 3 5 14" xfId="29910"/>
    <cellStyle name="Calculation 2 2 3 3 5 15" xfId="30903"/>
    <cellStyle name="Calculation 2 2 3 3 5 16" xfId="31912"/>
    <cellStyle name="Calculation 2 2 3 3 5 17" xfId="32915"/>
    <cellStyle name="Calculation 2 2 3 3 5 18" xfId="33914"/>
    <cellStyle name="Calculation 2 2 3 3 5 19" xfId="35535"/>
    <cellStyle name="Calculation 2 2 3 3 5 2" xfId="15938"/>
    <cellStyle name="Calculation 2 2 3 3 5 20" xfId="36474"/>
    <cellStyle name="Calculation 2 2 3 3 5 3" xfId="16916"/>
    <cellStyle name="Calculation 2 2 3 3 5 4" xfId="17944"/>
    <cellStyle name="Calculation 2 2 3 3 5 5" xfId="18976"/>
    <cellStyle name="Calculation 2 2 3 3 5 6" xfId="19998"/>
    <cellStyle name="Calculation 2 2 3 3 5 7" xfId="21007"/>
    <cellStyle name="Calculation 2 2 3 3 5 8" xfId="21981"/>
    <cellStyle name="Calculation 2 2 3 3 5 9" xfId="22986"/>
    <cellStyle name="Calculation 2 2 3 3 6" xfId="14421"/>
    <cellStyle name="Calculation 2 2 3 3 7" xfId="15385"/>
    <cellStyle name="Calculation 2 2 3 3 8" xfId="15506"/>
    <cellStyle name="Calculation 2 2 3 3 9" xfId="15605"/>
    <cellStyle name="Calculation 2 2 3 4" xfId="640"/>
    <cellStyle name="Calculation 2 2 3 4 10" xfId="15779"/>
    <cellStyle name="Calculation 2 2 3 4 11" xfId="20899"/>
    <cellStyle name="Calculation 2 2 3 4 12" xfId="26459"/>
    <cellStyle name="Calculation 2 2 3 4 13" xfId="27078"/>
    <cellStyle name="Calculation 2 2 3 4 14" xfId="26170"/>
    <cellStyle name="Calculation 2 2 3 4 15" xfId="27852"/>
    <cellStyle name="Calculation 2 2 3 4 16" xfId="25937"/>
    <cellStyle name="Calculation 2 2 3 4 17" xfId="27380"/>
    <cellStyle name="Calculation 2 2 3 4 18" xfId="35142"/>
    <cellStyle name="Calculation 2 2 3 4 19" xfId="35233"/>
    <cellStyle name="Calculation 2 2 3 4 2" xfId="641"/>
    <cellStyle name="Calculation 2 2 3 4 2 10" xfId="22987"/>
    <cellStyle name="Calculation 2 2 3 4 2 11" xfId="23959"/>
    <cellStyle name="Calculation 2 2 3 4 2 12" xfId="24958"/>
    <cellStyle name="Calculation 2 2 3 4 2 13" xfId="27903"/>
    <cellStyle name="Calculation 2 2 3 4 2 14" xfId="28872"/>
    <cellStyle name="Calculation 2 2 3 4 2 15" xfId="29911"/>
    <cellStyle name="Calculation 2 2 3 4 2 16" xfId="30904"/>
    <cellStyle name="Calculation 2 2 3 4 2 17" xfId="31913"/>
    <cellStyle name="Calculation 2 2 3 4 2 18" xfId="32916"/>
    <cellStyle name="Calculation 2 2 3 4 2 19" xfId="33915"/>
    <cellStyle name="Calculation 2 2 3 4 2 2" xfId="642"/>
    <cellStyle name="Calculation 2 2 3 4 2 2 10" xfId="23960"/>
    <cellStyle name="Calculation 2 2 3 4 2 2 11" xfId="24959"/>
    <cellStyle name="Calculation 2 2 3 4 2 2 12" xfId="27904"/>
    <cellStyle name="Calculation 2 2 3 4 2 2 13" xfId="28873"/>
    <cellStyle name="Calculation 2 2 3 4 2 2 14" xfId="29912"/>
    <cellStyle name="Calculation 2 2 3 4 2 2 15" xfId="30905"/>
    <cellStyle name="Calculation 2 2 3 4 2 2 16" xfId="31914"/>
    <cellStyle name="Calculation 2 2 3 4 2 2 17" xfId="32917"/>
    <cellStyle name="Calculation 2 2 3 4 2 2 18" xfId="33916"/>
    <cellStyle name="Calculation 2 2 3 4 2 2 19" xfId="35537"/>
    <cellStyle name="Calculation 2 2 3 4 2 2 2" xfId="15940"/>
    <cellStyle name="Calculation 2 2 3 4 2 2 20" xfId="36476"/>
    <cellStyle name="Calculation 2 2 3 4 2 2 3" xfId="16918"/>
    <cellStyle name="Calculation 2 2 3 4 2 2 4" xfId="17946"/>
    <cellStyle name="Calculation 2 2 3 4 2 2 5" xfId="18978"/>
    <cellStyle name="Calculation 2 2 3 4 2 2 6" xfId="20000"/>
    <cellStyle name="Calculation 2 2 3 4 2 2 7" xfId="21009"/>
    <cellStyle name="Calculation 2 2 3 4 2 2 8" xfId="21983"/>
    <cellStyle name="Calculation 2 2 3 4 2 2 9" xfId="22988"/>
    <cellStyle name="Calculation 2 2 3 4 2 20" xfId="35536"/>
    <cellStyle name="Calculation 2 2 3 4 2 21" xfId="36475"/>
    <cellStyle name="Calculation 2 2 3 4 2 3" xfId="15939"/>
    <cellStyle name="Calculation 2 2 3 4 2 4" xfId="16917"/>
    <cellStyle name="Calculation 2 2 3 4 2 5" xfId="17945"/>
    <cellStyle name="Calculation 2 2 3 4 2 6" xfId="18977"/>
    <cellStyle name="Calculation 2 2 3 4 2 7" xfId="19999"/>
    <cellStyle name="Calculation 2 2 3 4 2 8" xfId="21008"/>
    <cellStyle name="Calculation 2 2 3 4 2 9" xfId="21982"/>
    <cellStyle name="Calculation 2 2 3 4 3" xfId="643"/>
    <cellStyle name="Calculation 2 2 3 4 3 10" xfId="22989"/>
    <cellStyle name="Calculation 2 2 3 4 3 11" xfId="23961"/>
    <cellStyle name="Calculation 2 2 3 4 3 12" xfId="24960"/>
    <cellStyle name="Calculation 2 2 3 4 3 13" xfId="27905"/>
    <cellStyle name="Calculation 2 2 3 4 3 14" xfId="28874"/>
    <cellStyle name="Calculation 2 2 3 4 3 15" xfId="29913"/>
    <cellStyle name="Calculation 2 2 3 4 3 16" xfId="30906"/>
    <cellStyle name="Calculation 2 2 3 4 3 17" xfId="31915"/>
    <cellStyle name="Calculation 2 2 3 4 3 18" xfId="32918"/>
    <cellStyle name="Calculation 2 2 3 4 3 19" xfId="33917"/>
    <cellStyle name="Calculation 2 2 3 4 3 2" xfId="644"/>
    <cellStyle name="Calculation 2 2 3 4 3 2 10" xfId="23962"/>
    <cellStyle name="Calculation 2 2 3 4 3 2 11" xfId="24961"/>
    <cellStyle name="Calculation 2 2 3 4 3 2 12" xfId="27906"/>
    <cellStyle name="Calculation 2 2 3 4 3 2 13" xfId="28875"/>
    <cellStyle name="Calculation 2 2 3 4 3 2 14" xfId="29914"/>
    <cellStyle name="Calculation 2 2 3 4 3 2 15" xfId="30907"/>
    <cellStyle name="Calculation 2 2 3 4 3 2 16" xfId="31916"/>
    <cellStyle name="Calculation 2 2 3 4 3 2 17" xfId="32919"/>
    <cellStyle name="Calculation 2 2 3 4 3 2 18" xfId="33918"/>
    <cellStyle name="Calculation 2 2 3 4 3 2 19" xfId="35539"/>
    <cellStyle name="Calculation 2 2 3 4 3 2 2" xfId="15942"/>
    <cellStyle name="Calculation 2 2 3 4 3 2 20" xfId="36478"/>
    <cellStyle name="Calculation 2 2 3 4 3 2 3" xfId="16920"/>
    <cellStyle name="Calculation 2 2 3 4 3 2 4" xfId="17948"/>
    <cellStyle name="Calculation 2 2 3 4 3 2 5" xfId="18980"/>
    <cellStyle name="Calculation 2 2 3 4 3 2 6" xfId="20002"/>
    <cellStyle name="Calculation 2 2 3 4 3 2 7" xfId="21011"/>
    <cellStyle name="Calculation 2 2 3 4 3 2 8" xfId="21985"/>
    <cellStyle name="Calculation 2 2 3 4 3 2 9" xfId="22990"/>
    <cellStyle name="Calculation 2 2 3 4 3 20" xfId="35538"/>
    <cellStyle name="Calculation 2 2 3 4 3 21" xfId="36477"/>
    <cellStyle name="Calculation 2 2 3 4 3 3" xfId="15941"/>
    <cellStyle name="Calculation 2 2 3 4 3 4" xfId="16919"/>
    <cellStyle name="Calculation 2 2 3 4 3 5" xfId="17947"/>
    <cellStyle name="Calculation 2 2 3 4 3 6" xfId="18979"/>
    <cellStyle name="Calculation 2 2 3 4 3 7" xfId="20001"/>
    <cellStyle name="Calculation 2 2 3 4 3 8" xfId="21010"/>
    <cellStyle name="Calculation 2 2 3 4 3 9" xfId="21984"/>
    <cellStyle name="Calculation 2 2 3 4 4" xfId="645"/>
    <cellStyle name="Calculation 2 2 3 4 4 10" xfId="22991"/>
    <cellStyle name="Calculation 2 2 3 4 4 11" xfId="23963"/>
    <cellStyle name="Calculation 2 2 3 4 4 12" xfId="24962"/>
    <cellStyle name="Calculation 2 2 3 4 4 13" xfId="27907"/>
    <cellStyle name="Calculation 2 2 3 4 4 14" xfId="28876"/>
    <cellStyle name="Calculation 2 2 3 4 4 15" xfId="29915"/>
    <cellStyle name="Calculation 2 2 3 4 4 16" xfId="30908"/>
    <cellStyle name="Calculation 2 2 3 4 4 17" xfId="31917"/>
    <cellStyle name="Calculation 2 2 3 4 4 18" xfId="32920"/>
    <cellStyle name="Calculation 2 2 3 4 4 19" xfId="33919"/>
    <cellStyle name="Calculation 2 2 3 4 4 2" xfId="646"/>
    <cellStyle name="Calculation 2 2 3 4 4 2 10" xfId="23964"/>
    <cellStyle name="Calculation 2 2 3 4 4 2 11" xfId="24963"/>
    <cellStyle name="Calculation 2 2 3 4 4 2 12" xfId="27908"/>
    <cellStyle name="Calculation 2 2 3 4 4 2 13" xfId="28877"/>
    <cellStyle name="Calculation 2 2 3 4 4 2 14" xfId="29916"/>
    <cellStyle name="Calculation 2 2 3 4 4 2 15" xfId="30909"/>
    <cellStyle name="Calculation 2 2 3 4 4 2 16" xfId="31918"/>
    <cellStyle name="Calculation 2 2 3 4 4 2 17" xfId="32921"/>
    <cellStyle name="Calculation 2 2 3 4 4 2 18" xfId="33920"/>
    <cellStyle name="Calculation 2 2 3 4 4 2 19" xfId="35541"/>
    <cellStyle name="Calculation 2 2 3 4 4 2 2" xfId="15944"/>
    <cellStyle name="Calculation 2 2 3 4 4 2 20" xfId="36480"/>
    <cellStyle name="Calculation 2 2 3 4 4 2 3" xfId="16922"/>
    <cellStyle name="Calculation 2 2 3 4 4 2 4" xfId="17950"/>
    <cellStyle name="Calculation 2 2 3 4 4 2 5" xfId="18982"/>
    <cellStyle name="Calculation 2 2 3 4 4 2 6" xfId="20004"/>
    <cellStyle name="Calculation 2 2 3 4 4 2 7" xfId="21013"/>
    <cellStyle name="Calculation 2 2 3 4 4 2 8" xfId="21987"/>
    <cellStyle name="Calculation 2 2 3 4 4 2 9" xfId="22992"/>
    <cellStyle name="Calculation 2 2 3 4 4 20" xfId="35540"/>
    <cellStyle name="Calculation 2 2 3 4 4 21" xfId="36479"/>
    <cellStyle name="Calculation 2 2 3 4 4 3" xfId="15943"/>
    <cellStyle name="Calculation 2 2 3 4 4 4" xfId="16921"/>
    <cellStyle name="Calculation 2 2 3 4 4 5" xfId="17949"/>
    <cellStyle name="Calculation 2 2 3 4 4 6" xfId="18981"/>
    <cellStyle name="Calculation 2 2 3 4 4 7" xfId="20003"/>
    <cellStyle name="Calculation 2 2 3 4 4 8" xfId="21012"/>
    <cellStyle name="Calculation 2 2 3 4 4 9" xfId="21986"/>
    <cellStyle name="Calculation 2 2 3 4 5" xfId="647"/>
    <cellStyle name="Calculation 2 2 3 4 5 10" xfId="23965"/>
    <cellStyle name="Calculation 2 2 3 4 5 11" xfId="24964"/>
    <cellStyle name="Calculation 2 2 3 4 5 12" xfId="27909"/>
    <cellStyle name="Calculation 2 2 3 4 5 13" xfId="28878"/>
    <cellStyle name="Calculation 2 2 3 4 5 14" xfId="29917"/>
    <cellStyle name="Calculation 2 2 3 4 5 15" xfId="30910"/>
    <cellStyle name="Calculation 2 2 3 4 5 16" xfId="31919"/>
    <cellStyle name="Calculation 2 2 3 4 5 17" xfId="32922"/>
    <cellStyle name="Calculation 2 2 3 4 5 18" xfId="33921"/>
    <cellStyle name="Calculation 2 2 3 4 5 19" xfId="35542"/>
    <cellStyle name="Calculation 2 2 3 4 5 2" xfId="15945"/>
    <cellStyle name="Calculation 2 2 3 4 5 20" xfId="36481"/>
    <cellStyle name="Calculation 2 2 3 4 5 3" xfId="16923"/>
    <cellStyle name="Calculation 2 2 3 4 5 4" xfId="17951"/>
    <cellStyle name="Calculation 2 2 3 4 5 5" xfId="18983"/>
    <cellStyle name="Calculation 2 2 3 4 5 6" xfId="20005"/>
    <cellStyle name="Calculation 2 2 3 4 5 7" xfId="21014"/>
    <cellStyle name="Calculation 2 2 3 4 5 8" xfId="21988"/>
    <cellStyle name="Calculation 2 2 3 4 5 9" xfId="22993"/>
    <cellStyle name="Calculation 2 2 3 4 6" xfId="15211"/>
    <cellStyle name="Calculation 2 2 3 4 7" xfId="14476"/>
    <cellStyle name="Calculation 2 2 3 4 8" xfId="14848"/>
    <cellStyle name="Calculation 2 2 3 4 9" xfId="14530"/>
    <cellStyle name="Calculation 2 2 3 5" xfId="648"/>
    <cellStyle name="Calculation 2 2 3 5 10" xfId="14934"/>
    <cellStyle name="Calculation 2 2 3 5 11" xfId="13893"/>
    <cellStyle name="Calculation 2 2 3 5 12" xfId="26449"/>
    <cellStyle name="Calculation 2 2 3 5 13" xfId="27085"/>
    <cellStyle name="Calculation 2 2 3 5 14" xfId="26119"/>
    <cellStyle name="Calculation 2 2 3 5 15" xfId="26783"/>
    <cellStyle name="Calculation 2 2 3 5 16" xfId="26134"/>
    <cellStyle name="Calculation 2 2 3 5 17" xfId="26983"/>
    <cellStyle name="Calculation 2 2 3 5 18" xfId="35132"/>
    <cellStyle name="Calculation 2 2 3 5 19" xfId="35240"/>
    <cellStyle name="Calculation 2 2 3 5 2" xfId="649"/>
    <cellStyle name="Calculation 2 2 3 5 2 10" xfId="22994"/>
    <cellStyle name="Calculation 2 2 3 5 2 11" xfId="23966"/>
    <cellStyle name="Calculation 2 2 3 5 2 12" xfId="24965"/>
    <cellStyle name="Calculation 2 2 3 5 2 13" xfId="27910"/>
    <cellStyle name="Calculation 2 2 3 5 2 14" xfId="28879"/>
    <cellStyle name="Calculation 2 2 3 5 2 15" xfId="29918"/>
    <cellStyle name="Calculation 2 2 3 5 2 16" xfId="30911"/>
    <cellStyle name="Calculation 2 2 3 5 2 17" xfId="31920"/>
    <cellStyle name="Calculation 2 2 3 5 2 18" xfId="32923"/>
    <cellStyle name="Calculation 2 2 3 5 2 19" xfId="33922"/>
    <cellStyle name="Calculation 2 2 3 5 2 2" xfId="650"/>
    <cellStyle name="Calculation 2 2 3 5 2 2 10" xfId="23967"/>
    <cellStyle name="Calculation 2 2 3 5 2 2 11" xfId="24966"/>
    <cellStyle name="Calculation 2 2 3 5 2 2 12" xfId="27911"/>
    <cellStyle name="Calculation 2 2 3 5 2 2 13" xfId="28880"/>
    <cellStyle name="Calculation 2 2 3 5 2 2 14" xfId="29919"/>
    <cellStyle name="Calculation 2 2 3 5 2 2 15" xfId="30912"/>
    <cellStyle name="Calculation 2 2 3 5 2 2 16" xfId="31921"/>
    <cellStyle name="Calculation 2 2 3 5 2 2 17" xfId="32924"/>
    <cellStyle name="Calculation 2 2 3 5 2 2 18" xfId="33923"/>
    <cellStyle name="Calculation 2 2 3 5 2 2 19" xfId="35544"/>
    <cellStyle name="Calculation 2 2 3 5 2 2 2" xfId="15947"/>
    <cellStyle name="Calculation 2 2 3 5 2 2 20" xfId="36483"/>
    <cellStyle name="Calculation 2 2 3 5 2 2 3" xfId="16925"/>
    <cellStyle name="Calculation 2 2 3 5 2 2 4" xfId="17953"/>
    <cellStyle name="Calculation 2 2 3 5 2 2 5" xfId="18985"/>
    <cellStyle name="Calculation 2 2 3 5 2 2 6" xfId="20007"/>
    <cellStyle name="Calculation 2 2 3 5 2 2 7" xfId="21016"/>
    <cellStyle name="Calculation 2 2 3 5 2 2 8" xfId="21990"/>
    <cellStyle name="Calculation 2 2 3 5 2 2 9" xfId="22995"/>
    <cellStyle name="Calculation 2 2 3 5 2 20" xfId="35543"/>
    <cellStyle name="Calculation 2 2 3 5 2 21" xfId="36482"/>
    <cellStyle name="Calculation 2 2 3 5 2 3" xfId="15946"/>
    <cellStyle name="Calculation 2 2 3 5 2 4" xfId="16924"/>
    <cellStyle name="Calculation 2 2 3 5 2 5" xfId="17952"/>
    <cellStyle name="Calculation 2 2 3 5 2 6" xfId="18984"/>
    <cellStyle name="Calculation 2 2 3 5 2 7" xfId="20006"/>
    <cellStyle name="Calculation 2 2 3 5 2 8" xfId="21015"/>
    <cellStyle name="Calculation 2 2 3 5 2 9" xfId="21989"/>
    <cellStyle name="Calculation 2 2 3 5 3" xfId="651"/>
    <cellStyle name="Calculation 2 2 3 5 3 10" xfId="22996"/>
    <cellStyle name="Calculation 2 2 3 5 3 11" xfId="23968"/>
    <cellStyle name="Calculation 2 2 3 5 3 12" xfId="24967"/>
    <cellStyle name="Calculation 2 2 3 5 3 13" xfId="27912"/>
    <cellStyle name="Calculation 2 2 3 5 3 14" xfId="28881"/>
    <cellStyle name="Calculation 2 2 3 5 3 15" xfId="29920"/>
    <cellStyle name="Calculation 2 2 3 5 3 16" xfId="30913"/>
    <cellStyle name="Calculation 2 2 3 5 3 17" xfId="31922"/>
    <cellStyle name="Calculation 2 2 3 5 3 18" xfId="32925"/>
    <cellStyle name="Calculation 2 2 3 5 3 19" xfId="33924"/>
    <cellStyle name="Calculation 2 2 3 5 3 2" xfId="652"/>
    <cellStyle name="Calculation 2 2 3 5 3 2 10" xfId="23969"/>
    <cellStyle name="Calculation 2 2 3 5 3 2 11" xfId="24968"/>
    <cellStyle name="Calculation 2 2 3 5 3 2 12" xfId="27913"/>
    <cellStyle name="Calculation 2 2 3 5 3 2 13" xfId="28882"/>
    <cellStyle name="Calculation 2 2 3 5 3 2 14" xfId="29921"/>
    <cellStyle name="Calculation 2 2 3 5 3 2 15" xfId="30914"/>
    <cellStyle name="Calculation 2 2 3 5 3 2 16" xfId="31923"/>
    <cellStyle name="Calculation 2 2 3 5 3 2 17" xfId="32926"/>
    <cellStyle name="Calculation 2 2 3 5 3 2 18" xfId="33925"/>
    <cellStyle name="Calculation 2 2 3 5 3 2 19" xfId="35546"/>
    <cellStyle name="Calculation 2 2 3 5 3 2 2" xfId="15949"/>
    <cellStyle name="Calculation 2 2 3 5 3 2 20" xfId="36485"/>
    <cellStyle name="Calculation 2 2 3 5 3 2 3" xfId="16927"/>
    <cellStyle name="Calculation 2 2 3 5 3 2 4" xfId="17955"/>
    <cellStyle name="Calculation 2 2 3 5 3 2 5" xfId="18987"/>
    <cellStyle name="Calculation 2 2 3 5 3 2 6" xfId="20009"/>
    <cellStyle name="Calculation 2 2 3 5 3 2 7" xfId="21018"/>
    <cellStyle name="Calculation 2 2 3 5 3 2 8" xfId="21992"/>
    <cellStyle name="Calculation 2 2 3 5 3 2 9" xfId="22997"/>
    <cellStyle name="Calculation 2 2 3 5 3 20" xfId="35545"/>
    <cellStyle name="Calculation 2 2 3 5 3 21" xfId="36484"/>
    <cellStyle name="Calculation 2 2 3 5 3 3" xfId="15948"/>
    <cellStyle name="Calculation 2 2 3 5 3 4" xfId="16926"/>
    <cellStyle name="Calculation 2 2 3 5 3 5" xfId="17954"/>
    <cellStyle name="Calculation 2 2 3 5 3 6" xfId="18986"/>
    <cellStyle name="Calculation 2 2 3 5 3 7" xfId="20008"/>
    <cellStyle name="Calculation 2 2 3 5 3 8" xfId="21017"/>
    <cellStyle name="Calculation 2 2 3 5 3 9" xfId="21991"/>
    <cellStyle name="Calculation 2 2 3 5 4" xfId="653"/>
    <cellStyle name="Calculation 2 2 3 5 4 10" xfId="22998"/>
    <cellStyle name="Calculation 2 2 3 5 4 11" xfId="23970"/>
    <cellStyle name="Calculation 2 2 3 5 4 12" xfId="24969"/>
    <cellStyle name="Calculation 2 2 3 5 4 13" xfId="27914"/>
    <cellStyle name="Calculation 2 2 3 5 4 14" xfId="28883"/>
    <cellStyle name="Calculation 2 2 3 5 4 15" xfId="29922"/>
    <cellStyle name="Calculation 2 2 3 5 4 16" xfId="30915"/>
    <cellStyle name="Calculation 2 2 3 5 4 17" xfId="31924"/>
    <cellStyle name="Calculation 2 2 3 5 4 18" xfId="32927"/>
    <cellStyle name="Calculation 2 2 3 5 4 19" xfId="33926"/>
    <cellStyle name="Calculation 2 2 3 5 4 2" xfId="654"/>
    <cellStyle name="Calculation 2 2 3 5 4 2 10" xfId="23971"/>
    <cellStyle name="Calculation 2 2 3 5 4 2 11" xfId="24970"/>
    <cellStyle name="Calculation 2 2 3 5 4 2 12" xfId="27915"/>
    <cellStyle name="Calculation 2 2 3 5 4 2 13" xfId="28884"/>
    <cellStyle name="Calculation 2 2 3 5 4 2 14" xfId="29923"/>
    <cellStyle name="Calculation 2 2 3 5 4 2 15" xfId="30916"/>
    <cellStyle name="Calculation 2 2 3 5 4 2 16" xfId="31925"/>
    <cellStyle name="Calculation 2 2 3 5 4 2 17" xfId="32928"/>
    <cellStyle name="Calculation 2 2 3 5 4 2 18" xfId="33927"/>
    <cellStyle name="Calculation 2 2 3 5 4 2 19" xfId="35548"/>
    <cellStyle name="Calculation 2 2 3 5 4 2 2" xfId="15951"/>
    <cellStyle name="Calculation 2 2 3 5 4 2 20" xfId="36487"/>
    <cellStyle name="Calculation 2 2 3 5 4 2 3" xfId="16929"/>
    <cellStyle name="Calculation 2 2 3 5 4 2 4" xfId="17957"/>
    <cellStyle name="Calculation 2 2 3 5 4 2 5" xfId="18989"/>
    <cellStyle name="Calculation 2 2 3 5 4 2 6" xfId="20011"/>
    <cellStyle name="Calculation 2 2 3 5 4 2 7" xfId="21020"/>
    <cellStyle name="Calculation 2 2 3 5 4 2 8" xfId="21994"/>
    <cellStyle name="Calculation 2 2 3 5 4 2 9" xfId="22999"/>
    <cellStyle name="Calculation 2 2 3 5 4 20" xfId="35547"/>
    <cellStyle name="Calculation 2 2 3 5 4 21" xfId="36486"/>
    <cellStyle name="Calculation 2 2 3 5 4 3" xfId="15950"/>
    <cellStyle name="Calculation 2 2 3 5 4 4" xfId="16928"/>
    <cellStyle name="Calculation 2 2 3 5 4 5" xfId="17956"/>
    <cellStyle name="Calculation 2 2 3 5 4 6" xfId="18988"/>
    <cellStyle name="Calculation 2 2 3 5 4 7" xfId="20010"/>
    <cellStyle name="Calculation 2 2 3 5 4 8" xfId="21019"/>
    <cellStyle name="Calculation 2 2 3 5 4 9" xfId="21993"/>
    <cellStyle name="Calculation 2 2 3 5 5" xfId="655"/>
    <cellStyle name="Calculation 2 2 3 5 5 10" xfId="23972"/>
    <cellStyle name="Calculation 2 2 3 5 5 11" xfId="24971"/>
    <cellStyle name="Calculation 2 2 3 5 5 12" xfId="27916"/>
    <cellStyle name="Calculation 2 2 3 5 5 13" xfId="28885"/>
    <cellStyle name="Calculation 2 2 3 5 5 14" xfId="29924"/>
    <cellStyle name="Calculation 2 2 3 5 5 15" xfId="30917"/>
    <cellStyle name="Calculation 2 2 3 5 5 16" xfId="31926"/>
    <cellStyle name="Calculation 2 2 3 5 5 17" xfId="32929"/>
    <cellStyle name="Calculation 2 2 3 5 5 18" xfId="33928"/>
    <cellStyle name="Calculation 2 2 3 5 5 19" xfId="35549"/>
    <cellStyle name="Calculation 2 2 3 5 5 2" xfId="15952"/>
    <cellStyle name="Calculation 2 2 3 5 5 20" xfId="36488"/>
    <cellStyle name="Calculation 2 2 3 5 5 3" xfId="16930"/>
    <cellStyle name="Calculation 2 2 3 5 5 4" xfId="17958"/>
    <cellStyle name="Calculation 2 2 3 5 5 5" xfId="18990"/>
    <cellStyle name="Calculation 2 2 3 5 5 6" xfId="20012"/>
    <cellStyle name="Calculation 2 2 3 5 5 7" xfId="21021"/>
    <cellStyle name="Calculation 2 2 3 5 5 8" xfId="21995"/>
    <cellStyle name="Calculation 2 2 3 5 5 9" xfId="23000"/>
    <cellStyle name="Calculation 2 2 3 5 6" xfId="13407"/>
    <cellStyle name="Calculation 2 2 3 5 7" xfId="14007"/>
    <cellStyle name="Calculation 2 2 3 5 8" xfId="13453"/>
    <cellStyle name="Calculation 2 2 3 5 9" xfId="15716"/>
    <cellStyle name="Calculation 2 2 3 6" xfId="656"/>
    <cellStyle name="Calculation 2 2 3 6 10" xfId="23001"/>
    <cellStyle name="Calculation 2 2 3 6 11" xfId="23973"/>
    <cellStyle name="Calculation 2 2 3 6 12" xfId="24972"/>
    <cellStyle name="Calculation 2 2 3 6 13" xfId="27917"/>
    <cellStyle name="Calculation 2 2 3 6 14" xfId="28886"/>
    <cellStyle name="Calculation 2 2 3 6 15" xfId="29925"/>
    <cellStyle name="Calculation 2 2 3 6 16" xfId="30918"/>
    <cellStyle name="Calculation 2 2 3 6 17" xfId="31927"/>
    <cellStyle name="Calculation 2 2 3 6 18" xfId="32930"/>
    <cellStyle name="Calculation 2 2 3 6 19" xfId="33929"/>
    <cellStyle name="Calculation 2 2 3 6 2" xfId="657"/>
    <cellStyle name="Calculation 2 2 3 6 2 10" xfId="23974"/>
    <cellStyle name="Calculation 2 2 3 6 2 11" xfId="24973"/>
    <cellStyle name="Calculation 2 2 3 6 2 12" xfId="27918"/>
    <cellStyle name="Calculation 2 2 3 6 2 13" xfId="28887"/>
    <cellStyle name="Calculation 2 2 3 6 2 14" xfId="29926"/>
    <cellStyle name="Calculation 2 2 3 6 2 15" xfId="30919"/>
    <cellStyle name="Calculation 2 2 3 6 2 16" xfId="31928"/>
    <cellStyle name="Calculation 2 2 3 6 2 17" xfId="32931"/>
    <cellStyle name="Calculation 2 2 3 6 2 18" xfId="33930"/>
    <cellStyle name="Calculation 2 2 3 6 2 19" xfId="35551"/>
    <cellStyle name="Calculation 2 2 3 6 2 2" xfId="15954"/>
    <cellStyle name="Calculation 2 2 3 6 2 20" xfId="36490"/>
    <cellStyle name="Calculation 2 2 3 6 2 3" xfId="16932"/>
    <cellStyle name="Calculation 2 2 3 6 2 4" xfId="17960"/>
    <cellStyle name="Calculation 2 2 3 6 2 5" xfId="18992"/>
    <cellStyle name="Calculation 2 2 3 6 2 6" xfId="20014"/>
    <cellStyle name="Calculation 2 2 3 6 2 7" xfId="21023"/>
    <cellStyle name="Calculation 2 2 3 6 2 8" xfId="21997"/>
    <cellStyle name="Calculation 2 2 3 6 2 9" xfId="23002"/>
    <cellStyle name="Calculation 2 2 3 6 20" xfId="35550"/>
    <cellStyle name="Calculation 2 2 3 6 21" xfId="36489"/>
    <cellStyle name="Calculation 2 2 3 6 3" xfId="15953"/>
    <cellStyle name="Calculation 2 2 3 6 4" xfId="16931"/>
    <cellStyle name="Calculation 2 2 3 6 5" xfId="17959"/>
    <cellStyle name="Calculation 2 2 3 6 6" xfId="18991"/>
    <cellStyle name="Calculation 2 2 3 6 7" xfId="20013"/>
    <cellStyle name="Calculation 2 2 3 6 8" xfId="21022"/>
    <cellStyle name="Calculation 2 2 3 6 9" xfId="21996"/>
    <cellStyle name="Calculation 2 2 3 7" xfId="658"/>
    <cellStyle name="Calculation 2 2 3 7 10" xfId="23003"/>
    <cellStyle name="Calculation 2 2 3 7 11" xfId="23975"/>
    <cellStyle name="Calculation 2 2 3 7 12" xfId="24974"/>
    <cellStyle name="Calculation 2 2 3 7 13" xfId="27919"/>
    <cellStyle name="Calculation 2 2 3 7 14" xfId="28888"/>
    <cellStyle name="Calculation 2 2 3 7 15" xfId="29927"/>
    <cellStyle name="Calculation 2 2 3 7 16" xfId="30920"/>
    <cellStyle name="Calculation 2 2 3 7 17" xfId="31929"/>
    <cellStyle name="Calculation 2 2 3 7 18" xfId="32932"/>
    <cellStyle name="Calculation 2 2 3 7 19" xfId="33931"/>
    <cellStyle name="Calculation 2 2 3 7 2" xfId="659"/>
    <cellStyle name="Calculation 2 2 3 7 2 10" xfId="23976"/>
    <cellStyle name="Calculation 2 2 3 7 2 11" xfId="24975"/>
    <cellStyle name="Calculation 2 2 3 7 2 12" xfId="27920"/>
    <cellStyle name="Calculation 2 2 3 7 2 13" xfId="28889"/>
    <cellStyle name="Calculation 2 2 3 7 2 14" xfId="29928"/>
    <cellStyle name="Calculation 2 2 3 7 2 15" xfId="30921"/>
    <cellStyle name="Calculation 2 2 3 7 2 16" xfId="31930"/>
    <cellStyle name="Calculation 2 2 3 7 2 17" xfId="32933"/>
    <cellStyle name="Calculation 2 2 3 7 2 18" xfId="33932"/>
    <cellStyle name="Calculation 2 2 3 7 2 19" xfId="35553"/>
    <cellStyle name="Calculation 2 2 3 7 2 2" xfId="15956"/>
    <cellStyle name="Calculation 2 2 3 7 2 20" xfId="36492"/>
    <cellStyle name="Calculation 2 2 3 7 2 3" xfId="16934"/>
    <cellStyle name="Calculation 2 2 3 7 2 4" xfId="17962"/>
    <cellStyle name="Calculation 2 2 3 7 2 5" xfId="18994"/>
    <cellStyle name="Calculation 2 2 3 7 2 6" xfId="20016"/>
    <cellStyle name="Calculation 2 2 3 7 2 7" xfId="21025"/>
    <cellStyle name="Calculation 2 2 3 7 2 8" xfId="21999"/>
    <cellStyle name="Calculation 2 2 3 7 2 9" xfId="23004"/>
    <cellStyle name="Calculation 2 2 3 7 20" xfId="35552"/>
    <cellStyle name="Calculation 2 2 3 7 21" xfId="36491"/>
    <cellStyle name="Calculation 2 2 3 7 3" xfId="15955"/>
    <cellStyle name="Calculation 2 2 3 7 4" xfId="16933"/>
    <cellStyle name="Calculation 2 2 3 7 5" xfId="17961"/>
    <cellStyle name="Calculation 2 2 3 7 6" xfId="18993"/>
    <cellStyle name="Calculation 2 2 3 7 7" xfId="20015"/>
    <cellStyle name="Calculation 2 2 3 7 8" xfId="21024"/>
    <cellStyle name="Calculation 2 2 3 7 9" xfId="21998"/>
    <cellStyle name="Calculation 2 2 3 8" xfId="660"/>
    <cellStyle name="Calculation 2 2 3 8 10" xfId="23005"/>
    <cellStyle name="Calculation 2 2 3 8 11" xfId="23977"/>
    <cellStyle name="Calculation 2 2 3 8 12" xfId="24976"/>
    <cellStyle name="Calculation 2 2 3 8 13" xfId="27921"/>
    <cellStyle name="Calculation 2 2 3 8 14" xfId="28890"/>
    <cellStyle name="Calculation 2 2 3 8 15" xfId="29929"/>
    <cellStyle name="Calculation 2 2 3 8 16" xfId="30922"/>
    <cellStyle name="Calculation 2 2 3 8 17" xfId="31931"/>
    <cellStyle name="Calculation 2 2 3 8 18" xfId="32934"/>
    <cellStyle name="Calculation 2 2 3 8 19" xfId="33933"/>
    <cellStyle name="Calculation 2 2 3 8 2" xfId="661"/>
    <cellStyle name="Calculation 2 2 3 8 2 10" xfId="23978"/>
    <cellStyle name="Calculation 2 2 3 8 2 11" xfId="24977"/>
    <cellStyle name="Calculation 2 2 3 8 2 12" xfId="27922"/>
    <cellStyle name="Calculation 2 2 3 8 2 13" xfId="28891"/>
    <cellStyle name="Calculation 2 2 3 8 2 14" xfId="29930"/>
    <cellStyle name="Calculation 2 2 3 8 2 15" xfId="30923"/>
    <cellStyle name="Calculation 2 2 3 8 2 16" xfId="31932"/>
    <cellStyle name="Calculation 2 2 3 8 2 17" xfId="32935"/>
    <cellStyle name="Calculation 2 2 3 8 2 18" xfId="33934"/>
    <cellStyle name="Calculation 2 2 3 8 2 19" xfId="35555"/>
    <cellStyle name="Calculation 2 2 3 8 2 2" xfId="15958"/>
    <cellStyle name="Calculation 2 2 3 8 2 20" xfId="36494"/>
    <cellStyle name="Calculation 2 2 3 8 2 3" xfId="16936"/>
    <cellStyle name="Calculation 2 2 3 8 2 4" xfId="17964"/>
    <cellStyle name="Calculation 2 2 3 8 2 5" xfId="18996"/>
    <cellStyle name="Calculation 2 2 3 8 2 6" xfId="20018"/>
    <cellStyle name="Calculation 2 2 3 8 2 7" xfId="21027"/>
    <cellStyle name="Calculation 2 2 3 8 2 8" xfId="22001"/>
    <cellStyle name="Calculation 2 2 3 8 2 9" xfId="23006"/>
    <cellStyle name="Calculation 2 2 3 8 20" xfId="35554"/>
    <cellStyle name="Calculation 2 2 3 8 21" xfId="36493"/>
    <cellStyle name="Calculation 2 2 3 8 3" xfId="15957"/>
    <cellStyle name="Calculation 2 2 3 8 4" xfId="16935"/>
    <cellStyle name="Calculation 2 2 3 8 5" xfId="17963"/>
    <cellStyle name="Calculation 2 2 3 8 6" xfId="18995"/>
    <cellStyle name="Calculation 2 2 3 8 7" xfId="20017"/>
    <cellStyle name="Calculation 2 2 3 8 8" xfId="21026"/>
    <cellStyle name="Calculation 2 2 3 8 9" xfId="22000"/>
    <cellStyle name="Calculation 2 2 3 9" xfId="662"/>
    <cellStyle name="Calculation 2 2 3 9 10" xfId="23979"/>
    <cellStyle name="Calculation 2 2 3 9 11" xfId="24978"/>
    <cellStyle name="Calculation 2 2 3 9 12" xfId="27923"/>
    <cellStyle name="Calculation 2 2 3 9 13" xfId="28892"/>
    <cellStyle name="Calculation 2 2 3 9 14" xfId="29931"/>
    <cellStyle name="Calculation 2 2 3 9 15" xfId="30924"/>
    <cellStyle name="Calculation 2 2 3 9 16" xfId="31933"/>
    <cellStyle name="Calculation 2 2 3 9 17" xfId="32936"/>
    <cellStyle name="Calculation 2 2 3 9 18" xfId="33935"/>
    <cellStyle name="Calculation 2 2 3 9 19" xfId="35556"/>
    <cellStyle name="Calculation 2 2 3 9 2" xfId="15959"/>
    <cellStyle name="Calculation 2 2 3 9 20" xfId="36495"/>
    <cellStyle name="Calculation 2 2 3 9 3" xfId="16937"/>
    <cellStyle name="Calculation 2 2 3 9 4" xfId="17965"/>
    <cellStyle name="Calculation 2 2 3 9 5" xfId="18997"/>
    <cellStyle name="Calculation 2 2 3 9 6" xfId="20019"/>
    <cellStyle name="Calculation 2 2 3 9 7" xfId="21028"/>
    <cellStyle name="Calculation 2 2 3 9 8" xfId="22002"/>
    <cellStyle name="Calculation 2 2 3 9 9" xfId="23007"/>
    <cellStyle name="Calculation 2 2 4" xfId="663"/>
    <cellStyle name="Calculation 2 2 4 10" xfId="23008"/>
    <cellStyle name="Calculation 2 2 4 11" xfId="23980"/>
    <cellStyle name="Calculation 2 2 4 12" xfId="24979"/>
    <cellStyle name="Calculation 2 2 4 13" xfId="27924"/>
    <cellStyle name="Calculation 2 2 4 14" xfId="28893"/>
    <cellStyle name="Calculation 2 2 4 15" xfId="29932"/>
    <cellStyle name="Calculation 2 2 4 16" xfId="30925"/>
    <cellStyle name="Calculation 2 2 4 17" xfId="31934"/>
    <cellStyle name="Calculation 2 2 4 18" xfId="32937"/>
    <cellStyle name="Calculation 2 2 4 19" xfId="33936"/>
    <cellStyle name="Calculation 2 2 4 2" xfId="664"/>
    <cellStyle name="Calculation 2 2 4 2 10" xfId="23981"/>
    <cellStyle name="Calculation 2 2 4 2 11" xfId="24980"/>
    <cellStyle name="Calculation 2 2 4 2 12" xfId="27925"/>
    <cellStyle name="Calculation 2 2 4 2 13" xfId="28894"/>
    <cellStyle name="Calculation 2 2 4 2 14" xfId="29933"/>
    <cellStyle name="Calculation 2 2 4 2 15" xfId="30926"/>
    <cellStyle name="Calculation 2 2 4 2 16" xfId="31935"/>
    <cellStyle name="Calculation 2 2 4 2 17" xfId="32938"/>
    <cellStyle name="Calculation 2 2 4 2 18" xfId="33937"/>
    <cellStyle name="Calculation 2 2 4 2 19" xfId="35558"/>
    <cellStyle name="Calculation 2 2 4 2 2" xfId="15961"/>
    <cellStyle name="Calculation 2 2 4 2 20" xfId="36497"/>
    <cellStyle name="Calculation 2 2 4 2 3" xfId="16939"/>
    <cellStyle name="Calculation 2 2 4 2 4" xfId="17967"/>
    <cellStyle name="Calculation 2 2 4 2 5" xfId="18999"/>
    <cellStyle name="Calculation 2 2 4 2 6" xfId="20021"/>
    <cellStyle name="Calculation 2 2 4 2 7" xfId="21030"/>
    <cellStyle name="Calculation 2 2 4 2 8" xfId="22004"/>
    <cellStyle name="Calculation 2 2 4 2 9" xfId="23009"/>
    <cellStyle name="Calculation 2 2 4 20" xfId="35557"/>
    <cellStyle name="Calculation 2 2 4 21" xfId="36496"/>
    <cellStyle name="Calculation 2 2 4 3" xfId="15960"/>
    <cellStyle name="Calculation 2 2 4 4" xfId="16938"/>
    <cellStyle name="Calculation 2 2 4 5" xfId="17966"/>
    <cellStyle name="Calculation 2 2 4 6" xfId="18998"/>
    <cellStyle name="Calculation 2 2 4 7" xfId="20020"/>
    <cellStyle name="Calculation 2 2 4 8" xfId="21029"/>
    <cellStyle name="Calculation 2 2 4 9" xfId="22003"/>
    <cellStyle name="Calculation 2 2 5" xfId="665"/>
    <cellStyle name="Calculation 2 2 5 10" xfId="23010"/>
    <cellStyle name="Calculation 2 2 5 11" xfId="23982"/>
    <cellStyle name="Calculation 2 2 5 12" xfId="24981"/>
    <cellStyle name="Calculation 2 2 5 13" xfId="27926"/>
    <cellStyle name="Calculation 2 2 5 14" xfId="28895"/>
    <cellStyle name="Calculation 2 2 5 15" xfId="29934"/>
    <cellStyle name="Calculation 2 2 5 16" xfId="30927"/>
    <cellStyle name="Calculation 2 2 5 17" xfId="31936"/>
    <cellStyle name="Calculation 2 2 5 18" xfId="32939"/>
    <cellStyle name="Calculation 2 2 5 19" xfId="33938"/>
    <cellStyle name="Calculation 2 2 5 2" xfId="666"/>
    <cellStyle name="Calculation 2 2 5 2 10" xfId="23983"/>
    <cellStyle name="Calculation 2 2 5 2 11" xfId="24982"/>
    <cellStyle name="Calculation 2 2 5 2 12" xfId="27927"/>
    <cellStyle name="Calculation 2 2 5 2 13" xfId="28896"/>
    <cellStyle name="Calculation 2 2 5 2 14" xfId="29935"/>
    <cellStyle name="Calculation 2 2 5 2 15" xfId="30928"/>
    <cellStyle name="Calculation 2 2 5 2 16" xfId="31937"/>
    <cellStyle name="Calculation 2 2 5 2 17" xfId="32940"/>
    <cellStyle name="Calculation 2 2 5 2 18" xfId="33939"/>
    <cellStyle name="Calculation 2 2 5 2 19" xfId="35560"/>
    <cellStyle name="Calculation 2 2 5 2 2" xfId="15963"/>
    <cellStyle name="Calculation 2 2 5 2 20" xfId="36499"/>
    <cellStyle name="Calculation 2 2 5 2 3" xfId="16941"/>
    <cellStyle name="Calculation 2 2 5 2 4" xfId="17969"/>
    <cellStyle name="Calculation 2 2 5 2 5" xfId="19001"/>
    <cellStyle name="Calculation 2 2 5 2 6" xfId="20023"/>
    <cellStyle name="Calculation 2 2 5 2 7" xfId="21032"/>
    <cellStyle name="Calculation 2 2 5 2 8" xfId="22006"/>
    <cellStyle name="Calculation 2 2 5 2 9" xfId="23011"/>
    <cellStyle name="Calculation 2 2 5 20" xfId="35559"/>
    <cellStyle name="Calculation 2 2 5 21" xfId="36498"/>
    <cellStyle name="Calculation 2 2 5 3" xfId="15962"/>
    <cellStyle name="Calculation 2 2 5 4" xfId="16940"/>
    <cellStyle name="Calculation 2 2 5 5" xfId="17968"/>
    <cellStyle name="Calculation 2 2 5 6" xfId="19000"/>
    <cellStyle name="Calculation 2 2 5 7" xfId="20022"/>
    <cellStyle name="Calculation 2 2 5 8" xfId="21031"/>
    <cellStyle name="Calculation 2 2 5 9" xfId="22005"/>
    <cellStyle name="Calculation 2 2 6" xfId="667"/>
    <cellStyle name="Calculation 2 2 6 10" xfId="23012"/>
    <cellStyle name="Calculation 2 2 6 11" xfId="23984"/>
    <cellStyle name="Calculation 2 2 6 12" xfId="24983"/>
    <cellStyle name="Calculation 2 2 6 13" xfId="27928"/>
    <cellStyle name="Calculation 2 2 6 14" xfId="28897"/>
    <cellStyle name="Calculation 2 2 6 15" xfId="29936"/>
    <cellStyle name="Calculation 2 2 6 16" xfId="30929"/>
    <cellStyle name="Calculation 2 2 6 17" xfId="31938"/>
    <cellStyle name="Calculation 2 2 6 18" xfId="32941"/>
    <cellStyle name="Calculation 2 2 6 19" xfId="33940"/>
    <cellStyle name="Calculation 2 2 6 2" xfId="668"/>
    <cellStyle name="Calculation 2 2 6 2 10" xfId="23985"/>
    <cellStyle name="Calculation 2 2 6 2 11" xfId="24984"/>
    <cellStyle name="Calculation 2 2 6 2 12" xfId="27929"/>
    <cellStyle name="Calculation 2 2 6 2 13" xfId="28898"/>
    <cellStyle name="Calculation 2 2 6 2 14" xfId="29937"/>
    <cellStyle name="Calculation 2 2 6 2 15" xfId="30930"/>
    <cellStyle name="Calculation 2 2 6 2 16" xfId="31939"/>
    <cellStyle name="Calculation 2 2 6 2 17" xfId="32942"/>
    <cellStyle name="Calculation 2 2 6 2 18" xfId="33941"/>
    <cellStyle name="Calculation 2 2 6 2 19" xfId="35562"/>
    <cellStyle name="Calculation 2 2 6 2 2" xfId="15965"/>
    <cellStyle name="Calculation 2 2 6 2 20" xfId="36501"/>
    <cellStyle name="Calculation 2 2 6 2 3" xfId="16943"/>
    <cellStyle name="Calculation 2 2 6 2 4" xfId="17971"/>
    <cellStyle name="Calculation 2 2 6 2 5" xfId="19003"/>
    <cellStyle name="Calculation 2 2 6 2 6" xfId="20025"/>
    <cellStyle name="Calculation 2 2 6 2 7" xfId="21034"/>
    <cellStyle name="Calculation 2 2 6 2 8" xfId="22008"/>
    <cellStyle name="Calculation 2 2 6 2 9" xfId="23013"/>
    <cellStyle name="Calculation 2 2 6 20" xfId="35561"/>
    <cellStyle name="Calculation 2 2 6 21" xfId="36500"/>
    <cellStyle name="Calculation 2 2 6 3" xfId="15964"/>
    <cellStyle name="Calculation 2 2 6 4" xfId="16942"/>
    <cellStyle name="Calculation 2 2 6 5" xfId="17970"/>
    <cellStyle name="Calculation 2 2 6 6" xfId="19002"/>
    <cellStyle name="Calculation 2 2 6 7" xfId="20024"/>
    <cellStyle name="Calculation 2 2 6 8" xfId="21033"/>
    <cellStyle name="Calculation 2 2 6 9" xfId="22007"/>
    <cellStyle name="Calculation 2 2 7" xfId="669"/>
    <cellStyle name="Calculation 2 2 7 10" xfId="23986"/>
    <cellStyle name="Calculation 2 2 7 11" xfId="24985"/>
    <cellStyle name="Calculation 2 2 7 12" xfId="27930"/>
    <cellStyle name="Calculation 2 2 7 13" xfId="28899"/>
    <cellStyle name="Calculation 2 2 7 14" xfId="29938"/>
    <cellStyle name="Calculation 2 2 7 15" xfId="30931"/>
    <cellStyle name="Calculation 2 2 7 16" xfId="31940"/>
    <cellStyle name="Calculation 2 2 7 17" xfId="32943"/>
    <cellStyle name="Calculation 2 2 7 18" xfId="33942"/>
    <cellStyle name="Calculation 2 2 7 19" xfId="35563"/>
    <cellStyle name="Calculation 2 2 7 2" xfId="15966"/>
    <cellStyle name="Calculation 2 2 7 20" xfId="36502"/>
    <cellStyle name="Calculation 2 2 7 3" xfId="16944"/>
    <cellStyle name="Calculation 2 2 7 4" xfId="17972"/>
    <cellStyle name="Calculation 2 2 7 5" xfId="19004"/>
    <cellStyle name="Calculation 2 2 7 6" xfId="20026"/>
    <cellStyle name="Calculation 2 2 7 7" xfId="21035"/>
    <cellStyle name="Calculation 2 2 7 8" xfId="22009"/>
    <cellStyle name="Calculation 2 2 7 9" xfId="23014"/>
    <cellStyle name="Calculation 2 2 8" xfId="670"/>
    <cellStyle name="Calculation 2 2 8 10" xfId="24868"/>
    <cellStyle name="Calculation 2 2 8 11" xfId="25867"/>
    <cellStyle name="Calculation 2 2 8 12" xfId="28773"/>
    <cellStyle name="Calculation 2 2 8 13" xfId="29790"/>
    <cellStyle name="Calculation 2 2 8 14" xfId="30823"/>
    <cellStyle name="Calculation 2 2 8 15" xfId="31818"/>
    <cellStyle name="Calculation 2 2 8 16" xfId="32822"/>
    <cellStyle name="Calculation 2 2 8 17" xfId="33825"/>
    <cellStyle name="Calculation 2 2 8 18" xfId="34824"/>
    <cellStyle name="Calculation 2 2 8 19" xfId="36385"/>
    <cellStyle name="Calculation 2 2 8 2" xfId="16857"/>
    <cellStyle name="Calculation 2 2 8 20" xfId="37384"/>
    <cellStyle name="Calculation 2 2 8 3" xfId="17837"/>
    <cellStyle name="Calculation 2 2 8 4" xfId="18862"/>
    <cellStyle name="Calculation 2 2 8 5" xfId="19896"/>
    <cellStyle name="Calculation 2 2 8 6" xfId="20921"/>
    <cellStyle name="Calculation 2 2 8 7" xfId="21881"/>
    <cellStyle name="Calculation 2 2 8 8" xfId="22893"/>
    <cellStyle name="Calculation 2 2 8 9" xfId="23896"/>
    <cellStyle name="Calculation 2 2 9" xfId="34885"/>
    <cellStyle name="Calculation 2 3" xfId="671"/>
    <cellStyle name="Calculation 2 3 10" xfId="14586"/>
    <cellStyle name="Calculation 2 3 11" xfId="14520"/>
    <cellStyle name="Calculation 2 3 12" xfId="13433"/>
    <cellStyle name="Calculation 2 3 13" xfId="14982"/>
    <cellStyle name="Calculation 2 3 14" xfId="25962"/>
    <cellStyle name="Calculation 2 3 15" xfId="27308"/>
    <cellStyle name="Calculation 2 3 16" xfId="26731"/>
    <cellStyle name="Calculation 2 3 17" xfId="26861"/>
    <cellStyle name="Calculation 2 3 18" xfId="26701"/>
    <cellStyle name="Calculation 2 3 19" xfId="32833"/>
    <cellStyle name="Calculation 2 3 2" xfId="672"/>
    <cellStyle name="Calculation 2 3 2 10" xfId="14355"/>
    <cellStyle name="Calculation 2 3 2 11" xfId="15139"/>
    <cellStyle name="Calculation 2 3 2 12" xfId="14190"/>
    <cellStyle name="Calculation 2 3 2 13" xfId="14252"/>
    <cellStyle name="Calculation 2 3 2 14" xfId="21858"/>
    <cellStyle name="Calculation 2 3 2 15" xfId="13793"/>
    <cellStyle name="Calculation 2 3 2 16" xfId="26089"/>
    <cellStyle name="Calculation 2 3 2 17" xfId="27262"/>
    <cellStyle name="Calculation 2 3 2 18" xfId="28753"/>
    <cellStyle name="Calculation 2 3 2 19" xfId="27297"/>
    <cellStyle name="Calculation 2 3 2 2" xfId="673"/>
    <cellStyle name="Calculation 2 3 2 2 10" xfId="15503"/>
    <cellStyle name="Calculation 2 3 2 2 11" xfId="13806"/>
    <cellStyle name="Calculation 2 3 2 2 12" xfId="26310"/>
    <cellStyle name="Calculation 2 3 2 2 13" xfId="27174"/>
    <cellStyle name="Calculation 2 3 2 2 14" xfId="25882"/>
    <cellStyle name="Calculation 2 3 2 2 15" xfId="26055"/>
    <cellStyle name="Calculation 2 3 2 2 16" xfId="27220"/>
    <cellStyle name="Calculation 2 3 2 2 17" xfId="26629"/>
    <cellStyle name="Calculation 2 3 2 2 18" xfId="35006"/>
    <cellStyle name="Calculation 2 3 2 2 19" xfId="35329"/>
    <cellStyle name="Calculation 2 3 2 2 2" xfId="674"/>
    <cellStyle name="Calculation 2 3 2 2 2 10" xfId="23015"/>
    <cellStyle name="Calculation 2 3 2 2 2 11" xfId="23987"/>
    <cellStyle name="Calculation 2 3 2 2 2 12" xfId="24986"/>
    <cellStyle name="Calculation 2 3 2 2 2 13" xfId="27931"/>
    <cellStyle name="Calculation 2 3 2 2 2 14" xfId="28900"/>
    <cellStyle name="Calculation 2 3 2 2 2 15" xfId="29939"/>
    <cellStyle name="Calculation 2 3 2 2 2 16" xfId="30932"/>
    <cellStyle name="Calculation 2 3 2 2 2 17" xfId="31941"/>
    <cellStyle name="Calculation 2 3 2 2 2 18" xfId="32944"/>
    <cellStyle name="Calculation 2 3 2 2 2 19" xfId="33943"/>
    <cellStyle name="Calculation 2 3 2 2 2 2" xfId="675"/>
    <cellStyle name="Calculation 2 3 2 2 2 2 10" xfId="23988"/>
    <cellStyle name="Calculation 2 3 2 2 2 2 11" xfId="24987"/>
    <cellStyle name="Calculation 2 3 2 2 2 2 12" xfId="27932"/>
    <cellStyle name="Calculation 2 3 2 2 2 2 13" xfId="28901"/>
    <cellStyle name="Calculation 2 3 2 2 2 2 14" xfId="29940"/>
    <cellStyle name="Calculation 2 3 2 2 2 2 15" xfId="30933"/>
    <cellStyle name="Calculation 2 3 2 2 2 2 16" xfId="31942"/>
    <cellStyle name="Calculation 2 3 2 2 2 2 17" xfId="32945"/>
    <cellStyle name="Calculation 2 3 2 2 2 2 18" xfId="33944"/>
    <cellStyle name="Calculation 2 3 2 2 2 2 19" xfId="35565"/>
    <cellStyle name="Calculation 2 3 2 2 2 2 2" xfId="15968"/>
    <cellStyle name="Calculation 2 3 2 2 2 2 20" xfId="36504"/>
    <cellStyle name="Calculation 2 3 2 2 2 2 3" xfId="16946"/>
    <cellStyle name="Calculation 2 3 2 2 2 2 4" xfId="17974"/>
    <cellStyle name="Calculation 2 3 2 2 2 2 5" xfId="19006"/>
    <cellStyle name="Calculation 2 3 2 2 2 2 6" xfId="20028"/>
    <cellStyle name="Calculation 2 3 2 2 2 2 7" xfId="21037"/>
    <cellStyle name="Calculation 2 3 2 2 2 2 8" xfId="22011"/>
    <cellStyle name="Calculation 2 3 2 2 2 2 9" xfId="23016"/>
    <cellStyle name="Calculation 2 3 2 2 2 20" xfId="35564"/>
    <cellStyle name="Calculation 2 3 2 2 2 21" xfId="36503"/>
    <cellStyle name="Calculation 2 3 2 2 2 3" xfId="15967"/>
    <cellStyle name="Calculation 2 3 2 2 2 4" xfId="16945"/>
    <cellStyle name="Calculation 2 3 2 2 2 5" xfId="17973"/>
    <cellStyle name="Calculation 2 3 2 2 2 6" xfId="19005"/>
    <cellStyle name="Calculation 2 3 2 2 2 7" xfId="20027"/>
    <cellStyle name="Calculation 2 3 2 2 2 8" xfId="21036"/>
    <cellStyle name="Calculation 2 3 2 2 2 9" xfId="22010"/>
    <cellStyle name="Calculation 2 3 2 2 3" xfId="676"/>
    <cellStyle name="Calculation 2 3 2 2 3 10" xfId="23017"/>
    <cellStyle name="Calculation 2 3 2 2 3 11" xfId="23989"/>
    <cellStyle name="Calculation 2 3 2 2 3 12" xfId="24988"/>
    <cellStyle name="Calculation 2 3 2 2 3 13" xfId="27933"/>
    <cellStyle name="Calculation 2 3 2 2 3 14" xfId="28902"/>
    <cellStyle name="Calculation 2 3 2 2 3 15" xfId="29941"/>
    <cellStyle name="Calculation 2 3 2 2 3 16" xfId="30934"/>
    <cellStyle name="Calculation 2 3 2 2 3 17" xfId="31943"/>
    <cellStyle name="Calculation 2 3 2 2 3 18" xfId="32946"/>
    <cellStyle name="Calculation 2 3 2 2 3 19" xfId="33945"/>
    <cellStyle name="Calculation 2 3 2 2 3 2" xfId="677"/>
    <cellStyle name="Calculation 2 3 2 2 3 2 10" xfId="23990"/>
    <cellStyle name="Calculation 2 3 2 2 3 2 11" xfId="24989"/>
    <cellStyle name="Calculation 2 3 2 2 3 2 12" xfId="27934"/>
    <cellStyle name="Calculation 2 3 2 2 3 2 13" xfId="28903"/>
    <cellStyle name="Calculation 2 3 2 2 3 2 14" xfId="29942"/>
    <cellStyle name="Calculation 2 3 2 2 3 2 15" xfId="30935"/>
    <cellStyle name="Calculation 2 3 2 2 3 2 16" xfId="31944"/>
    <cellStyle name="Calculation 2 3 2 2 3 2 17" xfId="32947"/>
    <cellStyle name="Calculation 2 3 2 2 3 2 18" xfId="33946"/>
    <cellStyle name="Calculation 2 3 2 2 3 2 19" xfId="35567"/>
    <cellStyle name="Calculation 2 3 2 2 3 2 2" xfId="15970"/>
    <cellStyle name="Calculation 2 3 2 2 3 2 20" xfId="36506"/>
    <cellStyle name="Calculation 2 3 2 2 3 2 3" xfId="16948"/>
    <cellStyle name="Calculation 2 3 2 2 3 2 4" xfId="17976"/>
    <cellStyle name="Calculation 2 3 2 2 3 2 5" xfId="19008"/>
    <cellStyle name="Calculation 2 3 2 2 3 2 6" xfId="20030"/>
    <cellStyle name="Calculation 2 3 2 2 3 2 7" xfId="21039"/>
    <cellStyle name="Calculation 2 3 2 2 3 2 8" xfId="22013"/>
    <cellStyle name="Calculation 2 3 2 2 3 2 9" xfId="23018"/>
    <cellStyle name="Calculation 2 3 2 2 3 20" xfId="35566"/>
    <cellStyle name="Calculation 2 3 2 2 3 21" xfId="36505"/>
    <cellStyle name="Calculation 2 3 2 2 3 3" xfId="15969"/>
    <cellStyle name="Calculation 2 3 2 2 3 4" xfId="16947"/>
    <cellStyle name="Calculation 2 3 2 2 3 5" xfId="17975"/>
    <cellStyle name="Calculation 2 3 2 2 3 6" xfId="19007"/>
    <cellStyle name="Calculation 2 3 2 2 3 7" xfId="20029"/>
    <cellStyle name="Calculation 2 3 2 2 3 8" xfId="21038"/>
    <cellStyle name="Calculation 2 3 2 2 3 9" xfId="22012"/>
    <cellStyle name="Calculation 2 3 2 2 4" xfId="678"/>
    <cellStyle name="Calculation 2 3 2 2 4 10" xfId="23019"/>
    <cellStyle name="Calculation 2 3 2 2 4 11" xfId="23991"/>
    <cellStyle name="Calculation 2 3 2 2 4 12" xfId="24990"/>
    <cellStyle name="Calculation 2 3 2 2 4 13" xfId="27935"/>
    <cellStyle name="Calculation 2 3 2 2 4 14" xfId="28904"/>
    <cellStyle name="Calculation 2 3 2 2 4 15" xfId="29943"/>
    <cellStyle name="Calculation 2 3 2 2 4 16" xfId="30936"/>
    <cellStyle name="Calculation 2 3 2 2 4 17" xfId="31945"/>
    <cellStyle name="Calculation 2 3 2 2 4 18" xfId="32948"/>
    <cellStyle name="Calculation 2 3 2 2 4 19" xfId="33947"/>
    <cellStyle name="Calculation 2 3 2 2 4 2" xfId="679"/>
    <cellStyle name="Calculation 2 3 2 2 4 2 10" xfId="23992"/>
    <cellStyle name="Calculation 2 3 2 2 4 2 11" xfId="24991"/>
    <cellStyle name="Calculation 2 3 2 2 4 2 12" xfId="27936"/>
    <cellStyle name="Calculation 2 3 2 2 4 2 13" xfId="28905"/>
    <cellStyle name="Calculation 2 3 2 2 4 2 14" xfId="29944"/>
    <cellStyle name="Calculation 2 3 2 2 4 2 15" xfId="30937"/>
    <cellStyle name="Calculation 2 3 2 2 4 2 16" xfId="31946"/>
    <cellStyle name="Calculation 2 3 2 2 4 2 17" xfId="32949"/>
    <cellStyle name="Calculation 2 3 2 2 4 2 18" xfId="33948"/>
    <cellStyle name="Calculation 2 3 2 2 4 2 19" xfId="35569"/>
    <cellStyle name="Calculation 2 3 2 2 4 2 2" xfId="15972"/>
    <cellStyle name="Calculation 2 3 2 2 4 2 20" xfId="36508"/>
    <cellStyle name="Calculation 2 3 2 2 4 2 3" xfId="16950"/>
    <cellStyle name="Calculation 2 3 2 2 4 2 4" xfId="17978"/>
    <cellStyle name="Calculation 2 3 2 2 4 2 5" xfId="19010"/>
    <cellStyle name="Calculation 2 3 2 2 4 2 6" xfId="20032"/>
    <cellStyle name="Calculation 2 3 2 2 4 2 7" xfId="21041"/>
    <cellStyle name="Calculation 2 3 2 2 4 2 8" xfId="22015"/>
    <cellStyle name="Calculation 2 3 2 2 4 2 9" xfId="23020"/>
    <cellStyle name="Calculation 2 3 2 2 4 20" xfId="35568"/>
    <cellStyle name="Calculation 2 3 2 2 4 21" xfId="36507"/>
    <cellStyle name="Calculation 2 3 2 2 4 3" xfId="15971"/>
    <cellStyle name="Calculation 2 3 2 2 4 4" xfId="16949"/>
    <cellStyle name="Calculation 2 3 2 2 4 5" xfId="17977"/>
    <cellStyle name="Calculation 2 3 2 2 4 6" xfId="19009"/>
    <cellStyle name="Calculation 2 3 2 2 4 7" xfId="20031"/>
    <cellStyle name="Calculation 2 3 2 2 4 8" xfId="21040"/>
    <cellStyle name="Calculation 2 3 2 2 4 9" xfId="22014"/>
    <cellStyle name="Calculation 2 3 2 2 5" xfId="680"/>
    <cellStyle name="Calculation 2 3 2 2 5 10" xfId="23993"/>
    <cellStyle name="Calculation 2 3 2 2 5 11" xfId="24992"/>
    <cellStyle name="Calculation 2 3 2 2 5 12" xfId="27937"/>
    <cellStyle name="Calculation 2 3 2 2 5 13" xfId="28906"/>
    <cellStyle name="Calculation 2 3 2 2 5 14" xfId="29945"/>
    <cellStyle name="Calculation 2 3 2 2 5 15" xfId="30938"/>
    <cellStyle name="Calculation 2 3 2 2 5 16" xfId="31947"/>
    <cellStyle name="Calculation 2 3 2 2 5 17" xfId="32950"/>
    <cellStyle name="Calculation 2 3 2 2 5 18" xfId="33949"/>
    <cellStyle name="Calculation 2 3 2 2 5 19" xfId="35570"/>
    <cellStyle name="Calculation 2 3 2 2 5 2" xfId="15973"/>
    <cellStyle name="Calculation 2 3 2 2 5 20" xfId="36509"/>
    <cellStyle name="Calculation 2 3 2 2 5 3" xfId="16951"/>
    <cellStyle name="Calculation 2 3 2 2 5 4" xfId="17979"/>
    <cellStyle name="Calculation 2 3 2 2 5 5" xfId="19011"/>
    <cellStyle name="Calculation 2 3 2 2 5 6" xfId="20033"/>
    <cellStyle name="Calculation 2 3 2 2 5 7" xfId="21042"/>
    <cellStyle name="Calculation 2 3 2 2 5 8" xfId="22016"/>
    <cellStyle name="Calculation 2 3 2 2 5 9" xfId="23021"/>
    <cellStyle name="Calculation 2 3 2 2 6" xfId="13724"/>
    <cellStyle name="Calculation 2 3 2 2 7" xfId="15384"/>
    <cellStyle name="Calculation 2 3 2 2 8" xfId="14296"/>
    <cellStyle name="Calculation 2 3 2 2 9" xfId="13867"/>
    <cellStyle name="Calculation 2 3 2 20" xfId="27454"/>
    <cellStyle name="Calculation 2 3 2 21" xfId="27626"/>
    <cellStyle name="Calculation 2 3 2 22" xfId="34949"/>
    <cellStyle name="Calculation 2 3 2 23" xfId="34967"/>
    <cellStyle name="Calculation 2 3 2 3" xfId="681"/>
    <cellStyle name="Calculation 2 3 2 3 10" xfId="17818"/>
    <cellStyle name="Calculation 2 3 2 3 11" xfId="15313"/>
    <cellStyle name="Calculation 2 3 2 3 12" xfId="26390"/>
    <cellStyle name="Calculation 2 3 2 3 13" xfId="27703"/>
    <cellStyle name="Calculation 2 3 2 3 14" xfId="27529"/>
    <cellStyle name="Calculation 2 3 2 3 15" xfId="26772"/>
    <cellStyle name="Calculation 2 3 2 3 16" xfId="26023"/>
    <cellStyle name="Calculation 2 3 2 3 17" xfId="26563"/>
    <cellStyle name="Calculation 2 3 2 3 18" xfId="35081"/>
    <cellStyle name="Calculation 2 3 2 3 19" xfId="35427"/>
    <cellStyle name="Calculation 2 3 2 3 2" xfId="682"/>
    <cellStyle name="Calculation 2 3 2 3 2 10" xfId="23022"/>
    <cellStyle name="Calculation 2 3 2 3 2 11" xfId="23994"/>
    <cellStyle name="Calculation 2 3 2 3 2 12" xfId="24993"/>
    <cellStyle name="Calculation 2 3 2 3 2 13" xfId="27938"/>
    <cellStyle name="Calculation 2 3 2 3 2 14" xfId="28907"/>
    <cellStyle name="Calculation 2 3 2 3 2 15" xfId="29946"/>
    <cellStyle name="Calculation 2 3 2 3 2 16" xfId="30939"/>
    <cellStyle name="Calculation 2 3 2 3 2 17" xfId="31948"/>
    <cellStyle name="Calculation 2 3 2 3 2 18" xfId="32951"/>
    <cellStyle name="Calculation 2 3 2 3 2 19" xfId="33950"/>
    <cellStyle name="Calculation 2 3 2 3 2 2" xfId="683"/>
    <cellStyle name="Calculation 2 3 2 3 2 2 10" xfId="23995"/>
    <cellStyle name="Calculation 2 3 2 3 2 2 11" xfId="24994"/>
    <cellStyle name="Calculation 2 3 2 3 2 2 12" xfId="27939"/>
    <cellStyle name="Calculation 2 3 2 3 2 2 13" xfId="28908"/>
    <cellStyle name="Calculation 2 3 2 3 2 2 14" xfId="29947"/>
    <cellStyle name="Calculation 2 3 2 3 2 2 15" xfId="30940"/>
    <cellStyle name="Calculation 2 3 2 3 2 2 16" xfId="31949"/>
    <cellStyle name="Calculation 2 3 2 3 2 2 17" xfId="32952"/>
    <cellStyle name="Calculation 2 3 2 3 2 2 18" xfId="33951"/>
    <cellStyle name="Calculation 2 3 2 3 2 2 19" xfId="35572"/>
    <cellStyle name="Calculation 2 3 2 3 2 2 2" xfId="15975"/>
    <cellStyle name="Calculation 2 3 2 3 2 2 20" xfId="36511"/>
    <cellStyle name="Calculation 2 3 2 3 2 2 3" xfId="16953"/>
    <cellStyle name="Calculation 2 3 2 3 2 2 4" xfId="17981"/>
    <cellStyle name="Calculation 2 3 2 3 2 2 5" xfId="19013"/>
    <cellStyle name="Calculation 2 3 2 3 2 2 6" xfId="20035"/>
    <cellStyle name="Calculation 2 3 2 3 2 2 7" xfId="21044"/>
    <cellStyle name="Calculation 2 3 2 3 2 2 8" xfId="22018"/>
    <cellStyle name="Calculation 2 3 2 3 2 2 9" xfId="23023"/>
    <cellStyle name="Calculation 2 3 2 3 2 20" xfId="35571"/>
    <cellStyle name="Calculation 2 3 2 3 2 21" xfId="36510"/>
    <cellStyle name="Calculation 2 3 2 3 2 3" xfId="15974"/>
    <cellStyle name="Calculation 2 3 2 3 2 4" xfId="16952"/>
    <cellStyle name="Calculation 2 3 2 3 2 5" xfId="17980"/>
    <cellStyle name="Calculation 2 3 2 3 2 6" xfId="19012"/>
    <cellStyle name="Calculation 2 3 2 3 2 7" xfId="20034"/>
    <cellStyle name="Calculation 2 3 2 3 2 8" xfId="21043"/>
    <cellStyle name="Calculation 2 3 2 3 2 9" xfId="22017"/>
    <cellStyle name="Calculation 2 3 2 3 3" xfId="684"/>
    <cellStyle name="Calculation 2 3 2 3 3 10" xfId="23024"/>
    <cellStyle name="Calculation 2 3 2 3 3 11" xfId="23996"/>
    <cellStyle name="Calculation 2 3 2 3 3 12" xfId="24995"/>
    <cellStyle name="Calculation 2 3 2 3 3 13" xfId="27940"/>
    <cellStyle name="Calculation 2 3 2 3 3 14" xfId="28909"/>
    <cellStyle name="Calculation 2 3 2 3 3 15" xfId="29948"/>
    <cellStyle name="Calculation 2 3 2 3 3 16" xfId="30941"/>
    <cellStyle name="Calculation 2 3 2 3 3 17" xfId="31950"/>
    <cellStyle name="Calculation 2 3 2 3 3 18" xfId="32953"/>
    <cellStyle name="Calculation 2 3 2 3 3 19" xfId="33952"/>
    <cellStyle name="Calculation 2 3 2 3 3 2" xfId="685"/>
    <cellStyle name="Calculation 2 3 2 3 3 2 10" xfId="23997"/>
    <cellStyle name="Calculation 2 3 2 3 3 2 11" xfId="24996"/>
    <cellStyle name="Calculation 2 3 2 3 3 2 12" xfId="27941"/>
    <cellStyle name="Calculation 2 3 2 3 3 2 13" xfId="28910"/>
    <cellStyle name="Calculation 2 3 2 3 3 2 14" xfId="29949"/>
    <cellStyle name="Calculation 2 3 2 3 3 2 15" xfId="30942"/>
    <cellStyle name="Calculation 2 3 2 3 3 2 16" xfId="31951"/>
    <cellStyle name="Calculation 2 3 2 3 3 2 17" xfId="32954"/>
    <cellStyle name="Calculation 2 3 2 3 3 2 18" xfId="33953"/>
    <cellStyle name="Calculation 2 3 2 3 3 2 19" xfId="35574"/>
    <cellStyle name="Calculation 2 3 2 3 3 2 2" xfId="15977"/>
    <cellStyle name="Calculation 2 3 2 3 3 2 20" xfId="36513"/>
    <cellStyle name="Calculation 2 3 2 3 3 2 3" xfId="16955"/>
    <cellStyle name="Calculation 2 3 2 3 3 2 4" xfId="17983"/>
    <cellStyle name="Calculation 2 3 2 3 3 2 5" xfId="19015"/>
    <cellStyle name="Calculation 2 3 2 3 3 2 6" xfId="20037"/>
    <cellStyle name="Calculation 2 3 2 3 3 2 7" xfId="21046"/>
    <cellStyle name="Calculation 2 3 2 3 3 2 8" xfId="22020"/>
    <cellStyle name="Calculation 2 3 2 3 3 2 9" xfId="23025"/>
    <cellStyle name="Calculation 2 3 2 3 3 20" xfId="35573"/>
    <cellStyle name="Calculation 2 3 2 3 3 21" xfId="36512"/>
    <cellStyle name="Calculation 2 3 2 3 3 3" xfId="15976"/>
    <cellStyle name="Calculation 2 3 2 3 3 4" xfId="16954"/>
    <cellStyle name="Calculation 2 3 2 3 3 5" xfId="17982"/>
    <cellStyle name="Calculation 2 3 2 3 3 6" xfId="19014"/>
    <cellStyle name="Calculation 2 3 2 3 3 7" xfId="20036"/>
    <cellStyle name="Calculation 2 3 2 3 3 8" xfId="21045"/>
    <cellStyle name="Calculation 2 3 2 3 3 9" xfId="22019"/>
    <cellStyle name="Calculation 2 3 2 3 4" xfId="686"/>
    <cellStyle name="Calculation 2 3 2 3 4 10" xfId="23026"/>
    <cellStyle name="Calculation 2 3 2 3 4 11" xfId="23998"/>
    <cellStyle name="Calculation 2 3 2 3 4 12" xfId="24997"/>
    <cellStyle name="Calculation 2 3 2 3 4 13" xfId="27942"/>
    <cellStyle name="Calculation 2 3 2 3 4 14" xfId="28911"/>
    <cellStyle name="Calculation 2 3 2 3 4 15" xfId="29950"/>
    <cellStyle name="Calculation 2 3 2 3 4 16" xfId="30943"/>
    <cellStyle name="Calculation 2 3 2 3 4 17" xfId="31952"/>
    <cellStyle name="Calculation 2 3 2 3 4 18" xfId="32955"/>
    <cellStyle name="Calculation 2 3 2 3 4 19" xfId="33954"/>
    <cellStyle name="Calculation 2 3 2 3 4 2" xfId="687"/>
    <cellStyle name="Calculation 2 3 2 3 4 2 10" xfId="23999"/>
    <cellStyle name="Calculation 2 3 2 3 4 2 11" xfId="24998"/>
    <cellStyle name="Calculation 2 3 2 3 4 2 12" xfId="27943"/>
    <cellStyle name="Calculation 2 3 2 3 4 2 13" xfId="28912"/>
    <cellStyle name="Calculation 2 3 2 3 4 2 14" xfId="29951"/>
    <cellStyle name="Calculation 2 3 2 3 4 2 15" xfId="30944"/>
    <cellStyle name="Calculation 2 3 2 3 4 2 16" xfId="31953"/>
    <cellStyle name="Calculation 2 3 2 3 4 2 17" xfId="32956"/>
    <cellStyle name="Calculation 2 3 2 3 4 2 18" xfId="33955"/>
    <cellStyle name="Calculation 2 3 2 3 4 2 19" xfId="35576"/>
    <cellStyle name="Calculation 2 3 2 3 4 2 2" xfId="15979"/>
    <cellStyle name="Calculation 2 3 2 3 4 2 20" xfId="36515"/>
    <cellStyle name="Calculation 2 3 2 3 4 2 3" xfId="16957"/>
    <cellStyle name="Calculation 2 3 2 3 4 2 4" xfId="17985"/>
    <cellStyle name="Calculation 2 3 2 3 4 2 5" xfId="19017"/>
    <cellStyle name="Calculation 2 3 2 3 4 2 6" xfId="20039"/>
    <cellStyle name="Calculation 2 3 2 3 4 2 7" xfId="21048"/>
    <cellStyle name="Calculation 2 3 2 3 4 2 8" xfId="22022"/>
    <cellStyle name="Calculation 2 3 2 3 4 2 9" xfId="23027"/>
    <cellStyle name="Calculation 2 3 2 3 4 20" xfId="35575"/>
    <cellStyle name="Calculation 2 3 2 3 4 21" xfId="36514"/>
    <cellStyle name="Calculation 2 3 2 3 4 3" xfId="15978"/>
    <cellStyle name="Calculation 2 3 2 3 4 4" xfId="16956"/>
    <cellStyle name="Calculation 2 3 2 3 4 5" xfId="17984"/>
    <cellStyle name="Calculation 2 3 2 3 4 6" xfId="19016"/>
    <cellStyle name="Calculation 2 3 2 3 4 7" xfId="20038"/>
    <cellStyle name="Calculation 2 3 2 3 4 8" xfId="21047"/>
    <cellStyle name="Calculation 2 3 2 3 4 9" xfId="22021"/>
    <cellStyle name="Calculation 2 3 2 3 5" xfId="688"/>
    <cellStyle name="Calculation 2 3 2 3 5 10" xfId="24000"/>
    <cellStyle name="Calculation 2 3 2 3 5 11" xfId="24999"/>
    <cellStyle name="Calculation 2 3 2 3 5 12" xfId="27944"/>
    <cellStyle name="Calculation 2 3 2 3 5 13" xfId="28913"/>
    <cellStyle name="Calculation 2 3 2 3 5 14" xfId="29952"/>
    <cellStyle name="Calculation 2 3 2 3 5 15" xfId="30945"/>
    <cellStyle name="Calculation 2 3 2 3 5 16" xfId="31954"/>
    <cellStyle name="Calculation 2 3 2 3 5 17" xfId="32957"/>
    <cellStyle name="Calculation 2 3 2 3 5 18" xfId="33956"/>
    <cellStyle name="Calculation 2 3 2 3 5 19" xfId="35577"/>
    <cellStyle name="Calculation 2 3 2 3 5 2" xfId="15980"/>
    <cellStyle name="Calculation 2 3 2 3 5 20" xfId="36516"/>
    <cellStyle name="Calculation 2 3 2 3 5 3" xfId="16958"/>
    <cellStyle name="Calculation 2 3 2 3 5 4" xfId="17986"/>
    <cellStyle name="Calculation 2 3 2 3 5 5" xfId="19018"/>
    <cellStyle name="Calculation 2 3 2 3 5 6" xfId="20040"/>
    <cellStyle name="Calculation 2 3 2 3 5 7" xfId="21049"/>
    <cellStyle name="Calculation 2 3 2 3 5 8" xfId="22023"/>
    <cellStyle name="Calculation 2 3 2 3 5 9" xfId="23028"/>
    <cellStyle name="Calculation 2 3 2 3 6" xfId="13770"/>
    <cellStyle name="Calculation 2 3 2 3 7" xfId="15247"/>
    <cellStyle name="Calculation 2 3 2 3 8" xfId="15324"/>
    <cellStyle name="Calculation 2 3 2 3 9" xfId="14256"/>
    <cellStyle name="Calculation 2 3 2 4" xfId="689"/>
    <cellStyle name="Calculation 2 3 2 4 10" xfId="15509"/>
    <cellStyle name="Calculation 2 3 2 4 11" xfId="14723"/>
    <cellStyle name="Calculation 2 3 2 4 12" xfId="26346"/>
    <cellStyle name="Calculation 2 3 2 4 13" xfId="27717"/>
    <cellStyle name="Calculation 2 3 2 4 14" xfId="26256"/>
    <cellStyle name="Calculation 2 3 2 4 15" xfId="26575"/>
    <cellStyle name="Calculation 2 3 2 4 16" xfId="27805"/>
    <cellStyle name="Calculation 2 3 2 4 17" xfId="27750"/>
    <cellStyle name="Calculation 2 3 2 4 18" xfId="35040"/>
    <cellStyle name="Calculation 2 3 2 4 19" xfId="35304"/>
    <cellStyle name="Calculation 2 3 2 4 2" xfId="690"/>
    <cellStyle name="Calculation 2 3 2 4 2 10" xfId="23029"/>
    <cellStyle name="Calculation 2 3 2 4 2 11" xfId="24001"/>
    <cellStyle name="Calculation 2 3 2 4 2 12" xfId="25000"/>
    <cellStyle name="Calculation 2 3 2 4 2 13" xfId="27945"/>
    <cellStyle name="Calculation 2 3 2 4 2 14" xfId="28914"/>
    <cellStyle name="Calculation 2 3 2 4 2 15" xfId="29953"/>
    <cellStyle name="Calculation 2 3 2 4 2 16" xfId="30946"/>
    <cellStyle name="Calculation 2 3 2 4 2 17" xfId="31955"/>
    <cellStyle name="Calculation 2 3 2 4 2 18" xfId="32958"/>
    <cellStyle name="Calculation 2 3 2 4 2 19" xfId="33957"/>
    <cellStyle name="Calculation 2 3 2 4 2 2" xfId="691"/>
    <cellStyle name="Calculation 2 3 2 4 2 2 10" xfId="24002"/>
    <cellStyle name="Calculation 2 3 2 4 2 2 11" xfId="25001"/>
    <cellStyle name="Calculation 2 3 2 4 2 2 12" xfId="27946"/>
    <cellStyle name="Calculation 2 3 2 4 2 2 13" xfId="28915"/>
    <cellStyle name="Calculation 2 3 2 4 2 2 14" xfId="29954"/>
    <cellStyle name="Calculation 2 3 2 4 2 2 15" xfId="30947"/>
    <cellStyle name="Calculation 2 3 2 4 2 2 16" xfId="31956"/>
    <cellStyle name="Calculation 2 3 2 4 2 2 17" xfId="32959"/>
    <cellStyle name="Calculation 2 3 2 4 2 2 18" xfId="33958"/>
    <cellStyle name="Calculation 2 3 2 4 2 2 19" xfId="35579"/>
    <cellStyle name="Calculation 2 3 2 4 2 2 2" xfId="15982"/>
    <cellStyle name="Calculation 2 3 2 4 2 2 20" xfId="36518"/>
    <cellStyle name="Calculation 2 3 2 4 2 2 3" xfId="16960"/>
    <cellStyle name="Calculation 2 3 2 4 2 2 4" xfId="17988"/>
    <cellStyle name="Calculation 2 3 2 4 2 2 5" xfId="19020"/>
    <cellStyle name="Calculation 2 3 2 4 2 2 6" xfId="20042"/>
    <cellStyle name="Calculation 2 3 2 4 2 2 7" xfId="21051"/>
    <cellStyle name="Calculation 2 3 2 4 2 2 8" xfId="22025"/>
    <cellStyle name="Calculation 2 3 2 4 2 2 9" xfId="23030"/>
    <cellStyle name="Calculation 2 3 2 4 2 20" xfId="35578"/>
    <cellStyle name="Calculation 2 3 2 4 2 21" xfId="36517"/>
    <cellStyle name="Calculation 2 3 2 4 2 3" xfId="15981"/>
    <cellStyle name="Calculation 2 3 2 4 2 4" xfId="16959"/>
    <cellStyle name="Calculation 2 3 2 4 2 5" xfId="17987"/>
    <cellStyle name="Calculation 2 3 2 4 2 6" xfId="19019"/>
    <cellStyle name="Calculation 2 3 2 4 2 7" xfId="20041"/>
    <cellStyle name="Calculation 2 3 2 4 2 8" xfId="21050"/>
    <cellStyle name="Calculation 2 3 2 4 2 9" xfId="22024"/>
    <cellStyle name="Calculation 2 3 2 4 3" xfId="692"/>
    <cellStyle name="Calculation 2 3 2 4 3 10" xfId="23031"/>
    <cellStyle name="Calculation 2 3 2 4 3 11" xfId="24003"/>
    <cellStyle name="Calculation 2 3 2 4 3 12" xfId="25002"/>
    <cellStyle name="Calculation 2 3 2 4 3 13" xfId="27947"/>
    <cellStyle name="Calculation 2 3 2 4 3 14" xfId="28916"/>
    <cellStyle name="Calculation 2 3 2 4 3 15" xfId="29955"/>
    <cellStyle name="Calculation 2 3 2 4 3 16" xfId="30948"/>
    <cellStyle name="Calculation 2 3 2 4 3 17" xfId="31957"/>
    <cellStyle name="Calculation 2 3 2 4 3 18" xfId="32960"/>
    <cellStyle name="Calculation 2 3 2 4 3 19" xfId="33959"/>
    <cellStyle name="Calculation 2 3 2 4 3 2" xfId="693"/>
    <cellStyle name="Calculation 2 3 2 4 3 2 10" xfId="24004"/>
    <cellStyle name="Calculation 2 3 2 4 3 2 11" xfId="25003"/>
    <cellStyle name="Calculation 2 3 2 4 3 2 12" xfId="27948"/>
    <cellStyle name="Calculation 2 3 2 4 3 2 13" xfId="28917"/>
    <cellStyle name="Calculation 2 3 2 4 3 2 14" xfId="29956"/>
    <cellStyle name="Calculation 2 3 2 4 3 2 15" xfId="30949"/>
    <cellStyle name="Calculation 2 3 2 4 3 2 16" xfId="31958"/>
    <cellStyle name="Calculation 2 3 2 4 3 2 17" xfId="32961"/>
    <cellStyle name="Calculation 2 3 2 4 3 2 18" xfId="33960"/>
    <cellStyle name="Calculation 2 3 2 4 3 2 19" xfId="35581"/>
    <cellStyle name="Calculation 2 3 2 4 3 2 2" xfId="15984"/>
    <cellStyle name="Calculation 2 3 2 4 3 2 20" xfId="36520"/>
    <cellStyle name="Calculation 2 3 2 4 3 2 3" xfId="16962"/>
    <cellStyle name="Calculation 2 3 2 4 3 2 4" xfId="17990"/>
    <cellStyle name="Calculation 2 3 2 4 3 2 5" xfId="19022"/>
    <cellStyle name="Calculation 2 3 2 4 3 2 6" xfId="20044"/>
    <cellStyle name="Calculation 2 3 2 4 3 2 7" xfId="21053"/>
    <cellStyle name="Calculation 2 3 2 4 3 2 8" xfId="22027"/>
    <cellStyle name="Calculation 2 3 2 4 3 2 9" xfId="23032"/>
    <cellStyle name="Calculation 2 3 2 4 3 20" xfId="35580"/>
    <cellStyle name="Calculation 2 3 2 4 3 21" xfId="36519"/>
    <cellStyle name="Calculation 2 3 2 4 3 3" xfId="15983"/>
    <cellStyle name="Calculation 2 3 2 4 3 4" xfId="16961"/>
    <cellStyle name="Calculation 2 3 2 4 3 5" xfId="17989"/>
    <cellStyle name="Calculation 2 3 2 4 3 6" xfId="19021"/>
    <cellStyle name="Calculation 2 3 2 4 3 7" xfId="20043"/>
    <cellStyle name="Calculation 2 3 2 4 3 8" xfId="21052"/>
    <cellStyle name="Calculation 2 3 2 4 3 9" xfId="22026"/>
    <cellStyle name="Calculation 2 3 2 4 4" xfId="694"/>
    <cellStyle name="Calculation 2 3 2 4 4 10" xfId="23033"/>
    <cellStyle name="Calculation 2 3 2 4 4 11" xfId="24005"/>
    <cellStyle name="Calculation 2 3 2 4 4 12" xfId="25004"/>
    <cellStyle name="Calculation 2 3 2 4 4 13" xfId="27949"/>
    <cellStyle name="Calculation 2 3 2 4 4 14" xfId="28918"/>
    <cellStyle name="Calculation 2 3 2 4 4 15" xfId="29957"/>
    <cellStyle name="Calculation 2 3 2 4 4 16" xfId="30950"/>
    <cellStyle name="Calculation 2 3 2 4 4 17" xfId="31959"/>
    <cellStyle name="Calculation 2 3 2 4 4 18" xfId="32962"/>
    <cellStyle name="Calculation 2 3 2 4 4 19" xfId="33961"/>
    <cellStyle name="Calculation 2 3 2 4 4 2" xfId="695"/>
    <cellStyle name="Calculation 2 3 2 4 4 2 10" xfId="24006"/>
    <cellStyle name="Calculation 2 3 2 4 4 2 11" xfId="25005"/>
    <cellStyle name="Calculation 2 3 2 4 4 2 12" xfId="27950"/>
    <cellStyle name="Calculation 2 3 2 4 4 2 13" xfId="28919"/>
    <cellStyle name="Calculation 2 3 2 4 4 2 14" xfId="29958"/>
    <cellStyle name="Calculation 2 3 2 4 4 2 15" xfId="30951"/>
    <cellStyle name="Calculation 2 3 2 4 4 2 16" xfId="31960"/>
    <cellStyle name="Calculation 2 3 2 4 4 2 17" xfId="32963"/>
    <cellStyle name="Calculation 2 3 2 4 4 2 18" xfId="33962"/>
    <cellStyle name="Calculation 2 3 2 4 4 2 19" xfId="35583"/>
    <cellStyle name="Calculation 2 3 2 4 4 2 2" xfId="15986"/>
    <cellStyle name="Calculation 2 3 2 4 4 2 20" xfId="36522"/>
    <cellStyle name="Calculation 2 3 2 4 4 2 3" xfId="16964"/>
    <cellStyle name="Calculation 2 3 2 4 4 2 4" xfId="17992"/>
    <cellStyle name="Calculation 2 3 2 4 4 2 5" xfId="19024"/>
    <cellStyle name="Calculation 2 3 2 4 4 2 6" xfId="20046"/>
    <cellStyle name="Calculation 2 3 2 4 4 2 7" xfId="21055"/>
    <cellStyle name="Calculation 2 3 2 4 4 2 8" xfId="22029"/>
    <cellStyle name="Calculation 2 3 2 4 4 2 9" xfId="23034"/>
    <cellStyle name="Calculation 2 3 2 4 4 20" xfId="35582"/>
    <cellStyle name="Calculation 2 3 2 4 4 21" xfId="36521"/>
    <cellStyle name="Calculation 2 3 2 4 4 3" xfId="15985"/>
    <cellStyle name="Calculation 2 3 2 4 4 4" xfId="16963"/>
    <cellStyle name="Calculation 2 3 2 4 4 5" xfId="17991"/>
    <cellStyle name="Calculation 2 3 2 4 4 6" xfId="19023"/>
    <cellStyle name="Calculation 2 3 2 4 4 7" xfId="20045"/>
    <cellStyle name="Calculation 2 3 2 4 4 8" xfId="21054"/>
    <cellStyle name="Calculation 2 3 2 4 4 9" xfId="22028"/>
    <cellStyle name="Calculation 2 3 2 4 5" xfId="696"/>
    <cellStyle name="Calculation 2 3 2 4 5 10" xfId="24007"/>
    <cellStyle name="Calculation 2 3 2 4 5 11" xfId="25006"/>
    <cellStyle name="Calculation 2 3 2 4 5 12" xfId="27951"/>
    <cellStyle name="Calculation 2 3 2 4 5 13" xfId="28920"/>
    <cellStyle name="Calculation 2 3 2 4 5 14" xfId="29959"/>
    <cellStyle name="Calculation 2 3 2 4 5 15" xfId="30952"/>
    <cellStyle name="Calculation 2 3 2 4 5 16" xfId="31961"/>
    <cellStyle name="Calculation 2 3 2 4 5 17" xfId="32964"/>
    <cellStyle name="Calculation 2 3 2 4 5 18" xfId="33963"/>
    <cellStyle name="Calculation 2 3 2 4 5 19" xfId="35584"/>
    <cellStyle name="Calculation 2 3 2 4 5 2" xfId="15987"/>
    <cellStyle name="Calculation 2 3 2 4 5 20" xfId="36523"/>
    <cellStyle name="Calculation 2 3 2 4 5 3" xfId="16965"/>
    <cellStyle name="Calculation 2 3 2 4 5 4" xfId="17993"/>
    <cellStyle name="Calculation 2 3 2 4 5 5" xfId="19025"/>
    <cellStyle name="Calculation 2 3 2 4 5 6" xfId="20047"/>
    <cellStyle name="Calculation 2 3 2 4 5 7" xfId="21056"/>
    <cellStyle name="Calculation 2 3 2 4 5 8" xfId="22030"/>
    <cellStyle name="Calculation 2 3 2 4 5 9" xfId="23035"/>
    <cellStyle name="Calculation 2 3 2 4 6" xfId="13877"/>
    <cellStyle name="Calculation 2 3 2 4 7" xfId="13939"/>
    <cellStyle name="Calculation 2 3 2 4 8" xfId="14644"/>
    <cellStyle name="Calculation 2 3 2 4 9" xfId="15643"/>
    <cellStyle name="Calculation 2 3 2 5" xfId="697"/>
    <cellStyle name="Calculation 2 3 2 5 10" xfId="14249"/>
    <cellStyle name="Calculation 2 3 2 5 11" xfId="14649"/>
    <cellStyle name="Calculation 2 3 2 5 12" xfId="26440"/>
    <cellStyle name="Calculation 2 3 2 5 13" xfId="27091"/>
    <cellStyle name="Calculation 2 3 2 5 14" xfId="26118"/>
    <cellStyle name="Calculation 2 3 2 5 15" xfId="27196"/>
    <cellStyle name="Calculation 2 3 2 5 16" xfId="27808"/>
    <cellStyle name="Calculation 2 3 2 5 17" xfId="27574"/>
    <cellStyle name="Calculation 2 3 2 5 18" xfId="35124"/>
    <cellStyle name="Calculation 2 3 2 5 19" xfId="35246"/>
    <cellStyle name="Calculation 2 3 2 5 2" xfId="698"/>
    <cellStyle name="Calculation 2 3 2 5 2 10" xfId="23036"/>
    <cellStyle name="Calculation 2 3 2 5 2 11" xfId="24008"/>
    <cellStyle name="Calculation 2 3 2 5 2 12" xfId="25007"/>
    <cellStyle name="Calculation 2 3 2 5 2 13" xfId="27952"/>
    <cellStyle name="Calculation 2 3 2 5 2 14" xfId="28921"/>
    <cellStyle name="Calculation 2 3 2 5 2 15" xfId="29960"/>
    <cellStyle name="Calculation 2 3 2 5 2 16" xfId="30953"/>
    <cellStyle name="Calculation 2 3 2 5 2 17" xfId="31962"/>
    <cellStyle name="Calculation 2 3 2 5 2 18" xfId="32965"/>
    <cellStyle name="Calculation 2 3 2 5 2 19" xfId="33964"/>
    <cellStyle name="Calculation 2 3 2 5 2 2" xfId="699"/>
    <cellStyle name="Calculation 2 3 2 5 2 2 10" xfId="24009"/>
    <cellStyle name="Calculation 2 3 2 5 2 2 11" xfId="25008"/>
    <cellStyle name="Calculation 2 3 2 5 2 2 12" xfId="27953"/>
    <cellStyle name="Calculation 2 3 2 5 2 2 13" xfId="28922"/>
    <cellStyle name="Calculation 2 3 2 5 2 2 14" xfId="29961"/>
    <cellStyle name="Calculation 2 3 2 5 2 2 15" xfId="30954"/>
    <cellStyle name="Calculation 2 3 2 5 2 2 16" xfId="31963"/>
    <cellStyle name="Calculation 2 3 2 5 2 2 17" xfId="32966"/>
    <cellStyle name="Calculation 2 3 2 5 2 2 18" xfId="33965"/>
    <cellStyle name="Calculation 2 3 2 5 2 2 19" xfId="35586"/>
    <cellStyle name="Calculation 2 3 2 5 2 2 2" xfId="15989"/>
    <cellStyle name="Calculation 2 3 2 5 2 2 20" xfId="36525"/>
    <cellStyle name="Calculation 2 3 2 5 2 2 3" xfId="16967"/>
    <cellStyle name="Calculation 2 3 2 5 2 2 4" xfId="17995"/>
    <cellStyle name="Calculation 2 3 2 5 2 2 5" xfId="19027"/>
    <cellStyle name="Calculation 2 3 2 5 2 2 6" xfId="20049"/>
    <cellStyle name="Calculation 2 3 2 5 2 2 7" xfId="21058"/>
    <cellStyle name="Calculation 2 3 2 5 2 2 8" xfId="22032"/>
    <cellStyle name="Calculation 2 3 2 5 2 2 9" xfId="23037"/>
    <cellStyle name="Calculation 2 3 2 5 2 20" xfId="35585"/>
    <cellStyle name="Calculation 2 3 2 5 2 21" xfId="36524"/>
    <cellStyle name="Calculation 2 3 2 5 2 3" xfId="15988"/>
    <cellStyle name="Calculation 2 3 2 5 2 4" xfId="16966"/>
    <cellStyle name="Calculation 2 3 2 5 2 5" xfId="17994"/>
    <cellStyle name="Calculation 2 3 2 5 2 6" xfId="19026"/>
    <cellStyle name="Calculation 2 3 2 5 2 7" xfId="20048"/>
    <cellStyle name="Calculation 2 3 2 5 2 8" xfId="21057"/>
    <cellStyle name="Calculation 2 3 2 5 2 9" xfId="22031"/>
    <cellStyle name="Calculation 2 3 2 5 3" xfId="700"/>
    <cellStyle name="Calculation 2 3 2 5 3 10" xfId="23038"/>
    <cellStyle name="Calculation 2 3 2 5 3 11" xfId="24010"/>
    <cellStyle name="Calculation 2 3 2 5 3 12" xfId="25009"/>
    <cellStyle name="Calculation 2 3 2 5 3 13" xfId="27954"/>
    <cellStyle name="Calculation 2 3 2 5 3 14" xfId="28923"/>
    <cellStyle name="Calculation 2 3 2 5 3 15" xfId="29962"/>
    <cellStyle name="Calculation 2 3 2 5 3 16" xfId="30955"/>
    <cellStyle name="Calculation 2 3 2 5 3 17" xfId="31964"/>
    <cellStyle name="Calculation 2 3 2 5 3 18" xfId="32967"/>
    <cellStyle name="Calculation 2 3 2 5 3 19" xfId="33966"/>
    <cellStyle name="Calculation 2 3 2 5 3 2" xfId="701"/>
    <cellStyle name="Calculation 2 3 2 5 3 2 10" xfId="24011"/>
    <cellStyle name="Calculation 2 3 2 5 3 2 11" xfId="25010"/>
    <cellStyle name="Calculation 2 3 2 5 3 2 12" xfId="27955"/>
    <cellStyle name="Calculation 2 3 2 5 3 2 13" xfId="28924"/>
    <cellStyle name="Calculation 2 3 2 5 3 2 14" xfId="29963"/>
    <cellStyle name="Calculation 2 3 2 5 3 2 15" xfId="30956"/>
    <cellStyle name="Calculation 2 3 2 5 3 2 16" xfId="31965"/>
    <cellStyle name="Calculation 2 3 2 5 3 2 17" xfId="32968"/>
    <cellStyle name="Calculation 2 3 2 5 3 2 18" xfId="33967"/>
    <cellStyle name="Calculation 2 3 2 5 3 2 19" xfId="35588"/>
    <cellStyle name="Calculation 2 3 2 5 3 2 2" xfId="15991"/>
    <cellStyle name="Calculation 2 3 2 5 3 2 20" xfId="36527"/>
    <cellStyle name="Calculation 2 3 2 5 3 2 3" xfId="16969"/>
    <cellStyle name="Calculation 2 3 2 5 3 2 4" xfId="17997"/>
    <cellStyle name="Calculation 2 3 2 5 3 2 5" xfId="19029"/>
    <cellStyle name="Calculation 2 3 2 5 3 2 6" xfId="20051"/>
    <cellStyle name="Calculation 2 3 2 5 3 2 7" xfId="21060"/>
    <cellStyle name="Calculation 2 3 2 5 3 2 8" xfId="22034"/>
    <cellStyle name="Calculation 2 3 2 5 3 2 9" xfId="23039"/>
    <cellStyle name="Calculation 2 3 2 5 3 20" xfId="35587"/>
    <cellStyle name="Calculation 2 3 2 5 3 21" xfId="36526"/>
    <cellStyle name="Calculation 2 3 2 5 3 3" xfId="15990"/>
    <cellStyle name="Calculation 2 3 2 5 3 4" xfId="16968"/>
    <cellStyle name="Calculation 2 3 2 5 3 5" xfId="17996"/>
    <cellStyle name="Calculation 2 3 2 5 3 6" xfId="19028"/>
    <cellStyle name="Calculation 2 3 2 5 3 7" xfId="20050"/>
    <cellStyle name="Calculation 2 3 2 5 3 8" xfId="21059"/>
    <cellStyle name="Calculation 2 3 2 5 3 9" xfId="22033"/>
    <cellStyle name="Calculation 2 3 2 5 4" xfId="702"/>
    <cellStyle name="Calculation 2 3 2 5 4 10" xfId="23040"/>
    <cellStyle name="Calculation 2 3 2 5 4 11" xfId="24012"/>
    <cellStyle name="Calculation 2 3 2 5 4 12" xfId="25011"/>
    <cellStyle name="Calculation 2 3 2 5 4 13" xfId="27956"/>
    <cellStyle name="Calculation 2 3 2 5 4 14" xfId="28925"/>
    <cellStyle name="Calculation 2 3 2 5 4 15" xfId="29964"/>
    <cellStyle name="Calculation 2 3 2 5 4 16" xfId="30957"/>
    <cellStyle name="Calculation 2 3 2 5 4 17" xfId="31966"/>
    <cellStyle name="Calculation 2 3 2 5 4 18" xfId="32969"/>
    <cellStyle name="Calculation 2 3 2 5 4 19" xfId="33968"/>
    <cellStyle name="Calculation 2 3 2 5 4 2" xfId="703"/>
    <cellStyle name="Calculation 2 3 2 5 4 2 10" xfId="24013"/>
    <cellStyle name="Calculation 2 3 2 5 4 2 11" xfId="25012"/>
    <cellStyle name="Calculation 2 3 2 5 4 2 12" xfId="27957"/>
    <cellStyle name="Calculation 2 3 2 5 4 2 13" xfId="28926"/>
    <cellStyle name="Calculation 2 3 2 5 4 2 14" xfId="29965"/>
    <cellStyle name="Calculation 2 3 2 5 4 2 15" xfId="30958"/>
    <cellStyle name="Calculation 2 3 2 5 4 2 16" xfId="31967"/>
    <cellStyle name="Calculation 2 3 2 5 4 2 17" xfId="32970"/>
    <cellStyle name="Calculation 2 3 2 5 4 2 18" xfId="33969"/>
    <cellStyle name="Calculation 2 3 2 5 4 2 19" xfId="35590"/>
    <cellStyle name="Calculation 2 3 2 5 4 2 2" xfId="15993"/>
    <cellStyle name="Calculation 2 3 2 5 4 2 20" xfId="36529"/>
    <cellStyle name="Calculation 2 3 2 5 4 2 3" xfId="16971"/>
    <cellStyle name="Calculation 2 3 2 5 4 2 4" xfId="17999"/>
    <cellStyle name="Calculation 2 3 2 5 4 2 5" xfId="19031"/>
    <cellStyle name="Calculation 2 3 2 5 4 2 6" xfId="20053"/>
    <cellStyle name="Calculation 2 3 2 5 4 2 7" xfId="21062"/>
    <cellStyle name="Calculation 2 3 2 5 4 2 8" xfId="22036"/>
    <cellStyle name="Calculation 2 3 2 5 4 2 9" xfId="23041"/>
    <cellStyle name="Calculation 2 3 2 5 4 20" xfId="35589"/>
    <cellStyle name="Calculation 2 3 2 5 4 21" xfId="36528"/>
    <cellStyle name="Calculation 2 3 2 5 4 3" xfId="15992"/>
    <cellStyle name="Calculation 2 3 2 5 4 4" xfId="16970"/>
    <cellStyle name="Calculation 2 3 2 5 4 5" xfId="17998"/>
    <cellStyle name="Calculation 2 3 2 5 4 6" xfId="19030"/>
    <cellStyle name="Calculation 2 3 2 5 4 7" xfId="20052"/>
    <cellStyle name="Calculation 2 3 2 5 4 8" xfId="21061"/>
    <cellStyle name="Calculation 2 3 2 5 4 9" xfId="22035"/>
    <cellStyle name="Calculation 2 3 2 5 5" xfId="704"/>
    <cellStyle name="Calculation 2 3 2 5 5 10" xfId="24014"/>
    <cellStyle name="Calculation 2 3 2 5 5 11" xfId="25013"/>
    <cellStyle name="Calculation 2 3 2 5 5 12" xfId="27958"/>
    <cellStyle name="Calculation 2 3 2 5 5 13" xfId="28927"/>
    <cellStyle name="Calculation 2 3 2 5 5 14" xfId="29966"/>
    <cellStyle name="Calculation 2 3 2 5 5 15" xfId="30959"/>
    <cellStyle name="Calculation 2 3 2 5 5 16" xfId="31968"/>
    <cellStyle name="Calculation 2 3 2 5 5 17" xfId="32971"/>
    <cellStyle name="Calculation 2 3 2 5 5 18" xfId="33970"/>
    <cellStyle name="Calculation 2 3 2 5 5 19" xfId="35591"/>
    <cellStyle name="Calculation 2 3 2 5 5 2" xfId="15994"/>
    <cellStyle name="Calculation 2 3 2 5 5 20" xfId="36530"/>
    <cellStyle name="Calculation 2 3 2 5 5 3" xfId="16972"/>
    <cellStyle name="Calculation 2 3 2 5 5 4" xfId="18000"/>
    <cellStyle name="Calculation 2 3 2 5 5 5" xfId="19032"/>
    <cellStyle name="Calculation 2 3 2 5 5 6" xfId="20054"/>
    <cellStyle name="Calculation 2 3 2 5 5 7" xfId="21063"/>
    <cellStyle name="Calculation 2 3 2 5 5 8" xfId="22037"/>
    <cellStyle name="Calculation 2 3 2 5 5 9" xfId="23042"/>
    <cellStyle name="Calculation 2 3 2 5 6" xfId="13489"/>
    <cellStyle name="Calculation 2 3 2 5 7" xfId="15440"/>
    <cellStyle name="Calculation 2 3 2 5 8" xfId="15810"/>
    <cellStyle name="Calculation 2 3 2 5 9" xfId="14268"/>
    <cellStyle name="Calculation 2 3 2 6" xfId="705"/>
    <cellStyle name="Calculation 2 3 2 6 10" xfId="23043"/>
    <cellStyle name="Calculation 2 3 2 6 11" xfId="24015"/>
    <cellStyle name="Calculation 2 3 2 6 12" xfId="25014"/>
    <cellStyle name="Calculation 2 3 2 6 13" xfId="27959"/>
    <cellStyle name="Calculation 2 3 2 6 14" xfId="28928"/>
    <cellStyle name="Calculation 2 3 2 6 15" xfId="29967"/>
    <cellStyle name="Calculation 2 3 2 6 16" xfId="30960"/>
    <cellStyle name="Calculation 2 3 2 6 17" xfId="31969"/>
    <cellStyle name="Calculation 2 3 2 6 18" xfId="32972"/>
    <cellStyle name="Calculation 2 3 2 6 19" xfId="33971"/>
    <cellStyle name="Calculation 2 3 2 6 2" xfId="706"/>
    <cellStyle name="Calculation 2 3 2 6 2 10" xfId="24016"/>
    <cellStyle name="Calculation 2 3 2 6 2 11" xfId="25015"/>
    <cellStyle name="Calculation 2 3 2 6 2 12" xfId="27960"/>
    <cellStyle name="Calculation 2 3 2 6 2 13" xfId="28929"/>
    <cellStyle name="Calculation 2 3 2 6 2 14" xfId="29968"/>
    <cellStyle name="Calculation 2 3 2 6 2 15" xfId="30961"/>
    <cellStyle name="Calculation 2 3 2 6 2 16" xfId="31970"/>
    <cellStyle name="Calculation 2 3 2 6 2 17" xfId="32973"/>
    <cellStyle name="Calculation 2 3 2 6 2 18" xfId="33972"/>
    <cellStyle name="Calculation 2 3 2 6 2 19" xfId="35593"/>
    <cellStyle name="Calculation 2 3 2 6 2 2" xfId="15996"/>
    <cellStyle name="Calculation 2 3 2 6 2 20" xfId="36532"/>
    <cellStyle name="Calculation 2 3 2 6 2 3" xfId="16974"/>
    <cellStyle name="Calculation 2 3 2 6 2 4" xfId="18002"/>
    <cellStyle name="Calculation 2 3 2 6 2 5" xfId="19034"/>
    <cellStyle name="Calculation 2 3 2 6 2 6" xfId="20056"/>
    <cellStyle name="Calculation 2 3 2 6 2 7" xfId="21065"/>
    <cellStyle name="Calculation 2 3 2 6 2 8" xfId="22039"/>
    <cellStyle name="Calculation 2 3 2 6 2 9" xfId="23044"/>
    <cellStyle name="Calculation 2 3 2 6 20" xfId="35592"/>
    <cellStyle name="Calculation 2 3 2 6 21" xfId="36531"/>
    <cellStyle name="Calculation 2 3 2 6 3" xfId="15995"/>
    <cellStyle name="Calculation 2 3 2 6 4" xfId="16973"/>
    <cellStyle name="Calculation 2 3 2 6 5" xfId="18001"/>
    <cellStyle name="Calculation 2 3 2 6 6" xfId="19033"/>
    <cellStyle name="Calculation 2 3 2 6 7" xfId="20055"/>
    <cellStyle name="Calculation 2 3 2 6 8" xfId="21064"/>
    <cellStyle name="Calculation 2 3 2 6 9" xfId="22038"/>
    <cellStyle name="Calculation 2 3 2 7" xfId="707"/>
    <cellStyle name="Calculation 2 3 2 7 10" xfId="23045"/>
    <cellStyle name="Calculation 2 3 2 7 11" xfId="24017"/>
    <cellStyle name="Calculation 2 3 2 7 12" xfId="25016"/>
    <cellStyle name="Calculation 2 3 2 7 13" xfId="27961"/>
    <cellStyle name="Calculation 2 3 2 7 14" xfId="28930"/>
    <cellStyle name="Calculation 2 3 2 7 15" xfId="29969"/>
    <cellStyle name="Calculation 2 3 2 7 16" xfId="30962"/>
    <cellStyle name="Calculation 2 3 2 7 17" xfId="31971"/>
    <cellStyle name="Calculation 2 3 2 7 18" xfId="32974"/>
    <cellStyle name="Calculation 2 3 2 7 19" xfId="33973"/>
    <cellStyle name="Calculation 2 3 2 7 2" xfId="708"/>
    <cellStyle name="Calculation 2 3 2 7 2 10" xfId="24018"/>
    <cellStyle name="Calculation 2 3 2 7 2 11" xfId="25017"/>
    <cellStyle name="Calculation 2 3 2 7 2 12" xfId="27962"/>
    <cellStyle name="Calculation 2 3 2 7 2 13" xfId="28931"/>
    <cellStyle name="Calculation 2 3 2 7 2 14" xfId="29970"/>
    <cellStyle name="Calculation 2 3 2 7 2 15" xfId="30963"/>
    <cellStyle name="Calculation 2 3 2 7 2 16" xfId="31972"/>
    <cellStyle name="Calculation 2 3 2 7 2 17" xfId="32975"/>
    <cellStyle name="Calculation 2 3 2 7 2 18" xfId="33974"/>
    <cellStyle name="Calculation 2 3 2 7 2 19" xfId="35595"/>
    <cellStyle name="Calculation 2 3 2 7 2 2" xfId="15998"/>
    <cellStyle name="Calculation 2 3 2 7 2 20" xfId="36534"/>
    <cellStyle name="Calculation 2 3 2 7 2 3" xfId="16976"/>
    <cellStyle name="Calculation 2 3 2 7 2 4" xfId="18004"/>
    <cellStyle name="Calculation 2 3 2 7 2 5" xfId="19036"/>
    <cellStyle name="Calculation 2 3 2 7 2 6" xfId="20058"/>
    <cellStyle name="Calculation 2 3 2 7 2 7" xfId="21067"/>
    <cellStyle name="Calculation 2 3 2 7 2 8" xfId="22041"/>
    <cellStyle name="Calculation 2 3 2 7 2 9" xfId="23046"/>
    <cellStyle name="Calculation 2 3 2 7 20" xfId="35594"/>
    <cellStyle name="Calculation 2 3 2 7 21" xfId="36533"/>
    <cellStyle name="Calculation 2 3 2 7 3" xfId="15997"/>
    <cellStyle name="Calculation 2 3 2 7 4" xfId="16975"/>
    <cellStyle name="Calculation 2 3 2 7 5" xfId="18003"/>
    <cellStyle name="Calculation 2 3 2 7 6" xfId="19035"/>
    <cellStyle name="Calculation 2 3 2 7 7" xfId="20057"/>
    <cellStyle name="Calculation 2 3 2 7 8" xfId="21066"/>
    <cellStyle name="Calculation 2 3 2 7 9" xfId="22040"/>
    <cellStyle name="Calculation 2 3 2 8" xfId="709"/>
    <cellStyle name="Calculation 2 3 2 8 10" xfId="23047"/>
    <cellStyle name="Calculation 2 3 2 8 11" xfId="24019"/>
    <cellStyle name="Calculation 2 3 2 8 12" xfId="25018"/>
    <cellStyle name="Calculation 2 3 2 8 13" xfId="27963"/>
    <cellStyle name="Calculation 2 3 2 8 14" xfId="28932"/>
    <cellStyle name="Calculation 2 3 2 8 15" xfId="29971"/>
    <cellStyle name="Calculation 2 3 2 8 16" xfId="30964"/>
    <cellStyle name="Calculation 2 3 2 8 17" xfId="31973"/>
    <cellStyle name="Calculation 2 3 2 8 18" xfId="32976"/>
    <cellStyle name="Calculation 2 3 2 8 19" xfId="33975"/>
    <cellStyle name="Calculation 2 3 2 8 2" xfId="710"/>
    <cellStyle name="Calculation 2 3 2 8 2 10" xfId="24020"/>
    <cellStyle name="Calculation 2 3 2 8 2 11" xfId="25019"/>
    <cellStyle name="Calculation 2 3 2 8 2 12" xfId="27964"/>
    <cellStyle name="Calculation 2 3 2 8 2 13" xfId="28933"/>
    <cellStyle name="Calculation 2 3 2 8 2 14" xfId="29972"/>
    <cellStyle name="Calculation 2 3 2 8 2 15" xfId="30965"/>
    <cellStyle name="Calculation 2 3 2 8 2 16" xfId="31974"/>
    <cellStyle name="Calculation 2 3 2 8 2 17" xfId="32977"/>
    <cellStyle name="Calculation 2 3 2 8 2 18" xfId="33976"/>
    <cellStyle name="Calculation 2 3 2 8 2 19" xfId="35597"/>
    <cellStyle name="Calculation 2 3 2 8 2 2" xfId="16000"/>
    <cellStyle name="Calculation 2 3 2 8 2 20" xfId="36536"/>
    <cellStyle name="Calculation 2 3 2 8 2 3" xfId="16978"/>
    <cellStyle name="Calculation 2 3 2 8 2 4" xfId="18006"/>
    <cellStyle name="Calculation 2 3 2 8 2 5" xfId="19038"/>
    <cellStyle name="Calculation 2 3 2 8 2 6" xfId="20060"/>
    <cellStyle name="Calculation 2 3 2 8 2 7" xfId="21069"/>
    <cellStyle name="Calculation 2 3 2 8 2 8" xfId="22043"/>
    <cellStyle name="Calculation 2 3 2 8 2 9" xfId="23048"/>
    <cellStyle name="Calculation 2 3 2 8 20" xfId="35596"/>
    <cellStyle name="Calculation 2 3 2 8 21" xfId="36535"/>
    <cellStyle name="Calculation 2 3 2 8 3" xfId="15999"/>
    <cellStyle name="Calculation 2 3 2 8 4" xfId="16977"/>
    <cellStyle name="Calculation 2 3 2 8 5" xfId="18005"/>
    <cellStyle name="Calculation 2 3 2 8 6" xfId="19037"/>
    <cellStyle name="Calculation 2 3 2 8 7" xfId="20059"/>
    <cellStyle name="Calculation 2 3 2 8 8" xfId="21068"/>
    <cellStyle name="Calculation 2 3 2 8 9" xfId="22042"/>
    <cellStyle name="Calculation 2 3 2 9" xfId="711"/>
    <cellStyle name="Calculation 2 3 2 9 10" xfId="24021"/>
    <cellStyle name="Calculation 2 3 2 9 11" xfId="25020"/>
    <cellStyle name="Calculation 2 3 2 9 12" xfId="27965"/>
    <cellStyle name="Calculation 2 3 2 9 13" xfId="28934"/>
    <cellStyle name="Calculation 2 3 2 9 14" xfId="29973"/>
    <cellStyle name="Calculation 2 3 2 9 15" xfId="30966"/>
    <cellStyle name="Calculation 2 3 2 9 16" xfId="31975"/>
    <cellStyle name="Calculation 2 3 2 9 17" xfId="32978"/>
    <cellStyle name="Calculation 2 3 2 9 18" xfId="33977"/>
    <cellStyle name="Calculation 2 3 2 9 19" xfId="35598"/>
    <cellStyle name="Calculation 2 3 2 9 2" xfId="16001"/>
    <cellStyle name="Calculation 2 3 2 9 20" xfId="36537"/>
    <cellStyle name="Calculation 2 3 2 9 3" xfId="16979"/>
    <cellStyle name="Calculation 2 3 2 9 4" xfId="18007"/>
    <cellStyle name="Calculation 2 3 2 9 5" xfId="19039"/>
    <cellStyle name="Calculation 2 3 2 9 6" xfId="20061"/>
    <cellStyle name="Calculation 2 3 2 9 7" xfId="21070"/>
    <cellStyle name="Calculation 2 3 2 9 8" xfId="22044"/>
    <cellStyle name="Calculation 2 3 2 9 9" xfId="23049"/>
    <cellStyle name="Calculation 2 3 20" xfId="34852"/>
    <cellStyle name="Calculation 2 3 21" xfId="34875"/>
    <cellStyle name="Calculation 2 3 22" xfId="35381"/>
    <cellStyle name="Calculation 2 3 23" xfId="37470"/>
    <cellStyle name="Calculation 2 3 3" xfId="712"/>
    <cellStyle name="Calculation 2 3 3 10" xfId="13511"/>
    <cellStyle name="Calculation 2 3 3 11" xfId="14212"/>
    <cellStyle name="Calculation 2 3 3 12" xfId="15587"/>
    <cellStyle name="Calculation 2 3 3 13" xfId="15577"/>
    <cellStyle name="Calculation 2 3 3 14" xfId="17863"/>
    <cellStyle name="Calculation 2 3 3 15" xfId="13585"/>
    <cellStyle name="Calculation 2 3 3 16" xfId="26507"/>
    <cellStyle name="Calculation 2 3 3 17" xfId="27052"/>
    <cellStyle name="Calculation 2 3 3 18" xfId="26192"/>
    <cellStyle name="Calculation 2 3 3 19" xfId="26633"/>
    <cellStyle name="Calculation 2 3 3 2" xfId="713"/>
    <cellStyle name="Calculation 2 3 3 2 10" xfId="23050"/>
    <cellStyle name="Calculation 2 3 3 2 11" xfId="24022"/>
    <cellStyle name="Calculation 2 3 3 2 12" xfId="25021"/>
    <cellStyle name="Calculation 2 3 3 2 13" xfId="27966"/>
    <cellStyle name="Calculation 2 3 3 2 14" xfId="28935"/>
    <cellStyle name="Calculation 2 3 3 2 15" xfId="29974"/>
    <cellStyle name="Calculation 2 3 3 2 16" xfId="30967"/>
    <cellStyle name="Calculation 2 3 3 2 17" xfId="31976"/>
    <cellStyle name="Calculation 2 3 3 2 18" xfId="32979"/>
    <cellStyle name="Calculation 2 3 3 2 19" xfId="33978"/>
    <cellStyle name="Calculation 2 3 3 2 2" xfId="714"/>
    <cellStyle name="Calculation 2 3 3 2 2 10" xfId="24023"/>
    <cellStyle name="Calculation 2 3 3 2 2 11" xfId="25022"/>
    <cellStyle name="Calculation 2 3 3 2 2 12" xfId="27967"/>
    <cellStyle name="Calculation 2 3 3 2 2 13" xfId="28936"/>
    <cellStyle name="Calculation 2 3 3 2 2 14" xfId="29975"/>
    <cellStyle name="Calculation 2 3 3 2 2 15" xfId="30968"/>
    <cellStyle name="Calculation 2 3 3 2 2 16" xfId="31977"/>
    <cellStyle name="Calculation 2 3 3 2 2 17" xfId="32980"/>
    <cellStyle name="Calculation 2 3 3 2 2 18" xfId="33979"/>
    <cellStyle name="Calculation 2 3 3 2 2 19" xfId="35600"/>
    <cellStyle name="Calculation 2 3 3 2 2 2" xfId="16003"/>
    <cellStyle name="Calculation 2 3 3 2 2 20" xfId="36539"/>
    <cellStyle name="Calculation 2 3 3 2 2 3" xfId="16981"/>
    <cellStyle name="Calculation 2 3 3 2 2 4" xfId="18009"/>
    <cellStyle name="Calculation 2 3 3 2 2 5" xfId="19041"/>
    <cellStyle name="Calculation 2 3 3 2 2 6" xfId="20063"/>
    <cellStyle name="Calculation 2 3 3 2 2 7" xfId="21072"/>
    <cellStyle name="Calculation 2 3 3 2 2 8" xfId="22046"/>
    <cellStyle name="Calculation 2 3 3 2 2 9" xfId="23051"/>
    <cellStyle name="Calculation 2 3 3 2 20" xfId="35599"/>
    <cellStyle name="Calculation 2 3 3 2 21" xfId="36538"/>
    <cellStyle name="Calculation 2 3 3 2 3" xfId="16002"/>
    <cellStyle name="Calculation 2 3 3 2 4" xfId="16980"/>
    <cellStyle name="Calculation 2 3 3 2 5" xfId="18008"/>
    <cellStyle name="Calculation 2 3 3 2 6" xfId="19040"/>
    <cellStyle name="Calculation 2 3 3 2 7" xfId="20062"/>
    <cellStyle name="Calculation 2 3 3 2 8" xfId="21071"/>
    <cellStyle name="Calculation 2 3 3 2 9" xfId="22045"/>
    <cellStyle name="Calculation 2 3 3 20" xfId="26591"/>
    <cellStyle name="Calculation 2 3 3 21" xfId="27830"/>
    <cellStyle name="Calculation 2 3 3 22" xfId="26002"/>
    <cellStyle name="Calculation 2 3 3 23" xfId="35178"/>
    <cellStyle name="Calculation 2 3 3 24" xfId="35208"/>
    <cellStyle name="Calculation 2 3 3 3" xfId="715"/>
    <cellStyle name="Calculation 2 3 3 3 10" xfId="23052"/>
    <cellStyle name="Calculation 2 3 3 3 11" xfId="24024"/>
    <cellStyle name="Calculation 2 3 3 3 12" xfId="25023"/>
    <cellStyle name="Calculation 2 3 3 3 13" xfId="27968"/>
    <cellStyle name="Calculation 2 3 3 3 14" xfId="28937"/>
    <cellStyle name="Calculation 2 3 3 3 15" xfId="29976"/>
    <cellStyle name="Calculation 2 3 3 3 16" xfId="30969"/>
    <cellStyle name="Calculation 2 3 3 3 17" xfId="31978"/>
    <cellStyle name="Calculation 2 3 3 3 18" xfId="32981"/>
    <cellStyle name="Calculation 2 3 3 3 19" xfId="33980"/>
    <cellStyle name="Calculation 2 3 3 3 2" xfId="716"/>
    <cellStyle name="Calculation 2 3 3 3 2 10" xfId="24025"/>
    <cellStyle name="Calculation 2 3 3 3 2 11" xfId="25024"/>
    <cellStyle name="Calculation 2 3 3 3 2 12" xfId="27969"/>
    <cellStyle name="Calculation 2 3 3 3 2 13" xfId="28938"/>
    <cellStyle name="Calculation 2 3 3 3 2 14" xfId="29977"/>
    <cellStyle name="Calculation 2 3 3 3 2 15" xfId="30970"/>
    <cellStyle name="Calculation 2 3 3 3 2 16" xfId="31979"/>
    <cellStyle name="Calculation 2 3 3 3 2 17" xfId="32982"/>
    <cellStyle name="Calculation 2 3 3 3 2 18" xfId="33981"/>
    <cellStyle name="Calculation 2 3 3 3 2 19" xfId="35602"/>
    <cellStyle name="Calculation 2 3 3 3 2 2" xfId="16005"/>
    <cellStyle name="Calculation 2 3 3 3 2 20" xfId="36541"/>
    <cellStyle name="Calculation 2 3 3 3 2 3" xfId="16983"/>
    <cellStyle name="Calculation 2 3 3 3 2 4" xfId="18011"/>
    <cellStyle name="Calculation 2 3 3 3 2 5" xfId="19043"/>
    <cellStyle name="Calculation 2 3 3 3 2 6" xfId="20065"/>
    <cellStyle name="Calculation 2 3 3 3 2 7" xfId="21074"/>
    <cellStyle name="Calculation 2 3 3 3 2 8" xfId="22048"/>
    <cellStyle name="Calculation 2 3 3 3 2 9" xfId="23053"/>
    <cellStyle name="Calculation 2 3 3 3 20" xfId="35601"/>
    <cellStyle name="Calculation 2 3 3 3 21" xfId="36540"/>
    <cellStyle name="Calculation 2 3 3 3 3" xfId="16004"/>
    <cellStyle name="Calculation 2 3 3 3 4" xfId="16982"/>
    <cellStyle name="Calculation 2 3 3 3 5" xfId="18010"/>
    <cellStyle name="Calculation 2 3 3 3 6" xfId="19042"/>
    <cellStyle name="Calculation 2 3 3 3 7" xfId="20064"/>
    <cellStyle name="Calculation 2 3 3 3 8" xfId="21073"/>
    <cellStyle name="Calculation 2 3 3 3 9" xfId="22047"/>
    <cellStyle name="Calculation 2 3 3 4" xfId="717"/>
    <cellStyle name="Calculation 2 3 3 4 10" xfId="23054"/>
    <cellStyle name="Calculation 2 3 3 4 11" xfId="24026"/>
    <cellStyle name="Calculation 2 3 3 4 12" xfId="25025"/>
    <cellStyle name="Calculation 2 3 3 4 13" xfId="27970"/>
    <cellStyle name="Calculation 2 3 3 4 14" xfId="28939"/>
    <cellStyle name="Calculation 2 3 3 4 15" xfId="29978"/>
    <cellStyle name="Calculation 2 3 3 4 16" xfId="30971"/>
    <cellStyle name="Calculation 2 3 3 4 17" xfId="31980"/>
    <cellStyle name="Calculation 2 3 3 4 18" xfId="32983"/>
    <cellStyle name="Calculation 2 3 3 4 19" xfId="33982"/>
    <cellStyle name="Calculation 2 3 3 4 2" xfId="718"/>
    <cellStyle name="Calculation 2 3 3 4 2 10" xfId="24027"/>
    <cellStyle name="Calculation 2 3 3 4 2 11" xfId="25026"/>
    <cellStyle name="Calculation 2 3 3 4 2 12" xfId="27971"/>
    <cellStyle name="Calculation 2 3 3 4 2 13" xfId="28940"/>
    <cellStyle name="Calculation 2 3 3 4 2 14" xfId="29979"/>
    <cellStyle name="Calculation 2 3 3 4 2 15" xfId="30972"/>
    <cellStyle name="Calculation 2 3 3 4 2 16" xfId="31981"/>
    <cellStyle name="Calculation 2 3 3 4 2 17" xfId="32984"/>
    <cellStyle name="Calculation 2 3 3 4 2 18" xfId="33983"/>
    <cellStyle name="Calculation 2 3 3 4 2 19" xfId="35604"/>
    <cellStyle name="Calculation 2 3 3 4 2 2" xfId="16007"/>
    <cellStyle name="Calculation 2 3 3 4 2 20" xfId="36543"/>
    <cellStyle name="Calculation 2 3 3 4 2 3" xfId="16985"/>
    <cellStyle name="Calculation 2 3 3 4 2 4" xfId="18013"/>
    <cellStyle name="Calculation 2 3 3 4 2 5" xfId="19045"/>
    <cellStyle name="Calculation 2 3 3 4 2 6" xfId="20067"/>
    <cellStyle name="Calculation 2 3 3 4 2 7" xfId="21076"/>
    <cellStyle name="Calculation 2 3 3 4 2 8" xfId="22050"/>
    <cellStyle name="Calculation 2 3 3 4 2 9" xfId="23055"/>
    <cellStyle name="Calculation 2 3 3 4 20" xfId="35603"/>
    <cellStyle name="Calculation 2 3 3 4 21" xfId="36542"/>
    <cellStyle name="Calculation 2 3 3 4 3" xfId="16006"/>
    <cellStyle name="Calculation 2 3 3 4 4" xfId="16984"/>
    <cellStyle name="Calculation 2 3 3 4 5" xfId="18012"/>
    <cellStyle name="Calculation 2 3 3 4 6" xfId="19044"/>
    <cellStyle name="Calculation 2 3 3 4 7" xfId="20066"/>
    <cellStyle name="Calculation 2 3 3 4 8" xfId="21075"/>
    <cellStyle name="Calculation 2 3 3 4 9" xfId="22049"/>
    <cellStyle name="Calculation 2 3 3 5" xfId="719"/>
    <cellStyle name="Calculation 2 3 3 5 10" xfId="24028"/>
    <cellStyle name="Calculation 2 3 3 5 11" xfId="25027"/>
    <cellStyle name="Calculation 2 3 3 5 12" xfId="27972"/>
    <cellStyle name="Calculation 2 3 3 5 13" xfId="28941"/>
    <cellStyle name="Calculation 2 3 3 5 14" xfId="29980"/>
    <cellStyle name="Calculation 2 3 3 5 15" xfId="30973"/>
    <cellStyle name="Calculation 2 3 3 5 16" xfId="31982"/>
    <cellStyle name="Calculation 2 3 3 5 17" xfId="32985"/>
    <cellStyle name="Calculation 2 3 3 5 18" xfId="33984"/>
    <cellStyle name="Calculation 2 3 3 5 19" xfId="35605"/>
    <cellStyle name="Calculation 2 3 3 5 2" xfId="16008"/>
    <cellStyle name="Calculation 2 3 3 5 20" xfId="36544"/>
    <cellStyle name="Calculation 2 3 3 5 3" xfId="16986"/>
    <cellStyle name="Calculation 2 3 3 5 4" xfId="18014"/>
    <cellStyle name="Calculation 2 3 3 5 5" xfId="19046"/>
    <cellStyle name="Calculation 2 3 3 5 6" xfId="20068"/>
    <cellStyle name="Calculation 2 3 3 5 7" xfId="21077"/>
    <cellStyle name="Calculation 2 3 3 5 8" xfId="22051"/>
    <cellStyle name="Calculation 2 3 3 5 9" xfId="23056"/>
    <cellStyle name="Calculation 2 3 3 6" xfId="13946"/>
    <cellStyle name="Calculation 2 3 3 7" xfId="14822"/>
    <cellStyle name="Calculation 2 3 3 8" xfId="13490"/>
    <cellStyle name="Calculation 2 3 3 9" xfId="15651"/>
    <cellStyle name="Calculation 2 3 4" xfId="720"/>
    <cellStyle name="Calculation 2 3 4 10" xfId="23057"/>
    <cellStyle name="Calculation 2 3 4 11" xfId="24029"/>
    <cellStyle name="Calculation 2 3 4 12" xfId="25028"/>
    <cellStyle name="Calculation 2 3 4 13" xfId="27973"/>
    <cellStyle name="Calculation 2 3 4 14" xfId="28942"/>
    <cellStyle name="Calculation 2 3 4 15" xfId="29981"/>
    <cellStyle name="Calculation 2 3 4 16" xfId="30974"/>
    <cellStyle name="Calculation 2 3 4 17" xfId="31983"/>
    <cellStyle name="Calculation 2 3 4 18" xfId="32986"/>
    <cellStyle name="Calculation 2 3 4 19" xfId="33985"/>
    <cellStyle name="Calculation 2 3 4 2" xfId="721"/>
    <cellStyle name="Calculation 2 3 4 2 10" xfId="24030"/>
    <cellStyle name="Calculation 2 3 4 2 11" xfId="25029"/>
    <cellStyle name="Calculation 2 3 4 2 12" xfId="27974"/>
    <cellStyle name="Calculation 2 3 4 2 13" xfId="28943"/>
    <cellStyle name="Calculation 2 3 4 2 14" xfId="29982"/>
    <cellStyle name="Calculation 2 3 4 2 15" xfId="30975"/>
    <cellStyle name="Calculation 2 3 4 2 16" xfId="31984"/>
    <cellStyle name="Calculation 2 3 4 2 17" xfId="32987"/>
    <cellStyle name="Calculation 2 3 4 2 18" xfId="33986"/>
    <cellStyle name="Calculation 2 3 4 2 19" xfId="35607"/>
    <cellStyle name="Calculation 2 3 4 2 2" xfId="16010"/>
    <cellStyle name="Calculation 2 3 4 2 20" xfId="36546"/>
    <cellStyle name="Calculation 2 3 4 2 3" xfId="16988"/>
    <cellStyle name="Calculation 2 3 4 2 4" xfId="18016"/>
    <cellStyle name="Calculation 2 3 4 2 5" xfId="19048"/>
    <cellStyle name="Calculation 2 3 4 2 6" xfId="20070"/>
    <cellStyle name="Calculation 2 3 4 2 7" xfId="21079"/>
    <cellStyle name="Calculation 2 3 4 2 8" xfId="22053"/>
    <cellStyle name="Calculation 2 3 4 2 9" xfId="23058"/>
    <cellStyle name="Calculation 2 3 4 20" xfId="35606"/>
    <cellStyle name="Calculation 2 3 4 21" xfId="36545"/>
    <cellStyle name="Calculation 2 3 4 3" xfId="16009"/>
    <cellStyle name="Calculation 2 3 4 4" xfId="16987"/>
    <cellStyle name="Calculation 2 3 4 5" xfId="18015"/>
    <cellStyle name="Calculation 2 3 4 6" xfId="19047"/>
    <cellStyle name="Calculation 2 3 4 7" xfId="20069"/>
    <cellStyle name="Calculation 2 3 4 8" xfId="21078"/>
    <cellStyle name="Calculation 2 3 4 9" xfId="22052"/>
    <cellStyle name="Calculation 2 3 5" xfId="722"/>
    <cellStyle name="Calculation 2 3 5 10" xfId="23059"/>
    <cellStyle name="Calculation 2 3 5 11" xfId="24031"/>
    <cellStyle name="Calculation 2 3 5 12" xfId="25030"/>
    <cellStyle name="Calculation 2 3 5 13" xfId="27975"/>
    <cellStyle name="Calculation 2 3 5 14" xfId="28944"/>
    <cellStyle name="Calculation 2 3 5 15" xfId="29983"/>
    <cellStyle name="Calculation 2 3 5 16" xfId="30976"/>
    <cellStyle name="Calculation 2 3 5 17" xfId="31985"/>
    <cellStyle name="Calculation 2 3 5 18" xfId="32988"/>
    <cellStyle name="Calculation 2 3 5 19" xfId="33987"/>
    <cellStyle name="Calculation 2 3 5 2" xfId="723"/>
    <cellStyle name="Calculation 2 3 5 2 10" xfId="24032"/>
    <cellStyle name="Calculation 2 3 5 2 11" xfId="25031"/>
    <cellStyle name="Calculation 2 3 5 2 12" xfId="27976"/>
    <cellStyle name="Calculation 2 3 5 2 13" xfId="28945"/>
    <cellStyle name="Calculation 2 3 5 2 14" xfId="29984"/>
    <cellStyle name="Calculation 2 3 5 2 15" xfId="30977"/>
    <cellStyle name="Calculation 2 3 5 2 16" xfId="31986"/>
    <cellStyle name="Calculation 2 3 5 2 17" xfId="32989"/>
    <cellStyle name="Calculation 2 3 5 2 18" xfId="33988"/>
    <cellStyle name="Calculation 2 3 5 2 19" xfId="35609"/>
    <cellStyle name="Calculation 2 3 5 2 2" xfId="16012"/>
    <cellStyle name="Calculation 2 3 5 2 20" xfId="36548"/>
    <cellStyle name="Calculation 2 3 5 2 3" xfId="16990"/>
    <cellStyle name="Calculation 2 3 5 2 4" xfId="18018"/>
    <cellStyle name="Calculation 2 3 5 2 5" xfId="19050"/>
    <cellStyle name="Calculation 2 3 5 2 6" xfId="20072"/>
    <cellStyle name="Calculation 2 3 5 2 7" xfId="21081"/>
    <cellStyle name="Calculation 2 3 5 2 8" xfId="22055"/>
    <cellStyle name="Calculation 2 3 5 2 9" xfId="23060"/>
    <cellStyle name="Calculation 2 3 5 20" xfId="35608"/>
    <cellStyle name="Calculation 2 3 5 21" xfId="36547"/>
    <cellStyle name="Calculation 2 3 5 3" xfId="16011"/>
    <cellStyle name="Calculation 2 3 5 4" xfId="16989"/>
    <cellStyle name="Calculation 2 3 5 5" xfId="18017"/>
    <cellStyle name="Calculation 2 3 5 6" xfId="19049"/>
    <cellStyle name="Calculation 2 3 5 7" xfId="20071"/>
    <cellStyle name="Calculation 2 3 5 8" xfId="21080"/>
    <cellStyle name="Calculation 2 3 5 9" xfId="22054"/>
    <cellStyle name="Calculation 2 3 6" xfId="724"/>
    <cellStyle name="Calculation 2 3 6 10" xfId="23061"/>
    <cellStyle name="Calculation 2 3 6 11" xfId="24033"/>
    <cellStyle name="Calculation 2 3 6 12" xfId="25032"/>
    <cellStyle name="Calculation 2 3 6 13" xfId="27977"/>
    <cellStyle name="Calculation 2 3 6 14" xfId="28946"/>
    <cellStyle name="Calculation 2 3 6 15" xfId="29985"/>
    <cellStyle name="Calculation 2 3 6 16" xfId="30978"/>
    <cellStyle name="Calculation 2 3 6 17" xfId="31987"/>
    <cellStyle name="Calculation 2 3 6 18" xfId="32990"/>
    <cellStyle name="Calculation 2 3 6 19" xfId="33989"/>
    <cellStyle name="Calculation 2 3 6 2" xfId="725"/>
    <cellStyle name="Calculation 2 3 6 2 10" xfId="24034"/>
    <cellStyle name="Calculation 2 3 6 2 11" xfId="25033"/>
    <cellStyle name="Calculation 2 3 6 2 12" xfId="27978"/>
    <cellStyle name="Calculation 2 3 6 2 13" xfId="28947"/>
    <cellStyle name="Calculation 2 3 6 2 14" xfId="29986"/>
    <cellStyle name="Calculation 2 3 6 2 15" xfId="30979"/>
    <cellStyle name="Calculation 2 3 6 2 16" xfId="31988"/>
    <cellStyle name="Calculation 2 3 6 2 17" xfId="32991"/>
    <cellStyle name="Calculation 2 3 6 2 18" xfId="33990"/>
    <cellStyle name="Calculation 2 3 6 2 19" xfId="35611"/>
    <cellStyle name="Calculation 2 3 6 2 2" xfId="16014"/>
    <cellStyle name="Calculation 2 3 6 2 20" xfId="36550"/>
    <cellStyle name="Calculation 2 3 6 2 3" xfId="16992"/>
    <cellStyle name="Calculation 2 3 6 2 4" xfId="18020"/>
    <cellStyle name="Calculation 2 3 6 2 5" xfId="19052"/>
    <cellStyle name="Calculation 2 3 6 2 6" xfId="20074"/>
    <cellStyle name="Calculation 2 3 6 2 7" xfId="21083"/>
    <cellStyle name="Calculation 2 3 6 2 8" xfId="22057"/>
    <cellStyle name="Calculation 2 3 6 2 9" xfId="23062"/>
    <cellStyle name="Calculation 2 3 6 20" xfId="35610"/>
    <cellStyle name="Calculation 2 3 6 21" xfId="36549"/>
    <cellStyle name="Calculation 2 3 6 3" xfId="16013"/>
    <cellStyle name="Calculation 2 3 6 4" xfId="16991"/>
    <cellStyle name="Calculation 2 3 6 5" xfId="18019"/>
    <cellStyle name="Calculation 2 3 6 6" xfId="19051"/>
    <cellStyle name="Calculation 2 3 6 7" xfId="20073"/>
    <cellStyle name="Calculation 2 3 6 8" xfId="21082"/>
    <cellStyle name="Calculation 2 3 6 9" xfId="22056"/>
    <cellStyle name="Calculation 2 3 7" xfId="726"/>
    <cellStyle name="Calculation 2 3 7 10" xfId="24035"/>
    <cellStyle name="Calculation 2 3 7 11" xfId="25034"/>
    <cellStyle name="Calculation 2 3 7 12" xfId="27979"/>
    <cellStyle name="Calculation 2 3 7 13" xfId="28948"/>
    <cellStyle name="Calculation 2 3 7 14" xfId="29987"/>
    <cellStyle name="Calculation 2 3 7 15" xfId="30980"/>
    <cellStyle name="Calculation 2 3 7 16" xfId="31989"/>
    <cellStyle name="Calculation 2 3 7 17" xfId="32992"/>
    <cellStyle name="Calculation 2 3 7 18" xfId="33991"/>
    <cellStyle name="Calculation 2 3 7 19" xfId="35612"/>
    <cellStyle name="Calculation 2 3 7 2" xfId="16015"/>
    <cellStyle name="Calculation 2 3 7 20" xfId="36551"/>
    <cellStyle name="Calculation 2 3 7 3" xfId="16993"/>
    <cellStyle name="Calculation 2 3 7 4" xfId="18021"/>
    <cellStyle name="Calculation 2 3 7 5" xfId="19053"/>
    <cellStyle name="Calculation 2 3 7 6" xfId="20075"/>
    <cellStyle name="Calculation 2 3 7 7" xfId="21084"/>
    <cellStyle name="Calculation 2 3 7 8" xfId="22058"/>
    <cellStyle name="Calculation 2 3 7 9" xfId="23063"/>
    <cellStyle name="Calculation 2 3 8" xfId="13520"/>
    <cellStyle name="Calculation 2 3 9" xfId="14375"/>
    <cellStyle name="Calculation 2 4" xfId="727"/>
    <cellStyle name="Calculation 2 4 10" xfId="15815"/>
    <cellStyle name="Calculation 2 4 11" xfId="20933"/>
    <cellStyle name="Calculation 2 4 12" xfId="15007"/>
    <cellStyle name="Calculation 2 4 13" xfId="23906"/>
    <cellStyle name="Calculation 2 4 14" xfId="25963"/>
    <cellStyle name="Calculation 2 4 15" xfId="27813"/>
    <cellStyle name="Calculation 2 4 16" xfId="25916"/>
    <cellStyle name="Calculation 2 4 17" xfId="27211"/>
    <cellStyle name="Calculation 2 4 18" xfId="26673"/>
    <cellStyle name="Calculation 2 4 19" xfId="26696"/>
    <cellStyle name="Calculation 2 4 2" xfId="728"/>
    <cellStyle name="Calculation 2 4 2 10" xfId="15168"/>
    <cellStyle name="Calculation 2 4 2 11" xfId="13465"/>
    <cellStyle name="Calculation 2 4 2 12" xfId="13832"/>
    <cellStyle name="Calculation 2 4 2 13" xfId="13794"/>
    <cellStyle name="Calculation 2 4 2 14" xfId="21859"/>
    <cellStyle name="Calculation 2 4 2 15" xfId="14748"/>
    <cellStyle name="Calculation 2 4 2 16" xfId="26090"/>
    <cellStyle name="Calculation 2 4 2 17" xfId="27778"/>
    <cellStyle name="Calculation 2 4 2 18" xfId="28754"/>
    <cellStyle name="Calculation 2 4 2 19" xfId="29772"/>
    <cellStyle name="Calculation 2 4 2 2" xfId="729"/>
    <cellStyle name="Calculation 2 4 2 2 10" xfId="14144"/>
    <cellStyle name="Calculation 2 4 2 2 11" xfId="13801"/>
    <cellStyle name="Calculation 2 4 2 2 12" xfId="26311"/>
    <cellStyle name="Calculation 2 4 2 2 13" xfId="27731"/>
    <cellStyle name="Calculation 2 4 2 2 14" xfId="27517"/>
    <cellStyle name="Calculation 2 4 2 2 15" xfId="26196"/>
    <cellStyle name="Calculation 2 4 2 2 16" xfId="26626"/>
    <cellStyle name="Calculation 2 4 2 2 17" xfId="27611"/>
    <cellStyle name="Calculation 2 4 2 2 18" xfId="35007"/>
    <cellStyle name="Calculation 2 4 2 2 19" xfId="35328"/>
    <cellStyle name="Calculation 2 4 2 2 2" xfId="730"/>
    <cellStyle name="Calculation 2 4 2 2 2 10" xfId="23064"/>
    <cellStyle name="Calculation 2 4 2 2 2 11" xfId="24036"/>
    <cellStyle name="Calculation 2 4 2 2 2 12" xfId="25035"/>
    <cellStyle name="Calculation 2 4 2 2 2 13" xfId="27980"/>
    <cellStyle name="Calculation 2 4 2 2 2 14" xfId="28949"/>
    <cellStyle name="Calculation 2 4 2 2 2 15" xfId="29988"/>
    <cellStyle name="Calculation 2 4 2 2 2 16" xfId="30981"/>
    <cellStyle name="Calculation 2 4 2 2 2 17" xfId="31990"/>
    <cellStyle name="Calculation 2 4 2 2 2 18" xfId="32993"/>
    <cellStyle name="Calculation 2 4 2 2 2 19" xfId="33992"/>
    <cellStyle name="Calculation 2 4 2 2 2 2" xfId="731"/>
    <cellStyle name="Calculation 2 4 2 2 2 2 10" xfId="24037"/>
    <cellStyle name="Calculation 2 4 2 2 2 2 11" xfId="25036"/>
    <cellStyle name="Calculation 2 4 2 2 2 2 12" xfId="27981"/>
    <cellStyle name="Calculation 2 4 2 2 2 2 13" xfId="28950"/>
    <cellStyle name="Calculation 2 4 2 2 2 2 14" xfId="29989"/>
    <cellStyle name="Calculation 2 4 2 2 2 2 15" xfId="30982"/>
    <cellStyle name="Calculation 2 4 2 2 2 2 16" xfId="31991"/>
    <cellStyle name="Calculation 2 4 2 2 2 2 17" xfId="32994"/>
    <cellStyle name="Calculation 2 4 2 2 2 2 18" xfId="33993"/>
    <cellStyle name="Calculation 2 4 2 2 2 2 19" xfId="35614"/>
    <cellStyle name="Calculation 2 4 2 2 2 2 2" xfId="16017"/>
    <cellStyle name="Calculation 2 4 2 2 2 2 20" xfId="36553"/>
    <cellStyle name="Calculation 2 4 2 2 2 2 3" xfId="16995"/>
    <cellStyle name="Calculation 2 4 2 2 2 2 4" xfId="18023"/>
    <cellStyle name="Calculation 2 4 2 2 2 2 5" xfId="19055"/>
    <cellStyle name="Calculation 2 4 2 2 2 2 6" xfId="20077"/>
    <cellStyle name="Calculation 2 4 2 2 2 2 7" xfId="21086"/>
    <cellStyle name="Calculation 2 4 2 2 2 2 8" xfId="22060"/>
    <cellStyle name="Calculation 2 4 2 2 2 2 9" xfId="23065"/>
    <cellStyle name="Calculation 2 4 2 2 2 20" xfId="35613"/>
    <cellStyle name="Calculation 2 4 2 2 2 21" xfId="36552"/>
    <cellStyle name="Calculation 2 4 2 2 2 3" xfId="16016"/>
    <cellStyle name="Calculation 2 4 2 2 2 4" xfId="16994"/>
    <cellStyle name="Calculation 2 4 2 2 2 5" xfId="18022"/>
    <cellStyle name="Calculation 2 4 2 2 2 6" xfId="19054"/>
    <cellStyle name="Calculation 2 4 2 2 2 7" xfId="20076"/>
    <cellStyle name="Calculation 2 4 2 2 2 8" xfId="21085"/>
    <cellStyle name="Calculation 2 4 2 2 2 9" xfId="22059"/>
    <cellStyle name="Calculation 2 4 2 2 3" xfId="732"/>
    <cellStyle name="Calculation 2 4 2 2 3 10" xfId="23066"/>
    <cellStyle name="Calculation 2 4 2 2 3 11" xfId="24038"/>
    <cellStyle name="Calculation 2 4 2 2 3 12" xfId="25037"/>
    <cellStyle name="Calculation 2 4 2 2 3 13" xfId="27982"/>
    <cellStyle name="Calculation 2 4 2 2 3 14" xfId="28951"/>
    <cellStyle name="Calculation 2 4 2 2 3 15" xfId="29990"/>
    <cellStyle name="Calculation 2 4 2 2 3 16" xfId="30983"/>
    <cellStyle name="Calculation 2 4 2 2 3 17" xfId="31992"/>
    <cellStyle name="Calculation 2 4 2 2 3 18" xfId="32995"/>
    <cellStyle name="Calculation 2 4 2 2 3 19" xfId="33994"/>
    <cellStyle name="Calculation 2 4 2 2 3 2" xfId="733"/>
    <cellStyle name="Calculation 2 4 2 2 3 2 10" xfId="24039"/>
    <cellStyle name="Calculation 2 4 2 2 3 2 11" xfId="25038"/>
    <cellStyle name="Calculation 2 4 2 2 3 2 12" xfId="27983"/>
    <cellStyle name="Calculation 2 4 2 2 3 2 13" xfId="28952"/>
    <cellStyle name="Calculation 2 4 2 2 3 2 14" xfId="29991"/>
    <cellStyle name="Calculation 2 4 2 2 3 2 15" xfId="30984"/>
    <cellStyle name="Calculation 2 4 2 2 3 2 16" xfId="31993"/>
    <cellStyle name="Calculation 2 4 2 2 3 2 17" xfId="32996"/>
    <cellStyle name="Calculation 2 4 2 2 3 2 18" xfId="33995"/>
    <cellStyle name="Calculation 2 4 2 2 3 2 19" xfId="35616"/>
    <cellStyle name="Calculation 2 4 2 2 3 2 2" xfId="16019"/>
    <cellStyle name="Calculation 2 4 2 2 3 2 20" xfId="36555"/>
    <cellStyle name="Calculation 2 4 2 2 3 2 3" xfId="16997"/>
    <cellStyle name="Calculation 2 4 2 2 3 2 4" xfId="18025"/>
    <cellStyle name="Calculation 2 4 2 2 3 2 5" xfId="19057"/>
    <cellStyle name="Calculation 2 4 2 2 3 2 6" xfId="20079"/>
    <cellStyle name="Calculation 2 4 2 2 3 2 7" xfId="21088"/>
    <cellStyle name="Calculation 2 4 2 2 3 2 8" xfId="22062"/>
    <cellStyle name="Calculation 2 4 2 2 3 2 9" xfId="23067"/>
    <cellStyle name="Calculation 2 4 2 2 3 20" xfId="35615"/>
    <cellStyle name="Calculation 2 4 2 2 3 21" xfId="36554"/>
    <cellStyle name="Calculation 2 4 2 2 3 3" xfId="16018"/>
    <cellStyle name="Calculation 2 4 2 2 3 4" xfId="16996"/>
    <cellStyle name="Calculation 2 4 2 2 3 5" xfId="18024"/>
    <cellStyle name="Calculation 2 4 2 2 3 6" xfId="19056"/>
    <cellStyle name="Calculation 2 4 2 2 3 7" xfId="20078"/>
    <cellStyle name="Calculation 2 4 2 2 3 8" xfId="21087"/>
    <cellStyle name="Calculation 2 4 2 2 3 9" xfId="22061"/>
    <cellStyle name="Calculation 2 4 2 2 4" xfId="734"/>
    <cellStyle name="Calculation 2 4 2 2 4 10" xfId="23068"/>
    <cellStyle name="Calculation 2 4 2 2 4 11" xfId="24040"/>
    <cellStyle name="Calculation 2 4 2 2 4 12" xfId="25039"/>
    <cellStyle name="Calculation 2 4 2 2 4 13" xfId="27984"/>
    <cellStyle name="Calculation 2 4 2 2 4 14" xfId="28953"/>
    <cellStyle name="Calculation 2 4 2 2 4 15" xfId="29992"/>
    <cellStyle name="Calculation 2 4 2 2 4 16" xfId="30985"/>
    <cellStyle name="Calculation 2 4 2 2 4 17" xfId="31994"/>
    <cellStyle name="Calculation 2 4 2 2 4 18" xfId="32997"/>
    <cellStyle name="Calculation 2 4 2 2 4 19" xfId="33996"/>
    <cellStyle name="Calculation 2 4 2 2 4 2" xfId="735"/>
    <cellStyle name="Calculation 2 4 2 2 4 2 10" xfId="24041"/>
    <cellStyle name="Calculation 2 4 2 2 4 2 11" xfId="25040"/>
    <cellStyle name="Calculation 2 4 2 2 4 2 12" xfId="27985"/>
    <cellStyle name="Calculation 2 4 2 2 4 2 13" xfId="28954"/>
    <cellStyle name="Calculation 2 4 2 2 4 2 14" xfId="29993"/>
    <cellStyle name="Calculation 2 4 2 2 4 2 15" xfId="30986"/>
    <cellStyle name="Calculation 2 4 2 2 4 2 16" xfId="31995"/>
    <cellStyle name="Calculation 2 4 2 2 4 2 17" xfId="32998"/>
    <cellStyle name="Calculation 2 4 2 2 4 2 18" xfId="33997"/>
    <cellStyle name="Calculation 2 4 2 2 4 2 19" xfId="35618"/>
    <cellStyle name="Calculation 2 4 2 2 4 2 2" xfId="16021"/>
    <cellStyle name="Calculation 2 4 2 2 4 2 20" xfId="36557"/>
    <cellStyle name="Calculation 2 4 2 2 4 2 3" xfId="16999"/>
    <cellStyle name="Calculation 2 4 2 2 4 2 4" xfId="18027"/>
    <cellStyle name="Calculation 2 4 2 2 4 2 5" xfId="19059"/>
    <cellStyle name="Calculation 2 4 2 2 4 2 6" xfId="20081"/>
    <cellStyle name="Calculation 2 4 2 2 4 2 7" xfId="21090"/>
    <cellStyle name="Calculation 2 4 2 2 4 2 8" xfId="22064"/>
    <cellStyle name="Calculation 2 4 2 2 4 2 9" xfId="23069"/>
    <cellStyle name="Calculation 2 4 2 2 4 20" xfId="35617"/>
    <cellStyle name="Calculation 2 4 2 2 4 21" xfId="36556"/>
    <cellStyle name="Calculation 2 4 2 2 4 3" xfId="16020"/>
    <cellStyle name="Calculation 2 4 2 2 4 4" xfId="16998"/>
    <cellStyle name="Calculation 2 4 2 2 4 5" xfId="18026"/>
    <cellStyle name="Calculation 2 4 2 2 4 6" xfId="19058"/>
    <cellStyle name="Calculation 2 4 2 2 4 7" xfId="20080"/>
    <cellStyle name="Calculation 2 4 2 2 4 8" xfId="21089"/>
    <cellStyle name="Calculation 2 4 2 2 4 9" xfId="22063"/>
    <cellStyle name="Calculation 2 4 2 2 5" xfId="736"/>
    <cellStyle name="Calculation 2 4 2 2 5 10" xfId="24042"/>
    <cellStyle name="Calculation 2 4 2 2 5 11" xfId="25041"/>
    <cellStyle name="Calculation 2 4 2 2 5 12" xfId="27986"/>
    <cellStyle name="Calculation 2 4 2 2 5 13" xfId="28955"/>
    <cellStyle name="Calculation 2 4 2 2 5 14" xfId="29994"/>
    <cellStyle name="Calculation 2 4 2 2 5 15" xfId="30987"/>
    <cellStyle name="Calculation 2 4 2 2 5 16" xfId="31996"/>
    <cellStyle name="Calculation 2 4 2 2 5 17" xfId="32999"/>
    <cellStyle name="Calculation 2 4 2 2 5 18" xfId="33998"/>
    <cellStyle name="Calculation 2 4 2 2 5 19" xfId="35619"/>
    <cellStyle name="Calculation 2 4 2 2 5 2" xfId="16022"/>
    <cellStyle name="Calculation 2 4 2 2 5 20" xfId="36558"/>
    <cellStyle name="Calculation 2 4 2 2 5 3" xfId="17000"/>
    <cellStyle name="Calculation 2 4 2 2 5 4" xfId="18028"/>
    <cellStyle name="Calculation 2 4 2 2 5 5" xfId="19060"/>
    <cellStyle name="Calculation 2 4 2 2 5 6" xfId="20082"/>
    <cellStyle name="Calculation 2 4 2 2 5 7" xfId="21091"/>
    <cellStyle name="Calculation 2 4 2 2 5 8" xfId="22065"/>
    <cellStyle name="Calculation 2 4 2 2 5 9" xfId="23070"/>
    <cellStyle name="Calculation 2 4 2 2 6" xfId="14033"/>
    <cellStyle name="Calculation 2 4 2 2 7" xfId="15219"/>
    <cellStyle name="Calculation 2 4 2 2 8" xfId="13466"/>
    <cellStyle name="Calculation 2 4 2 2 9" xfId="15516"/>
    <cellStyle name="Calculation 2 4 2 20" xfId="27410"/>
    <cellStyle name="Calculation 2 4 2 21" xfId="29816"/>
    <cellStyle name="Calculation 2 4 2 22" xfId="34950"/>
    <cellStyle name="Calculation 2 4 2 23" xfId="34883"/>
    <cellStyle name="Calculation 2 4 2 3" xfId="737"/>
    <cellStyle name="Calculation 2 4 2 3 10" xfId="14367"/>
    <cellStyle name="Calculation 2 4 2 3 11" xfId="14775"/>
    <cellStyle name="Calculation 2 4 2 3 12" xfId="26391"/>
    <cellStyle name="Calculation 2 4 2 3 13" xfId="27122"/>
    <cellStyle name="Calculation 2 4 2 3 14" xfId="26498"/>
    <cellStyle name="Calculation 2 4 2 3 15" xfId="26581"/>
    <cellStyle name="Calculation 2 4 2 3 16" xfId="26631"/>
    <cellStyle name="Calculation 2 4 2 3 17" xfId="26982"/>
    <cellStyle name="Calculation 2 4 2 3 18" xfId="35082"/>
    <cellStyle name="Calculation 2 4 2 3 19" xfId="35277"/>
    <cellStyle name="Calculation 2 4 2 3 2" xfId="738"/>
    <cellStyle name="Calculation 2 4 2 3 2 10" xfId="23071"/>
    <cellStyle name="Calculation 2 4 2 3 2 11" xfId="24043"/>
    <cellStyle name="Calculation 2 4 2 3 2 12" xfId="25042"/>
    <cellStyle name="Calculation 2 4 2 3 2 13" xfId="27987"/>
    <cellStyle name="Calculation 2 4 2 3 2 14" xfId="28956"/>
    <cellStyle name="Calculation 2 4 2 3 2 15" xfId="29995"/>
    <cellStyle name="Calculation 2 4 2 3 2 16" xfId="30988"/>
    <cellStyle name="Calculation 2 4 2 3 2 17" xfId="31997"/>
    <cellStyle name="Calculation 2 4 2 3 2 18" xfId="33000"/>
    <cellStyle name="Calculation 2 4 2 3 2 19" xfId="33999"/>
    <cellStyle name="Calculation 2 4 2 3 2 2" xfId="739"/>
    <cellStyle name="Calculation 2 4 2 3 2 2 10" xfId="24044"/>
    <cellStyle name="Calculation 2 4 2 3 2 2 11" xfId="25043"/>
    <cellStyle name="Calculation 2 4 2 3 2 2 12" xfId="27988"/>
    <cellStyle name="Calculation 2 4 2 3 2 2 13" xfId="28957"/>
    <cellStyle name="Calculation 2 4 2 3 2 2 14" xfId="29996"/>
    <cellStyle name="Calculation 2 4 2 3 2 2 15" xfId="30989"/>
    <cellStyle name="Calculation 2 4 2 3 2 2 16" xfId="31998"/>
    <cellStyle name="Calculation 2 4 2 3 2 2 17" xfId="33001"/>
    <cellStyle name="Calculation 2 4 2 3 2 2 18" xfId="34000"/>
    <cellStyle name="Calculation 2 4 2 3 2 2 19" xfId="35621"/>
    <cellStyle name="Calculation 2 4 2 3 2 2 2" xfId="16024"/>
    <cellStyle name="Calculation 2 4 2 3 2 2 20" xfId="36560"/>
    <cellStyle name="Calculation 2 4 2 3 2 2 3" xfId="17002"/>
    <cellStyle name="Calculation 2 4 2 3 2 2 4" xfId="18030"/>
    <cellStyle name="Calculation 2 4 2 3 2 2 5" xfId="19062"/>
    <cellStyle name="Calculation 2 4 2 3 2 2 6" xfId="20084"/>
    <cellStyle name="Calculation 2 4 2 3 2 2 7" xfId="21093"/>
    <cellStyle name="Calculation 2 4 2 3 2 2 8" xfId="22067"/>
    <cellStyle name="Calculation 2 4 2 3 2 2 9" xfId="23072"/>
    <cellStyle name="Calculation 2 4 2 3 2 20" xfId="35620"/>
    <cellStyle name="Calculation 2 4 2 3 2 21" xfId="36559"/>
    <cellStyle name="Calculation 2 4 2 3 2 3" xfId="16023"/>
    <cellStyle name="Calculation 2 4 2 3 2 4" xfId="17001"/>
    <cellStyle name="Calculation 2 4 2 3 2 5" xfId="18029"/>
    <cellStyle name="Calculation 2 4 2 3 2 6" xfId="19061"/>
    <cellStyle name="Calculation 2 4 2 3 2 7" xfId="20083"/>
    <cellStyle name="Calculation 2 4 2 3 2 8" xfId="21092"/>
    <cellStyle name="Calculation 2 4 2 3 2 9" xfId="22066"/>
    <cellStyle name="Calculation 2 4 2 3 3" xfId="740"/>
    <cellStyle name="Calculation 2 4 2 3 3 10" xfId="23073"/>
    <cellStyle name="Calculation 2 4 2 3 3 11" xfId="24045"/>
    <cellStyle name="Calculation 2 4 2 3 3 12" xfId="25044"/>
    <cellStyle name="Calculation 2 4 2 3 3 13" xfId="27989"/>
    <cellStyle name="Calculation 2 4 2 3 3 14" xfId="28958"/>
    <cellStyle name="Calculation 2 4 2 3 3 15" xfId="29997"/>
    <cellStyle name="Calculation 2 4 2 3 3 16" xfId="30990"/>
    <cellStyle name="Calculation 2 4 2 3 3 17" xfId="31999"/>
    <cellStyle name="Calculation 2 4 2 3 3 18" xfId="33002"/>
    <cellStyle name="Calculation 2 4 2 3 3 19" xfId="34001"/>
    <cellStyle name="Calculation 2 4 2 3 3 2" xfId="741"/>
    <cellStyle name="Calculation 2 4 2 3 3 2 10" xfId="24046"/>
    <cellStyle name="Calculation 2 4 2 3 3 2 11" xfId="25045"/>
    <cellStyle name="Calculation 2 4 2 3 3 2 12" xfId="27990"/>
    <cellStyle name="Calculation 2 4 2 3 3 2 13" xfId="28959"/>
    <cellStyle name="Calculation 2 4 2 3 3 2 14" xfId="29998"/>
    <cellStyle name="Calculation 2 4 2 3 3 2 15" xfId="30991"/>
    <cellStyle name="Calculation 2 4 2 3 3 2 16" xfId="32000"/>
    <cellStyle name="Calculation 2 4 2 3 3 2 17" xfId="33003"/>
    <cellStyle name="Calculation 2 4 2 3 3 2 18" xfId="34002"/>
    <cellStyle name="Calculation 2 4 2 3 3 2 19" xfId="35623"/>
    <cellStyle name="Calculation 2 4 2 3 3 2 2" xfId="16026"/>
    <cellStyle name="Calculation 2 4 2 3 3 2 20" xfId="36562"/>
    <cellStyle name="Calculation 2 4 2 3 3 2 3" xfId="17004"/>
    <cellStyle name="Calculation 2 4 2 3 3 2 4" xfId="18032"/>
    <cellStyle name="Calculation 2 4 2 3 3 2 5" xfId="19064"/>
    <cellStyle name="Calculation 2 4 2 3 3 2 6" xfId="20086"/>
    <cellStyle name="Calculation 2 4 2 3 3 2 7" xfId="21095"/>
    <cellStyle name="Calculation 2 4 2 3 3 2 8" xfId="22069"/>
    <cellStyle name="Calculation 2 4 2 3 3 2 9" xfId="23074"/>
    <cellStyle name="Calculation 2 4 2 3 3 20" xfId="35622"/>
    <cellStyle name="Calculation 2 4 2 3 3 21" xfId="36561"/>
    <cellStyle name="Calculation 2 4 2 3 3 3" xfId="16025"/>
    <cellStyle name="Calculation 2 4 2 3 3 4" xfId="17003"/>
    <cellStyle name="Calculation 2 4 2 3 3 5" xfId="18031"/>
    <cellStyle name="Calculation 2 4 2 3 3 6" xfId="19063"/>
    <cellStyle name="Calculation 2 4 2 3 3 7" xfId="20085"/>
    <cellStyle name="Calculation 2 4 2 3 3 8" xfId="21094"/>
    <cellStyle name="Calculation 2 4 2 3 3 9" xfId="22068"/>
    <cellStyle name="Calculation 2 4 2 3 4" xfId="742"/>
    <cellStyle name="Calculation 2 4 2 3 4 10" xfId="23075"/>
    <cellStyle name="Calculation 2 4 2 3 4 11" xfId="24047"/>
    <cellStyle name="Calculation 2 4 2 3 4 12" xfId="25046"/>
    <cellStyle name="Calculation 2 4 2 3 4 13" xfId="27991"/>
    <cellStyle name="Calculation 2 4 2 3 4 14" xfId="28960"/>
    <cellStyle name="Calculation 2 4 2 3 4 15" xfId="29999"/>
    <cellStyle name="Calculation 2 4 2 3 4 16" xfId="30992"/>
    <cellStyle name="Calculation 2 4 2 3 4 17" xfId="32001"/>
    <cellStyle name="Calculation 2 4 2 3 4 18" xfId="33004"/>
    <cellStyle name="Calculation 2 4 2 3 4 19" xfId="34003"/>
    <cellStyle name="Calculation 2 4 2 3 4 2" xfId="743"/>
    <cellStyle name="Calculation 2 4 2 3 4 2 10" xfId="24048"/>
    <cellStyle name="Calculation 2 4 2 3 4 2 11" xfId="25047"/>
    <cellStyle name="Calculation 2 4 2 3 4 2 12" xfId="27992"/>
    <cellStyle name="Calculation 2 4 2 3 4 2 13" xfId="28961"/>
    <cellStyle name="Calculation 2 4 2 3 4 2 14" xfId="30000"/>
    <cellStyle name="Calculation 2 4 2 3 4 2 15" xfId="30993"/>
    <cellStyle name="Calculation 2 4 2 3 4 2 16" xfId="32002"/>
    <cellStyle name="Calculation 2 4 2 3 4 2 17" xfId="33005"/>
    <cellStyle name="Calculation 2 4 2 3 4 2 18" xfId="34004"/>
    <cellStyle name="Calculation 2 4 2 3 4 2 19" xfId="35625"/>
    <cellStyle name="Calculation 2 4 2 3 4 2 2" xfId="16028"/>
    <cellStyle name="Calculation 2 4 2 3 4 2 20" xfId="36564"/>
    <cellStyle name="Calculation 2 4 2 3 4 2 3" xfId="17006"/>
    <cellStyle name="Calculation 2 4 2 3 4 2 4" xfId="18034"/>
    <cellStyle name="Calculation 2 4 2 3 4 2 5" xfId="19066"/>
    <cellStyle name="Calculation 2 4 2 3 4 2 6" xfId="20088"/>
    <cellStyle name="Calculation 2 4 2 3 4 2 7" xfId="21097"/>
    <cellStyle name="Calculation 2 4 2 3 4 2 8" xfId="22071"/>
    <cellStyle name="Calculation 2 4 2 3 4 2 9" xfId="23076"/>
    <cellStyle name="Calculation 2 4 2 3 4 20" xfId="35624"/>
    <cellStyle name="Calculation 2 4 2 3 4 21" xfId="36563"/>
    <cellStyle name="Calculation 2 4 2 3 4 3" xfId="16027"/>
    <cellStyle name="Calculation 2 4 2 3 4 4" xfId="17005"/>
    <cellStyle name="Calculation 2 4 2 3 4 5" xfId="18033"/>
    <cellStyle name="Calculation 2 4 2 3 4 6" xfId="19065"/>
    <cellStyle name="Calculation 2 4 2 3 4 7" xfId="20087"/>
    <cellStyle name="Calculation 2 4 2 3 4 8" xfId="21096"/>
    <cellStyle name="Calculation 2 4 2 3 4 9" xfId="22070"/>
    <cellStyle name="Calculation 2 4 2 3 5" xfId="744"/>
    <cellStyle name="Calculation 2 4 2 3 5 10" xfId="24049"/>
    <cellStyle name="Calculation 2 4 2 3 5 11" xfId="25048"/>
    <cellStyle name="Calculation 2 4 2 3 5 12" xfId="27993"/>
    <cellStyle name="Calculation 2 4 2 3 5 13" xfId="28962"/>
    <cellStyle name="Calculation 2 4 2 3 5 14" xfId="30001"/>
    <cellStyle name="Calculation 2 4 2 3 5 15" xfId="30994"/>
    <cellStyle name="Calculation 2 4 2 3 5 16" xfId="32003"/>
    <cellStyle name="Calculation 2 4 2 3 5 17" xfId="33006"/>
    <cellStyle name="Calculation 2 4 2 3 5 18" xfId="34005"/>
    <cellStyle name="Calculation 2 4 2 3 5 19" xfId="35626"/>
    <cellStyle name="Calculation 2 4 2 3 5 2" xfId="16029"/>
    <cellStyle name="Calculation 2 4 2 3 5 20" xfId="36565"/>
    <cellStyle name="Calculation 2 4 2 3 5 3" xfId="17007"/>
    <cellStyle name="Calculation 2 4 2 3 5 4" xfId="18035"/>
    <cellStyle name="Calculation 2 4 2 3 5 5" xfId="19067"/>
    <cellStyle name="Calculation 2 4 2 3 5 6" xfId="20089"/>
    <cellStyle name="Calculation 2 4 2 3 5 7" xfId="21098"/>
    <cellStyle name="Calculation 2 4 2 3 5 8" xfId="22072"/>
    <cellStyle name="Calculation 2 4 2 3 5 9" xfId="23077"/>
    <cellStyle name="Calculation 2 4 2 3 6" xfId="14051"/>
    <cellStyle name="Calculation 2 4 2 3 7" xfId="14470"/>
    <cellStyle name="Calculation 2 4 2 3 8" xfId="14177"/>
    <cellStyle name="Calculation 2 4 2 3 9" xfId="15560"/>
    <cellStyle name="Calculation 2 4 2 4" xfId="745"/>
    <cellStyle name="Calculation 2 4 2 4 10" xfId="13690"/>
    <cellStyle name="Calculation 2 4 2 4 11" xfId="13517"/>
    <cellStyle name="Calculation 2 4 2 4 12" xfId="26409"/>
    <cellStyle name="Calculation 2 4 2 4 13" xfId="27108"/>
    <cellStyle name="Calculation 2 4 2 4 14" xfId="26149"/>
    <cellStyle name="Calculation 2 4 2 4 15" xfId="26550"/>
    <cellStyle name="Calculation 2 4 2 4 16" xfId="27540"/>
    <cellStyle name="Calculation 2 4 2 4 17" xfId="27437"/>
    <cellStyle name="Calculation 2 4 2 4 18" xfId="35099"/>
    <cellStyle name="Calculation 2 4 2 4 19" xfId="35419"/>
    <cellStyle name="Calculation 2 4 2 4 2" xfId="746"/>
    <cellStyle name="Calculation 2 4 2 4 2 10" xfId="23078"/>
    <cellStyle name="Calculation 2 4 2 4 2 11" xfId="24050"/>
    <cellStyle name="Calculation 2 4 2 4 2 12" xfId="25049"/>
    <cellStyle name="Calculation 2 4 2 4 2 13" xfId="27994"/>
    <cellStyle name="Calculation 2 4 2 4 2 14" xfId="28963"/>
    <cellStyle name="Calculation 2 4 2 4 2 15" xfId="30002"/>
    <cellStyle name="Calculation 2 4 2 4 2 16" xfId="30995"/>
    <cellStyle name="Calculation 2 4 2 4 2 17" xfId="32004"/>
    <cellStyle name="Calculation 2 4 2 4 2 18" xfId="33007"/>
    <cellStyle name="Calculation 2 4 2 4 2 19" xfId="34006"/>
    <cellStyle name="Calculation 2 4 2 4 2 2" xfId="747"/>
    <cellStyle name="Calculation 2 4 2 4 2 2 10" xfId="24051"/>
    <cellStyle name="Calculation 2 4 2 4 2 2 11" xfId="25050"/>
    <cellStyle name="Calculation 2 4 2 4 2 2 12" xfId="27995"/>
    <cellStyle name="Calculation 2 4 2 4 2 2 13" xfId="28964"/>
    <cellStyle name="Calculation 2 4 2 4 2 2 14" xfId="30003"/>
    <cellStyle name="Calculation 2 4 2 4 2 2 15" xfId="30996"/>
    <cellStyle name="Calculation 2 4 2 4 2 2 16" xfId="32005"/>
    <cellStyle name="Calculation 2 4 2 4 2 2 17" xfId="33008"/>
    <cellStyle name="Calculation 2 4 2 4 2 2 18" xfId="34007"/>
    <cellStyle name="Calculation 2 4 2 4 2 2 19" xfId="35628"/>
    <cellStyle name="Calculation 2 4 2 4 2 2 2" xfId="16031"/>
    <cellStyle name="Calculation 2 4 2 4 2 2 20" xfId="36567"/>
    <cellStyle name="Calculation 2 4 2 4 2 2 3" xfId="17009"/>
    <cellStyle name="Calculation 2 4 2 4 2 2 4" xfId="18037"/>
    <cellStyle name="Calculation 2 4 2 4 2 2 5" xfId="19069"/>
    <cellStyle name="Calculation 2 4 2 4 2 2 6" xfId="20091"/>
    <cellStyle name="Calculation 2 4 2 4 2 2 7" xfId="21100"/>
    <cellStyle name="Calculation 2 4 2 4 2 2 8" xfId="22074"/>
    <cellStyle name="Calculation 2 4 2 4 2 2 9" xfId="23079"/>
    <cellStyle name="Calculation 2 4 2 4 2 20" xfId="35627"/>
    <cellStyle name="Calculation 2 4 2 4 2 21" xfId="36566"/>
    <cellStyle name="Calculation 2 4 2 4 2 3" xfId="16030"/>
    <cellStyle name="Calculation 2 4 2 4 2 4" xfId="17008"/>
    <cellStyle name="Calculation 2 4 2 4 2 5" xfId="18036"/>
    <cellStyle name="Calculation 2 4 2 4 2 6" xfId="19068"/>
    <cellStyle name="Calculation 2 4 2 4 2 7" xfId="20090"/>
    <cellStyle name="Calculation 2 4 2 4 2 8" xfId="21099"/>
    <cellStyle name="Calculation 2 4 2 4 2 9" xfId="22073"/>
    <cellStyle name="Calculation 2 4 2 4 3" xfId="748"/>
    <cellStyle name="Calculation 2 4 2 4 3 10" xfId="23080"/>
    <cellStyle name="Calculation 2 4 2 4 3 11" xfId="24052"/>
    <cellStyle name="Calculation 2 4 2 4 3 12" xfId="25051"/>
    <cellStyle name="Calculation 2 4 2 4 3 13" xfId="27996"/>
    <cellStyle name="Calculation 2 4 2 4 3 14" xfId="28965"/>
    <cellStyle name="Calculation 2 4 2 4 3 15" xfId="30004"/>
    <cellStyle name="Calculation 2 4 2 4 3 16" xfId="30997"/>
    <cellStyle name="Calculation 2 4 2 4 3 17" xfId="32006"/>
    <cellStyle name="Calculation 2 4 2 4 3 18" xfId="33009"/>
    <cellStyle name="Calculation 2 4 2 4 3 19" xfId="34008"/>
    <cellStyle name="Calculation 2 4 2 4 3 2" xfId="749"/>
    <cellStyle name="Calculation 2 4 2 4 3 2 10" xfId="24053"/>
    <cellStyle name="Calculation 2 4 2 4 3 2 11" xfId="25052"/>
    <cellStyle name="Calculation 2 4 2 4 3 2 12" xfId="27997"/>
    <cellStyle name="Calculation 2 4 2 4 3 2 13" xfId="28966"/>
    <cellStyle name="Calculation 2 4 2 4 3 2 14" xfId="30005"/>
    <cellStyle name="Calculation 2 4 2 4 3 2 15" xfId="30998"/>
    <cellStyle name="Calculation 2 4 2 4 3 2 16" xfId="32007"/>
    <cellStyle name="Calculation 2 4 2 4 3 2 17" xfId="33010"/>
    <cellStyle name="Calculation 2 4 2 4 3 2 18" xfId="34009"/>
    <cellStyle name="Calculation 2 4 2 4 3 2 19" xfId="35630"/>
    <cellStyle name="Calculation 2 4 2 4 3 2 2" xfId="16033"/>
    <cellStyle name="Calculation 2 4 2 4 3 2 20" xfId="36569"/>
    <cellStyle name="Calculation 2 4 2 4 3 2 3" xfId="17011"/>
    <cellStyle name="Calculation 2 4 2 4 3 2 4" xfId="18039"/>
    <cellStyle name="Calculation 2 4 2 4 3 2 5" xfId="19071"/>
    <cellStyle name="Calculation 2 4 2 4 3 2 6" xfId="20093"/>
    <cellStyle name="Calculation 2 4 2 4 3 2 7" xfId="21102"/>
    <cellStyle name="Calculation 2 4 2 4 3 2 8" xfId="22076"/>
    <cellStyle name="Calculation 2 4 2 4 3 2 9" xfId="23081"/>
    <cellStyle name="Calculation 2 4 2 4 3 20" xfId="35629"/>
    <cellStyle name="Calculation 2 4 2 4 3 21" xfId="36568"/>
    <cellStyle name="Calculation 2 4 2 4 3 3" xfId="16032"/>
    <cellStyle name="Calculation 2 4 2 4 3 4" xfId="17010"/>
    <cellStyle name="Calculation 2 4 2 4 3 5" xfId="18038"/>
    <cellStyle name="Calculation 2 4 2 4 3 6" xfId="19070"/>
    <cellStyle name="Calculation 2 4 2 4 3 7" xfId="20092"/>
    <cellStyle name="Calculation 2 4 2 4 3 8" xfId="21101"/>
    <cellStyle name="Calculation 2 4 2 4 3 9" xfId="22075"/>
    <cellStyle name="Calculation 2 4 2 4 4" xfId="750"/>
    <cellStyle name="Calculation 2 4 2 4 4 10" xfId="23082"/>
    <cellStyle name="Calculation 2 4 2 4 4 11" xfId="24054"/>
    <cellStyle name="Calculation 2 4 2 4 4 12" xfId="25053"/>
    <cellStyle name="Calculation 2 4 2 4 4 13" xfId="27998"/>
    <cellStyle name="Calculation 2 4 2 4 4 14" xfId="28967"/>
    <cellStyle name="Calculation 2 4 2 4 4 15" xfId="30006"/>
    <cellStyle name="Calculation 2 4 2 4 4 16" xfId="30999"/>
    <cellStyle name="Calculation 2 4 2 4 4 17" xfId="32008"/>
    <cellStyle name="Calculation 2 4 2 4 4 18" xfId="33011"/>
    <cellStyle name="Calculation 2 4 2 4 4 19" xfId="34010"/>
    <cellStyle name="Calculation 2 4 2 4 4 2" xfId="751"/>
    <cellStyle name="Calculation 2 4 2 4 4 2 10" xfId="24055"/>
    <cellStyle name="Calculation 2 4 2 4 4 2 11" xfId="25054"/>
    <cellStyle name="Calculation 2 4 2 4 4 2 12" xfId="27999"/>
    <cellStyle name="Calculation 2 4 2 4 4 2 13" xfId="28968"/>
    <cellStyle name="Calculation 2 4 2 4 4 2 14" xfId="30007"/>
    <cellStyle name="Calculation 2 4 2 4 4 2 15" xfId="31000"/>
    <cellStyle name="Calculation 2 4 2 4 4 2 16" xfId="32009"/>
    <cellStyle name="Calculation 2 4 2 4 4 2 17" xfId="33012"/>
    <cellStyle name="Calculation 2 4 2 4 4 2 18" xfId="34011"/>
    <cellStyle name="Calculation 2 4 2 4 4 2 19" xfId="35632"/>
    <cellStyle name="Calculation 2 4 2 4 4 2 2" xfId="16035"/>
    <cellStyle name="Calculation 2 4 2 4 4 2 20" xfId="36571"/>
    <cellStyle name="Calculation 2 4 2 4 4 2 3" xfId="17013"/>
    <cellStyle name="Calculation 2 4 2 4 4 2 4" xfId="18041"/>
    <cellStyle name="Calculation 2 4 2 4 4 2 5" xfId="19073"/>
    <cellStyle name="Calculation 2 4 2 4 4 2 6" xfId="20095"/>
    <cellStyle name="Calculation 2 4 2 4 4 2 7" xfId="21104"/>
    <cellStyle name="Calculation 2 4 2 4 4 2 8" xfId="22078"/>
    <cellStyle name="Calculation 2 4 2 4 4 2 9" xfId="23083"/>
    <cellStyle name="Calculation 2 4 2 4 4 20" xfId="35631"/>
    <cellStyle name="Calculation 2 4 2 4 4 21" xfId="36570"/>
    <cellStyle name="Calculation 2 4 2 4 4 3" xfId="16034"/>
    <cellStyle name="Calculation 2 4 2 4 4 4" xfId="17012"/>
    <cellStyle name="Calculation 2 4 2 4 4 5" xfId="18040"/>
    <cellStyle name="Calculation 2 4 2 4 4 6" xfId="19072"/>
    <cellStyle name="Calculation 2 4 2 4 4 7" xfId="20094"/>
    <cellStyle name="Calculation 2 4 2 4 4 8" xfId="21103"/>
    <cellStyle name="Calculation 2 4 2 4 4 9" xfId="22077"/>
    <cellStyle name="Calculation 2 4 2 4 5" xfId="752"/>
    <cellStyle name="Calculation 2 4 2 4 5 10" xfId="24056"/>
    <cellStyle name="Calculation 2 4 2 4 5 11" xfId="25055"/>
    <cellStyle name="Calculation 2 4 2 4 5 12" xfId="28000"/>
    <cellStyle name="Calculation 2 4 2 4 5 13" xfId="28969"/>
    <cellStyle name="Calculation 2 4 2 4 5 14" xfId="30008"/>
    <cellStyle name="Calculation 2 4 2 4 5 15" xfId="31001"/>
    <cellStyle name="Calculation 2 4 2 4 5 16" xfId="32010"/>
    <cellStyle name="Calculation 2 4 2 4 5 17" xfId="33013"/>
    <cellStyle name="Calculation 2 4 2 4 5 18" xfId="34012"/>
    <cellStyle name="Calculation 2 4 2 4 5 19" xfId="35633"/>
    <cellStyle name="Calculation 2 4 2 4 5 2" xfId="16036"/>
    <cellStyle name="Calculation 2 4 2 4 5 20" xfId="36572"/>
    <cellStyle name="Calculation 2 4 2 4 5 3" xfId="17014"/>
    <cellStyle name="Calculation 2 4 2 4 5 4" xfId="18042"/>
    <cellStyle name="Calculation 2 4 2 4 5 5" xfId="19074"/>
    <cellStyle name="Calculation 2 4 2 4 5 6" xfId="20096"/>
    <cellStyle name="Calculation 2 4 2 4 5 7" xfId="21105"/>
    <cellStyle name="Calculation 2 4 2 4 5 8" xfId="22079"/>
    <cellStyle name="Calculation 2 4 2 4 5 9" xfId="23084"/>
    <cellStyle name="Calculation 2 4 2 4 6" xfId="13776"/>
    <cellStyle name="Calculation 2 4 2 4 7" xfId="15493"/>
    <cellStyle name="Calculation 2 4 2 4 8" xfId="15309"/>
    <cellStyle name="Calculation 2 4 2 4 9" xfId="15443"/>
    <cellStyle name="Calculation 2 4 2 5" xfId="753"/>
    <cellStyle name="Calculation 2 4 2 5 10" xfId="15131"/>
    <cellStyle name="Calculation 2 4 2 5 11" xfId="15823"/>
    <cellStyle name="Calculation 2 4 2 5 12" xfId="26458"/>
    <cellStyle name="Calculation 2 4 2 5 13" xfId="27678"/>
    <cellStyle name="Calculation 2 4 2 5 14" xfId="26342"/>
    <cellStyle name="Calculation 2 4 2 5 15" xfId="25997"/>
    <cellStyle name="Calculation 2 4 2 5 16" xfId="26953"/>
    <cellStyle name="Calculation 2 4 2 5 17" xfId="27280"/>
    <cellStyle name="Calculation 2 4 2 5 18" xfId="35141"/>
    <cellStyle name="Calculation 2 4 2 5 19" xfId="35402"/>
    <cellStyle name="Calculation 2 4 2 5 2" xfId="754"/>
    <cellStyle name="Calculation 2 4 2 5 2 10" xfId="23085"/>
    <cellStyle name="Calculation 2 4 2 5 2 11" xfId="24057"/>
    <cellStyle name="Calculation 2 4 2 5 2 12" xfId="25056"/>
    <cellStyle name="Calculation 2 4 2 5 2 13" xfId="28001"/>
    <cellStyle name="Calculation 2 4 2 5 2 14" xfId="28970"/>
    <cellStyle name="Calculation 2 4 2 5 2 15" xfId="30009"/>
    <cellStyle name="Calculation 2 4 2 5 2 16" xfId="31002"/>
    <cellStyle name="Calculation 2 4 2 5 2 17" xfId="32011"/>
    <cellStyle name="Calculation 2 4 2 5 2 18" xfId="33014"/>
    <cellStyle name="Calculation 2 4 2 5 2 19" xfId="34013"/>
    <cellStyle name="Calculation 2 4 2 5 2 2" xfId="755"/>
    <cellStyle name="Calculation 2 4 2 5 2 2 10" xfId="24058"/>
    <cellStyle name="Calculation 2 4 2 5 2 2 11" xfId="25057"/>
    <cellStyle name="Calculation 2 4 2 5 2 2 12" xfId="28002"/>
    <cellStyle name="Calculation 2 4 2 5 2 2 13" xfId="28971"/>
    <cellStyle name="Calculation 2 4 2 5 2 2 14" xfId="30010"/>
    <cellStyle name="Calculation 2 4 2 5 2 2 15" xfId="31003"/>
    <cellStyle name="Calculation 2 4 2 5 2 2 16" xfId="32012"/>
    <cellStyle name="Calculation 2 4 2 5 2 2 17" xfId="33015"/>
    <cellStyle name="Calculation 2 4 2 5 2 2 18" xfId="34014"/>
    <cellStyle name="Calculation 2 4 2 5 2 2 19" xfId="35635"/>
    <cellStyle name="Calculation 2 4 2 5 2 2 2" xfId="16038"/>
    <cellStyle name="Calculation 2 4 2 5 2 2 20" xfId="36574"/>
    <cellStyle name="Calculation 2 4 2 5 2 2 3" xfId="17016"/>
    <cellStyle name="Calculation 2 4 2 5 2 2 4" xfId="18044"/>
    <cellStyle name="Calculation 2 4 2 5 2 2 5" xfId="19076"/>
    <cellStyle name="Calculation 2 4 2 5 2 2 6" xfId="20098"/>
    <cellStyle name="Calculation 2 4 2 5 2 2 7" xfId="21107"/>
    <cellStyle name="Calculation 2 4 2 5 2 2 8" xfId="22081"/>
    <cellStyle name="Calculation 2 4 2 5 2 2 9" xfId="23086"/>
    <cellStyle name="Calculation 2 4 2 5 2 20" xfId="35634"/>
    <cellStyle name="Calculation 2 4 2 5 2 21" xfId="36573"/>
    <cellStyle name="Calculation 2 4 2 5 2 3" xfId="16037"/>
    <cellStyle name="Calculation 2 4 2 5 2 4" xfId="17015"/>
    <cellStyle name="Calculation 2 4 2 5 2 5" xfId="18043"/>
    <cellStyle name="Calculation 2 4 2 5 2 6" xfId="19075"/>
    <cellStyle name="Calculation 2 4 2 5 2 7" xfId="20097"/>
    <cellStyle name="Calculation 2 4 2 5 2 8" xfId="21106"/>
    <cellStyle name="Calculation 2 4 2 5 2 9" xfId="22080"/>
    <cellStyle name="Calculation 2 4 2 5 3" xfId="756"/>
    <cellStyle name="Calculation 2 4 2 5 3 10" xfId="23087"/>
    <cellStyle name="Calculation 2 4 2 5 3 11" xfId="24059"/>
    <cellStyle name="Calculation 2 4 2 5 3 12" xfId="25058"/>
    <cellStyle name="Calculation 2 4 2 5 3 13" xfId="28003"/>
    <cellStyle name="Calculation 2 4 2 5 3 14" xfId="28972"/>
    <cellStyle name="Calculation 2 4 2 5 3 15" xfId="30011"/>
    <cellStyle name="Calculation 2 4 2 5 3 16" xfId="31004"/>
    <cellStyle name="Calculation 2 4 2 5 3 17" xfId="32013"/>
    <cellStyle name="Calculation 2 4 2 5 3 18" xfId="33016"/>
    <cellStyle name="Calculation 2 4 2 5 3 19" xfId="34015"/>
    <cellStyle name="Calculation 2 4 2 5 3 2" xfId="757"/>
    <cellStyle name="Calculation 2 4 2 5 3 2 10" xfId="24060"/>
    <cellStyle name="Calculation 2 4 2 5 3 2 11" xfId="25059"/>
    <cellStyle name="Calculation 2 4 2 5 3 2 12" xfId="28004"/>
    <cellStyle name="Calculation 2 4 2 5 3 2 13" xfId="28973"/>
    <cellStyle name="Calculation 2 4 2 5 3 2 14" xfId="30012"/>
    <cellStyle name="Calculation 2 4 2 5 3 2 15" xfId="31005"/>
    <cellStyle name="Calculation 2 4 2 5 3 2 16" xfId="32014"/>
    <cellStyle name="Calculation 2 4 2 5 3 2 17" xfId="33017"/>
    <cellStyle name="Calculation 2 4 2 5 3 2 18" xfId="34016"/>
    <cellStyle name="Calculation 2 4 2 5 3 2 19" xfId="35637"/>
    <cellStyle name="Calculation 2 4 2 5 3 2 2" xfId="16040"/>
    <cellStyle name="Calculation 2 4 2 5 3 2 20" xfId="36576"/>
    <cellStyle name="Calculation 2 4 2 5 3 2 3" xfId="17018"/>
    <cellStyle name="Calculation 2 4 2 5 3 2 4" xfId="18046"/>
    <cellStyle name="Calculation 2 4 2 5 3 2 5" xfId="19078"/>
    <cellStyle name="Calculation 2 4 2 5 3 2 6" xfId="20100"/>
    <cellStyle name="Calculation 2 4 2 5 3 2 7" xfId="21109"/>
    <cellStyle name="Calculation 2 4 2 5 3 2 8" xfId="22083"/>
    <cellStyle name="Calculation 2 4 2 5 3 2 9" xfId="23088"/>
    <cellStyle name="Calculation 2 4 2 5 3 20" xfId="35636"/>
    <cellStyle name="Calculation 2 4 2 5 3 21" xfId="36575"/>
    <cellStyle name="Calculation 2 4 2 5 3 3" xfId="16039"/>
    <cellStyle name="Calculation 2 4 2 5 3 4" xfId="17017"/>
    <cellStyle name="Calculation 2 4 2 5 3 5" xfId="18045"/>
    <cellStyle name="Calculation 2 4 2 5 3 6" xfId="19077"/>
    <cellStyle name="Calculation 2 4 2 5 3 7" xfId="20099"/>
    <cellStyle name="Calculation 2 4 2 5 3 8" xfId="21108"/>
    <cellStyle name="Calculation 2 4 2 5 3 9" xfId="22082"/>
    <cellStyle name="Calculation 2 4 2 5 4" xfId="758"/>
    <cellStyle name="Calculation 2 4 2 5 4 10" xfId="23089"/>
    <cellStyle name="Calculation 2 4 2 5 4 11" xfId="24061"/>
    <cellStyle name="Calculation 2 4 2 5 4 12" xfId="25060"/>
    <cellStyle name="Calculation 2 4 2 5 4 13" xfId="28005"/>
    <cellStyle name="Calculation 2 4 2 5 4 14" xfId="28974"/>
    <cellStyle name="Calculation 2 4 2 5 4 15" xfId="30013"/>
    <cellStyle name="Calculation 2 4 2 5 4 16" xfId="31006"/>
    <cellStyle name="Calculation 2 4 2 5 4 17" xfId="32015"/>
    <cellStyle name="Calculation 2 4 2 5 4 18" xfId="33018"/>
    <cellStyle name="Calculation 2 4 2 5 4 19" xfId="34017"/>
    <cellStyle name="Calculation 2 4 2 5 4 2" xfId="759"/>
    <cellStyle name="Calculation 2 4 2 5 4 2 10" xfId="24062"/>
    <cellStyle name="Calculation 2 4 2 5 4 2 11" xfId="25061"/>
    <cellStyle name="Calculation 2 4 2 5 4 2 12" xfId="28006"/>
    <cellStyle name="Calculation 2 4 2 5 4 2 13" xfId="28975"/>
    <cellStyle name="Calculation 2 4 2 5 4 2 14" xfId="30014"/>
    <cellStyle name="Calculation 2 4 2 5 4 2 15" xfId="31007"/>
    <cellStyle name="Calculation 2 4 2 5 4 2 16" xfId="32016"/>
    <cellStyle name="Calculation 2 4 2 5 4 2 17" xfId="33019"/>
    <cellStyle name="Calculation 2 4 2 5 4 2 18" xfId="34018"/>
    <cellStyle name="Calculation 2 4 2 5 4 2 19" xfId="35639"/>
    <cellStyle name="Calculation 2 4 2 5 4 2 2" xfId="16042"/>
    <cellStyle name="Calculation 2 4 2 5 4 2 20" xfId="36578"/>
    <cellStyle name="Calculation 2 4 2 5 4 2 3" xfId="17020"/>
    <cellStyle name="Calculation 2 4 2 5 4 2 4" xfId="18048"/>
    <cellStyle name="Calculation 2 4 2 5 4 2 5" xfId="19080"/>
    <cellStyle name="Calculation 2 4 2 5 4 2 6" xfId="20102"/>
    <cellStyle name="Calculation 2 4 2 5 4 2 7" xfId="21111"/>
    <cellStyle name="Calculation 2 4 2 5 4 2 8" xfId="22085"/>
    <cellStyle name="Calculation 2 4 2 5 4 2 9" xfId="23090"/>
    <cellStyle name="Calculation 2 4 2 5 4 20" xfId="35638"/>
    <cellStyle name="Calculation 2 4 2 5 4 21" xfId="36577"/>
    <cellStyle name="Calculation 2 4 2 5 4 3" xfId="16041"/>
    <cellStyle name="Calculation 2 4 2 5 4 4" xfId="17019"/>
    <cellStyle name="Calculation 2 4 2 5 4 5" xfId="18047"/>
    <cellStyle name="Calculation 2 4 2 5 4 6" xfId="19079"/>
    <cellStyle name="Calculation 2 4 2 5 4 7" xfId="20101"/>
    <cellStyle name="Calculation 2 4 2 5 4 8" xfId="21110"/>
    <cellStyle name="Calculation 2 4 2 5 4 9" xfId="22084"/>
    <cellStyle name="Calculation 2 4 2 5 5" xfId="760"/>
    <cellStyle name="Calculation 2 4 2 5 5 10" xfId="24063"/>
    <cellStyle name="Calculation 2 4 2 5 5 11" xfId="25062"/>
    <cellStyle name="Calculation 2 4 2 5 5 12" xfId="28007"/>
    <cellStyle name="Calculation 2 4 2 5 5 13" xfId="28976"/>
    <cellStyle name="Calculation 2 4 2 5 5 14" xfId="30015"/>
    <cellStyle name="Calculation 2 4 2 5 5 15" xfId="31008"/>
    <cellStyle name="Calculation 2 4 2 5 5 16" xfId="32017"/>
    <cellStyle name="Calculation 2 4 2 5 5 17" xfId="33020"/>
    <cellStyle name="Calculation 2 4 2 5 5 18" xfId="34019"/>
    <cellStyle name="Calculation 2 4 2 5 5 19" xfId="35640"/>
    <cellStyle name="Calculation 2 4 2 5 5 2" xfId="16043"/>
    <cellStyle name="Calculation 2 4 2 5 5 20" xfId="36579"/>
    <cellStyle name="Calculation 2 4 2 5 5 3" xfId="17021"/>
    <cellStyle name="Calculation 2 4 2 5 5 4" xfId="18049"/>
    <cellStyle name="Calculation 2 4 2 5 5 5" xfId="19081"/>
    <cellStyle name="Calculation 2 4 2 5 5 6" xfId="20103"/>
    <cellStyle name="Calculation 2 4 2 5 5 7" xfId="21112"/>
    <cellStyle name="Calculation 2 4 2 5 5 8" xfId="22086"/>
    <cellStyle name="Calculation 2 4 2 5 5 9" xfId="23091"/>
    <cellStyle name="Calculation 2 4 2 5 6" xfId="14428"/>
    <cellStyle name="Calculation 2 4 2 5 7" xfId="14389"/>
    <cellStyle name="Calculation 2 4 2 5 8" xfId="15814"/>
    <cellStyle name="Calculation 2 4 2 5 9" xfId="14513"/>
    <cellStyle name="Calculation 2 4 2 6" xfId="761"/>
    <cellStyle name="Calculation 2 4 2 6 10" xfId="23092"/>
    <cellStyle name="Calculation 2 4 2 6 11" xfId="24064"/>
    <cellStyle name="Calculation 2 4 2 6 12" xfId="25063"/>
    <cellStyle name="Calculation 2 4 2 6 13" xfId="28008"/>
    <cellStyle name="Calculation 2 4 2 6 14" xfId="28977"/>
    <cellStyle name="Calculation 2 4 2 6 15" xfId="30016"/>
    <cellStyle name="Calculation 2 4 2 6 16" xfId="31009"/>
    <cellStyle name="Calculation 2 4 2 6 17" xfId="32018"/>
    <cellStyle name="Calculation 2 4 2 6 18" xfId="33021"/>
    <cellStyle name="Calculation 2 4 2 6 19" xfId="34020"/>
    <cellStyle name="Calculation 2 4 2 6 2" xfId="762"/>
    <cellStyle name="Calculation 2 4 2 6 2 10" xfId="24065"/>
    <cellStyle name="Calculation 2 4 2 6 2 11" xfId="25064"/>
    <cellStyle name="Calculation 2 4 2 6 2 12" xfId="28009"/>
    <cellStyle name="Calculation 2 4 2 6 2 13" xfId="28978"/>
    <cellStyle name="Calculation 2 4 2 6 2 14" xfId="30017"/>
    <cellStyle name="Calculation 2 4 2 6 2 15" xfId="31010"/>
    <cellStyle name="Calculation 2 4 2 6 2 16" xfId="32019"/>
    <cellStyle name="Calculation 2 4 2 6 2 17" xfId="33022"/>
    <cellStyle name="Calculation 2 4 2 6 2 18" xfId="34021"/>
    <cellStyle name="Calculation 2 4 2 6 2 19" xfId="35642"/>
    <cellStyle name="Calculation 2 4 2 6 2 2" xfId="16045"/>
    <cellStyle name="Calculation 2 4 2 6 2 20" xfId="36581"/>
    <cellStyle name="Calculation 2 4 2 6 2 3" xfId="17023"/>
    <cellStyle name="Calculation 2 4 2 6 2 4" xfId="18051"/>
    <cellStyle name="Calculation 2 4 2 6 2 5" xfId="19083"/>
    <cellStyle name="Calculation 2 4 2 6 2 6" xfId="20105"/>
    <cellStyle name="Calculation 2 4 2 6 2 7" xfId="21114"/>
    <cellStyle name="Calculation 2 4 2 6 2 8" xfId="22088"/>
    <cellStyle name="Calculation 2 4 2 6 2 9" xfId="23093"/>
    <cellStyle name="Calculation 2 4 2 6 20" xfId="35641"/>
    <cellStyle name="Calculation 2 4 2 6 21" xfId="36580"/>
    <cellStyle name="Calculation 2 4 2 6 3" xfId="16044"/>
    <cellStyle name="Calculation 2 4 2 6 4" xfId="17022"/>
    <cellStyle name="Calculation 2 4 2 6 5" xfId="18050"/>
    <cellStyle name="Calculation 2 4 2 6 6" xfId="19082"/>
    <cellStyle name="Calculation 2 4 2 6 7" xfId="20104"/>
    <cellStyle name="Calculation 2 4 2 6 8" xfId="21113"/>
    <cellStyle name="Calculation 2 4 2 6 9" xfId="22087"/>
    <cellStyle name="Calculation 2 4 2 7" xfId="763"/>
    <cellStyle name="Calculation 2 4 2 7 10" xfId="23094"/>
    <cellStyle name="Calculation 2 4 2 7 11" xfId="24066"/>
    <cellStyle name="Calculation 2 4 2 7 12" xfId="25065"/>
    <cellStyle name="Calculation 2 4 2 7 13" xfId="28010"/>
    <cellStyle name="Calculation 2 4 2 7 14" xfId="28979"/>
    <cellStyle name="Calculation 2 4 2 7 15" xfId="30018"/>
    <cellStyle name="Calculation 2 4 2 7 16" xfId="31011"/>
    <cellStyle name="Calculation 2 4 2 7 17" xfId="32020"/>
    <cellStyle name="Calculation 2 4 2 7 18" xfId="33023"/>
    <cellStyle name="Calculation 2 4 2 7 19" xfId="34022"/>
    <cellStyle name="Calculation 2 4 2 7 2" xfId="764"/>
    <cellStyle name="Calculation 2 4 2 7 2 10" xfId="24067"/>
    <cellStyle name="Calculation 2 4 2 7 2 11" xfId="25066"/>
    <cellStyle name="Calculation 2 4 2 7 2 12" xfId="28011"/>
    <cellStyle name="Calculation 2 4 2 7 2 13" xfId="28980"/>
    <cellStyle name="Calculation 2 4 2 7 2 14" xfId="30019"/>
    <cellStyle name="Calculation 2 4 2 7 2 15" xfId="31012"/>
    <cellStyle name="Calculation 2 4 2 7 2 16" xfId="32021"/>
    <cellStyle name="Calculation 2 4 2 7 2 17" xfId="33024"/>
    <cellStyle name="Calculation 2 4 2 7 2 18" xfId="34023"/>
    <cellStyle name="Calculation 2 4 2 7 2 19" xfId="35644"/>
    <cellStyle name="Calculation 2 4 2 7 2 2" xfId="16047"/>
    <cellStyle name="Calculation 2 4 2 7 2 20" xfId="36583"/>
    <cellStyle name="Calculation 2 4 2 7 2 3" xfId="17025"/>
    <cellStyle name="Calculation 2 4 2 7 2 4" xfId="18053"/>
    <cellStyle name="Calculation 2 4 2 7 2 5" xfId="19085"/>
    <cellStyle name="Calculation 2 4 2 7 2 6" xfId="20107"/>
    <cellStyle name="Calculation 2 4 2 7 2 7" xfId="21116"/>
    <cellStyle name="Calculation 2 4 2 7 2 8" xfId="22090"/>
    <cellStyle name="Calculation 2 4 2 7 2 9" xfId="23095"/>
    <cellStyle name="Calculation 2 4 2 7 20" xfId="35643"/>
    <cellStyle name="Calculation 2 4 2 7 21" xfId="36582"/>
    <cellStyle name="Calculation 2 4 2 7 3" xfId="16046"/>
    <cellStyle name="Calculation 2 4 2 7 4" xfId="17024"/>
    <cellStyle name="Calculation 2 4 2 7 5" xfId="18052"/>
    <cellStyle name="Calculation 2 4 2 7 6" xfId="19084"/>
    <cellStyle name="Calculation 2 4 2 7 7" xfId="20106"/>
    <cellStyle name="Calculation 2 4 2 7 8" xfId="21115"/>
    <cellStyle name="Calculation 2 4 2 7 9" xfId="22089"/>
    <cellStyle name="Calculation 2 4 2 8" xfId="765"/>
    <cellStyle name="Calculation 2 4 2 8 10" xfId="23096"/>
    <cellStyle name="Calculation 2 4 2 8 11" xfId="24068"/>
    <cellStyle name="Calculation 2 4 2 8 12" xfId="25067"/>
    <cellStyle name="Calculation 2 4 2 8 13" xfId="28012"/>
    <cellStyle name="Calculation 2 4 2 8 14" xfId="28981"/>
    <cellStyle name="Calculation 2 4 2 8 15" xfId="30020"/>
    <cellStyle name="Calculation 2 4 2 8 16" xfId="31013"/>
    <cellStyle name="Calculation 2 4 2 8 17" xfId="32022"/>
    <cellStyle name="Calculation 2 4 2 8 18" xfId="33025"/>
    <cellStyle name="Calculation 2 4 2 8 19" xfId="34024"/>
    <cellStyle name="Calculation 2 4 2 8 2" xfId="766"/>
    <cellStyle name="Calculation 2 4 2 8 2 10" xfId="24069"/>
    <cellStyle name="Calculation 2 4 2 8 2 11" xfId="25068"/>
    <cellStyle name="Calculation 2 4 2 8 2 12" xfId="28013"/>
    <cellStyle name="Calculation 2 4 2 8 2 13" xfId="28982"/>
    <cellStyle name="Calculation 2 4 2 8 2 14" xfId="30021"/>
    <cellStyle name="Calculation 2 4 2 8 2 15" xfId="31014"/>
    <cellStyle name="Calculation 2 4 2 8 2 16" xfId="32023"/>
    <cellStyle name="Calculation 2 4 2 8 2 17" xfId="33026"/>
    <cellStyle name="Calculation 2 4 2 8 2 18" xfId="34025"/>
    <cellStyle name="Calculation 2 4 2 8 2 19" xfId="35646"/>
    <cellStyle name="Calculation 2 4 2 8 2 2" xfId="16049"/>
    <cellStyle name="Calculation 2 4 2 8 2 20" xfId="36585"/>
    <cellStyle name="Calculation 2 4 2 8 2 3" xfId="17027"/>
    <cellStyle name="Calculation 2 4 2 8 2 4" xfId="18055"/>
    <cellStyle name="Calculation 2 4 2 8 2 5" xfId="19087"/>
    <cellStyle name="Calculation 2 4 2 8 2 6" xfId="20109"/>
    <cellStyle name="Calculation 2 4 2 8 2 7" xfId="21118"/>
    <cellStyle name="Calculation 2 4 2 8 2 8" xfId="22092"/>
    <cellStyle name="Calculation 2 4 2 8 2 9" xfId="23097"/>
    <cellStyle name="Calculation 2 4 2 8 20" xfId="35645"/>
    <cellStyle name="Calculation 2 4 2 8 21" xfId="36584"/>
    <cellStyle name="Calculation 2 4 2 8 3" xfId="16048"/>
    <cellStyle name="Calculation 2 4 2 8 4" xfId="17026"/>
    <cellStyle name="Calculation 2 4 2 8 5" xfId="18054"/>
    <cellStyle name="Calculation 2 4 2 8 6" xfId="19086"/>
    <cellStyle name="Calculation 2 4 2 8 7" xfId="20108"/>
    <cellStyle name="Calculation 2 4 2 8 8" xfId="21117"/>
    <cellStyle name="Calculation 2 4 2 8 9" xfId="22091"/>
    <cellStyle name="Calculation 2 4 2 9" xfId="767"/>
    <cellStyle name="Calculation 2 4 2 9 10" xfId="24070"/>
    <cellStyle name="Calculation 2 4 2 9 11" xfId="25069"/>
    <cellStyle name="Calculation 2 4 2 9 12" xfId="28014"/>
    <cellStyle name="Calculation 2 4 2 9 13" xfId="28983"/>
    <cellStyle name="Calculation 2 4 2 9 14" xfId="30022"/>
    <cellStyle name="Calculation 2 4 2 9 15" xfId="31015"/>
    <cellStyle name="Calculation 2 4 2 9 16" xfId="32024"/>
    <cellStyle name="Calculation 2 4 2 9 17" xfId="33027"/>
    <cellStyle name="Calculation 2 4 2 9 18" xfId="34026"/>
    <cellStyle name="Calculation 2 4 2 9 19" xfId="35647"/>
    <cellStyle name="Calculation 2 4 2 9 2" xfId="16050"/>
    <cellStyle name="Calculation 2 4 2 9 20" xfId="36586"/>
    <cellStyle name="Calculation 2 4 2 9 3" xfId="17028"/>
    <cellStyle name="Calculation 2 4 2 9 4" xfId="18056"/>
    <cellStyle name="Calculation 2 4 2 9 5" xfId="19088"/>
    <cellStyle name="Calculation 2 4 2 9 6" xfId="20110"/>
    <cellStyle name="Calculation 2 4 2 9 7" xfId="21119"/>
    <cellStyle name="Calculation 2 4 2 9 8" xfId="22093"/>
    <cellStyle name="Calculation 2 4 2 9 9" xfId="23098"/>
    <cellStyle name="Calculation 2 4 20" xfId="34853"/>
    <cellStyle name="Calculation 2 4 21" xfId="34874"/>
    <cellStyle name="Calculation 2 4 22" xfId="35484"/>
    <cellStyle name="Calculation 2 4 23" xfId="37471"/>
    <cellStyle name="Calculation 2 4 3" xfId="768"/>
    <cellStyle name="Calculation 2 4 3 10" xfId="14397"/>
    <cellStyle name="Calculation 2 4 3 11" xfId="15115"/>
    <cellStyle name="Calculation 2 4 3 12" xfId="13870"/>
    <cellStyle name="Calculation 2 4 3 13" xfId="14676"/>
    <cellStyle name="Calculation 2 4 3 14" xfId="14232"/>
    <cellStyle name="Calculation 2 4 3 15" xfId="15068"/>
    <cellStyle name="Calculation 2 4 3 16" xfId="26508"/>
    <cellStyle name="Calculation 2 4 3 17" xfId="27051"/>
    <cellStyle name="Calculation 2 4 3 18" xfId="26193"/>
    <cellStyle name="Calculation 2 4 3 19" xfId="27575"/>
    <cellStyle name="Calculation 2 4 3 2" xfId="769"/>
    <cellStyle name="Calculation 2 4 3 2 10" xfId="23099"/>
    <cellStyle name="Calculation 2 4 3 2 11" xfId="24071"/>
    <cellStyle name="Calculation 2 4 3 2 12" xfId="25070"/>
    <cellStyle name="Calculation 2 4 3 2 13" xfId="28015"/>
    <cellStyle name="Calculation 2 4 3 2 14" xfId="28984"/>
    <cellStyle name="Calculation 2 4 3 2 15" xfId="30023"/>
    <cellStyle name="Calculation 2 4 3 2 16" xfId="31016"/>
    <cellStyle name="Calculation 2 4 3 2 17" xfId="32025"/>
    <cellStyle name="Calculation 2 4 3 2 18" xfId="33028"/>
    <cellStyle name="Calculation 2 4 3 2 19" xfId="34027"/>
    <cellStyle name="Calculation 2 4 3 2 2" xfId="770"/>
    <cellStyle name="Calculation 2 4 3 2 2 10" xfId="24072"/>
    <cellStyle name="Calculation 2 4 3 2 2 11" xfId="25071"/>
    <cellStyle name="Calculation 2 4 3 2 2 12" xfId="28016"/>
    <cellStyle name="Calculation 2 4 3 2 2 13" xfId="28985"/>
    <cellStyle name="Calculation 2 4 3 2 2 14" xfId="30024"/>
    <cellStyle name="Calculation 2 4 3 2 2 15" xfId="31017"/>
    <cellStyle name="Calculation 2 4 3 2 2 16" xfId="32026"/>
    <cellStyle name="Calculation 2 4 3 2 2 17" xfId="33029"/>
    <cellStyle name="Calculation 2 4 3 2 2 18" xfId="34028"/>
    <cellStyle name="Calculation 2 4 3 2 2 19" xfId="35649"/>
    <cellStyle name="Calculation 2 4 3 2 2 2" xfId="16052"/>
    <cellStyle name="Calculation 2 4 3 2 2 20" xfId="36588"/>
    <cellStyle name="Calculation 2 4 3 2 2 3" xfId="17030"/>
    <cellStyle name="Calculation 2 4 3 2 2 4" xfId="18058"/>
    <cellStyle name="Calculation 2 4 3 2 2 5" xfId="19090"/>
    <cellStyle name="Calculation 2 4 3 2 2 6" xfId="20112"/>
    <cellStyle name="Calculation 2 4 3 2 2 7" xfId="21121"/>
    <cellStyle name="Calculation 2 4 3 2 2 8" xfId="22095"/>
    <cellStyle name="Calculation 2 4 3 2 2 9" xfId="23100"/>
    <cellStyle name="Calculation 2 4 3 2 20" xfId="35648"/>
    <cellStyle name="Calculation 2 4 3 2 21" xfId="36587"/>
    <cellStyle name="Calculation 2 4 3 2 3" xfId="16051"/>
    <cellStyle name="Calculation 2 4 3 2 4" xfId="17029"/>
    <cellStyle name="Calculation 2 4 3 2 5" xfId="18057"/>
    <cellStyle name="Calculation 2 4 3 2 6" xfId="19089"/>
    <cellStyle name="Calculation 2 4 3 2 7" xfId="20111"/>
    <cellStyle name="Calculation 2 4 3 2 8" xfId="21120"/>
    <cellStyle name="Calculation 2 4 3 2 9" xfId="22094"/>
    <cellStyle name="Calculation 2 4 3 20" xfId="27041"/>
    <cellStyle name="Calculation 2 4 3 21" xfId="27419"/>
    <cellStyle name="Calculation 2 4 3 22" xfId="26658"/>
    <cellStyle name="Calculation 2 4 3 23" xfId="35179"/>
    <cellStyle name="Calculation 2 4 3 24" xfId="35207"/>
    <cellStyle name="Calculation 2 4 3 3" xfId="771"/>
    <cellStyle name="Calculation 2 4 3 3 10" xfId="23101"/>
    <cellStyle name="Calculation 2 4 3 3 11" xfId="24073"/>
    <cellStyle name="Calculation 2 4 3 3 12" xfId="25072"/>
    <cellStyle name="Calculation 2 4 3 3 13" xfId="28017"/>
    <cellStyle name="Calculation 2 4 3 3 14" xfId="28986"/>
    <cellStyle name="Calculation 2 4 3 3 15" xfId="30025"/>
    <cellStyle name="Calculation 2 4 3 3 16" xfId="31018"/>
    <cellStyle name="Calculation 2 4 3 3 17" xfId="32027"/>
    <cellStyle name="Calculation 2 4 3 3 18" xfId="33030"/>
    <cellStyle name="Calculation 2 4 3 3 19" xfId="34029"/>
    <cellStyle name="Calculation 2 4 3 3 2" xfId="772"/>
    <cellStyle name="Calculation 2 4 3 3 2 10" xfId="24074"/>
    <cellStyle name="Calculation 2 4 3 3 2 11" xfId="25073"/>
    <cellStyle name="Calculation 2 4 3 3 2 12" xfId="28018"/>
    <cellStyle name="Calculation 2 4 3 3 2 13" xfId="28987"/>
    <cellStyle name="Calculation 2 4 3 3 2 14" xfId="30026"/>
    <cellStyle name="Calculation 2 4 3 3 2 15" xfId="31019"/>
    <cellStyle name="Calculation 2 4 3 3 2 16" xfId="32028"/>
    <cellStyle name="Calculation 2 4 3 3 2 17" xfId="33031"/>
    <cellStyle name="Calculation 2 4 3 3 2 18" xfId="34030"/>
    <cellStyle name="Calculation 2 4 3 3 2 19" xfId="35651"/>
    <cellStyle name="Calculation 2 4 3 3 2 2" xfId="16054"/>
    <cellStyle name="Calculation 2 4 3 3 2 20" xfId="36590"/>
    <cellStyle name="Calculation 2 4 3 3 2 3" xfId="17032"/>
    <cellStyle name="Calculation 2 4 3 3 2 4" xfId="18060"/>
    <cellStyle name="Calculation 2 4 3 3 2 5" xfId="19092"/>
    <cellStyle name="Calculation 2 4 3 3 2 6" xfId="20114"/>
    <cellStyle name="Calculation 2 4 3 3 2 7" xfId="21123"/>
    <cellStyle name="Calculation 2 4 3 3 2 8" xfId="22097"/>
    <cellStyle name="Calculation 2 4 3 3 2 9" xfId="23102"/>
    <cellStyle name="Calculation 2 4 3 3 20" xfId="35650"/>
    <cellStyle name="Calculation 2 4 3 3 21" xfId="36589"/>
    <cellStyle name="Calculation 2 4 3 3 3" xfId="16053"/>
    <cellStyle name="Calculation 2 4 3 3 4" xfId="17031"/>
    <cellStyle name="Calculation 2 4 3 3 5" xfId="18059"/>
    <cellStyle name="Calculation 2 4 3 3 6" xfId="19091"/>
    <cellStyle name="Calculation 2 4 3 3 7" xfId="20113"/>
    <cellStyle name="Calculation 2 4 3 3 8" xfId="21122"/>
    <cellStyle name="Calculation 2 4 3 3 9" xfId="22096"/>
    <cellStyle name="Calculation 2 4 3 4" xfId="773"/>
    <cellStyle name="Calculation 2 4 3 4 10" xfId="23103"/>
    <cellStyle name="Calculation 2 4 3 4 11" xfId="24075"/>
    <cellStyle name="Calculation 2 4 3 4 12" xfId="25074"/>
    <cellStyle name="Calculation 2 4 3 4 13" xfId="28019"/>
    <cellStyle name="Calculation 2 4 3 4 14" xfId="28988"/>
    <cellStyle name="Calculation 2 4 3 4 15" xfId="30027"/>
    <cellStyle name="Calculation 2 4 3 4 16" xfId="31020"/>
    <cellStyle name="Calculation 2 4 3 4 17" xfId="32029"/>
    <cellStyle name="Calculation 2 4 3 4 18" xfId="33032"/>
    <cellStyle name="Calculation 2 4 3 4 19" xfId="34031"/>
    <cellStyle name="Calculation 2 4 3 4 2" xfId="774"/>
    <cellStyle name="Calculation 2 4 3 4 2 10" xfId="24076"/>
    <cellStyle name="Calculation 2 4 3 4 2 11" xfId="25075"/>
    <cellStyle name="Calculation 2 4 3 4 2 12" xfId="28020"/>
    <cellStyle name="Calculation 2 4 3 4 2 13" xfId="28989"/>
    <cellStyle name="Calculation 2 4 3 4 2 14" xfId="30028"/>
    <cellStyle name="Calculation 2 4 3 4 2 15" xfId="31021"/>
    <cellStyle name="Calculation 2 4 3 4 2 16" xfId="32030"/>
    <cellStyle name="Calculation 2 4 3 4 2 17" xfId="33033"/>
    <cellStyle name="Calculation 2 4 3 4 2 18" xfId="34032"/>
    <cellStyle name="Calculation 2 4 3 4 2 19" xfId="35653"/>
    <cellStyle name="Calculation 2 4 3 4 2 2" xfId="16056"/>
    <cellStyle name="Calculation 2 4 3 4 2 20" xfId="36592"/>
    <cellStyle name="Calculation 2 4 3 4 2 3" xfId="17034"/>
    <cellStyle name="Calculation 2 4 3 4 2 4" xfId="18062"/>
    <cellStyle name="Calculation 2 4 3 4 2 5" xfId="19094"/>
    <cellStyle name="Calculation 2 4 3 4 2 6" xfId="20116"/>
    <cellStyle name="Calculation 2 4 3 4 2 7" xfId="21125"/>
    <cellStyle name="Calculation 2 4 3 4 2 8" xfId="22099"/>
    <cellStyle name="Calculation 2 4 3 4 2 9" xfId="23104"/>
    <cellStyle name="Calculation 2 4 3 4 20" xfId="35652"/>
    <cellStyle name="Calculation 2 4 3 4 21" xfId="36591"/>
    <cellStyle name="Calculation 2 4 3 4 3" xfId="16055"/>
    <cellStyle name="Calculation 2 4 3 4 4" xfId="17033"/>
    <cellStyle name="Calculation 2 4 3 4 5" xfId="18061"/>
    <cellStyle name="Calculation 2 4 3 4 6" xfId="19093"/>
    <cellStyle name="Calculation 2 4 3 4 7" xfId="20115"/>
    <cellStyle name="Calculation 2 4 3 4 8" xfId="21124"/>
    <cellStyle name="Calculation 2 4 3 4 9" xfId="22098"/>
    <cellStyle name="Calculation 2 4 3 5" xfId="775"/>
    <cellStyle name="Calculation 2 4 3 5 10" xfId="24077"/>
    <cellStyle name="Calculation 2 4 3 5 11" xfId="25076"/>
    <cellStyle name="Calculation 2 4 3 5 12" xfId="28021"/>
    <cellStyle name="Calculation 2 4 3 5 13" xfId="28990"/>
    <cellStyle name="Calculation 2 4 3 5 14" xfId="30029"/>
    <cellStyle name="Calculation 2 4 3 5 15" xfId="31022"/>
    <cellStyle name="Calculation 2 4 3 5 16" xfId="32031"/>
    <cellStyle name="Calculation 2 4 3 5 17" xfId="33034"/>
    <cellStyle name="Calculation 2 4 3 5 18" xfId="34033"/>
    <cellStyle name="Calculation 2 4 3 5 19" xfId="35654"/>
    <cellStyle name="Calculation 2 4 3 5 2" xfId="16057"/>
    <cellStyle name="Calculation 2 4 3 5 20" xfId="36593"/>
    <cellStyle name="Calculation 2 4 3 5 3" xfId="17035"/>
    <cellStyle name="Calculation 2 4 3 5 4" xfId="18063"/>
    <cellStyle name="Calculation 2 4 3 5 5" xfId="19095"/>
    <cellStyle name="Calculation 2 4 3 5 6" xfId="20117"/>
    <cellStyle name="Calculation 2 4 3 5 7" xfId="21126"/>
    <cellStyle name="Calculation 2 4 3 5 8" xfId="22100"/>
    <cellStyle name="Calculation 2 4 3 5 9" xfId="23105"/>
    <cellStyle name="Calculation 2 4 3 6" xfId="13947"/>
    <cellStyle name="Calculation 2 4 3 7" xfId="15648"/>
    <cellStyle name="Calculation 2 4 3 8" xfId="14444"/>
    <cellStyle name="Calculation 2 4 3 9" xfId="13620"/>
    <cellStyle name="Calculation 2 4 4" xfId="776"/>
    <cellStyle name="Calculation 2 4 4 10" xfId="23106"/>
    <cellStyle name="Calculation 2 4 4 11" xfId="24078"/>
    <cellStyle name="Calculation 2 4 4 12" xfId="25077"/>
    <cellStyle name="Calculation 2 4 4 13" xfId="28022"/>
    <cellStyle name="Calculation 2 4 4 14" xfId="28991"/>
    <cellStyle name="Calculation 2 4 4 15" xfId="30030"/>
    <cellStyle name="Calculation 2 4 4 16" xfId="31023"/>
    <cellStyle name="Calculation 2 4 4 17" xfId="32032"/>
    <cellStyle name="Calculation 2 4 4 18" xfId="33035"/>
    <cellStyle name="Calculation 2 4 4 19" xfId="34034"/>
    <cellStyle name="Calculation 2 4 4 2" xfId="777"/>
    <cellStyle name="Calculation 2 4 4 2 10" xfId="24079"/>
    <cellStyle name="Calculation 2 4 4 2 11" xfId="25078"/>
    <cellStyle name="Calculation 2 4 4 2 12" xfId="28023"/>
    <cellStyle name="Calculation 2 4 4 2 13" xfId="28992"/>
    <cellStyle name="Calculation 2 4 4 2 14" xfId="30031"/>
    <cellStyle name="Calculation 2 4 4 2 15" xfId="31024"/>
    <cellStyle name="Calculation 2 4 4 2 16" xfId="32033"/>
    <cellStyle name="Calculation 2 4 4 2 17" xfId="33036"/>
    <cellStyle name="Calculation 2 4 4 2 18" xfId="34035"/>
    <cellStyle name="Calculation 2 4 4 2 19" xfId="35656"/>
    <cellStyle name="Calculation 2 4 4 2 2" xfId="16059"/>
    <cellStyle name="Calculation 2 4 4 2 20" xfId="36595"/>
    <cellStyle name="Calculation 2 4 4 2 3" xfId="17037"/>
    <cellStyle name="Calculation 2 4 4 2 4" xfId="18065"/>
    <cellStyle name="Calculation 2 4 4 2 5" xfId="19097"/>
    <cellStyle name="Calculation 2 4 4 2 6" xfId="20119"/>
    <cellStyle name="Calculation 2 4 4 2 7" xfId="21128"/>
    <cellStyle name="Calculation 2 4 4 2 8" xfId="22102"/>
    <cellStyle name="Calculation 2 4 4 2 9" xfId="23107"/>
    <cellStyle name="Calculation 2 4 4 20" xfId="35655"/>
    <cellStyle name="Calculation 2 4 4 21" xfId="36594"/>
    <cellStyle name="Calculation 2 4 4 3" xfId="16058"/>
    <cellStyle name="Calculation 2 4 4 4" xfId="17036"/>
    <cellStyle name="Calculation 2 4 4 5" xfId="18064"/>
    <cellStyle name="Calculation 2 4 4 6" xfId="19096"/>
    <cellStyle name="Calculation 2 4 4 7" xfId="20118"/>
    <cellStyle name="Calculation 2 4 4 8" xfId="21127"/>
    <cellStyle name="Calculation 2 4 4 9" xfId="22101"/>
    <cellStyle name="Calculation 2 4 5" xfId="778"/>
    <cellStyle name="Calculation 2 4 5 10" xfId="23108"/>
    <cellStyle name="Calculation 2 4 5 11" xfId="24080"/>
    <cellStyle name="Calculation 2 4 5 12" xfId="25079"/>
    <cellStyle name="Calculation 2 4 5 13" xfId="28024"/>
    <cellStyle name="Calculation 2 4 5 14" xfId="28993"/>
    <cellStyle name="Calculation 2 4 5 15" xfId="30032"/>
    <cellStyle name="Calculation 2 4 5 16" xfId="31025"/>
    <cellStyle name="Calculation 2 4 5 17" xfId="32034"/>
    <cellStyle name="Calculation 2 4 5 18" xfId="33037"/>
    <cellStyle name="Calculation 2 4 5 19" xfId="34036"/>
    <cellStyle name="Calculation 2 4 5 2" xfId="779"/>
    <cellStyle name="Calculation 2 4 5 2 10" xfId="24081"/>
    <cellStyle name="Calculation 2 4 5 2 11" xfId="25080"/>
    <cellStyle name="Calculation 2 4 5 2 12" xfId="28025"/>
    <cellStyle name="Calculation 2 4 5 2 13" xfId="28994"/>
    <cellStyle name="Calculation 2 4 5 2 14" xfId="30033"/>
    <cellStyle name="Calculation 2 4 5 2 15" xfId="31026"/>
    <cellStyle name="Calculation 2 4 5 2 16" xfId="32035"/>
    <cellStyle name="Calculation 2 4 5 2 17" xfId="33038"/>
    <cellStyle name="Calculation 2 4 5 2 18" xfId="34037"/>
    <cellStyle name="Calculation 2 4 5 2 19" xfId="35658"/>
    <cellStyle name="Calculation 2 4 5 2 2" xfId="16061"/>
    <cellStyle name="Calculation 2 4 5 2 20" xfId="36597"/>
    <cellStyle name="Calculation 2 4 5 2 3" xfId="17039"/>
    <cellStyle name="Calculation 2 4 5 2 4" xfId="18067"/>
    <cellStyle name="Calculation 2 4 5 2 5" xfId="19099"/>
    <cellStyle name="Calculation 2 4 5 2 6" xfId="20121"/>
    <cellStyle name="Calculation 2 4 5 2 7" xfId="21130"/>
    <cellStyle name="Calculation 2 4 5 2 8" xfId="22104"/>
    <cellStyle name="Calculation 2 4 5 2 9" xfId="23109"/>
    <cellStyle name="Calculation 2 4 5 20" xfId="35657"/>
    <cellStyle name="Calculation 2 4 5 21" xfId="36596"/>
    <cellStyle name="Calculation 2 4 5 3" xfId="16060"/>
    <cellStyle name="Calculation 2 4 5 4" xfId="17038"/>
    <cellStyle name="Calculation 2 4 5 5" xfId="18066"/>
    <cellStyle name="Calculation 2 4 5 6" xfId="19098"/>
    <cellStyle name="Calculation 2 4 5 7" xfId="20120"/>
    <cellStyle name="Calculation 2 4 5 8" xfId="21129"/>
    <cellStyle name="Calculation 2 4 5 9" xfId="22103"/>
    <cellStyle name="Calculation 2 4 6" xfId="780"/>
    <cellStyle name="Calculation 2 4 6 10" xfId="23110"/>
    <cellStyle name="Calculation 2 4 6 11" xfId="24082"/>
    <cellStyle name="Calculation 2 4 6 12" xfId="25081"/>
    <cellStyle name="Calculation 2 4 6 13" xfId="28026"/>
    <cellStyle name="Calculation 2 4 6 14" xfId="28995"/>
    <cellStyle name="Calculation 2 4 6 15" xfId="30034"/>
    <cellStyle name="Calculation 2 4 6 16" xfId="31027"/>
    <cellStyle name="Calculation 2 4 6 17" xfId="32036"/>
    <cellStyle name="Calculation 2 4 6 18" xfId="33039"/>
    <cellStyle name="Calculation 2 4 6 19" xfId="34038"/>
    <cellStyle name="Calculation 2 4 6 2" xfId="781"/>
    <cellStyle name="Calculation 2 4 6 2 10" xfId="24083"/>
    <cellStyle name="Calculation 2 4 6 2 11" xfId="25082"/>
    <cellStyle name="Calculation 2 4 6 2 12" xfId="28027"/>
    <cellStyle name="Calculation 2 4 6 2 13" xfId="28996"/>
    <cellStyle name="Calculation 2 4 6 2 14" xfId="30035"/>
    <cellStyle name="Calculation 2 4 6 2 15" xfId="31028"/>
    <cellStyle name="Calculation 2 4 6 2 16" xfId="32037"/>
    <cellStyle name="Calculation 2 4 6 2 17" xfId="33040"/>
    <cellStyle name="Calculation 2 4 6 2 18" xfId="34039"/>
    <cellStyle name="Calculation 2 4 6 2 19" xfId="35660"/>
    <cellStyle name="Calculation 2 4 6 2 2" xfId="16063"/>
    <cellStyle name="Calculation 2 4 6 2 20" xfId="36599"/>
    <cellStyle name="Calculation 2 4 6 2 3" xfId="17041"/>
    <cellStyle name="Calculation 2 4 6 2 4" xfId="18069"/>
    <cellStyle name="Calculation 2 4 6 2 5" xfId="19101"/>
    <cellStyle name="Calculation 2 4 6 2 6" xfId="20123"/>
    <cellStyle name="Calculation 2 4 6 2 7" xfId="21132"/>
    <cellStyle name="Calculation 2 4 6 2 8" xfId="22106"/>
    <cellStyle name="Calculation 2 4 6 2 9" xfId="23111"/>
    <cellStyle name="Calculation 2 4 6 20" xfId="35659"/>
    <cellStyle name="Calculation 2 4 6 21" xfId="36598"/>
    <cellStyle name="Calculation 2 4 6 3" xfId="16062"/>
    <cellStyle name="Calculation 2 4 6 4" xfId="17040"/>
    <cellStyle name="Calculation 2 4 6 5" xfId="18068"/>
    <cellStyle name="Calculation 2 4 6 6" xfId="19100"/>
    <cellStyle name="Calculation 2 4 6 7" xfId="20122"/>
    <cellStyle name="Calculation 2 4 6 8" xfId="21131"/>
    <cellStyle name="Calculation 2 4 6 9" xfId="22105"/>
    <cellStyle name="Calculation 2 4 7" xfId="782"/>
    <cellStyle name="Calculation 2 4 7 10" xfId="24084"/>
    <cellStyle name="Calculation 2 4 7 11" xfId="25083"/>
    <cellStyle name="Calculation 2 4 7 12" xfId="28028"/>
    <cellStyle name="Calculation 2 4 7 13" xfId="28997"/>
    <cellStyle name="Calculation 2 4 7 14" xfId="30036"/>
    <cellStyle name="Calculation 2 4 7 15" xfId="31029"/>
    <cellStyle name="Calculation 2 4 7 16" xfId="32038"/>
    <cellStyle name="Calculation 2 4 7 17" xfId="33041"/>
    <cellStyle name="Calculation 2 4 7 18" xfId="34040"/>
    <cellStyle name="Calculation 2 4 7 19" xfId="35661"/>
    <cellStyle name="Calculation 2 4 7 2" xfId="16064"/>
    <cellStyle name="Calculation 2 4 7 20" xfId="36600"/>
    <cellStyle name="Calculation 2 4 7 3" xfId="17042"/>
    <cellStyle name="Calculation 2 4 7 4" xfId="18070"/>
    <cellStyle name="Calculation 2 4 7 5" xfId="19102"/>
    <cellStyle name="Calculation 2 4 7 6" xfId="20124"/>
    <cellStyle name="Calculation 2 4 7 7" xfId="21133"/>
    <cellStyle name="Calculation 2 4 7 8" xfId="22107"/>
    <cellStyle name="Calculation 2 4 7 9" xfId="23112"/>
    <cellStyle name="Calculation 2 4 8" xfId="13473"/>
    <cellStyle name="Calculation 2 4 9" xfId="18881"/>
    <cellStyle name="Calculation 2 5" xfId="783"/>
    <cellStyle name="Calculation 2 5 10" xfId="15064"/>
    <cellStyle name="Calculation 2 5 11" xfId="13982"/>
    <cellStyle name="Calculation 2 5 12" xfId="14220"/>
    <cellStyle name="Calculation 2 5 13" xfId="14826"/>
    <cellStyle name="Calculation 2 5 14" xfId="15460"/>
    <cellStyle name="Calculation 2 5 15" xfId="14720"/>
    <cellStyle name="Calculation 2 5 16" xfId="26071"/>
    <cellStyle name="Calculation 2 5 17" xfId="26054"/>
    <cellStyle name="Calculation 2 5 18" xfId="28747"/>
    <cellStyle name="Calculation 2 5 19" xfId="26573"/>
    <cellStyle name="Calculation 2 5 2" xfId="784"/>
    <cellStyle name="Calculation 2 5 2 10" xfId="15297"/>
    <cellStyle name="Calculation 2 5 2 11" xfId="14722"/>
    <cellStyle name="Calculation 2 5 2 12" xfId="26294"/>
    <cellStyle name="Calculation 2 5 2 13" xfId="27737"/>
    <cellStyle name="Calculation 2 5 2 14" xfId="26811"/>
    <cellStyle name="Calculation 2 5 2 15" xfId="26753"/>
    <cellStyle name="Calculation 2 5 2 16" xfId="26627"/>
    <cellStyle name="Calculation 2 5 2 17" xfId="27217"/>
    <cellStyle name="Calculation 2 5 2 18" xfId="34990"/>
    <cellStyle name="Calculation 2 5 2 19" xfId="35338"/>
    <cellStyle name="Calculation 2 5 2 2" xfId="785"/>
    <cellStyle name="Calculation 2 5 2 2 10" xfId="23113"/>
    <cellStyle name="Calculation 2 5 2 2 11" xfId="24085"/>
    <cellStyle name="Calculation 2 5 2 2 12" xfId="25084"/>
    <cellStyle name="Calculation 2 5 2 2 13" xfId="28029"/>
    <cellStyle name="Calculation 2 5 2 2 14" xfId="28998"/>
    <cellStyle name="Calculation 2 5 2 2 15" xfId="30037"/>
    <cellStyle name="Calculation 2 5 2 2 16" xfId="31030"/>
    <cellStyle name="Calculation 2 5 2 2 17" xfId="32039"/>
    <cellStyle name="Calculation 2 5 2 2 18" xfId="33042"/>
    <cellStyle name="Calculation 2 5 2 2 19" xfId="34041"/>
    <cellStyle name="Calculation 2 5 2 2 2" xfId="786"/>
    <cellStyle name="Calculation 2 5 2 2 2 10" xfId="24086"/>
    <cellStyle name="Calculation 2 5 2 2 2 11" xfId="25085"/>
    <cellStyle name="Calculation 2 5 2 2 2 12" xfId="28030"/>
    <cellStyle name="Calculation 2 5 2 2 2 13" xfId="28999"/>
    <cellStyle name="Calculation 2 5 2 2 2 14" xfId="30038"/>
    <cellStyle name="Calculation 2 5 2 2 2 15" xfId="31031"/>
    <cellStyle name="Calculation 2 5 2 2 2 16" xfId="32040"/>
    <cellStyle name="Calculation 2 5 2 2 2 17" xfId="33043"/>
    <cellStyle name="Calculation 2 5 2 2 2 18" xfId="34042"/>
    <cellStyle name="Calculation 2 5 2 2 2 19" xfId="35663"/>
    <cellStyle name="Calculation 2 5 2 2 2 2" xfId="16066"/>
    <cellStyle name="Calculation 2 5 2 2 2 20" xfId="36602"/>
    <cellStyle name="Calculation 2 5 2 2 2 3" xfId="17044"/>
    <cellStyle name="Calculation 2 5 2 2 2 4" xfId="18072"/>
    <cellStyle name="Calculation 2 5 2 2 2 5" xfId="19104"/>
    <cellStyle name="Calculation 2 5 2 2 2 6" xfId="20126"/>
    <cellStyle name="Calculation 2 5 2 2 2 7" xfId="21135"/>
    <cellStyle name="Calculation 2 5 2 2 2 8" xfId="22109"/>
    <cellStyle name="Calculation 2 5 2 2 2 9" xfId="23114"/>
    <cellStyle name="Calculation 2 5 2 2 20" xfId="35662"/>
    <cellStyle name="Calculation 2 5 2 2 21" xfId="36601"/>
    <cellStyle name="Calculation 2 5 2 2 3" xfId="16065"/>
    <cellStyle name="Calculation 2 5 2 2 4" xfId="17043"/>
    <cellStyle name="Calculation 2 5 2 2 5" xfId="18071"/>
    <cellStyle name="Calculation 2 5 2 2 6" xfId="19103"/>
    <cellStyle name="Calculation 2 5 2 2 7" xfId="20125"/>
    <cellStyle name="Calculation 2 5 2 2 8" xfId="21134"/>
    <cellStyle name="Calculation 2 5 2 2 9" xfId="22108"/>
    <cellStyle name="Calculation 2 5 2 3" xfId="787"/>
    <cellStyle name="Calculation 2 5 2 3 10" xfId="23115"/>
    <cellStyle name="Calculation 2 5 2 3 11" xfId="24087"/>
    <cellStyle name="Calculation 2 5 2 3 12" xfId="25086"/>
    <cellStyle name="Calculation 2 5 2 3 13" xfId="28031"/>
    <cellStyle name="Calculation 2 5 2 3 14" xfId="29000"/>
    <cellStyle name="Calculation 2 5 2 3 15" xfId="30039"/>
    <cellStyle name="Calculation 2 5 2 3 16" xfId="31032"/>
    <cellStyle name="Calculation 2 5 2 3 17" xfId="32041"/>
    <cellStyle name="Calculation 2 5 2 3 18" xfId="33044"/>
    <cellStyle name="Calculation 2 5 2 3 19" xfId="34043"/>
    <cellStyle name="Calculation 2 5 2 3 2" xfId="788"/>
    <cellStyle name="Calculation 2 5 2 3 2 10" xfId="24088"/>
    <cellStyle name="Calculation 2 5 2 3 2 11" xfId="25087"/>
    <cellStyle name="Calculation 2 5 2 3 2 12" xfId="28032"/>
    <cellStyle name="Calculation 2 5 2 3 2 13" xfId="29001"/>
    <cellStyle name="Calculation 2 5 2 3 2 14" xfId="30040"/>
    <cellStyle name="Calculation 2 5 2 3 2 15" xfId="31033"/>
    <cellStyle name="Calculation 2 5 2 3 2 16" xfId="32042"/>
    <cellStyle name="Calculation 2 5 2 3 2 17" xfId="33045"/>
    <cellStyle name="Calculation 2 5 2 3 2 18" xfId="34044"/>
    <cellStyle name="Calculation 2 5 2 3 2 19" xfId="35665"/>
    <cellStyle name="Calculation 2 5 2 3 2 2" xfId="16068"/>
    <cellStyle name="Calculation 2 5 2 3 2 20" xfId="36604"/>
    <cellStyle name="Calculation 2 5 2 3 2 3" xfId="17046"/>
    <cellStyle name="Calculation 2 5 2 3 2 4" xfId="18074"/>
    <cellStyle name="Calculation 2 5 2 3 2 5" xfId="19106"/>
    <cellStyle name="Calculation 2 5 2 3 2 6" xfId="20128"/>
    <cellStyle name="Calculation 2 5 2 3 2 7" xfId="21137"/>
    <cellStyle name="Calculation 2 5 2 3 2 8" xfId="22111"/>
    <cellStyle name="Calculation 2 5 2 3 2 9" xfId="23116"/>
    <cellStyle name="Calculation 2 5 2 3 20" xfId="35664"/>
    <cellStyle name="Calculation 2 5 2 3 21" xfId="36603"/>
    <cellStyle name="Calculation 2 5 2 3 3" xfId="16067"/>
    <cellStyle name="Calculation 2 5 2 3 4" xfId="17045"/>
    <cellStyle name="Calculation 2 5 2 3 5" xfId="18073"/>
    <cellStyle name="Calculation 2 5 2 3 6" xfId="19105"/>
    <cellStyle name="Calculation 2 5 2 3 7" xfId="20127"/>
    <cellStyle name="Calculation 2 5 2 3 8" xfId="21136"/>
    <cellStyle name="Calculation 2 5 2 3 9" xfId="22110"/>
    <cellStyle name="Calculation 2 5 2 4" xfId="789"/>
    <cellStyle name="Calculation 2 5 2 4 10" xfId="23117"/>
    <cellStyle name="Calculation 2 5 2 4 11" xfId="24089"/>
    <cellStyle name="Calculation 2 5 2 4 12" xfId="25088"/>
    <cellStyle name="Calculation 2 5 2 4 13" xfId="28033"/>
    <cellStyle name="Calculation 2 5 2 4 14" xfId="29002"/>
    <cellStyle name="Calculation 2 5 2 4 15" xfId="30041"/>
    <cellStyle name="Calculation 2 5 2 4 16" xfId="31034"/>
    <cellStyle name="Calculation 2 5 2 4 17" xfId="32043"/>
    <cellStyle name="Calculation 2 5 2 4 18" xfId="33046"/>
    <cellStyle name="Calculation 2 5 2 4 19" xfId="34045"/>
    <cellStyle name="Calculation 2 5 2 4 2" xfId="790"/>
    <cellStyle name="Calculation 2 5 2 4 2 10" xfId="24090"/>
    <cellStyle name="Calculation 2 5 2 4 2 11" xfId="25089"/>
    <cellStyle name="Calculation 2 5 2 4 2 12" xfId="28034"/>
    <cellStyle name="Calculation 2 5 2 4 2 13" xfId="29003"/>
    <cellStyle name="Calculation 2 5 2 4 2 14" xfId="30042"/>
    <cellStyle name="Calculation 2 5 2 4 2 15" xfId="31035"/>
    <cellStyle name="Calculation 2 5 2 4 2 16" xfId="32044"/>
    <cellStyle name="Calculation 2 5 2 4 2 17" xfId="33047"/>
    <cellStyle name="Calculation 2 5 2 4 2 18" xfId="34046"/>
    <cellStyle name="Calculation 2 5 2 4 2 19" xfId="35667"/>
    <cellStyle name="Calculation 2 5 2 4 2 2" xfId="16070"/>
    <cellStyle name="Calculation 2 5 2 4 2 20" xfId="36606"/>
    <cellStyle name="Calculation 2 5 2 4 2 3" xfId="17048"/>
    <cellStyle name="Calculation 2 5 2 4 2 4" xfId="18076"/>
    <cellStyle name="Calculation 2 5 2 4 2 5" xfId="19108"/>
    <cellStyle name="Calculation 2 5 2 4 2 6" xfId="20130"/>
    <cellStyle name="Calculation 2 5 2 4 2 7" xfId="21139"/>
    <cellStyle name="Calculation 2 5 2 4 2 8" xfId="22113"/>
    <cellStyle name="Calculation 2 5 2 4 2 9" xfId="23118"/>
    <cellStyle name="Calculation 2 5 2 4 20" xfId="35666"/>
    <cellStyle name="Calculation 2 5 2 4 21" xfId="36605"/>
    <cellStyle name="Calculation 2 5 2 4 3" xfId="16069"/>
    <cellStyle name="Calculation 2 5 2 4 4" xfId="17047"/>
    <cellStyle name="Calculation 2 5 2 4 5" xfId="18075"/>
    <cellStyle name="Calculation 2 5 2 4 6" xfId="19107"/>
    <cellStyle name="Calculation 2 5 2 4 7" xfId="20129"/>
    <cellStyle name="Calculation 2 5 2 4 8" xfId="21138"/>
    <cellStyle name="Calculation 2 5 2 4 9" xfId="22112"/>
    <cellStyle name="Calculation 2 5 2 5" xfId="791"/>
    <cellStyle name="Calculation 2 5 2 5 10" xfId="24091"/>
    <cellStyle name="Calculation 2 5 2 5 11" xfId="25090"/>
    <cellStyle name="Calculation 2 5 2 5 12" xfId="28035"/>
    <cellStyle name="Calculation 2 5 2 5 13" xfId="29004"/>
    <cellStyle name="Calculation 2 5 2 5 14" xfId="30043"/>
    <cellStyle name="Calculation 2 5 2 5 15" xfId="31036"/>
    <cellStyle name="Calculation 2 5 2 5 16" xfId="32045"/>
    <cellStyle name="Calculation 2 5 2 5 17" xfId="33048"/>
    <cellStyle name="Calculation 2 5 2 5 18" xfId="34047"/>
    <cellStyle name="Calculation 2 5 2 5 19" xfId="35668"/>
    <cellStyle name="Calculation 2 5 2 5 2" xfId="16071"/>
    <cellStyle name="Calculation 2 5 2 5 20" xfId="36607"/>
    <cellStyle name="Calculation 2 5 2 5 3" xfId="17049"/>
    <cellStyle name="Calculation 2 5 2 5 4" xfId="18077"/>
    <cellStyle name="Calculation 2 5 2 5 5" xfId="19109"/>
    <cellStyle name="Calculation 2 5 2 5 6" xfId="20131"/>
    <cellStyle name="Calculation 2 5 2 5 7" xfId="21140"/>
    <cellStyle name="Calculation 2 5 2 5 8" xfId="22114"/>
    <cellStyle name="Calculation 2 5 2 5 9" xfId="23119"/>
    <cellStyle name="Calculation 2 5 2 6" xfId="13714"/>
    <cellStyle name="Calculation 2 5 2 7" xfId="14727"/>
    <cellStyle name="Calculation 2 5 2 8" xfId="14575"/>
    <cellStyle name="Calculation 2 5 2 9" xfId="14825"/>
    <cellStyle name="Calculation 2 5 20" xfId="26293"/>
    <cellStyle name="Calculation 2 5 21" xfId="26513"/>
    <cellStyle name="Calculation 2 5 22" xfId="34933"/>
    <cellStyle name="Calculation 2 5 23" xfId="35479"/>
    <cellStyle name="Calculation 2 5 3" xfId="792"/>
    <cellStyle name="Calculation 2 5 3 10" xfId="14495"/>
    <cellStyle name="Calculation 2 5 3 11" xfId="15160"/>
    <cellStyle name="Calculation 2 5 3 12" xfId="26374"/>
    <cellStyle name="Calculation 2 5 3 13" xfId="27133"/>
    <cellStyle name="Calculation 2 5 3 14" xfId="25974"/>
    <cellStyle name="Calculation 2 5 3 15" xfId="26190"/>
    <cellStyle name="Calculation 2 5 3 16" xfId="26903"/>
    <cellStyle name="Calculation 2 5 3 17" xfId="27359"/>
    <cellStyle name="Calculation 2 5 3 18" xfId="35065"/>
    <cellStyle name="Calculation 2 5 3 19" xfId="35288"/>
    <cellStyle name="Calculation 2 5 3 2" xfId="793"/>
    <cellStyle name="Calculation 2 5 3 2 10" xfId="23120"/>
    <cellStyle name="Calculation 2 5 3 2 11" xfId="24092"/>
    <cellStyle name="Calculation 2 5 3 2 12" xfId="25091"/>
    <cellStyle name="Calculation 2 5 3 2 13" xfId="28036"/>
    <cellStyle name="Calculation 2 5 3 2 14" xfId="29005"/>
    <cellStyle name="Calculation 2 5 3 2 15" xfId="30044"/>
    <cellStyle name="Calculation 2 5 3 2 16" xfId="31037"/>
    <cellStyle name="Calculation 2 5 3 2 17" xfId="32046"/>
    <cellStyle name="Calculation 2 5 3 2 18" xfId="33049"/>
    <cellStyle name="Calculation 2 5 3 2 19" xfId="34048"/>
    <cellStyle name="Calculation 2 5 3 2 2" xfId="794"/>
    <cellStyle name="Calculation 2 5 3 2 2 10" xfId="24093"/>
    <cellStyle name="Calculation 2 5 3 2 2 11" xfId="25092"/>
    <cellStyle name="Calculation 2 5 3 2 2 12" xfId="28037"/>
    <cellStyle name="Calculation 2 5 3 2 2 13" xfId="29006"/>
    <cellStyle name="Calculation 2 5 3 2 2 14" xfId="30045"/>
    <cellStyle name="Calculation 2 5 3 2 2 15" xfId="31038"/>
    <cellStyle name="Calculation 2 5 3 2 2 16" xfId="32047"/>
    <cellStyle name="Calculation 2 5 3 2 2 17" xfId="33050"/>
    <cellStyle name="Calculation 2 5 3 2 2 18" xfId="34049"/>
    <cellStyle name="Calculation 2 5 3 2 2 19" xfId="35670"/>
    <cellStyle name="Calculation 2 5 3 2 2 2" xfId="16073"/>
    <cellStyle name="Calculation 2 5 3 2 2 20" xfId="36609"/>
    <cellStyle name="Calculation 2 5 3 2 2 3" xfId="17051"/>
    <cellStyle name="Calculation 2 5 3 2 2 4" xfId="18079"/>
    <cellStyle name="Calculation 2 5 3 2 2 5" xfId="19111"/>
    <cellStyle name="Calculation 2 5 3 2 2 6" xfId="20133"/>
    <cellStyle name="Calculation 2 5 3 2 2 7" xfId="21142"/>
    <cellStyle name="Calculation 2 5 3 2 2 8" xfId="22116"/>
    <cellStyle name="Calculation 2 5 3 2 2 9" xfId="23121"/>
    <cellStyle name="Calculation 2 5 3 2 20" xfId="35669"/>
    <cellStyle name="Calculation 2 5 3 2 21" xfId="36608"/>
    <cellStyle name="Calculation 2 5 3 2 3" xfId="16072"/>
    <cellStyle name="Calculation 2 5 3 2 4" xfId="17050"/>
    <cellStyle name="Calculation 2 5 3 2 5" xfId="18078"/>
    <cellStyle name="Calculation 2 5 3 2 6" xfId="19110"/>
    <cellStyle name="Calculation 2 5 3 2 7" xfId="20132"/>
    <cellStyle name="Calculation 2 5 3 2 8" xfId="21141"/>
    <cellStyle name="Calculation 2 5 3 2 9" xfId="22115"/>
    <cellStyle name="Calculation 2 5 3 3" xfId="795"/>
    <cellStyle name="Calculation 2 5 3 3 10" xfId="23122"/>
    <cellStyle name="Calculation 2 5 3 3 11" xfId="24094"/>
    <cellStyle name="Calculation 2 5 3 3 12" xfId="25093"/>
    <cellStyle name="Calculation 2 5 3 3 13" xfId="28038"/>
    <cellStyle name="Calculation 2 5 3 3 14" xfId="29007"/>
    <cellStyle name="Calculation 2 5 3 3 15" xfId="30046"/>
    <cellStyle name="Calculation 2 5 3 3 16" xfId="31039"/>
    <cellStyle name="Calculation 2 5 3 3 17" xfId="32048"/>
    <cellStyle name="Calculation 2 5 3 3 18" xfId="33051"/>
    <cellStyle name="Calculation 2 5 3 3 19" xfId="34050"/>
    <cellStyle name="Calculation 2 5 3 3 2" xfId="796"/>
    <cellStyle name="Calculation 2 5 3 3 2 10" xfId="24095"/>
    <cellStyle name="Calculation 2 5 3 3 2 11" xfId="25094"/>
    <cellStyle name="Calculation 2 5 3 3 2 12" xfId="28039"/>
    <cellStyle name="Calculation 2 5 3 3 2 13" xfId="29008"/>
    <cellStyle name="Calculation 2 5 3 3 2 14" xfId="30047"/>
    <cellStyle name="Calculation 2 5 3 3 2 15" xfId="31040"/>
    <cellStyle name="Calculation 2 5 3 3 2 16" xfId="32049"/>
    <cellStyle name="Calculation 2 5 3 3 2 17" xfId="33052"/>
    <cellStyle name="Calculation 2 5 3 3 2 18" xfId="34051"/>
    <cellStyle name="Calculation 2 5 3 3 2 19" xfId="35672"/>
    <cellStyle name="Calculation 2 5 3 3 2 2" xfId="16075"/>
    <cellStyle name="Calculation 2 5 3 3 2 20" xfId="36611"/>
    <cellStyle name="Calculation 2 5 3 3 2 3" xfId="17053"/>
    <cellStyle name="Calculation 2 5 3 3 2 4" xfId="18081"/>
    <cellStyle name="Calculation 2 5 3 3 2 5" xfId="19113"/>
    <cellStyle name="Calculation 2 5 3 3 2 6" xfId="20135"/>
    <cellStyle name="Calculation 2 5 3 3 2 7" xfId="21144"/>
    <cellStyle name="Calculation 2 5 3 3 2 8" xfId="22118"/>
    <cellStyle name="Calculation 2 5 3 3 2 9" xfId="23123"/>
    <cellStyle name="Calculation 2 5 3 3 20" xfId="35671"/>
    <cellStyle name="Calculation 2 5 3 3 21" xfId="36610"/>
    <cellStyle name="Calculation 2 5 3 3 3" xfId="16074"/>
    <cellStyle name="Calculation 2 5 3 3 4" xfId="17052"/>
    <cellStyle name="Calculation 2 5 3 3 5" xfId="18080"/>
    <cellStyle name="Calculation 2 5 3 3 6" xfId="19112"/>
    <cellStyle name="Calculation 2 5 3 3 7" xfId="20134"/>
    <cellStyle name="Calculation 2 5 3 3 8" xfId="21143"/>
    <cellStyle name="Calculation 2 5 3 3 9" xfId="22117"/>
    <cellStyle name="Calculation 2 5 3 4" xfId="797"/>
    <cellStyle name="Calculation 2 5 3 4 10" xfId="23124"/>
    <cellStyle name="Calculation 2 5 3 4 11" xfId="24096"/>
    <cellStyle name="Calculation 2 5 3 4 12" xfId="25095"/>
    <cellStyle name="Calculation 2 5 3 4 13" xfId="28040"/>
    <cellStyle name="Calculation 2 5 3 4 14" xfId="29009"/>
    <cellStyle name="Calculation 2 5 3 4 15" xfId="30048"/>
    <cellStyle name="Calculation 2 5 3 4 16" xfId="31041"/>
    <cellStyle name="Calculation 2 5 3 4 17" xfId="32050"/>
    <cellStyle name="Calculation 2 5 3 4 18" xfId="33053"/>
    <cellStyle name="Calculation 2 5 3 4 19" xfId="34052"/>
    <cellStyle name="Calculation 2 5 3 4 2" xfId="798"/>
    <cellStyle name="Calculation 2 5 3 4 2 10" xfId="24097"/>
    <cellStyle name="Calculation 2 5 3 4 2 11" xfId="25096"/>
    <cellStyle name="Calculation 2 5 3 4 2 12" xfId="28041"/>
    <cellStyle name="Calculation 2 5 3 4 2 13" xfId="29010"/>
    <cellStyle name="Calculation 2 5 3 4 2 14" xfId="30049"/>
    <cellStyle name="Calculation 2 5 3 4 2 15" xfId="31042"/>
    <cellStyle name="Calculation 2 5 3 4 2 16" xfId="32051"/>
    <cellStyle name="Calculation 2 5 3 4 2 17" xfId="33054"/>
    <cellStyle name="Calculation 2 5 3 4 2 18" xfId="34053"/>
    <cellStyle name="Calculation 2 5 3 4 2 19" xfId="35674"/>
    <cellStyle name="Calculation 2 5 3 4 2 2" xfId="16077"/>
    <cellStyle name="Calculation 2 5 3 4 2 20" xfId="36613"/>
    <cellStyle name="Calculation 2 5 3 4 2 3" xfId="17055"/>
    <cellStyle name="Calculation 2 5 3 4 2 4" xfId="18083"/>
    <cellStyle name="Calculation 2 5 3 4 2 5" xfId="19115"/>
    <cellStyle name="Calculation 2 5 3 4 2 6" xfId="20137"/>
    <cellStyle name="Calculation 2 5 3 4 2 7" xfId="21146"/>
    <cellStyle name="Calculation 2 5 3 4 2 8" xfId="22120"/>
    <cellStyle name="Calculation 2 5 3 4 2 9" xfId="23125"/>
    <cellStyle name="Calculation 2 5 3 4 20" xfId="35673"/>
    <cellStyle name="Calculation 2 5 3 4 21" xfId="36612"/>
    <cellStyle name="Calculation 2 5 3 4 3" xfId="16076"/>
    <cellStyle name="Calculation 2 5 3 4 4" xfId="17054"/>
    <cellStyle name="Calculation 2 5 3 4 5" xfId="18082"/>
    <cellStyle name="Calculation 2 5 3 4 6" xfId="19114"/>
    <cellStyle name="Calculation 2 5 3 4 7" xfId="20136"/>
    <cellStyle name="Calculation 2 5 3 4 8" xfId="21145"/>
    <cellStyle name="Calculation 2 5 3 4 9" xfId="22119"/>
    <cellStyle name="Calculation 2 5 3 5" xfId="799"/>
    <cellStyle name="Calculation 2 5 3 5 10" xfId="24098"/>
    <cellStyle name="Calculation 2 5 3 5 11" xfId="25097"/>
    <cellStyle name="Calculation 2 5 3 5 12" xfId="28042"/>
    <cellStyle name="Calculation 2 5 3 5 13" xfId="29011"/>
    <cellStyle name="Calculation 2 5 3 5 14" xfId="30050"/>
    <cellStyle name="Calculation 2 5 3 5 15" xfId="31043"/>
    <cellStyle name="Calculation 2 5 3 5 16" xfId="32052"/>
    <cellStyle name="Calculation 2 5 3 5 17" xfId="33055"/>
    <cellStyle name="Calculation 2 5 3 5 18" xfId="34054"/>
    <cellStyle name="Calculation 2 5 3 5 19" xfId="35675"/>
    <cellStyle name="Calculation 2 5 3 5 2" xfId="16078"/>
    <cellStyle name="Calculation 2 5 3 5 20" xfId="36614"/>
    <cellStyle name="Calculation 2 5 3 5 3" xfId="17056"/>
    <cellStyle name="Calculation 2 5 3 5 4" xfId="18084"/>
    <cellStyle name="Calculation 2 5 3 5 5" xfId="19116"/>
    <cellStyle name="Calculation 2 5 3 5 6" xfId="20138"/>
    <cellStyle name="Calculation 2 5 3 5 7" xfId="21147"/>
    <cellStyle name="Calculation 2 5 3 5 8" xfId="22121"/>
    <cellStyle name="Calculation 2 5 3 5 9" xfId="23126"/>
    <cellStyle name="Calculation 2 5 3 6" xfId="15201"/>
    <cellStyle name="Calculation 2 5 3 7" xfId="13492"/>
    <cellStyle name="Calculation 2 5 3 8" xfId="15624"/>
    <cellStyle name="Calculation 2 5 3 9" xfId="15497"/>
    <cellStyle name="Calculation 2 5 4" xfId="800"/>
    <cellStyle name="Calculation 2 5 4 10" xfId="14817"/>
    <cellStyle name="Calculation 2 5 4 11" xfId="22903"/>
    <cellStyle name="Calculation 2 5 4 12" xfId="26355"/>
    <cellStyle name="Calculation 2 5 4 13" xfId="25905"/>
    <cellStyle name="Calculation 2 5 4 14" xfId="25886"/>
    <cellStyle name="Calculation 2 5 4 15" xfId="28783"/>
    <cellStyle name="Calculation 2 5 4 16" xfId="27516"/>
    <cellStyle name="Calculation 2 5 4 17" xfId="26264"/>
    <cellStyle name="Calculation 2 5 4 18" xfId="35047"/>
    <cellStyle name="Calculation 2 5 4 19" xfId="35437"/>
    <cellStyle name="Calculation 2 5 4 2" xfId="801"/>
    <cellStyle name="Calculation 2 5 4 2 10" xfId="23127"/>
    <cellStyle name="Calculation 2 5 4 2 11" xfId="24099"/>
    <cellStyle name="Calculation 2 5 4 2 12" xfId="25098"/>
    <cellStyle name="Calculation 2 5 4 2 13" xfId="28043"/>
    <cellStyle name="Calculation 2 5 4 2 14" xfId="29012"/>
    <cellStyle name="Calculation 2 5 4 2 15" xfId="30051"/>
    <cellStyle name="Calculation 2 5 4 2 16" xfId="31044"/>
    <cellStyle name="Calculation 2 5 4 2 17" xfId="32053"/>
    <cellStyle name="Calculation 2 5 4 2 18" xfId="33056"/>
    <cellStyle name="Calculation 2 5 4 2 19" xfId="34055"/>
    <cellStyle name="Calculation 2 5 4 2 2" xfId="802"/>
    <cellStyle name="Calculation 2 5 4 2 2 10" xfId="24100"/>
    <cellStyle name="Calculation 2 5 4 2 2 11" xfId="25099"/>
    <cellStyle name="Calculation 2 5 4 2 2 12" xfId="28044"/>
    <cellStyle name="Calculation 2 5 4 2 2 13" xfId="29013"/>
    <cellStyle name="Calculation 2 5 4 2 2 14" xfId="30052"/>
    <cellStyle name="Calculation 2 5 4 2 2 15" xfId="31045"/>
    <cellStyle name="Calculation 2 5 4 2 2 16" xfId="32054"/>
    <cellStyle name="Calculation 2 5 4 2 2 17" xfId="33057"/>
    <cellStyle name="Calculation 2 5 4 2 2 18" xfId="34056"/>
    <cellStyle name="Calculation 2 5 4 2 2 19" xfId="35677"/>
    <cellStyle name="Calculation 2 5 4 2 2 2" xfId="16080"/>
    <cellStyle name="Calculation 2 5 4 2 2 20" xfId="36616"/>
    <cellStyle name="Calculation 2 5 4 2 2 3" xfId="17058"/>
    <cellStyle name="Calculation 2 5 4 2 2 4" xfId="18086"/>
    <cellStyle name="Calculation 2 5 4 2 2 5" xfId="19118"/>
    <cellStyle name="Calculation 2 5 4 2 2 6" xfId="20140"/>
    <cellStyle name="Calculation 2 5 4 2 2 7" xfId="21149"/>
    <cellStyle name="Calculation 2 5 4 2 2 8" xfId="22123"/>
    <cellStyle name="Calculation 2 5 4 2 2 9" xfId="23128"/>
    <cellStyle name="Calculation 2 5 4 2 20" xfId="35676"/>
    <cellStyle name="Calculation 2 5 4 2 21" xfId="36615"/>
    <cellStyle name="Calculation 2 5 4 2 3" xfId="16079"/>
    <cellStyle name="Calculation 2 5 4 2 4" xfId="17057"/>
    <cellStyle name="Calculation 2 5 4 2 5" xfId="18085"/>
    <cellStyle name="Calculation 2 5 4 2 6" xfId="19117"/>
    <cellStyle name="Calculation 2 5 4 2 7" xfId="20139"/>
    <cellStyle name="Calculation 2 5 4 2 8" xfId="21148"/>
    <cellStyle name="Calculation 2 5 4 2 9" xfId="22122"/>
    <cellStyle name="Calculation 2 5 4 3" xfId="803"/>
    <cellStyle name="Calculation 2 5 4 3 10" xfId="23129"/>
    <cellStyle name="Calculation 2 5 4 3 11" xfId="24101"/>
    <cellStyle name="Calculation 2 5 4 3 12" xfId="25100"/>
    <cellStyle name="Calculation 2 5 4 3 13" xfId="28045"/>
    <cellStyle name="Calculation 2 5 4 3 14" xfId="29014"/>
    <cellStyle name="Calculation 2 5 4 3 15" xfId="30053"/>
    <cellStyle name="Calculation 2 5 4 3 16" xfId="31046"/>
    <cellStyle name="Calculation 2 5 4 3 17" xfId="32055"/>
    <cellStyle name="Calculation 2 5 4 3 18" xfId="33058"/>
    <cellStyle name="Calculation 2 5 4 3 19" xfId="34057"/>
    <cellStyle name="Calculation 2 5 4 3 2" xfId="804"/>
    <cellStyle name="Calculation 2 5 4 3 2 10" xfId="24102"/>
    <cellStyle name="Calculation 2 5 4 3 2 11" xfId="25101"/>
    <cellStyle name="Calculation 2 5 4 3 2 12" xfId="28046"/>
    <cellStyle name="Calculation 2 5 4 3 2 13" xfId="29015"/>
    <cellStyle name="Calculation 2 5 4 3 2 14" xfId="30054"/>
    <cellStyle name="Calculation 2 5 4 3 2 15" xfId="31047"/>
    <cellStyle name="Calculation 2 5 4 3 2 16" xfId="32056"/>
    <cellStyle name="Calculation 2 5 4 3 2 17" xfId="33059"/>
    <cellStyle name="Calculation 2 5 4 3 2 18" xfId="34058"/>
    <cellStyle name="Calculation 2 5 4 3 2 19" xfId="35679"/>
    <cellStyle name="Calculation 2 5 4 3 2 2" xfId="16082"/>
    <cellStyle name="Calculation 2 5 4 3 2 20" xfId="36618"/>
    <cellStyle name="Calculation 2 5 4 3 2 3" xfId="17060"/>
    <cellStyle name="Calculation 2 5 4 3 2 4" xfId="18088"/>
    <cellStyle name="Calculation 2 5 4 3 2 5" xfId="19120"/>
    <cellStyle name="Calculation 2 5 4 3 2 6" xfId="20142"/>
    <cellStyle name="Calculation 2 5 4 3 2 7" xfId="21151"/>
    <cellStyle name="Calculation 2 5 4 3 2 8" xfId="22125"/>
    <cellStyle name="Calculation 2 5 4 3 2 9" xfId="23130"/>
    <cellStyle name="Calculation 2 5 4 3 20" xfId="35678"/>
    <cellStyle name="Calculation 2 5 4 3 21" xfId="36617"/>
    <cellStyle name="Calculation 2 5 4 3 3" xfId="16081"/>
    <cellStyle name="Calculation 2 5 4 3 4" xfId="17059"/>
    <cellStyle name="Calculation 2 5 4 3 5" xfId="18087"/>
    <cellStyle name="Calculation 2 5 4 3 6" xfId="19119"/>
    <cellStyle name="Calculation 2 5 4 3 7" xfId="20141"/>
    <cellStyle name="Calculation 2 5 4 3 8" xfId="21150"/>
    <cellStyle name="Calculation 2 5 4 3 9" xfId="22124"/>
    <cellStyle name="Calculation 2 5 4 4" xfId="805"/>
    <cellStyle name="Calculation 2 5 4 4 10" xfId="23131"/>
    <cellStyle name="Calculation 2 5 4 4 11" xfId="24103"/>
    <cellStyle name="Calculation 2 5 4 4 12" xfId="25102"/>
    <cellStyle name="Calculation 2 5 4 4 13" xfId="28047"/>
    <cellStyle name="Calculation 2 5 4 4 14" xfId="29016"/>
    <cellStyle name="Calculation 2 5 4 4 15" xfId="30055"/>
    <cellStyle name="Calculation 2 5 4 4 16" xfId="31048"/>
    <cellStyle name="Calculation 2 5 4 4 17" xfId="32057"/>
    <cellStyle name="Calculation 2 5 4 4 18" xfId="33060"/>
    <cellStyle name="Calculation 2 5 4 4 19" xfId="34059"/>
    <cellStyle name="Calculation 2 5 4 4 2" xfId="806"/>
    <cellStyle name="Calculation 2 5 4 4 2 10" xfId="24104"/>
    <cellStyle name="Calculation 2 5 4 4 2 11" xfId="25103"/>
    <cellStyle name="Calculation 2 5 4 4 2 12" xfId="28048"/>
    <cellStyle name="Calculation 2 5 4 4 2 13" xfId="29017"/>
    <cellStyle name="Calculation 2 5 4 4 2 14" xfId="30056"/>
    <cellStyle name="Calculation 2 5 4 4 2 15" xfId="31049"/>
    <cellStyle name="Calculation 2 5 4 4 2 16" xfId="32058"/>
    <cellStyle name="Calculation 2 5 4 4 2 17" xfId="33061"/>
    <cellStyle name="Calculation 2 5 4 4 2 18" xfId="34060"/>
    <cellStyle name="Calculation 2 5 4 4 2 19" xfId="35681"/>
    <cellStyle name="Calculation 2 5 4 4 2 2" xfId="16084"/>
    <cellStyle name="Calculation 2 5 4 4 2 20" xfId="36620"/>
    <cellStyle name="Calculation 2 5 4 4 2 3" xfId="17062"/>
    <cellStyle name="Calculation 2 5 4 4 2 4" xfId="18090"/>
    <cellStyle name="Calculation 2 5 4 4 2 5" xfId="19122"/>
    <cellStyle name="Calculation 2 5 4 4 2 6" xfId="20144"/>
    <cellStyle name="Calculation 2 5 4 4 2 7" xfId="21153"/>
    <cellStyle name="Calculation 2 5 4 4 2 8" xfId="22127"/>
    <cellStyle name="Calculation 2 5 4 4 2 9" xfId="23132"/>
    <cellStyle name="Calculation 2 5 4 4 20" xfId="35680"/>
    <cellStyle name="Calculation 2 5 4 4 21" xfId="36619"/>
    <cellStyle name="Calculation 2 5 4 4 3" xfId="16083"/>
    <cellStyle name="Calculation 2 5 4 4 4" xfId="17061"/>
    <cellStyle name="Calculation 2 5 4 4 5" xfId="18089"/>
    <cellStyle name="Calculation 2 5 4 4 6" xfId="19121"/>
    <cellStyle name="Calculation 2 5 4 4 7" xfId="20143"/>
    <cellStyle name="Calculation 2 5 4 4 8" xfId="21152"/>
    <cellStyle name="Calculation 2 5 4 4 9" xfId="22126"/>
    <cellStyle name="Calculation 2 5 4 5" xfId="807"/>
    <cellStyle name="Calculation 2 5 4 5 10" xfId="24105"/>
    <cellStyle name="Calculation 2 5 4 5 11" xfId="25104"/>
    <cellStyle name="Calculation 2 5 4 5 12" xfId="28049"/>
    <cellStyle name="Calculation 2 5 4 5 13" xfId="29018"/>
    <cellStyle name="Calculation 2 5 4 5 14" xfId="30057"/>
    <cellStyle name="Calculation 2 5 4 5 15" xfId="31050"/>
    <cellStyle name="Calculation 2 5 4 5 16" xfId="32059"/>
    <cellStyle name="Calculation 2 5 4 5 17" xfId="33062"/>
    <cellStyle name="Calculation 2 5 4 5 18" xfId="34061"/>
    <cellStyle name="Calculation 2 5 4 5 19" xfId="35682"/>
    <cellStyle name="Calculation 2 5 4 5 2" xfId="16085"/>
    <cellStyle name="Calculation 2 5 4 5 20" xfId="36621"/>
    <cellStyle name="Calculation 2 5 4 5 3" xfId="17063"/>
    <cellStyle name="Calculation 2 5 4 5 4" xfId="18091"/>
    <cellStyle name="Calculation 2 5 4 5 5" xfId="19123"/>
    <cellStyle name="Calculation 2 5 4 5 6" xfId="20145"/>
    <cellStyle name="Calculation 2 5 4 5 7" xfId="21154"/>
    <cellStyle name="Calculation 2 5 4 5 8" xfId="22128"/>
    <cellStyle name="Calculation 2 5 4 5 9" xfId="23133"/>
    <cellStyle name="Calculation 2 5 4 6" xfId="15198"/>
    <cellStyle name="Calculation 2 5 4 7" xfId="13662"/>
    <cellStyle name="Calculation 2 5 4 8" xfId="15345"/>
    <cellStyle name="Calculation 2 5 4 9" xfId="14948"/>
    <cellStyle name="Calculation 2 5 5" xfId="808"/>
    <cellStyle name="Calculation 2 5 5 10" xfId="17847"/>
    <cellStyle name="Calculation 2 5 5 11" xfId="14741"/>
    <cellStyle name="Calculation 2 5 5 12" xfId="26450"/>
    <cellStyle name="Calculation 2 5 5 13" xfId="27084"/>
    <cellStyle name="Calculation 2 5 5 14" xfId="26166"/>
    <cellStyle name="Calculation 2 5 5 15" xfId="26554"/>
    <cellStyle name="Calculation 2 5 5 16" xfId="26936"/>
    <cellStyle name="Calculation 2 5 5 17" xfId="27443"/>
    <cellStyle name="Calculation 2 5 5 18" xfId="35133"/>
    <cellStyle name="Calculation 2 5 5 19" xfId="35239"/>
    <cellStyle name="Calculation 2 5 5 2" xfId="809"/>
    <cellStyle name="Calculation 2 5 5 2 10" xfId="23134"/>
    <cellStyle name="Calculation 2 5 5 2 11" xfId="24106"/>
    <cellStyle name="Calculation 2 5 5 2 12" xfId="25105"/>
    <cellStyle name="Calculation 2 5 5 2 13" xfId="28050"/>
    <cellStyle name="Calculation 2 5 5 2 14" xfId="29019"/>
    <cellStyle name="Calculation 2 5 5 2 15" xfId="30058"/>
    <cellStyle name="Calculation 2 5 5 2 16" xfId="31051"/>
    <cellStyle name="Calculation 2 5 5 2 17" xfId="32060"/>
    <cellStyle name="Calculation 2 5 5 2 18" xfId="33063"/>
    <cellStyle name="Calculation 2 5 5 2 19" xfId="34062"/>
    <cellStyle name="Calculation 2 5 5 2 2" xfId="810"/>
    <cellStyle name="Calculation 2 5 5 2 2 10" xfId="24107"/>
    <cellStyle name="Calculation 2 5 5 2 2 11" xfId="25106"/>
    <cellStyle name="Calculation 2 5 5 2 2 12" xfId="28051"/>
    <cellStyle name="Calculation 2 5 5 2 2 13" xfId="29020"/>
    <cellStyle name="Calculation 2 5 5 2 2 14" xfId="30059"/>
    <cellStyle name="Calculation 2 5 5 2 2 15" xfId="31052"/>
    <cellStyle name="Calculation 2 5 5 2 2 16" xfId="32061"/>
    <cellStyle name="Calculation 2 5 5 2 2 17" xfId="33064"/>
    <cellStyle name="Calculation 2 5 5 2 2 18" xfId="34063"/>
    <cellStyle name="Calculation 2 5 5 2 2 19" xfId="35684"/>
    <cellStyle name="Calculation 2 5 5 2 2 2" xfId="16087"/>
    <cellStyle name="Calculation 2 5 5 2 2 20" xfId="36623"/>
    <cellStyle name="Calculation 2 5 5 2 2 3" xfId="17065"/>
    <cellStyle name="Calculation 2 5 5 2 2 4" xfId="18093"/>
    <cellStyle name="Calculation 2 5 5 2 2 5" xfId="19125"/>
    <cellStyle name="Calculation 2 5 5 2 2 6" xfId="20147"/>
    <cellStyle name="Calculation 2 5 5 2 2 7" xfId="21156"/>
    <cellStyle name="Calculation 2 5 5 2 2 8" xfId="22130"/>
    <cellStyle name="Calculation 2 5 5 2 2 9" xfId="23135"/>
    <cellStyle name="Calculation 2 5 5 2 20" xfId="35683"/>
    <cellStyle name="Calculation 2 5 5 2 21" xfId="36622"/>
    <cellStyle name="Calculation 2 5 5 2 3" xfId="16086"/>
    <cellStyle name="Calculation 2 5 5 2 4" xfId="17064"/>
    <cellStyle name="Calculation 2 5 5 2 5" xfId="18092"/>
    <cellStyle name="Calculation 2 5 5 2 6" xfId="19124"/>
    <cellStyle name="Calculation 2 5 5 2 7" xfId="20146"/>
    <cellStyle name="Calculation 2 5 5 2 8" xfId="21155"/>
    <cellStyle name="Calculation 2 5 5 2 9" xfId="22129"/>
    <cellStyle name="Calculation 2 5 5 3" xfId="811"/>
    <cellStyle name="Calculation 2 5 5 3 10" xfId="23136"/>
    <cellStyle name="Calculation 2 5 5 3 11" xfId="24108"/>
    <cellStyle name="Calculation 2 5 5 3 12" xfId="25107"/>
    <cellStyle name="Calculation 2 5 5 3 13" xfId="28052"/>
    <cellStyle name="Calculation 2 5 5 3 14" xfId="29021"/>
    <cellStyle name="Calculation 2 5 5 3 15" xfId="30060"/>
    <cellStyle name="Calculation 2 5 5 3 16" xfId="31053"/>
    <cellStyle name="Calculation 2 5 5 3 17" xfId="32062"/>
    <cellStyle name="Calculation 2 5 5 3 18" xfId="33065"/>
    <cellStyle name="Calculation 2 5 5 3 19" xfId="34064"/>
    <cellStyle name="Calculation 2 5 5 3 2" xfId="812"/>
    <cellStyle name="Calculation 2 5 5 3 2 10" xfId="24109"/>
    <cellStyle name="Calculation 2 5 5 3 2 11" xfId="25108"/>
    <cellStyle name="Calculation 2 5 5 3 2 12" xfId="28053"/>
    <cellStyle name="Calculation 2 5 5 3 2 13" xfId="29022"/>
    <cellStyle name="Calculation 2 5 5 3 2 14" xfId="30061"/>
    <cellStyle name="Calculation 2 5 5 3 2 15" xfId="31054"/>
    <cellStyle name="Calculation 2 5 5 3 2 16" xfId="32063"/>
    <cellStyle name="Calculation 2 5 5 3 2 17" xfId="33066"/>
    <cellStyle name="Calculation 2 5 5 3 2 18" xfId="34065"/>
    <cellStyle name="Calculation 2 5 5 3 2 19" xfId="35686"/>
    <cellStyle name="Calculation 2 5 5 3 2 2" xfId="16089"/>
    <cellStyle name="Calculation 2 5 5 3 2 20" xfId="36625"/>
    <cellStyle name="Calculation 2 5 5 3 2 3" xfId="17067"/>
    <cellStyle name="Calculation 2 5 5 3 2 4" xfId="18095"/>
    <cellStyle name="Calculation 2 5 5 3 2 5" xfId="19127"/>
    <cellStyle name="Calculation 2 5 5 3 2 6" xfId="20149"/>
    <cellStyle name="Calculation 2 5 5 3 2 7" xfId="21158"/>
    <cellStyle name="Calculation 2 5 5 3 2 8" xfId="22132"/>
    <cellStyle name="Calculation 2 5 5 3 2 9" xfId="23137"/>
    <cellStyle name="Calculation 2 5 5 3 20" xfId="35685"/>
    <cellStyle name="Calculation 2 5 5 3 21" xfId="36624"/>
    <cellStyle name="Calculation 2 5 5 3 3" xfId="16088"/>
    <cellStyle name="Calculation 2 5 5 3 4" xfId="17066"/>
    <cellStyle name="Calculation 2 5 5 3 5" xfId="18094"/>
    <cellStyle name="Calculation 2 5 5 3 6" xfId="19126"/>
    <cellStyle name="Calculation 2 5 5 3 7" xfId="20148"/>
    <cellStyle name="Calculation 2 5 5 3 8" xfId="21157"/>
    <cellStyle name="Calculation 2 5 5 3 9" xfId="22131"/>
    <cellStyle name="Calculation 2 5 5 4" xfId="813"/>
    <cellStyle name="Calculation 2 5 5 4 10" xfId="23138"/>
    <cellStyle name="Calculation 2 5 5 4 11" xfId="24110"/>
    <cellStyle name="Calculation 2 5 5 4 12" xfId="25109"/>
    <cellStyle name="Calculation 2 5 5 4 13" xfId="28054"/>
    <cellStyle name="Calculation 2 5 5 4 14" xfId="29023"/>
    <cellStyle name="Calculation 2 5 5 4 15" xfId="30062"/>
    <cellStyle name="Calculation 2 5 5 4 16" xfId="31055"/>
    <cellStyle name="Calculation 2 5 5 4 17" xfId="32064"/>
    <cellStyle name="Calculation 2 5 5 4 18" xfId="33067"/>
    <cellStyle name="Calculation 2 5 5 4 19" xfId="34066"/>
    <cellStyle name="Calculation 2 5 5 4 2" xfId="814"/>
    <cellStyle name="Calculation 2 5 5 4 2 10" xfId="24111"/>
    <cellStyle name="Calculation 2 5 5 4 2 11" xfId="25110"/>
    <cellStyle name="Calculation 2 5 5 4 2 12" xfId="28055"/>
    <cellStyle name="Calculation 2 5 5 4 2 13" xfId="29024"/>
    <cellStyle name="Calculation 2 5 5 4 2 14" xfId="30063"/>
    <cellStyle name="Calculation 2 5 5 4 2 15" xfId="31056"/>
    <cellStyle name="Calculation 2 5 5 4 2 16" xfId="32065"/>
    <cellStyle name="Calculation 2 5 5 4 2 17" xfId="33068"/>
    <cellStyle name="Calculation 2 5 5 4 2 18" xfId="34067"/>
    <cellStyle name="Calculation 2 5 5 4 2 19" xfId="35688"/>
    <cellStyle name="Calculation 2 5 5 4 2 2" xfId="16091"/>
    <cellStyle name="Calculation 2 5 5 4 2 20" xfId="36627"/>
    <cellStyle name="Calculation 2 5 5 4 2 3" xfId="17069"/>
    <cellStyle name="Calculation 2 5 5 4 2 4" xfId="18097"/>
    <cellStyle name="Calculation 2 5 5 4 2 5" xfId="19129"/>
    <cellStyle name="Calculation 2 5 5 4 2 6" xfId="20151"/>
    <cellStyle name="Calculation 2 5 5 4 2 7" xfId="21160"/>
    <cellStyle name="Calculation 2 5 5 4 2 8" xfId="22134"/>
    <cellStyle name="Calculation 2 5 5 4 2 9" xfId="23139"/>
    <cellStyle name="Calculation 2 5 5 4 20" xfId="35687"/>
    <cellStyle name="Calculation 2 5 5 4 21" xfId="36626"/>
    <cellStyle name="Calculation 2 5 5 4 3" xfId="16090"/>
    <cellStyle name="Calculation 2 5 5 4 4" xfId="17068"/>
    <cellStyle name="Calculation 2 5 5 4 5" xfId="18096"/>
    <cellStyle name="Calculation 2 5 5 4 6" xfId="19128"/>
    <cellStyle name="Calculation 2 5 5 4 7" xfId="20150"/>
    <cellStyle name="Calculation 2 5 5 4 8" xfId="21159"/>
    <cellStyle name="Calculation 2 5 5 4 9" xfId="22133"/>
    <cellStyle name="Calculation 2 5 5 5" xfId="815"/>
    <cellStyle name="Calculation 2 5 5 5 10" xfId="24112"/>
    <cellStyle name="Calculation 2 5 5 5 11" xfId="25111"/>
    <cellStyle name="Calculation 2 5 5 5 12" xfId="28056"/>
    <cellStyle name="Calculation 2 5 5 5 13" xfId="29025"/>
    <cellStyle name="Calculation 2 5 5 5 14" xfId="30064"/>
    <cellStyle name="Calculation 2 5 5 5 15" xfId="31057"/>
    <cellStyle name="Calculation 2 5 5 5 16" xfId="32066"/>
    <cellStyle name="Calculation 2 5 5 5 17" xfId="33069"/>
    <cellStyle name="Calculation 2 5 5 5 18" xfId="34068"/>
    <cellStyle name="Calculation 2 5 5 5 19" xfId="35689"/>
    <cellStyle name="Calculation 2 5 5 5 2" xfId="16092"/>
    <cellStyle name="Calculation 2 5 5 5 20" xfId="36628"/>
    <cellStyle name="Calculation 2 5 5 5 3" xfId="17070"/>
    <cellStyle name="Calculation 2 5 5 5 4" xfId="18098"/>
    <cellStyle name="Calculation 2 5 5 5 5" xfId="19130"/>
    <cellStyle name="Calculation 2 5 5 5 6" xfId="20152"/>
    <cellStyle name="Calculation 2 5 5 5 7" xfId="21161"/>
    <cellStyle name="Calculation 2 5 5 5 8" xfId="22135"/>
    <cellStyle name="Calculation 2 5 5 5 9" xfId="23140"/>
    <cellStyle name="Calculation 2 5 5 6" xfId="14427"/>
    <cellStyle name="Calculation 2 5 5 7" xfId="15388"/>
    <cellStyle name="Calculation 2 5 5 8" xfId="14661"/>
    <cellStyle name="Calculation 2 5 5 9" xfId="14126"/>
    <cellStyle name="Calculation 2 5 6" xfId="816"/>
    <cellStyle name="Calculation 2 5 6 10" xfId="23141"/>
    <cellStyle name="Calculation 2 5 6 11" xfId="24113"/>
    <cellStyle name="Calculation 2 5 6 12" xfId="25112"/>
    <cellStyle name="Calculation 2 5 6 13" xfId="28057"/>
    <cellStyle name="Calculation 2 5 6 14" xfId="29026"/>
    <cellStyle name="Calculation 2 5 6 15" xfId="30065"/>
    <cellStyle name="Calculation 2 5 6 16" xfId="31058"/>
    <cellStyle name="Calculation 2 5 6 17" xfId="32067"/>
    <cellStyle name="Calculation 2 5 6 18" xfId="33070"/>
    <cellStyle name="Calculation 2 5 6 19" xfId="34069"/>
    <cellStyle name="Calculation 2 5 6 2" xfId="817"/>
    <cellStyle name="Calculation 2 5 6 2 10" xfId="24114"/>
    <cellStyle name="Calculation 2 5 6 2 11" xfId="25113"/>
    <cellStyle name="Calculation 2 5 6 2 12" xfId="28058"/>
    <cellStyle name="Calculation 2 5 6 2 13" xfId="29027"/>
    <cellStyle name="Calculation 2 5 6 2 14" xfId="30066"/>
    <cellStyle name="Calculation 2 5 6 2 15" xfId="31059"/>
    <cellStyle name="Calculation 2 5 6 2 16" xfId="32068"/>
    <cellStyle name="Calculation 2 5 6 2 17" xfId="33071"/>
    <cellStyle name="Calculation 2 5 6 2 18" xfId="34070"/>
    <cellStyle name="Calculation 2 5 6 2 19" xfId="35691"/>
    <cellStyle name="Calculation 2 5 6 2 2" xfId="16094"/>
    <cellStyle name="Calculation 2 5 6 2 20" xfId="36630"/>
    <cellStyle name="Calculation 2 5 6 2 3" xfId="17072"/>
    <cellStyle name="Calculation 2 5 6 2 4" xfId="18100"/>
    <cellStyle name="Calculation 2 5 6 2 5" xfId="19132"/>
    <cellStyle name="Calculation 2 5 6 2 6" xfId="20154"/>
    <cellStyle name="Calculation 2 5 6 2 7" xfId="21163"/>
    <cellStyle name="Calculation 2 5 6 2 8" xfId="22137"/>
    <cellStyle name="Calculation 2 5 6 2 9" xfId="23142"/>
    <cellStyle name="Calculation 2 5 6 20" xfId="35690"/>
    <cellStyle name="Calculation 2 5 6 21" xfId="36629"/>
    <cellStyle name="Calculation 2 5 6 3" xfId="16093"/>
    <cellStyle name="Calculation 2 5 6 4" xfId="17071"/>
    <cellStyle name="Calculation 2 5 6 5" xfId="18099"/>
    <cellStyle name="Calculation 2 5 6 6" xfId="19131"/>
    <cellStyle name="Calculation 2 5 6 7" xfId="20153"/>
    <cellStyle name="Calculation 2 5 6 8" xfId="21162"/>
    <cellStyle name="Calculation 2 5 6 9" xfId="22136"/>
    <cellStyle name="Calculation 2 5 7" xfId="818"/>
    <cellStyle name="Calculation 2 5 7 10" xfId="23143"/>
    <cellStyle name="Calculation 2 5 7 11" xfId="24115"/>
    <cellStyle name="Calculation 2 5 7 12" xfId="25114"/>
    <cellStyle name="Calculation 2 5 7 13" xfId="28059"/>
    <cellStyle name="Calculation 2 5 7 14" xfId="29028"/>
    <cellStyle name="Calculation 2 5 7 15" xfId="30067"/>
    <cellStyle name="Calculation 2 5 7 16" xfId="31060"/>
    <cellStyle name="Calculation 2 5 7 17" xfId="32069"/>
    <cellStyle name="Calculation 2 5 7 18" xfId="33072"/>
    <cellStyle name="Calculation 2 5 7 19" xfId="34071"/>
    <cellStyle name="Calculation 2 5 7 2" xfId="819"/>
    <cellStyle name="Calculation 2 5 7 2 10" xfId="24116"/>
    <cellStyle name="Calculation 2 5 7 2 11" xfId="25115"/>
    <cellStyle name="Calculation 2 5 7 2 12" xfId="28060"/>
    <cellStyle name="Calculation 2 5 7 2 13" xfId="29029"/>
    <cellStyle name="Calculation 2 5 7 2 14" xfId="30068"/>
    <cellStyle name="Calculation 2 5 7 2 15" xfId="31061"/>
    <cellStyle name="Calculation 2 5 7 2 16" xfId="32070"/>
    <cellStyle name="Calculation 2 5 7 2 17" xfId="33073"/>
    <cellStyle name="Calculation 2 5 7 2 18" xfId="34072"/>
    <cellStyle name="Calculation 2 5 7 2 19" xfId="35693"/>
    <cellStyle name="Calculation 2 5 7 2 2" xfId="16096"/>
    <cellStyle name="Calculation 2 5 7 2 20" xfId="36632"/>
    <cellStyle name="Calculation 2 5 7 2 3" xfId="17074"/>
    <cellStyle name="Calculation 2 5 7 2 4" xfId="18102"/>
    <cellStyle name="Calculation 2 5 7 2 5" xfId="19134"/>
    <cellStyle name="Calculation 2 5 7 2 6" xfId="20156"/>
    <cellStyle name="Calculation 2 5 7 2 7" xfId="21165"/>
    <cellStyle name="Calculation 2 5 7 2 8" xfId="22139"/>
    <cellStyle name="Calculation 2 5 7 2 9" xfId="23144"/>
    <cellStyle name="Calculation 2 5 7 20" xfId="35692"/>
    <cellStyle name="Calculation 2 5 7 21" xfId="36631"/>
    <cellStyle name="Calculation 2 5 7 3" xfId="16095"/>
    <cellStyle name="Calculation 2 5 7 4" xfId="17073"/>
    <cellStyle name="Calculation 2 5 7 5" xfId="18101"/>
    <cellStyle name="Calculation 2 5 7 6" xfId="19133"/>
    <cellStyle name="Calculation 2 5 7 7" xfId="20155"/>
    <cellStyle name="Calculation 2 5 7 8" xfId="21164"/>
    <cellStyle name="Calculation 2 5 7 9" xfId="22138"/>
    <cellStyle name="Calculation 2 5 8" xfId="820"/>
    <cellStyle name="Calculation 2 5 8 10" xfId="23145"/>
    <cellStyle name="Calculation 2 5 8 11" xfId="24117"/>
    <cellStyle name="Calculation 2 5 8 12" xfId="25116"/>
    <cellStyle name="Calculation 2 5 8 13" xfId="28061"/>
    <cellStyle name="Calculation 2 5 8 14" xfId="29030"/>
    <cellStyle name="Calculation 2 5 8 15" xfId="30069"/>
    <cellStyle name="Calculation 2 5 8 16" xfId="31062"/>
    <cellStyle name="Calculation 2 5 8 17" xfId="32071"/>
    <cellStyle name="Calculation 2 5 8 18" xfId="33074"/>
    <cellStyle name="Calculation 2 5 8 19" xfId="34073"/>
    <cellStyle name="Calculation 2 5 8 2" xfId="821"/>
    <cellStyle name="Calculation 2 5 8 2 10" xfId="24118"/>
    <cellStyle name="Calculation 2 5 8 2 11" xfId="25117"/>
    <cellStyle name="Calculation 2 5 8 2 12" xfId="28062"/>
    <cellStyle name="Calculation 2 5 8 2 13" xfId="29031"/>
    <cellStyle name="Calculation 2 5 8 2 14" xfId="30070"/>
    <cellStyle name="Calculation 2 5 8 2 15" xfId="31063"/>
    <cellStyle name="Calculation 2 5 8 2 16" xfId="32072"/>
    <cellStyle name="Calculation 2 5 8 2 17" xfId="33075"/>
    <cellStyle name="Calculation 2 5 8 2 18" xfId="34074"/>
    <cellStyle name="Calculation 2 5 8 2 19" xfId="35695"/>
    <cellStyle name="Calculation 2 5 8 2 2" xfId="16098"/>
    <cellStyle name="Calculation 2 5 8 2 20" xfId="36634"/>
    <cellStyle name="Calculation 2 5 8 2 3" xfId="17076"/>
    <cellStyle name="Calculation 2 5 8 2 4" xfId="18104"/>
    <cellStyle name="Calculation 2 5 8 2 5" xfId="19136"/>
    <cellStyle name="Calculation 2 5 8 2 6" xfId="20158"/>
    <cellStyle name="Calculation 2 5 8 2 7" xfId="21167"/>
    <cellStyle name="Calculation 2 5 8 2 8" xfId="22141"/>
    <cellStyle name="Calculation 2 5 8 2 9" xfId="23146"/>
    <cellStyle name="Calculation 2 5 8 20" xfId="35694"/>
    <cellStyle name="Calculation 2 5 8 21" xfId="36633"/>
    <cellStyle name="Calculation 2 5 8 3" xfId="16097"/>
    <cellStyle name="Calculation 2 5 8 4" xfId="17075"/>
    <cellStyle name="Calculation 2 5 8 5" xfId="18103"/>
    <cellStyle name="Calculation 2 5 8 6" xfId="19135"/>
    <cellStyle name="Calculation 2 5 8 7" xfId="20157"/>
    <cellStyle name="Calculation 2 5 8 8" xfId="21166"/>
    <cellStyle name="Calculation 2 5 8 9" xfId="22140"/>
    <cellStyle name="Calculation 2 5 9" xfId="822"/>
    <cellStyle name="Calculation 2 5 9 10" xfId="24119"/>
    <cellStyle name="Calculation 2 5 9 11" xfId="25118"/>
    <cellStyle name="Calculation 2 5 9 12" xfId="28063"/>
    <cellStyle name="Calculation 2 5 9 13" xfId="29032"/>
    <cellStyle name="Calculation 2 5 9 14" xfId="30071"/>
    <cellStyle name="Calculation 2 5 9 15" xfId="31064"/>
    <cellStyle name="Calculation 2 5 9 16" xfId="32073"/>
    <cellStyle name="Calculation 2 5 9 17" xfId="33076"/>
    <cellStyle name="Calculation 2 5 9 18" xfId="34075"/>
    <cellStyle name="Calculation 2 5 9 19" xfId="35696"/>
    <cellStyle name="Calculation 2 5 9 2" xfId="16099"/>
    <cellStyle name="Calculation 2 5 9 20" xfId="36635"/>
    <cellStyle name="Calculation 2 5 9 3" xfId="17077"/>
    <cellStyle name="Calculation 2 5 9 4" xfId="18105"/>
    <cellStyle name="Calculation 2 5 9 5" xfId="19137"/>
    <cellStyle name="Calculation 2 5 9 6" xfId="20159"/>
    <cellStyle name="Calculation 2 5 9 7" xfId="21168"/>
    <cellStyle name="Calculation 2 5 9 8" xfId="22142"/>
    <cellStyle name="Calculation 2 5 9 9" xfId="23147"/>
    <cellStyle name="Calculation 2 6" xfId="823"/>
    <cellStyle name="Calculation 2 6 10" xfId="13523"/>
    <cellStyle name="Calculation 2 6 11" xfId="13398"/>
    <cellStyle name="Calculation 2 6 12" xfId="15499"/>
    <cellStyle name="Calculation 2 6 13" xfId="15753"/>
    <cellStyle name="Calculation 2 6 14" xfId="14099"/>
    <cellStyle name="Calculation 2 6 15" xfId="14283"/>
    <cellStyle name="Calculation 2 6 16" xfId="26509"/>
    <cellStyle name="Calculation 2 6 17" xfId="27665"/>
    <cellStyle name="Calculation 2 6 18" xfId="26579"/>
    <cellStyle name="Calculation 2 6 19" xfId="27009"/>
    <cellStyle name="Calculation 2 6 2" xfId="824"/>
    <cellStyle name="Calculation 2 6 2 10" xfId="23148"/>
    <cellStyle name="Calculation 2 6 2 11" xfId="24120"/>
    <cellStyle name="Calculation 2 6 2 12" xfId="25119"/>
    <cellStyle name="Calculation 2 6 2 13" xfId="28064"/>
    <cellStyle name="Calculation 2 6 2 14" xfId="29033"/>
    <cellStyle name="Calculation 2 6 2 15" xfId="30072"/>
    <cellStyle name="Calculation 2 6 2 16" xfId="31065"/>
    <cellStyle name="Calculation 2 6 2 17" xfId="32074"/>
    <cellStyle name="Calculation 2 6 2 18" xfId="33077"/>
    <cellStyle name="Calculation 2 6 2 19" xfId="34076"/>
    <cellStyle name="Calculation 2 6 2 2" xfId="825"/>
    <cellStyle name="Calculation 2 6 2 2 10" xfId="24121"/>
    <cellStyle name="Calculation 2 6 2 2 11" xfId="25120"/>
    <cellStyle name="Calculation 2 6 2 2 12" xfId="28065"/>
    <cellStyle name="Calculation 2 6 2 2 13" xfId="29034"/>
    <cellStyle name="Calculation 2 6 2 2 14" xfId="30073"/>
    <cellStyle name="Calculation 2 6 2 2 15" xfId="31066"/>
    <cellStyle name="Calculation 2 6 2 2 16" xfId="32075"/>
    <cellStyle name="Calculation 2 6 2 2 17" xfId="33078"/>
    <cellStyle name="Calculation 2 6 2 2 18" xfId="34077"/>
    <cellStyle name="Calculation 2 6 2 2 19" xfId="35698"/>
    <cellStyle name="Calculation 2 6 2 2 2" xfId="16101"/>
    <cellStyle name="Calculation 2 6 2 2 20" xfId="36637"/>
    <cellStyle name="Calculation 2 6 2 2 3" xfId="17079"/>
    <cellStyle name="Calculation 2 6 2 2 4" xfId="18107"/>
    <cellStyle name="Calculation 2 6 2 2 5" xfId="19139"/>
    <cellStyle name="Calculation 2 6 2 2 6" xfId="20161"/>
    <cellStyle name="Calculation 2 6 2 2 7" xfId="21170"/>
    <cellStyle name="Calculation 2 6 2 2 8" xfId="22144"/>
    <cellStyle name="Calculation 2 6 2 2 9" xfId="23149"/>
    <cellStyle name="Calculation 2 6 2 20" xfId="35697"/>
    <cellStyle name="Calculation 2 6 2 21" xfId="36636"/>
    <cellStyle name="Calculation 2 6 2 3" xfId="16100"/>
    <cellStyle name="Calculation 2 6 2 4" xfId="17078"/>
    <cellStyle name="Calculation 2 6 2 5" xfId="18106"/>
    <cellStyle name="Calculation 2 6 2 6" xfId="19138"/>
    <cellStyle name="Calculation 2 6 2 7" xfId="20160"/>
    <cellStyle name="Calculation 2 6 2 8" xfId="21169"/>
    <cellStyle name="Calculation 2 6 2 9" xfId="22143"/>
    <cellStyle name="Calculation 2 6 20" xfId="26834"/>
    <cellStyle name="Calculation 2 6 21" xfId="27606"/>
    <cellStyle name="Calculation 2 6 22" xfId="26985"/>
    <cellStyle name="Calculation 2 6 23" xfId="35180"/>
    <cellStyle name="Calculation 2 6 24" xfId="35388"/>
    <cellStyle name="Calculation 2 6 3" xfId="826"/>
    <cellStyle name="Calculation 2 6 3 10" xfId="23150"/>
    <cellStyle name="Calculation 2 6 3 11" xfId="24122"/>
    <cellStyle name="Calculation 2 6 3 12" xfId="25121"/>
    <cellStyle name="Calculation 2 6 3 13" xfId="28066"/>
    <cellStyle name="Calculation 2 6 3 14" xfId="29035"/>
    <cellStyle name="Calculation 2 6 3 15" xfId="30074"/>
    <cellStyle name="Calculation 2 6 3 16" xfId="31067"/>
    <cellStyle name="Calculation 2 6 3 17" xfId="32076"/>
    <cellStyle name="Calculation 2 6 3 18" xfId="33079"/>
    <cellStyle name="Calculation 2 6 3 19" xfId="34078"/>
    <cellStyle name="Calculation 2 6 3 2" xfId="827"/>
    <cellStyle name="Calculation 2 6 3 2 10" xfId="24123"/>
    <cellStyle name="Calculation 2 6 3 2 11" xfId="25122"/>
    <cellStyle name="Calculation 2 6 3 2 12" xfId="28067"/>
    <cellStyle name="Calculation 2 6 3 2 13" xfId="29036"/>
    <cellStyle name="Calculation 2 6 3 2 14" xfId="30075"/>
    <cellStyle name="Calculation 2 6 3 2 15" xfId="31068"/>
    <cellStyle name="Calculation 2 6 3 2 16" xfId="32077"/>
    <cellStyle name="Calculation 2 6 3 2 17" xfId="33080"/>
    <cellStyle name="Calculation 2 6 3 2 18" xfId="34079"/>
    <cellStyle name="Calculation 2 6 3 2 19" xfId="35700"/>
    <cellStyle name="Calculation 2 6 3 2 2" xfId="16103"/>
    <cellStyle name="Calculation 2 6 3 2 20" xfId="36639"/>
    <cellStyle name="Calculation 2 6 3 2 3" xfId="17081"/>
    <cellStyle name="Calculation 2 6 3 2 4" xfId="18109"/>
    <cellStyle name="Calculation 2 6 3 2 5" xfId="19141"/>
    <cellStyle name="Calculation 2 6 3 2 6" xfId="20163"/>
    <cellStyle name="Calculation 2 6 3 2 7" xfId="21172"/>
    <cellStyle name="Calculation 2 6 3 2 8" xfId="22146"/>
    <cellStyle name="Calculation 2 6 3 2 9" xfId="23151"/>
    <cellStyle name="Calculation 2 6 3 20" xfId="35699"/>
    <cellStyle name="Calculation 2 6 3 21" xfId="36638"/>
    <cellStyle name="Calculation 2 6 3 3" xfId="16102"/>
    <cellStyle name="Calculation 2 6 3 4" xfId="17080"/>
    <cellStyle name="Calculation 2 6 3 5" xfId="18108"/>
    <cellStyle name="Calculation 2 6 3 6" xfId="19140"/>
    <cellStyle name="Calculation 2 6 3 7" xfId="20162"/>
    <cellStyle name="Calculation 2 6 3 8" xfId="21171"/>
    <cellStyle name="Calculation 2 6 3 9" xfId="22145"/>
    <cellStyle name="Calculation 2 6 4" xfId="828"/>
    <cellStyle name="Calculation 2 6 4 10" xfId="23152"/>
    <cellStyle name="Calculation 2 6 4 11" xfId="24124"/>
    <cellStyle name="Calculation 2 6 4 12" xfId="25123"/>
    <cellStyle name="Calculation 2 6 4 13" xfId="28068"/>
    <cellStyle name="Calculation 2 6 4 14" xfId="29037"/>
    <cellStyle name="Calculation 2 6 4 15" xfId="30076"/>
    <cellStyle name="Calculation 2 6 4 16" xfId="31069"/>
    <cellStyle name="Calculation 2 6 4 17" xfId="32078"/>
    <cellStyle name="Calculation 2 6 4 18" xfId="33081"/>
    <cellStyle name="Calculation 2 6 4 19" xfId="34080"/>
    <cellStyle name="Calculation 2 6 4 2" xfId="829"/>
    <cellStyle name="Calculation 2 6 4 2 10" xfId="24125"/>
    <cellStyle name="Calculation 2 6 4 2 11" xfId="25124"/>
    <cellStyle name="Calculation 2 6 4 2 12" xfId="28069"/>
    <cellStyle name="Calculation 2 6 4 2 13" xfId="29038"/>
    <cellStyle name="Calculation 2 6 4 2 14" xfId="30077"/>
    <cellStyle name="Calculation 2 6 4 2 15" xfId="31070"/>
    <cellStyle name="Calculation 2 6 4 2 16" xfId="32079"/>
    <cellStyle name="Calculation 2 6 4 2 17" xfId="33082"/>
    <cellStyle name="Calculation 2 6 4 2 18" xfId="34081"/>
    <cellStyle name="Calculation 2 6 4 2 19" xfId="35702"/>
    <cellStyle name="Calculation 2 6 4 2 2" xfId="16105"/>
    <cellStyle name="Calculation 2 6 4 2 20" xfId="36641"/>
    <cellStyle name="Calculation 2 6 4 2 3" xfId="17083"/>
    <cellStyle name="Calculation 2 6 4 2 4" xfId="18111"/>
    <cellStyle name="Calculation 2 6 4 2 5" xfId="19143"/>
    <cellStyle name="Calculation 2 6 4 2 6" xfId="20165"/>
    <cellStyle name="Calculation 2 6 4 2 7" xfId="21174"/>
    <cellStyle name="Calculation 2 6 4 2 8" xfId="22148"/>
    <cellStyle name="Calculation 2 6 4 2 9" xfId="23153"/>
    <cellStyle name="Calculation 2 6 4 20" xfId="35701"/>
    <cellStyle name="Calculation 2 6 4 21" xfId="36640"/>
    <cellStyle name="Calculation 2 6 4 3" xfId="16104"/>
    <cellStyle name="Calculation 2 6 4 4" xfId="17082"/>
    <cellStyle name="Calculation 2 6 4 5" xfId="18110"/>
    <cellStyle name="Calculation 2 6 4 6" xfId="19142"/>
    <cellStyle name="Calculation 2 6 4 7" xfId="20164"/>
    <cellStyle name="Calculation 2 6 4 8" xfId="21173"/>
    <cellStyle name="Calculation 2 6 4 9" xfId="22147"/>
    <cellStyle name="Calculation 2 6 5" xfId="830"/>
    <cellStyle name="Calculation 2 6 5 10" xfId="24126"/>
    <cellStyle name="Calculation 2 6 5 11" xfId="25125"/>
    <cellStyle name="Calculation 2 6 5 12" xfId="28070"/>
    <cellStyle name="Calculation 2 6 5 13" xfId="29039"/>
    <cellStyle name="Calculation 2 6 5 14" xfId="30078"/>
    <cellStyle name="Calculation 2 6 5 15" xfId="31071"/>
    <cellStyle name="Calculation 2 6 5 16" xfId="32080"/>
    <cellStyle name="Calculation 2 6 5 17" xfId="33083"/>
    <cellStyle name="Calculation 2 6 5 18" xfId="34082"/>
    <cellStyle name="Calculation 2 6 5 19" xfId="35703"/>
    <cellStyle name="Calculation 2 6 5 2" xfId="16106"/>
    <cellStyle name="Calculation 2 6 5 20" xfId="36642"/>
    <cellStyle name="Calculation 2 6 5 3" xfId="17084"/>
    <cellStyle name="Calculation 2 6 5 4" xfId="18112"/>
    <cellStyle name="Calculation 2 6 5 5" xfId="19144"/>
    <cellStyle name="Calculation 2 6 5 6" xfId="20166"/>
    <cellStyle name="Calculation 2 6 5 7" xfId="21175"/>
    <cellStyle name="Calculation 2 6 5 8" xfId="22149"/>
    <cellStyle name="Calculation 2 6 5 9" xfId="23154"/>
    <cellStyle name="Calculation 2 6 6" xfId="13948"/>
    <cellStyle name="Calculation 2 6 7" xfId="14821"/>
    <cellStyle name="Calculation 2 6 8" xfId="13491"/>
    <cellStyle name="Calculation 2 6 9" xfId="13390"/>
    <cellStyle name="Calculation 2 7" xfId="831"/>
    <cellStyle name="Calculation 2 7 10" xfId="23155"/>
    <cellStyle name="Calculation 2 7 11" xfId="24127"/>
    <cellStyle name="Calculation 2 7 12" xfId="25126"/>
    <cellStyle name="Calculation 2 7 13" xfId="28071"/>
    <cellStyle name="Calculation 2 7 14" xfId="29040"/>
    <cellStyle name="Calculation 2 7 15" xfId="30079"/>
    <cellStyle name="Calculation 2 7 16" xfId="31072"/>
    <cellStyle name="Calculation 2 7 17" xfId="32081"/>
    <cellStyle name="Calculation 2 7 18" xfId="33084"/>
    <cellStyle name="Calculation 2 7 19" xfId="34083"/>
    <cellStyle name="Calculation 2 7 2" xfId="832"/>
    <cellStyle name="Calculation 2 7 2 10" xfId="24128"/>
    <cellStyle name="Calculation 2 7 2 11" xfId="25127"/>
    <cellStyle name="Calculation 2 7 2 12" xfId="28072"/>
    <cellStyle name="Calculation 2 7 2 13" xfId="29041"/>
    <cellStyle name="Calculation 2 7 2 14" xfId="30080"/>
    <cellStyle name="Calculation 2 7 2 15" xfId="31073"/>
    <cellStyle name="Calculation 2 7 2 16" xfId="32082"/>
    <cellStyle name="Calculation 2 7 2 17" xfId="33085"/>
    <cellStyle name="Calculation 2 7 2 18" xfId="34084"/>
    <cellStyle name="Calculation 2 7 2 19" xfId="35705"/>
    <cellStyle name="Calculation 2 7 2 2" xfId="16108"/>
    <cellStyle name="Calculation 2 7 2 20" xfId="36644"/>
    <cellStyle name="Calculation 2 7 2 3" xfId="17086"/>
    <cellStyle name="Calculation 2 7 2 4" xfId="18114"/>
    <cellStyle name="Calculation 2 7 2 5" xfId="19146"/>
    <cellStyle name="Calculation 2 7 2 6" xfId="20168"/>
    <cellStyle name="Calculation 2 7 2 7" xfId="21177"/>
    <cellStyle name="Calculation 2 7 2 8" xfId="22151"/>
    <cellStyle name="Calculation 2 7 2 9" xfId="23156"/>
    <cellStyle name="Calculation 2 7 20" xfId="35704"/>
    <cellStyle name="Calculation 2 7 21" xfId="36643"/>
    <cellStyle name="Calculation 2 7 3" xfId="16107"/>
    <cellStyle name="Calculation 2 7 4" xfId="17085"/>
    <cellStyle name="Calculation 2 7 5" xfId="18113"/>
    <cellStyle name="Calculation 2 7 6" xfId="19145"/>
    <cellStyle name="Calculation 2 7 7" xfId="20167"/>
    <cellStyle name="Calculation 2 7 8" xfId="21176"/>
    <cellStyle name="Calculation 2 7 9" xfId="22150"/>
    <cellStyle name="Calculation 2 8" xfId="833"/>
    <cellStyle name="Calculation 2 8 10" xfId="23157"/>
    <cellStyle name="Calculation 2 8 11" xfId="24129"/>
    <cellStyle name="Calculation 2 8 12" xfId="25128"/>
    <cellStyle name="Calculation 2 8 13" xfId="28073"/>
    <cellStyle name="Calculation 2 8 14" xfId="29042"/>
    <cellStyle name="Calculation 2 8 15" xfId="30081"/>
    <cellStyle name="Calculation 2 8 16" xfId="31074"/>
    <cellStyle name="Calculation 2 8 17" xfId="32083"/>
    <cellStyle name="Calculation 2 8 18" xfId="33086"/>
    <cellStyle name="Calculation 2 8 19" xfId="34085"/>
    <cellStyle name="Calculation 2 8 2" xfId="834"/>
    <cellStyle name="Calculation 2 8 2 10" xfId="24130"/>
    <cellStyle name="Calculation 2 8 2 11" xfId="25129"/>
    <cellStyle name="Calculation 2 8 2 12" xfId="28074"/>
    <cellStyle name="Calculation 2 8 2 13" xfId="29043"/>
    <cellStyle name="Calculation 2 8 2 14" xfId="30082"/>
    <cellStyle name="Calculation 2 8 2 15" xfId="31075"/>
    <cellStyle name="Calculation 2 8 2 16" xfId="32084"/>
    <cellStyle name="Calculation 2 8 2 17" xfId="33087"/>
    <cellStyle name="Calculation 2 8 2 18" xfId="34086"/>
    <cellStyle name="Calculation 2 8 2 19" xfId="35707"/>
    <cellStyle name="Calculation 2 8 2 2" xfId="16110"/>
    <cellStyle name="Calculation 2 8 2 20" xfId="36646"/>
    <cellStyle name="Calculation 2 8 2 3" xfId="17088"/>
    <cellStyle name="Calculation 2 8 2 4" xfId="18116"/>
    <cellStyle name="Calculation 2 8 2 5" xfId="19148"/>
    <cellStyle name="Calculation 2 8 2 6" xfId="20170"/>
    <cellStyle name="Calculation 2 8 2 7" xfId="21179"/>
    <cellStyle name="Calculation 2 8 2 8" xfId="22153"/>
    <cellStyle name="Calculation 2 8 2 9" xfId="23158"/>
    <cellStyle name="Calculation 2 8 20" xfId="35706"/>
    <cellStyle name="Calculation 2 8 21" xfId="36645"/>
    <cellStyle name="Calculation 2 8 3" xfId="16109"/>
    <cellStyle name="Calculation 2 8 4" xfId="17087"/>
    <cellStyle name="Calculation 2 8 5" xfId="18115"/>
    <cellStyle name="Calculation 2 8 6" xfId="19147"/>
    <cellStyle name="Calculation 2 8 7" xfId="20169"/>
    <cellStyle name="Calculation 2 8 8" xfId="21178"/>
    <cellStyle name="Calculation 2 8 9" xfId="22152"/>
    <cellStyle name="Calculation 2 9" xfId="835"/>
    <cellStyle name="Calculation 2 9 10" xfId="23159"/>
    <cellStyle name="Calculation 2 9 11" xfId="24131"/>
    <cellStyle name="Calculation 2 9 12" xfId="25130"/>
    <cellStyle name="Calculation 2 9 13" xfId="28075"/>
    <cellStyle name="Calculation 2 9 14" xfId="29044"/>
    <cellStyle name="Calculation 2 9 15" xfId="30083"/>
    <cellStyle name="Calculation 2 9 16" xfId="31076"/>
    <cellStyle name="Calculation 2 9 17" xfId="32085"/>
    <cellStyle name="Calculation 2 9 18" xfId="33088"/>
    <cellStyle name="Calculation 2 9 19" xfId="34087"/>
    <cellStyle name="Calculation 2 9 2" xfId="836"/>
    <cellStyle name="Calculation 2 9 2 10" xfId="24132"/>
    <cellStyle name="Calculation 2 9 2 11" xfId="25131"/>
    <cellStyle name="Calculation 2 9 2 12" xfId="28076"/>
    <cellStyle name="Calculation 2 9 2 13" xfId="29045"/>
    <cellStyle name="Calculation 2 9 2 14" xfId="30084"/>
    <cellStyle name="Calculation 2 9 2 15" xfId="31077"/>
    <cellStyle name="Calculation 2 9 2 16" xfId="32086"/>
    <cellStyle name="Calculation 2 9 2 17" xfId="33089"/>
    <cellStyle name="Calculation 2 9 2 18" xfId="34088"/>
    <cellStyle name="Calculation 2 9 2 19" xfId="35709"/>
    <cellStyle name="Calculation 2 9 2 2" xfId="16112"/>
    <cellStyle name="Calculation 2 9 2 20" xfId="36648"/>
    <cellStyle name="Calculation 2 9 2 3" xfId="17090"/>
    <cellStyle name="Calculation 2 9 2 4" xfId="18118"/>
    <cellStyle name="Calculation 2 9 2 5" xfId="19150"/>
    <cellStyle name="Calculation 2 9 2 6" xfId="20172"/>
    <cellStyle name="Calculation 2 9 2 7" xfId="21181"/>
    <cellStyle name="Calculation 2 9 2 8" xfId="22155"/>
    <cellStyle name="Calculation 2 9 2 9" xfId="23160"/>
    <cellStyle name="Calculation 2 9 20" xfId="35708"/>
    <cellStyle name="Calculation 2 9 21" xfId="36647"/>
    <cellStyle name="Calculation 2 9 3" xfId="16111"/>
    <cellStyle name="Calculation 2 9 4" xfId="17089"/>
    <cellStyle name="Calculation 2 9 5" xfId="18117"/>
    <cellStyle name="Calculation 2 9 6" xfId="19149"/>
    <cellStyle name="Calculation 2 9 7" xfId="20171"/>
    <cellStyle name="Calculation 2 9 8" xfId="21180"/>
    <cellStyle name="Calculation 2 9 9" xfId="22154"/>
    <cellStyle name="Calculation 2_Rate Sheet" xfId="37417"/>
    <cellStyle name="Calculation 3" xfId="97"/>
    <cellStyle name="Calculation 3 10" xfId="837"/>
    <cellStyle name="Calculation 3 10 10" xfId="24865"/>
    <cellStyle name="Calculation 3 10 11" xfId="25864"/>
    <cellStyle name="Calculation 3 10 12" xfId="28770"/>
    <cellStyle name="Calculation 3 10 13" xfId="29787"/>
    <cellStyle name="Calculation 3 10 14" xfId="30820"/>
    <cellStyle name="Calculation 3 10 15" xfId="31815"/>
    <cellStyle name="Calculation 3 10 16" xfId="32819"/>
    <cellStyle name="Calculation 3 10 17" xfId="33822"/>
    <cellStyle name="Calculation 3 10 18" xfId="34821"/>
    <cellStyle name="Calculation 3 10 19" xfId="36382"/>
    <cellStyle name="Calculation 3 10 2" xfId="16854"/>
    <cellStyle name="Calculation 3 10 20" xfId="37381"/>
    <cellStyle name="Calculation 3 10 3" xfId="17834"/>
    <cellStyle name="Calculation 3 10 4" xfId="18859"/>
    <cellStyle name="Calculation 3 10 5" xfId="19893"/>
    <cellStyle name="Calculation 3 10 6" xfId="20918"/>
    <cellStyle name="Calculation 3 10 7" xfId="21878"/>
    <cellStyle name="Calculation 3 10 8" xfId="22890"/>
    <cellStyle name="Calculation 3 10 9" xfId="23893"/>
    <cellStyle name="Calculation 3 11" xfId="34905"/>
    <cellStyle name="Calculation 3 12" xfId="37395"/>
    <cellStyle name="Calculation 3 13" xfId="37419"/>
    <cellStyle name="Calculation 3 14" xfId="37555"/>
    <cellStyle name="Calculation 3 2" xfId="314"/>
    <cellStyle name="Calculation 3 2 10" xfId="37464"/>
    <cellStyle name="Calculation 3 2 11" xfId="37563"/>
    <cellStyle name="Calculation 3 2 2" xfId="838"/>
    <cellStyle name="Calculation 3 2 2 10" xfId="13704"/>
    <cellStyle name="Calculation 3 2 2 11" xfId="13573"/>
    <cellStyle name="Calculation 3 2 2 12" xfId="14279"/>
    <cellStyle name="Calculation 3 2 2 13" xfId="13420"/>
    <cellStyle name="Calculation 3 2 2 14" xfId="14234"/>
    <cellStyle name="Calculation 3 2 2 15" xfId="20938"/>
    <cellStyle name="Calculation 3 2 2 16" xfId="26284"/>
    <cellStyle name="Calculation 3 2 2 17" xfId="27741"/>
    <cellStyle name="Calculation 3 2 2 18" xfId="26810"/>
    <cellStyle name="Calculation 3 2 2 19" xfId="27442"/>
    <cellStyle name="Calculation 3 2 2 2" xfId="839"/>
    <cellStyle name="Calculation 3 2 2 2 10" xfId="19909"/>
    <cellStyle name="Calculation 3 2 2 2 11" xfId="15156"/>
    <cellStyle name="Calculation 3 2 2 2 12" xfId="26337"/>
    <cellStyle name="Calculation 3 2 2 2 13" xfId="27155"/>
    <cellStyle name="Calculation 3 2 2 2 14" xfId="27351"/>
    <cellStyle name="Calculation 3 2 2 2 15" xfId="26674"/>
    <cellStyle name="Calculation 3 2 2 2 16" xfId="29822"/>
    <cellStyle name="Calculation 3 2 2 2 17" xfId="26351"/>
    <cellStyle name="Calculation 3 2 2 2 18" xfId="35032"/>
    <cellStyle name="Calculation 3 2 2 2 19" xfId="35309"/>
    <cellStyle name="Calculation 3 2 2 2 2" xfId="840"/>
    <cellStyle name="Calculation 3 2 2 2 2 10" xfId="23161"/>
    <cellStyle name="Calculation 3 2 2 2 2 11" xfId="24133"/>
    <cellStyle name="Calculation 3 2 2 2 2 12" xfId="25132"/>
    <cellStyle name="Calculation 3 2 2 2 2 13" xfId="28077"/>
    <cellStyle name="Calculation 3 2 2 2 2 14" xfId="29046"/>
    <cellStyle name="Calculation 3 2 2 2 2 15" xfId="30085"/>
    <cellStyle name="Calculation 3 2 2 2 2 16" xfId="31078"/>
    <cellStyle name="Calculation 3 2 2 2 2 17" xfId="32087"/>
    <cellStyle name="Calculation 3 2 2 2 2 18" xfId="33090"/>
    <cellStyle name="Calculation 3 2 2 2 2 19" xfId="34089"/>
    <cellStyle name="Calculation 3 2 2 2 2 2" xfId="841"/>
    <cellStyle name="Calculation 3 2 2 2 2 2 10" xfId="24134"/>
    <cellStyle name="Calculation 3 2 2 2 2 2 11" xfId="25133"/>
    <cellStyle name="Calculation 3 2 2 2 2 2 12" xfId="28078"/>
    <cellStyle name="Calculation 3 2 2 2 2 2 13" xfId="29047"/>
    <cellStyle name="Calculation 3 2 2 2 2 2 14" xfId="30086"/>
    <cellStyle name="Calculation 3 2 2 2 2 2 15" xfId="31079"/>
    <cellStyle name="Calculation 3 2 2 2 2 2 16" xfId="32088"/>
    <cellStyle name="Calculation 3 2 2 2 2 2 17" xfId="33091"/>
    <cellStyle name="Calculation 3 2 2 2 2 2 18" xfId="34090"/>
    <cellStyle name="Calculation 3 2 2 2 2 2 19" xfId="35711"/>
    <cellStyle name="Calculation 3 2 2 2 2 2 2" xfId="16114"/>
    <cellStyle name="Calculation 3 2 2 2 2 2 20" xfId="36650"/>
    <cellStyle name="Calculation 3 2 2 2 2 2 3" xfId="17092"/>
    <cellStyle name="Calculation 3 2 2 2 2 2 4" xfId="18120"/>
    <cellStyle name="Calculation 3 2 2 2 2 2 5" xfId="19152"/>
    <cellStyle name="Calculation 3 2 2 2 2 2 6" xfId="20174"/>
    <cellStyle name="Calculation 3 2 2 2 2 2 7" xfId="21183"/>
    <cellStyle name="Calculation 3 2 2 2 2 2 8" xfId="22157"/>
    <cellStyle name="Calculation 3 2 2 2 2 2 9" xfId="23162"/>
    <cellStyle name="Calculation 3 2 2 2 2 20" xfId="35710"/>
    <cellStyle name="Calculation 3 2 2 2 2 21" xfId="36649"/>
    <cellStyle name="Calculation 3 2 2 2 2 3" xfId="16113"/>
    <cellStyle name="Calculation 3 2 2 2 2 4" xfId="17091"/>
    <cellStyle name="Calculation 3 2 2 2 2 5" xfId="18119"/>
    <cellStyle name="Calculation 3 2 2 2 2 6" xfId="19151"/>
    <cellStyle name="Calculation 3 2 2 2 2 7" xfId="20173"/>
    <cellStyle name="Calculation 3 2 2 2 2 8" xfId="21182"/>
    <cellStyle name="Calculation 3 2 2 2 2 9" xfId="22156"/>
    <cellStyle name="Calculation 3 2 2 2 3" xfId="842"/>
    <cellStyle name="Calculation 3 2 2 2 3 10" xfId="23163"/>
    <cellStyle name="Calculation 3 2 2 2 3 11" xfId="24135"/>
    <cellStyle name="Calculation 3 2 2 2 3 12" xfId="25134"/>
    <cellStyle name="Calculation 3 2 2 2 3 13" xfId="28079"/>
    <cellStyle name="Calculation 3 2 2 2 3 14" xfId="29048"/>
    <cellStyle name="Calculation 3 2 2 2 3 15" xfId="30087"/>
    <cellStyle name="Calculation 3 2 2 2 3 16" xfId="31080"/>
    <cellStyle name="Calculation 3 2 2 2 3 17" xfId="32089"/>
    <cellStyle name="Calculation 3 2 2 2 3 18" xfId="33092"/>
    <cellStyle name="Calculation 3 2 2 2 3 19" xfId="34091"/>
    <cellStyle name="Calculation 3 2 2 2 3 2" xfId="843"/>
    <cellStyle name="Calculation 3 2 2 2 3 2 10" xfId="24136"/>
    <cellStyle name="Calculation 3 2 2 2 3 2 11" xfId="25135"/>
    <cellStyle name="Calculation 3 2 2 2 3 2 12" xfId="28080"/>
    <cellStyle name="Calculation 3 2 2 2 3 2 13" xfId="29049"/>
    <cellStyle name="Calculation 3 2 2 2 3 2 14" xfId="30088"/>
    <cellStyle name="Calculation 3 2 2 2 3 2 15" xfId="31081"/>
    <cellStyle name="Calculation 3 2 2 2 3 2 16" xfId="32090"/>
    <cellStyle name="Calculation 3 2 2 2 3 2 17" xfId="33093"/>
    <cellStyle name="Calculation 3 2 2 2 3 2 18" xfId="34092"/>
    <cellStyle name="Calculation 3 2 2 2 3 2 19" xfId="35713"/>
    <cellStyle name="Calculation 3 2 2 2 3 2 2" xfId="16116"/>
    <cellStyle name="Calculation 3 2 2 2 3 2 20" xfId="36652"/>
    <cellStyle name="Calculation 3 2 2 2 3 2 3" xfId="17094"/>
    <cellStyle name="Calculation 3 2 2 2 3 2 4" xfId="18122"/>
    <cellStyle name="Calculation 3 2 2 2 3 2 5" xfId="19154"/>
    <cellStyle name="Calculation 3 2 2 2 3 2 6" xfId="20176"/>
    <cellStyle name="Calculation 3 2 2 2 3 2 7" xfId="21185"/>
    <cellStyle name="Calculation 3 2 2 2 3 2 8" xfId="22159"/>
    <cellStyle name="Calculation 3 2 2 2 3 2 9" xfId="23164"/>
    <cellStyle name="Calculation 3 2 2 2 3 20" xfId="35712"/>
    <cellStyle name="Calculation 3 2 2 2 3 21" xfId="36651"/>
    <cellStyle name="Calculation 3 2 2 2 3 3" xfId="16115"/>
    <cellStyle name="Calculation 3 2 2 2 3 4" xfId="17093"/>
    <cellStyle name="Calculation 3 2 2 2 3 5" xfId="18121"/>
    <cellStyle name="Calculation 3 2 2 2 3 6" xfId="19153"/>
    <cellStyle name="Calculation 3 2 2 2 3 7" xfId="20175"/>
    <cellStyle name="Calculation 3 2 2 2 3 8" xfId="21184"/>
    <cellStyle name="Calculation 3 2 2 2 3 9" xfId="22158"/>
    <cellStyle name="Calculation 3 2 2 2 4" xfId="844"/>
    <cellStyle name="Calculation 3 2 2 2 4 10" xfId="23165"/>
    <cellStyle name="Calculation 3 2 2 2 4 11" xfId="24137"/>
    <cellStyle name="Calculation 3 2 2 2 4 12" xfId="25136"/>
    <cellStyle name="Calculation 3 2 2 2 4 13" xfId="28081"/>
    <cellStyle name="Calculation 3 2 2 2 4 14" xfId="29050"/>
    <cellStyle name="Calculation 3 2 2 2 4 15" xfId="30089"/>
    <cellStyle name="Calculation 3 2 2 2 4 16" xfId="31082"/>
    <cellStyle name="Calculation 3 2 2 2 4 17" xfId="32091"/>
    <cellStyle name="Calculation 3 2 2 2 4 18" xfId="33094"/>
    <cellStyle name="Calculation 3 2 2 2 4 19" xfId="34093"/>
    <cellStyle name="Calculation 3 2 2 2 4 2" xfId="845"/>
    <cellStyle name="Calculation 3 2 2 2 4 2 10" xfId="24138"/>
    <cellStyle name="Calculation 3 2 2 2 4 2 11" xfId="25137"/>
    <cellStyle name="Calculation 3 2 2 2 4 2 12" xfId="28082"/>
    <cellStyle name="Calculation 3 2 2 2 4 2 13" xfId="29051"/>
    <cellStyle name="Calculation 3 2 2 2 4 2 14" xfId="30090"/>
    <cellStyle name="Calculation 3 2 2 2 4 2 15" xfId="31083"/>
    <cellStyle name="Calculation 3 2 2 2 4 2 16" xfId="32092"/>
    <cellStyle name="Calculation 3 2 2 2 4 2 17" xfId="33095"/>
    <cellStyle name="Calculation 3 2 2 2 4 2 18" xfId="34094"/>
    <cellStyle name="Calculation 3 2 2 2 4 2 19" xfId="35715"/>
    <cellStyle name="Calculation 3 2 2 2 4 2 2" xfId="16118"/>
    <cellStyle name="Calculation 3 2 2 2 4 2 20" xfId="36654"/>
    <cellStyle name="Calculation 3 2 2 2 4 2 3" xfId="17096"/>
    <cellStyle name="Calculation 3 2 2 2 4 2 4" xfId="18124"/>
    <cellStyle name="Calculation 3 2 2 2 4 2 5" xfId="19156"/>
    <cellStyle name="Calculation 3 2 2 2 4 2 6" xfId="20178"/>
    <cellStyle name="Calculation 3 2 2 2 4 2 7" xfId="21187"/>
    <cellStyle name="Calculation 3 2 2 2 4 2 8" xfId="22161"/>
    <cellStyle name="Calculation 3 2 2 2 4 2 9" xfId="23166"/>
    <cellStyle name="Calculation 3 2 2 2 4 20" xfId="35714"/>
    <cellStyle name="Calculation 3 2 2 2 4 21" xfId="36653"/>
    <cellStyle name="Calculation 3 2 2 2 4 3" xfId="16117"/>
    <cellStyle name="Calculation 3 2 2 2 4 4" xfId="17095"/>
    <cellStyle name="Calculation 3 2 2 2 4 5" xfId="18123"/>
    <cellStyle name="Calculation 3 2 2 2 4 6" xfId="19155"/>
    <cellStyle name="Calculation 3 2 2 2 4 7" xfId="20177"/>
    <cellStyle name="Calculation 3 2 2 2 4 8" xfId="21186"/>
    <cellStyle name="Calculation 3 2 2 2 4 9" xfId="22160"/>
    <cellStyle name="Calculation 3 2 2 2 5" xfId="846"/>
    <cellStyle name="Calculation 3 2 2 2 5 10" xfId="24139"/>
    <cellStyle name="Calculation 3 2 2 2 5 11" xfId="25138"/>
    <cellStyle name="Calculation 3 2 2 2 5 12" xfId="28083"/>
    <cellStyle name="Calculation 3 2 2 2 5 13" xfId="29052"/>
    <cellStyle name="Calculation 3 2 2 2 5 14" xfId="30091"/>
    <cellStyle name="Calculation 3 2 2 2 5 15" xfId="31084"/>
    <cellStyle name="Calculation 3 2 2 2 5 16" xfId="32093"/>
    <cellStyle name="Calculation 3 2 2 2 5 17" xfId="33096"/>
    <cellStyle name="Calculation 3 2 2 2 5 18" xfId="34095"/>
    <cellStyle name="Calculation 3 2 2 2 5 19" xfId="35716"/>
    <cellStyle name="Calculation 3 2 2 2 5 2" xfId="16119"/>
    <cellStyle name="Calculation 3 2 2 2 5 20" xfId="36655"/>
    <cellStyle name="Calculation 3 2 2 2 5 3" xfId="17097"/>
    <cellStyle name="Calculation 3 2 2 2 5 4" xfId="18125"/>
    <cellStyle name="Calculation 3 2 2 2 5 5" xfId="19157"/>
    <cellStyle name="Calculation 3 2 2 2 5 6" xfId="20179"/>
    <cellStyle name="Calculation 3 2 2 2 5 7" xfId="21188"/>
    <cellStyle name="Calculation 3 2 2 2 5 8" xfId="22162"/>
    <cellStyle name="Calculation 3 2 2 2 5 9" xfId="23167"/>
    <cellStyle name="Calculation 3 2 2 2 6" xfId="15135"/>
    <cellStyle name="Calculation 3 2 2 2 7" xfId="15568"/>
    <cellStyle name="Calculation 3 2 2 2 8" xfId="13792"/>
    <cellStyle name="Calculation 3 2 2 2 9" xfId="18903"/>
    <cellStyle name="Calculation 3 2 2 20" xfId="26892"/>
    <cellStyle name="Calculation 3 2 2 21" xfId="26896"/>
    <cellStyle name="Calculation 3 2 2 22" xfId="34980"/>
    <cellStyle name="Calculation 3 2 2 23" xfId="35347"/>
    <cellStyle name="Calculation 3 2 2 24" xfId="37472"/>
    <cellStyle name="Calculation 3 2 2 3" xfId="847"/>
    <cellStyle name="Calculation 3 2 2 3 10" xfId="15296"/>
    <cellStyle name="Calculation 3 2 2 3 11" xfId="14771"/>
    <cellStyle name="Calculation 3 2 2 3 12" xfId="26476"/>
    <cellStyle name="Calculation 3 2 2 3 13" xfId="27066"/>
    <cellStyle name="Calculation 3 2 2 3 14" xfId="26495"/>
    <cellStyle name="Calculation 3 2 2 3 15" xfId="26558"/>
    <cellStyle name="Calculation 3 2 2 3 16" xfId="26499"/>
    <cellStyle name="Calculation 3 2 2 3 17" xfId="27508"/>
    <cellStyle name="Calculation 3 2 2 3 18" xfId="35159"/>
    <cellStyle name="Calculation 3 2 2 3 19" xfId="35395"/>
    <cellStyle name="Calculation 3 2 2 3 2" xfId="848"/>
    <cellStyle name="Calculation 3 2 2 3 2 10" xfId="23168"/>
    <cellStyle name="Calculation 3 2 2 3 2 11" xfId="24140"/>
    <cellStyle name="Calculation 3 2 2 3 2 12" xfId="25139"/>
    <cellStyle name="Calculation 3 2 2 3 2 13" xfId="28084"/>
    <cellStyle name="Calculation 3 2 2 3 2 14" xfId="29053"/>
    <cellStyle name="Calculation 3 2 2 3 2 15" xfId="30092"/>
    <cellStyle name="Calculation 3 2 2 3 2 16" xfId="31085"/>
    <cellStyle name="Calculation 3 2 2 3 2 17" xfId="32094"/>
    <cellStyle name="Calculation 3 2 2 3 2 18" xfId="33097"/>
    <cellStyle name="Calculation 3 2 2 3 2 19" xfId="34096"/>
    <cellStyle name="Calculation 3 2 2 3 2 2" xfId="849"/>
    <cellStyle name="Calculation 3 2 2 3 2 2 10" xfId="24141"/>
    <cellStyle name="Calculation 3 2 2 3 2 2 11" xfId="25140"/>
    <cellStyle name="Calculation 3 2 2 3 2 2 12" xfId="28085"/>
    <cellStyle name="Calculation 3 2 2 3 2 2 13" xfId="29054"/>
    <cellStyle name="Calculation 3 2 2 3 2 2 14" xfId="30093"/>
    <cellStyle name="Calculation 3 2 2 3 2 2 15" xfId="31086"/>
    <cellStyle name="Calculation 3 2 2 3 2 2 16" xfId="32095"/>
    <cellStyle name="Calculation 3 2 2 3 2 2 17" xfId="33098"/>
    <cellStyle name="Calculation 3 2 2 3 2 2 18" xfId="34097"/>
    <cellStyle name="Calculation 3 2 2 3 2 2 19" xfId="35718"/>
    <cellStyle name="Calculation 3 2 2 3 2 2 2" xfId="16121"/>
    <cellStyle name="Calculation 3 2 2 3 2 2 20" xfId="36657"/>
    <cellStyle name="Calculation 3 2 2 3 2 2 3" xfId="17099"/>
    <cellStyle name="Calculation 3 2 2 3 2 2 4" xfId="18127"/>
    <cellStyle name="Calculation 3 2 2 3 2 2 5" xfId="19159"/>
    <cellStyle name="Calculation 3 2 2 3 2 2 6" xfId="20181"/>
    <cellStyle name="Calculation 3 2 2 3 2 2 7" xfId="21190"/>
    <cellStyle name="Calculation 3 2 2 3 2 2 8" xfId="22164"/>
    <cellStyle name="Calculation 3 2 2 3 2 2 9" xfId="23169"/>
    <cellStyle name="Calculation 3 2 2 3 2 20" xfId="35717"/>
    <cellStyle name="Calculation 3 2 2 3 2 21" xfId="36656"/>
    <cellStyle name="Calculation 3 2 2 3 2 3" xfId="16120"/>
    <cellStyle name="Calculation 3 2 2 3 2 4" xfId="17098"/>
    <cellStyle name="Calculation 3 2 2 3 2 5" xfId="18126"/>
    <cellStyle name="Calculation 3 2 2 3 2 6" xfId="19158"/>
    <cellStyle name="Calculation 3 2 2 3 2 7" xfId="20180"/>
    <cellStyle name="Calculation 3 2 2 3 2 8" xfId="21189"/>
    <cellStyle name="Calculation 3 2 2 3 2 9" xfId="22163"/>
    <cellStyle name="Calculation 3 2 2 3 3" xfId="850"/>
    <cellStyle name="Calculation 3 2 2 3 3 10" xfId="23170"/>
    <cellStyle name="Calculation 3 2 2 3 3 11" xfId="24142"/>
    <cellStyle name="Calculation 3 2 2 3 3 12" xfId="25141"/>
    <cellStyle name="Calculation 3 2 2 3 3 13" xfId="28086"/>
    <cellStyle name="Calculation 3 2 2 3 3 14" xfId="29055"/>
    <cellStyle name="Calculation 3 2 2 3 3 15" xfId="30094"/>
    <cellStyle name="Calculation 3 2 2 3 3 16" xfId="31087"/>
    <cellStyle name="Calculation 3 2 2 3 3 17" xfId="32096"/>
    <cellStyle name="Calculation 3 2 2 3 3 18" xfId="33099"/>
    <cellStyle name="Calculation 3 2 2 3 3 19" xfId="34098"/>
    <cellStyle name="Calculation 3 2 2 3 3 2" xfId="851"/>
    <cellStyle name="Calculation 3 2 2 3 3 2 10" xfId="24143"/>
    <cellStyle name="Calculation 3 2 2 3 3 2 11" xfId="25142"/>
    <cellStyle name="Calculation 3 2 2 3 3 2 12" xfId="28087"/>
    <cellStyle name="Calculation 3 2 2 3 3 2 13" xfId="29056"/>
    <cellStyle name="Calculation 3 2 2 3 3 2 14" xfId="30095"/>
    <cellStyle name="Calculation 3 2 2 3 3 2 15" xfId="31088"/>
    <cellStyle name="Calculation 3 2 2 3 3 2 16" xfId="32097"/>
    <cellStyle name="Calculation 3 2 2 3 3 2 17" xfId="33100"/>
    <cellStyle name="Calculation 3 2 2 3 3 2 18" xfId="34099"/>
    <cellStyle name="Calculation 3 2 2 3 3 2 19" xfId="35720"/>
    <cellStyle name="Calculation 3 2 2 3 3 2 2" xfId="16123"/>
    <cellStyle name="Calculation 3 2 2 3 3 2 20" xfId="36659"/>
    <cellStyle name="Calculation 3 2 2 3 3 2 3" xfId="17101"/>
    <cellStyle name="Calculation 3 2 2 3 3 2 4" xfId="18129"/>
    <cellStyle name="Calculation 3 2 2 3 3 2 5" xfId="19161"/>
    <cellStyle name="Calculation 3 2 2 3 3 2 6" xfId="20183"/>
    <cellStyle name="Calculation 3 2 2 3 3 2 7" xfId="21192"/>
    <cellStyle name="Calculation 3 2 2 3 3 2 8" xfId="22166"/>
    <cellStyle name="Calculation 3 2 2 3 3 2 9" xfId="23171"/>
    <cellStyle name="Calculation 3 2 2 3 3 20" xfId="35719"/>
    <cellStyle name="Calculation 3 2 2 3 3 21" xfId="36658"/>
    <cellStyle name="Calculation 3 2 2 3 3 3" xfId="16122"/>
    <cellStyle name="Calculation 3 2 2 3 3 4" xfId="17100"/>
    <cellStyle name="Calculation 3 2 2 3 3 5" xfId="18128"/>
    <cellStyle name="Calculation 3 2 2 3 3 6" xfId="19160"/>
    <cellStyle name="Calculation 3 2 2 3 3 7" xfId="20182"/>
    <cellStyle name="Calculation 3 2 2 3 3 8" xfId="21191"/>
    <cellStyle name="Calculation 3 2 2 3 3 9" xfId="22165"/>
    <cellStyle name="Calculation 3 2 2 3 4" xfId="852"/>
    <cellStyle name="Calculation 3 2 2 3 4 10" xfId="23172"/>
    <cellStyle name="Calculation 3 2 2 3 4 11" xfId="24144"/>
    <cellStyle name="Calculation 3 2 2 3 4 12" xfId="25143"/>
    <cellStyle name="Calculation 3 2 2 3 4 13" xfId="28088"/>
    <cellStyle name="Calculation 3 2 2 3 4 14" xfId="29057"/>
    <cellStyle name="Calculation 3 2 2 3 4 15" xfId="30096"/>
    <cellStyle name="Calculation 3 2 2 3 4 16" xfId="31089"/>
    <cellStyle name="Calculation 3 2 2 3 4 17" xfId="32098"/>
    <cellStyle name="Calculation 3 2 2 3 4 18" xfId="33101"/>
    <cellStyle name="Calculation 3 2 2 3 4 19" xfId="34100"/>
    <cellStyle name="Calculation 3 2 2 3 4 2" xfId="853"/>
    <cellStyle name="Calculation 3 2 2 3 4 2 10" xfId="24145"/>
    <cellStyle name="Calculation 3 2 2 3 4 2 11" xfId="25144"/>
    <cellStyle name="Calculation 3 2 2 3 4 2 12" xfId="28089"/>
    <cellStyle name="Calculation 3 2 2 3 4 2 13" xfId="29058"/>
    <cellStyle name="Calculation 3 2 2 3 4 2 14" xfId="30097"/>
    <cellStyle name="Calculation 3 2 2 3 4 2 15" xfId="31090"/>
    <cellStyle name="Calculation 3 2 2 3 4 2 16" xfId="32099"/>
    <cellStyle name="Calculation 3 2 2 3 4 2 17" xfId="33102"/>
    <cellStyle name="Calculation 3 2 2 3 4 2 18" xfId="34101"/>
    <cellStyle name="Calculation 3 2 2 3 4 2 19" xfId="35722"/>
    <cellStyle name="Calculation 3 2 2 3 4 2 2" xfId="16125"/>
    <cellStyle name="Calculation 3 2 2 3 4 2 20" xfId="36661"/>
    <cellStyle name="Calculation 3 2 2 3 4 2 3" xfId="17103"/>
    <cellStyle name="Calculation 3 2 2 3 4 2 4" xfId="18131"/>
    <cellStyle name="Calculation 3 2 2 3 4 2 5" xfId="19163"/>
    <cellStyle name="Calculation 3 2 2 3 4 2 6" xfId="20185"/>
    <cellStyle name="Calculation 3 2 2 3 4 2 7" xfId="21194"/>
    <cellStyle name="Calculation 3 2 2 3 4 2 8" xfId="22168"/>
    <cellStyle name="Calculation 3 2 2 3 4 2 9" xfId="23173"/>
    <cellStyle name="Calculation 3 2 2 3 4 20" xfId="35721"/>
    <cellStyle name="Calculation 3 2 2 3 4 21" xfId="36660"/>
    <cellStyle name="Calculation 3 2 2 3 4 3" xfId="16124"/>
    <cellStyle name="Calculation 3 2 2 3 4 4" xfId="17102"/>
    <cellStyle name="Calculation 3 2 2 3 4 5" xfId="18130"/>
    <cellStyle name="Calculation 3 2 2 3 4 6" xfId="19162"/>
    <cellStyle name="Calculation 3 2 2 3 4 7" xfId="20184"/>
    <cellStyle name="Calculation 3 2 2 3 4 8" xfId="21193"/>
    <cellStyle name="Calculation 3 2 2 3 4 9" xfId="22167"/>
    <cellStyle name="Calculation 3 2 2 3 5" xfId="854"/>
    <cellStyle name="Calculation 3 2 2 3 5 10" xfId="24146"/>
    <cellStyle name="Calculation 3 2 2 3 5 11" xfId="25145"/>
    <cellStyle name="Calculation 3 2 2 3 5 12" xfId="28090"/>
    <cellStyle name="Calculation 3 2 2 3 5 13" xfId="29059"/>
    <cellStyle name="Calculation 3 2 2 3 5 14" xfId="30098"/>
    <cellStyle name="Calculation 3 2 2 3 5 15" xfId="31091"/>
    <cellStyle name="Calculation 3 2 2 3 5 16" xfId="32100"/>
    <cellStyle name="Calculation 3 2 2 3 5 17" xfId="33103"/>
    <cellStyle name="Calculation 3 2 2 3 5 18" xfId="34102"/>
    <cellStyle name="Calculation 3 2 2 3 5 19" xfId="35723"/>
    <cellStyle name="Calculation 3 2 2 3 5 2" xfId="16126"/>
    <cellStyle name="Calculation 3 2 2 3 5 20" xfId="36662"/>
    <cellStyle name="Calculation 3 2 2 3 5 3" xfId="17104"/>
    <cellStyle name="Calculation 3 2 2 3 5 4" xfId="18132"/>
    <cellStyle name="Calculation 3 2 2 3 5 5" xfId="19164"/>
    <cellStyle name="Calculation 3 2 2 3 5 6" xfId="20186"/>
    <cellStyle name="Calculation 3 2 2 3 5 7" xfId="21195"/>
    <cellStyle name="Calculation 3 2 2 3 5 8" xfId="22169"/>
    <cellStyle name="Calculation 3 2 2 3 5 9" xfId="23174"/>
    <cellStyle name="Calculation 3 2 2 3 6" xfId="15419"/>
    <cellStyle name="Calculation 3 2 2 3 7" xfId="15316"/>
    <cellStyle name="Calculation 3 2 2 3 8" xfId="14321"/>
    <cellStyle name="Calculation 3 2 2 3 9" xfId="14637"/>
    <cellStyle name="Calculation 3 2 2 4" xfId="855"/>
    <cellStyle name="Calculation 3 2 2 4 10" xfId="13868"/>
    <cellStyle name="Calculation 3 2 2 4 11" xfId="15314"/>
    <cellStyle name="Calculation 3 2 2 4 12" xfId="26454"/>
    <cellStyle name="Calculation 3 2 2 4 13" xfId="27081"/>
    <cellStyle name="Calculation 3 2 2 4 14" xfId="26168"/>
    <cellStyle name="Calculation 3 2 2 4 15" xfId="27824"/>
    <cellStyle name="Calculation 3 2 2 4 16" xfId="26502"/>
    <cellStyle name="Calculation 3 2 2 4 17" xfId="27432"/>
    <cellStyle name="Calculation 3 2 2 4 18" xfId="35137"/>
    <cellStyle name="Calculation 3 2 2 4 19" xfId="35236"/>
    <cellStyle name="Calculation 3 2 2 4 2" xfId="856"/>
    <cellStyle name="Calculation 3 2 2 4 2 10" xfId="23175"/>
    <cellStyle name="Calculation 3 2 2 4 2 11" xfId="24147"/>
    <cellStyle name="Calculation 3 2 2 4 2 12" xfId="25146"/>
    <cellStyle name="Calculation 3 2 2 4 2 13" xfId="28091"/>
    <cellStyle name="Calculation 3 2 2 4 2 14" xfId="29060"/>
    <cellStyle name="Calculation 3 2 2 4 2 15" xfId="30099"/>
    <cellStyle name="Calculation 3 2 2 4 2 16" xfId="31092"/>
    <cellStyle name="Calculation 3 2 2 4 2 17" xfId="32101"/>
    <cellStyle name="Calculation 3 2 2 4 2 18" xfId="33104"/>
    <cellStyle name="Calculation 3 2 2 4 2 19" xfId="34103"/>
    <cellStyle name="Calculation 3 2 2 4 2 2" xfId="857"/>
    <cellStyle name="Calculation 3 2 2 4 2 2 10" xfId="24148"/>
    <cellStyle name="Calculation 3 2 2 4 2 2 11" xfId="25147"/>
    <cellStyle name="Calculation 3 2 2 4 2 2 12" xfId="28092"/>
    <cellStyle name="Calculation 3 2 2 4 2 2 13" xfId="29061"/>
    <cellStyle name="Calculation 3 2 2 4 2 2 14" xfId="30100"/>
    <cellStyle name="Calculation 3 2 2 4 2 2 15" xfId="31093"/>
    <cellStyle name="Calculation 3 2 2 4 2 2 16" xfId="32102"/>
    <cellStyle name="Calculation 3 2 2 4 2 2 17" xfId="33105"/>
    <cellStyle name="Calculation 3 2 2 4 2 2 18" xfId="34104"/>
    <cellStyle name="Calculation 3 2 2 4 2 2 19" xfId="35725"/>
    <cellStyle name="Calculation 3 2 2 4 2 2 2" xfId="16128"/>
    <cellStyle name="Calculation 3 2 2 4 2 2 20" xfId="36664"/>
    <cellStyle name="Calculation 3 2 2 4 2 2 3" xfId="17106"/>
    <cellStyle name="Calculation 3 2 2 4 2 2 4" xfId="18134"/>
    <cellStyle name="Calculation 3 2 2 4 2 2 5" xfId="19166"/>
    <cellStyle name="Calculation 3 2 2 4 2 2 6" xfId="20188"/>
    <cellStyle name="Calculation 3 2 2 4 2 2 7" xfId="21197"/>
    <cellStyle name="Calculation 3 2 2 4 2 2 8" xfId="22171"/>
    <cellStyle name="Calculation 3 2 2 4 2 2 9" xfId="23176"/>
    <cellStyle name="Calculation 3 2 2 4 2 20" xfId="35724"/>
    <cellStyle name="Calculation 3 2 2 4 2 21" xfId="36663"/>
    <cellStyle name="Calculation 3 2 2 4 2 3" xfId="16127"/>
    <cellStyle name="Calculation 3 2 2 4 2 4" xfId="17105"/>
    <cellStyle name="Calculation 3 2 2 4 2 5" xfId="18133"/>
    <cellStyle name="Calculation 3 2 2 4 2 6" xfId="19165"/>
    <cellStyle name="Calculation 3 2 2 4 2 7" xfId="20187"/>
    <cellStyle name="Calculation 3 2 2 4 2 8" xfId="21196"/>
    <cellStyle name="Calculation 3 2 2 4 2 9" xfId="22170"/>
    <cellStyle name="Calculation 3 2 2 4 3" xfId="858"/>
    <cellStyle name="Calculation 3 2 2 4 3 10" xfId="23177"/>
    <cellStyle name="Calculation 3 2 2 4 3 11" xfId="24149"/>
    <cellStyle name="Calculation 3 2 2 4 3 12" xfId="25148"/>
    <cellStyle name="Calculation 3 2 2 4 3 13" xfId="28093"/>
    <cellStyle name="Calculation 3 2 2 4 3 14" xfId="29062"/>
    <cellStyle name="Calculation 3 2 2 4 3 15" xfId="30101"/>
    <cellStyle name="Calculation 3 2 2 4 3 16" xfId="31094"/>
    <cellStyle name="Calculation 3 2 2 4 3 17" xfId="32103"/>
    <cellStyle name="Calculation 3 2 2 4 3 18" xfId="33106"/>
    <cellStyle name="Calculation 3 2 2 4 3 19" xfId="34105"/>
    <cellStyle name="Calculation 3 2 2 4 3 2" xfId="859"/>
    <cellStyle name="Calculation 3 2 2 4 3 2 10" xfId="24150"/>
    <cellStyle name="Calculation 3 2 2 4 3 2 11" xfId="25149"/>
    <cellStyle name="Calculation 3 2 2 4 3 2 12" xfId="28094"/>
    <cellStyle name="Calculation 3 2 2 4 3 2 13" xfId="29063"/>
    <cellStyle name="Calculation 3 2 2 4 3 2 14" xfId="30102"/>
    <cellStyle name="Calculation 3 2 2 4 3 2 15" xfId="31095"/>
    <cellStyle name="Calculation 3 2 2 4 3 2 16" xfId="32104"/>
    <cellStyle name="Calculation 3 2 2 4 3 2 17" xfId="33107"/>
    <cellStyle name="Calculation 3 2 2 4 3 2 18" xfId="34106"/>
    <cellStyle name="Calculation 3 2 2 4 3 2 19" xfId="35727"/>
    <cellStyle name="Calculation 3 2 2 4 3 2 2" xfId="16130"/>
    <cellStyle name="Calculation 3 2 2 4 3 2 20" xfId="36666"/>
    <cellStyle name="Calculation 3 2 2 4 3 2 3" xfId="17108"/>
    <cellStyle name="Calculation 3 2 2 4 3 2 4" xfId="18136"/>
    <cellStyle name="Calculation 3 2 2 4 3 2 5" xfId="19168"/>
    <cellStyle name="Calculation 3 2 2 4 3 2 6" xfId="20190"/>
    <cellStyle name="Calculation 3 2 2 4 3 2 7" xfId="21199"/>
    <cellStyle name="Calculation 3 2 2 4 3 2 8" xfId="22173"/>
    <cellStyle name="Calculation 3 2 2 4 3 2 9" xfId="23178"/>
    <cellStyle name="Calculation 3 2 2 4 3 20" xfId="35726"/>
    <cellStyle name="Calculation 3 2 2 4 3 21" xfId="36665"/>
    <cellStyle name="Calculation 3 2 2 4 3 3" xfId="16129"/>
    <cellStyle name="Calculation 3 2 2 4 3 4" xfId="17107"/>
    <cellStyle name="Calculation 3 2 2 4 3 5" xfId="18135"/>
    <cellStyle name="Calculation 3 2 2 4 3 6" xfId="19167"/>
    <cellStyle name="Calculation 3 2 2 4 3 7" xfId="20189"/>
    <cellStyle name="Calculation 3 2 2 4 3 8" xfId="21198"/>
    <cellStyle name="Calculation 3 2 2 4 3 9" xfId="22172"/>
    <cellStyle name="Calculation 3 2 2 4 4" xfId="860"/>
    <cellStyle name="Calculation 3 2 2 4 4 10" xfId="23179"/>
    <cellStyle name="Calculation 3 2 2 4 4 11" xfId="24151"/>
    <cellStyle name="Calculation 3 2 2 4 4 12" xfId="25150"/>
    <cellStyle name="Calculation 3 2 2 4 4 13" xfId="28095"/>
    <cellStyle name="Calculation 3 2 2 4 4 14" xfId="29064"/>
    <cellStyle name="Calculation 3 2 2 4 4 15" xfId="30103"/>
    <cellStyle name="Calculation 3 2 2 4 4 16" xfId="31096"/>
    <cellStyle name="Calculation 3 2 2 4 4 17" xfId="32105"/>
    <cellStyle name="Calculation 3 2 2 4 4 18" xfId="33108"/>
    <cellStyle name="Calculation 3 2 2 4 4 19" xfId="34107"/>
    <cellStyle name="Calculation 3 2 2 4 4 2" xfId="861"/>
    <cellStyle name="Calculation 3 2 2 4 4 2 10" xfId="24152"/>
    <cellStyle name="Calculation 3 2 2 4 4 2 11" xfId="25151"/>
    <cellStyle name="Calculation 3 2 2 4 4 2 12" xfId="28096"/>
    <cellStyle name="Calculation 3 2 2 4 4 2 13" xfId="29065"/>
    <cellStyle name="Calculation 3 2 2 4 4 2 14" xfId="30104"/>
    <cellStyle name="Calculation 3 2 2 4 4 2 15" xfId="31097"/>
    <cellStyle name="Calculation 3 2 2 4 4 2 16" xfId="32106"/>
    <cellStyle name="Calculation 3 2 2 4 4 2 17" xfId="33109"/>
    <cellStyle name="Calculation 3 2 2 4 4 2 18" xfId="34108"/>
    <cellStyle name="Calculation 3 2 2 4 4 2 19" xfId="35729"/>
    <cellStyle name="Calculation 3 2 2 4 4 2 2" xfId="16132"/>
    <cellStyle name="Calculation 3 2 2 4 4 2 20" xfId="36668"/>
    <cellStyle name="Calculation 3 2 2 4 4 2 3" xfId="17110"/>
    <cellStyle name="Calculation 3 2 2 4 4 2 4" xfId="18138"/>
    <cellStyle name="Calculation 3 2 2 4 4 2 5" xfId="19170"/>
    <cellStyle name="Calculation 3 2 2 4 4 2 6" xfId="20192"/>
    <cellStyle name="Calculation 3 2 2 4 4 2 7" xfId="21201"/>
    <cellStyle name="Calculation 3 2 2 4 4 2 8" xfId="22175"/>
    <cellStyle name="Calculation 3 2 2 4 4 2 9" xfId="23180"/>
    <cellStyle name="Calculation 3 2 2 4 4 20" xfId="35728"/>
    <cellStyle name="Calculation 3 2 2 4 4 21" xfId="36667"/>
    <cellStyle name="Calculation 3 2 2 4 4 3" xfId="16131"/>
    <cellStyle name="Calculation 3 2 2 4 4 4" xfId="17109"/>
    <cellStyle name="Calculation 3 2 2 4 4 5" xfId="18137"/>
    <cellStyle name="Calculation 3 2 2 4 4 6" xfId="19169"/>
    <cellStyle name="Calculation 3 2 2 4 4 7" xfId="20191"/>
    <cellStyle name="Calculation 3 2 2 4 4 8" xfId="21200"/>
    <cellStyle name="Calculation 3 2 2 4 4 9" xfId="22174"/>
    <cellStyle name="Calculation 3 2 2 4 5" xfId="862"/>
    <cellStyle name="Calculation 3 2 2 4 5 10" xfId="24153"/>
    <cellStyle name="Calculation 3 2 2 4 5 11" xfId="25152"/>
    <cellStyle name="Calculation 3 2 2 4 5 12" xfId="28097"/>
    <cellStyle name="Calculation 3 2 2 4 5 13" xfId="29066"/>
    <cellStyle name="Calculation 3 2 2 4 5 14" xfId="30105"/>
    <cellStyle name="Calculation 3 2 2 4 5 15" xfId="31098"/>
    <cellStyle name="Calculation 3 2 2 4 5 16" xfId="32107"/>
    <cellStyle name="Calculation 3 2 2 4 5 17" xfId="33110"/>
    <cellStyle name="Calculation 3 2 2 4 5 18" xfId="34109"/>
    <cellStyle name="Calculation 3 2 2 4 5 19" xfId="35730"/>
    <cellStyle name="Calculation 3 2 2 4 5 2" xfId="16133"/>
    <cellStyle name="Calculation 3 2 2 4 5 20" xfId="36669"/>
    <cellStyle name="Calculation 3 2 2 4 5 3" xfId="17111"/>
    <cellStyle name="Calculation 3 2 2 4 5 4" xfId="18139"/>
    <cellStyle name="Calculation 3 2 2 4 5 5" xfId="19171"/>
    <cellStyle name="Calculation 3 2 2 4 5 6" xfId="20193"/>
    <cellStyle name="Calculation 3 2 2 4 5 7" xfId="21202"/>
    <cellStyle name="Calculation 3 2 2 4 5 8" xfId="22176"/>
    <cellStyle name="Calculation 3 2 2 4 5 9" xfId="23181"/>
    <cellStyle name="Calculation 3 2 2 4 6" xfId="14065"/>
    <cellStyle name="Calculation 3 2 2 4 7" xfId="15301"/>
    <cellStyle name="Calculation 3 2 2 4 8" xfId="14902"/>
    <cellStyle name="Calculation 3 2 2 4 9" xfId="14714"/>
    <cellStyle name="Calculation 3 2 2 5" xfId="863"/>
    <cellStyle name="Calculation 3 2 2 5 10" xfId="21435"/>
    <cellStyle name="Calculation 3 2 2 5 11" xfId="14594"/>
    <cellStyle name="Calculation 3 2 2 5 12" xfId="26490"/>
    <cellStyle name="Calculation 3 2 2 5 13" xfId="27666"/>
    <cellStyle name="Calculation 3 2 2 5 14" xfId="26123"/>
    <cellStyle name="Calculation 3 2 2 5 15" xfId="26832"/>
    <cellStyle name="Calculation 3 2 2 5 16" xfId="26669"/>
    <cellStyle name="Calculation 3 2 2 5 17" xfId="26001"/>
    <cellStyle name="Calculation 3 2 2 5 18" xfId="35173"/>
    <cellStyle name="Calculation 3 2 2 5 19" xfId="35390"/>
    <cellStyle name="Calculation 3 2 2 5 2" xfId="864"/>
    <cellStyle name="Calculation 3 2 2 5 2 10" xfId="23182"/>
    <cellStyle name="Calculation 3 2 2 5 2 11" xfId="24154"/>
    <cellStyle name="Calculation 3 2 2 5 2 12" xfId="25153"/>
    <cellStyle name="Calculation 3 2 2 5 2 13" xfId="28098"/>
    <cellStyle name="Calculation 3 2 2 5 2 14" xfId="29067"/>
    <cellStyle name="Calculation 3 2 2 5 2 15" xfId="30106"/>
    <cellStyle name="Calculation 3 2 2 5 2 16" xfId="31099"/>
    <cellStyle name="Calculation 3 2 2 5 2 17" xfId="32108"/>
    <cellStyle name="Calculation 3 2 2 5 2 18" xfId="33111"/>
    <cellStyle name="Calculation 3 2 2 5 2 19" xfId="34110"/>
    <cellStyle name="Calculation 3 2 2 5 2 2" xfId="865"/>
    <cellStyle name="Calculation 3 2 2 5 2 2 10" xfId="24155"/>
    <cellStyle name="Calculation 3 2 2 5 2 2 11" xfId="25154"/>
    <cellStyle name="Calculation 3 2 2 5 2 2 12" xfId="28099"/>
    <cellStyle name="Calculation 3 2 2 5 2 2 13" xfId="29068"/>
    <cellStyle name="Calculation 3 2 2 5 2 2 14" xfId="30107"/>
    <cellStyle name="Calculation 3 2 2 5 2 2 15" xfId="31100"/>
    <cellStyle name="Calculation 3 2 2 5 2 2 16" xfId="32109"/>
    <cellStyle name="Calculation 3 2 2 5 2 2 17" xfId="33112"/>
    <cellStyle name="Calculation 3 2 2 5 2 2 18" xfId="34111"/>
    <cellStyle name="Calculation 3 2 2 5 2 2 19" xfId="35732"/>
    <cellStyle name="Calculation 3 2 2 5 2 2 2" xfId="16135"/>
    <cellStyle name="Calculation 3 2 2 5 2 2 20" xfId="36671"/>
    <cellStyle name="Calculation 3 2 2 5 2 2 3" xfId="17113"/>
    <cellStyle name="Calculation 3 2 2 5 2 2 4" xfId="18141"/>
    <cellStyle name="Calculation 3 2 2 5 2 2 5" xfId="19173"/>
    <cellStyle name="Calculation 3 2 2 5 2 2 6" xfId="20195"/>
    <cellStyle name="Calculation 3 2 2 5 2 2 7" xfId="21204"/>
    <cellStyle name="Calculation 3 2 2 5 2 2 8" xfId="22178"/>
    <cellStyle name="Calculation 3 2 2 5 2 2 9" xfId="23183"/>
    <cellStyle name="Calculation 3 2 2 5 2 20" xfId="35731"/>
    <cellStyle name="Calculation 3 2 2 5 2 21" xfId="36670"/>
    <cellStyle name="Calculation 3 2 2 5 2 3" xfId="16134"/>
    <cellStyle name="Calculation 3 2 2 5 2 4" xfId="17112"/>
    <cellStyle name="Calculation 3 2 2 5 2 5" xfId="18140"/>
    <cellStyle name="Calculation 3 2 2 5 2 6" xfId="19172"/>
    <cellStyle name="Calculation 3 2 2 5 2 7" xfId="20194"/>
    <cellStyle name="Calculation 3 2 2 5 2 8" xfId="21203"/>
    <cellStyle name="Calculation 3 2 2 5 2 9" xfId="22177"/>
    <cellStyle name="Calculation 3 2 2 5 3" xfId="866"/>
    <cellStyle name="Calculation 3 2 2 5 3 10" xfId="23184"/>
    <cellStyle name="Calculation 3 2 2 5 3 11" xfId="24156"/>
    <cellStyle name="Calculation 3 2 2 5 3 12" xfId="25155"/>
    <cellStyle name="Calculation 3 2 2 5 3 13" xfId="28100"/>
    <cellStyle name="Calculation 3 2 2 5 3 14" xfId="29069"/>
    <cellStyle name="Calculation 3 2 2 5 3 15" xfId="30108"/>
    <cellStyle name="Calculation 3 2 2 5 3 16" xfId="31101"/>
    <cellStyle name="Calculation 3 2 2 5 3 17" xfId="32110"/>
    <cellStyle name="Calculation 3 2 2 5 3 18" xfId="33113"/>
    <cellStyle name="Calculation 3 2 2 5 3 19" xfId="34112"/>
    <cellStyle name="Calculation 3 2 2 5 3 2" xfId="867"/>
    <cellStyle name="Calculation 3 2 2 5 3 2 10" xfId="24157"/>
    <cellStyle name="Calculation 3 2 2 5 3 2 11" xfId="25156"/>
    <cellStyle name="Calculation 3 2 2 5 3 2 12" xfId="28101"/>
    <cellStyle name="Calculation 3 2 2 5 3 2 13" xfId="29070"/>
    <cellStyle name="Calculation 3 2 2 5 3 2 14" xfId="30109"/>
    <cellStyle name="Calculation 3 2 2 5 3 2 15" xfId="31102"/>
    <cellStyle name="Calculation 3 2 2 5 3 2 16" xfId="32111"/>
    <cellStyle name="Calculation 3 2 2 5 3 2 17" xfId="33114"/>
    <cellStyle name="Calculation 3 2 2 5 3 2 18" xfId="34113"/>
    <cellStyle name="Calculation 3 2 2 5 3 2 19" xfId="35734"/>
    <cellStyle name="Calculation 3 2 2 5 3 2 2" xfId="16137"/>
    <cellStyle name="Calculation 3 2 2 5 3 2 20" xfId="36673"/>
    <cellStyle name="Calculation 3 2 2 5 3 2 3" xfId="17115"/>
    <cellStyle name="Calculation 3 2 2 5 3 2 4" xfId="18143"/>
    <cellStyle name="Calculation 3 2 2 5 3 2 5" xfId="19175"/>
    <cellStyle name="Calculation 3 2 2 5 3 2 6" xfId="20197"/>
    <cellStyle name="Calculation 3 2 2 5 3 2 7" xfId="21206"/>
    <cellStyle name="Calculation 3 2 2 5 3 2 8" xfId="22180"/>
    <cellStyle name="Calculation 3 2 2 5 3 2 9" xfId="23185"/>
    <cellStyle name="Calculation 3 2 2 5 3 20" xfId="35733"/>
    <cellStyle name="Calculation 3 2 2 5 3 21" xfId="36672"/>
    <cellStyle name="Calculation 3 2 2 5 3 3" xfId="16136"/>
    <cellStyle name="Calculation 3 2 2 5 3 4" xfId="17114"/>
    <cellStyle name="Calculation 3 2 2 5 3 5" xfId="18142"/>
    <cellStyle name="Calculation 3 2 2 5 3 6" xfId="19174"/>
    <cellStyle name="Calculation 3 2 2 5 3 7" xfId="20196"/>
    <cellStyle name="Calculation 3 2 2 5 3 8" xfId="21205"/>
    <cellStyle name="Calculation 3 2 2 5 3 9" xfId="22179"/>
    <cellStyle name="Calculation 3 2 2 5 4" xfId="868"/>
    <cellStyle name="Calculation 3 2 2 5 4 10" xfId="23186"/>
    <cellStyle name="Calculation 3 2 2 5 4 11" xfId="24158"/>
    <cellStyle name="Calculation 3 2 2 5 4 12" xfId="25157"/>
    <cellStyle name="Calculation 3 2 2 5 4 13" xfId="28102"/>
    <cellStyle name="Calculation 3 2 2 5 4 14" xfId="29071"/>
    <cellStyle name="Calculation 3 2 2 5 4 15" xfId="30110"/>
    <cellStyle name="Calculation 3 2 2 5 4 16" xfId="31103"/>
    <cellStyle name="Calculation 3 2 2 5 4 17" xfId="32112"/>
    <cellStyle name="Calculation 3 2 2 5 4 18" xfId="33115"/>
    <cellStyle name="Calculation 3 2 2 5 4 19" xfId="34114"/>
    <cellStyle name="Calculation 3 2 2 5 4 2" xfId="869"/>
    <cellStyle name="Calculation 3 2 2 5 4 2 10" xfId="24159"/>
    <cellStyle name="Calculation 3 2 2 5 4 2 11" xfId="25158"/>
    <cellStyle name="Calculation 3 2 2 5 4 2 12" xfId="28103"/>
    <cellStyle name="Calculation 3 2 2 5 4 2 13" xfId="29072"/>
    <cellStyle name="Calculation 3 2 2 5 4 2 14" xfId="30111"/>
    <cellStyle name="Calculation 3 2 2 5 4 2 15" xfId="31104"/>
    <cellStyle name="Calculation 3 2 2 5 4 2 16" xfId="32113"/>
    <cellStyle name="Calculation 3 2 2 5 4 2 17" xfId="33116"/>
    <cellStyle name="Calculation 3 2 2 5 4 2 18" xfId="34115"/>
    <cellStyle name="Calculation 3 2 2 5 4 2 19" xfId="35736"/>
    <cellStyle name="Calculation 3 2 2 5 4 2 2" xfId="16139"/>
    <cellStyle name="Calculation 3 2 2 5 4 2 20" xfId="36675"/>
    <cellStyle name="Calculation 3 2 2 5 4 2 3" xfId="17117"/>
    <cellStyle name="Calculation 3 2 2 5 4 2 4" xfId="18145"/>
    <cellStyle name="Calculation 3 2 2 5 4 2 5" xfId="19177"/>
    <cellStyle name="Calculation 3 2 2 5 4 2 6" xfId="20199"/>
    <cellStyle name="Calculation 3 2 2 5 4 2 7" xfId="21208"/>
    <cellStyle name="Calculation 3 2 2 5 4 2 8" xfId="22182"/>
    <cellStyle name="Calculation 3 2 2 5 4 2 9" xfId="23187"/>
    <cellStyle name="Calculation 3 2 2 5 4 20" xfId="35735"/>
    <cellStyle name="Calculation 3 2 2 5 4 21" xfId="36674"/>
    <cellStyle name="Calculation 3 2 2 5 4 3" xfId="16138"/>
    <cellStyle name="Calculation 3 2 2 5 4 4" xfId="17116"/>
    <cellStyle name="Calculation 3 2 2 5 4 5" xfId="18144"/>
    <cellStyle name="Calculation 3 2 2 5 4 6" xfId="19176"/>
    <cellStyle name="Calculation 3 2 2 5 4 7" xfId="20198"/>
    <cellStyle name="Calculation 3 2 2 5 4 8" xfId="21207"/>
    <cellStyle name="Calculation 3 2 2 5 4 9" xfId="22181"/>
    <cellStyle name="Calculation 3 2 2 5 5" xfId="870"/>
    <cellStyle name="Calculation 3 2 2 5 5 10" xfId="24160"/>
    <cellStyle name="Calculation 3 2 2 5 5 11" xfId="25159"/>
    <cellStyle name="Calculation 3 2 2 5 5 12" xfId="28104"/>
    <cellStyle name="Calculation 3 2 2 5 5 13" xfId="29073"/>
    <cellStyle name="Calculation 3 2 2 5 5 14" xfId="30112"/>
    <cellStyle name="Calculation 3 2 2 5 5 15" xfId="31105"/>
    <cellStyle name="Calculation 3 2 2 5 5 16" xfId="32114"/>
    <cellStyle name="Calculation 3 2 2 5 5 17" xfId="33117"/>
    <cellStyle name="Calculation 3 2 2 5 5 18" xfId="34116"/>
    <cellStyle name="Calculation 3 2 2 5 5 19" xfId="35737"/>
    <cellStyle name="Calculation 3 2 2 5 5 2" xfId="16140"/>
    <cellStyle name="Calculation 3 2 2 5 5 20" xfId="36676"/>
    <cellStyle name="Calculation 3 2 2 5 5 3" xfId="17118"/>
    <cellStyle name="Calculation 3 2 2 5 5 4" xfId="18146"/>
    <cellStyle name="Calculation 3 2 2 5 5 5" xfId="19178"/>
    <cellStyle name="Calculation 3 2 2 5 5 6" xfId="20200"/>
    <cellStyle name="Calculation 3 2 2 5 5 7" xfId="21209"/>
    <cellStyle name="Calculation 3 2 2 5 5 8" xfId="22183"/>
    <cellStyle name="Calculation 3 2 2 5 5 9" xfId="23188"/>
    <cellStyle name="Calculation 3 2 2 5 6" xfId="14073"/>
    <cellStyle name="Calculation 3 2 2 5 7" xfId="13510"/>
    <cellStyle name="Calculation 3 2 2 5 8" xfId="13834"/>
    <cellStyle name="Calculation 3 2 2 5 9" xfId="14254"/>
    <cellStyle name="Calculation 3 2 2 6" xfId="871"/>
    <cellStyle name="Calculation 3 2 2 6 10" xfId="23189"/>
    <cellStyle name="Calculation 3 2 2 6 11" xfId="24161"/>
    <cellStyle name="Calculation 3 2 2 6 12" xfId="25160"/>
    <cellStyle name="Calculation 3 2 2 6 13" xfId="28105"/>
    <cellStyle name="Calculation 3 2 2 6 14" xfId="29074"/>
    <cellStyle name="Calculation 3 2 2 6 15" xfId="30113"/>
    <cellStyle name="Calculation 3 2 2 6 16" xfId="31106"/>
    <cellStyle name="Calculation 3 2 2 6 17" xfId="32115"/>
    <cellStyle name="Calculation 3 2 2 6 18" xfId="33118"/>
    <cellStyle name="Calculation 3 2 2 6 19" xfId="34117"/>
    <cellStyle name="Calculation 3 2 2 6 2" xfId="872"/>
    <cellStyle name="Calculation 3 2 2 6 2 10" xfId="24162"/>
    <cellStyle name="Calculation 3 2 2 6 2 11" xfId="25161"/>
    <cellStyle name="Calculation 3 2 2 6 2 12" xfId="28106"/>
    <cellStyle name="Calculation 3 2 2 6 2 13" xfId="29075"/>
    <cellStyle name="Calculation 3 2 2 6 2 14" xfId="30114"/>
    <cellStyle name="Calculation 3 2 2 6 2 15" xfId="31107"/>
    <cellStyle name="Calculation 3 2 2 6 2 16" xfId="32116"/>
    <cellStyle name="Calculation 3 2 2 6 2 17" xfId="33119"/>
    <cellStyle name="Calculation 3 2 2 6 2 18" xfId="34118"/>
    <cellStyle name="Calculation 3 2 2 6 2 19" xfId="35739"/>
    <cellStyle name="Calculation 3 2 2 6 2 2" xfId="16142"/>
    <cellStyle name="Calculation 3 2 2 6 2 20" xfId="36678"/>
    <cellStyle name="Calculation 3 2 2 6 2 3" xfId="17120"/>
    <cellStyle name="Calculation 3 2 2 6 2 4" xfId="18148"/>
    <cellStyle name="Calculation 3 2 2 6 2 5" xfId="19180"/>
    <cellStyle name="Calculation 3 2 2 6 2 6" xfId="20202"/>
    <cellStyle name="Calculation 3 2 2 6 2 7" xfId="21211"/>
    <cellStyle name="Calculation 3 2 2 6 2 8" xfId="22185"/>
    <cellStyle name="Calculation 3 2 2 6 2 9" xfId="23190"/>
    <cellStyle name="Calculation 3 2 2 6 20" xfId="35738"/>
    <cellStyle name="Calculation 3 2 2 6 21" xfId="36677"/>
    <cellStyle name="Calculation 3 2 2 6 3" xfId="16141"/>
    <cellStyle name="Calculation 3 2 2 6 4" xfId="17119"/>
    <cellStyle name="Calculation 3 2 2 6 5" xfId="18147"/>
    <cellStyle name="Calculation 3 2 2 6 6" xfId="19179"/>
    <cellStyle name="Calculation 3 2 2 6 7" xfId="20201"/>
    <cellStyle name="Calculation 3 2 2 6 8" xfId="21210"/>
    <cellStyle name="Calculation 3 2 2 6 9" xfId="22184"/>
    <cellStyle name="Calculation 3 2 2 7" xfId="873"/>
    <cellStyle name="Calculation 3 2 2 7 10" xfId="23191"/>
    <cellStyle name="Calculation 3 2 2 7 11" xfId="24163"/>
    <cellStyle name="Calculation 3 2 2 7 12" xfId="25162"/>
    <cellStyle name="Calculation 3 2 2 7 13" xfId="28107"/>
    <cellStyle name="Calculation 3 2 2 7 14" xfId="29076"/>
    <cellStyle name="Calculation 3 2 2 7 15" xfId="30115"/>
    <cellStyle name="Calculation 3 2 2 7 16" xfId="31108"/>
    <cellStyle name="Calculation 3 2 2 7 17" xfId="32117"/>
    <cellStyle name="Calculation 3 2 2 7 18" xfId="33120"/>
    <cellStyle name="Calculation 3 2 2 7 19" xfId="34119"/>
    <cellStyle name="Calculation 3 2 2 7 2" xfId="874"/>
    <cellStyle name="Calculation 3 2 2 7 2 10" xfId="24164"/>
    <cellStyle name="Calculation 3 2 2 7 2 11" xfId="25163"/>
    <cellStyle name="Calculation 3 2 2 7 2 12" xfId="28108"/>
    <cellStyle name="Calculation 3 2 2 7 2 13" xfId="29077"/>
    <cellStyle name="Calculation 3 2 2 7 2 14" xfId="30116"/>
    <cellStyle name="Calculation 3 2 2 7 2 15" xfId="31109"/>
    <cellStyle name="Calculation 3 2 2 7 2 16" xfId="32118"/>
    <cellStyle name="Calculation 3 2 2 7 2 17" xfId="33121"/>
    <cellStyle name="Calculation 3 2 2 7 2 18" xfId="34120"/>
    <cellStyle name="Calculation 3 2 2 7 2 19" xfId="35741"/>
    <cellStyle name="Calculation 3 2 2 7 2 2" xfId="16144"/>
    <cellStyle name="Calculation 3 2 2 7 2 20" xfId="36680"/>
    <cellStyle name="Calculation 3 2 2 7 2 3" xfId="17122"/>
    <cellStyle name="Calculation 3 2 2 7 2 4" xfId="18150"/>
    <cellStyle name="Calculation 3 2 2 7 2 5" xfId="19182"/>
    <cellStyle name="Calculation 3 2 2 7 2 6" xfId="20204"/>
    <cellStyle name="Calculation 3 2 2 7 2 7" xfId="21213"/>
    <cellStyle name="Calculation 3 2 2 7 2 8" xfId="22187"/>
    <cellStyle name="Calculation 3 2 2 7 2 9" xfId="23192"/>
    <cellStyle name="Calculation 3 2 2 7 20" xfId="35740"/>
    <cellStyle name="Calculation 3 2 2 7 21" xfId="36679"/>
    <cellStyle name="Calculation 3 2 2 7 3" xfId="16143"/>
    <cellStyle name="Calculation 3 2 2 7 4" xfId="17121"/>
    <cellStyle name="Calculation 3 2 2 7 5" xfId="18149"/>
    <cellStyle name="Calculation 3 2 2 7 6" xfId="19181"/>
    <cellStyle name="Calculation 3 2 2 7 7" xfId="20203"/>
    <cellStyle name="Calculation 3 2 2 7 8" xfId="21212"/>
    <cellStyle name="Calculation 3 2 2 7 9" xfId="22186"/>
    <cellStyle name="Calculation 3 2 2 8" xfId="875"/>
    <cellStyle name="Calculation 3 2 2 8 10" xfId="23193"/>
    <cellStyle name="Calculation 3 2 2 8 11" xfId="24165"/>
    <cellStyle name="Calculation 3 2 2 8 12" xfId="25164"/>
    <cellStyle name="Calculation 3 2 2 8 13" xfId="28109"/>
    <cellStyle name="Calculation 3 2 2 8 14" xfId="29078"/>
    <cellStyle name="Calculation 3 2 2 8 15" xfId="30117"/>
    <cellStyle name="Calculation 3 2 2 8 16" xfId="31110"/>
    <cellStyle name="Calculation 3 2 2 8 17" xfId="32119"/>
    <cellStyle name="Calculation 3 2 2 8 18" xfId="33122"/>
    <cellStyle name="Calculation 3 2 2 8 19" xfId="34121"/>
    <cellStyle name="Calculation 3 2 2 8 2" xfId="876"/>
    <cellStyle name="Calculation 3 2 2 8 2 10" xfId="24166"/>
    <cellStyle name="Calculation 3 2 2 8 2 11" xfId="25165"/>
    <cellStyle name="Calculation 3 2 2 8 2 12" xfId="28110"/>
    <cellStyle name="Calculation 3 2 2 8 2 13" xfId="29079"/>
    <cellStyle name="Calculation 3 2 2 8 2 14" xfId="30118"/>
    <cellStyle name="Calculation 3 2 2 8 2 15" xfId="31111"/>
    <cellStyle name="Calculation 3 2 2 8 2 16" xfId="32120"/>
    <cellStyle name="Calculation 3 2 2 8 2 17" xfId="33123"/>
    <cellStyle name="Calculation 3 2 2 8 2 18" xfId="34122"/>
    <cellStyle name="Calculation 3 2 2 8 2 19" xfId="35743"/>
    <cellStyle name="Calculation 3 2 2 8 2 2" xfId="16146"/>
    <cellStyle name="Calculation 3 2 2 8 2 20" xfId="36682"/>
    <cellStyle name="Calculation 3 2 2 8 2 3" xfId="17124"/>
    <cellStyle name="Calculation 3 2 2 8 2 4" xfId="18152"/>
    <cellStyle name="Calculation 3 2 2 8 2 5" xfId="19184"/>
    <cellStyle name="Calculation 3 2 2 8 2 6" xfId="20206"/>
    <cellStyle name="Calculation 3 2 2 8 2 7" xfId="21215"/>
    <cellStyle name="Calculation 3 2 2 8 2 8" xfId="22189"/>
    <cellStyle name="Calculation 3 2 2 8 2 9" xfId="23194"/>
    <cellStyle name="Calculation 3 2 2 8 20" xfId="35742"/>
    <cellStyle name="Calculation 3 2 2 8 21" xfId="36681"/>
    <cellStyle name="Calculation 3 2 2 8 3" xfId="16145"/>
    <cellStyle name="Calculation 3 2 2 8 4" xfId="17123"/>
    <cellStyle name="Calculation 3 2 2 8 5" xfId="18151"/>
    <cellStyle name="Calculation 3 2 2 8 6" xfId="19183"/>
    <cellStyle name="Calculation 3 2 2 8 7" xfId="20205"/>
    <cellStyle name="Calculation 3 2 2 8 8" xfId="21214"/>
    <cellStyle name="Calculation 3 2 2 8 9" xfId="22188"/>
    <cellStyle name="Calculation 3 2 2 9" xfId="877"/>
    <cellStyle name="Calculation 3 2 2 9 10" xfId="24167"/>
    <cellStyle name="Calculation 3 2 2 9 11" xfId="25166"/>
    <cellStyle name="Calculation 3 2 2 9 12" xfId="28111"/>
    <cellStyle name="Calculation 3 2 2 9 13" xfId="29080"/>
    <cellStyle name="Calculation 3 2 2 9 14" xfId="30119"/>
    <cellStyle name="Calculation 3 2 2 9 15" xfId="31112"/>
    <cellStyle name="Calculation 3 2 2 9 16" xfId="32121"/>
    <cellStyle name="Calculation 3 2 2 9 17" xfId="33124"/>
    <cellStyle name="Calculation 3 2 2 9 18" xfId="34123"/>
    <cellStyle name="Calculation 3 2 2 9 19" xfId="35744"/>
    <cellStyle name="Calculation 3 2 2 9 2" xfId="16147"/>
    <cellStyle name="Calculation 3 2 2 9 20" xfId="36683"/>
    <cellStyle name="Calculation 3 2 2 9 3" xfId="17125"/>
    <cellStyle name="Calculation 3 2 2 9 4" xfId="18153"/>
    <cellStyle name="Calculation 3 2 2 9 5" xfId="19185"/>
    <cellStyle name="Calculation 3 2 2 9 6" xfId="20207"/>
    <cellStyle name="Calculation 3 2 2 9 7" xfId="21216"/>
    <cellStyle name="Calculation 3 2 2 9 8" xfId="22190"/>
    <cellStyle name="Calculation 3 2 2 9 9" xfId="23195"/>
    <cellStyle name="Calculation 3 2 3" xfId="878"/>
    <cellStyle name="Calculation 3 2 3 10" xfId="13986"/>
    <cellStyle name="Calculation 3 2 3 11" xfId="14337"/>
    <cellStyle name="Calculation 3 2 3 12" xfId="18913"/>
    <cellStyle name="Calculation 3 2 3 13" xfId="14341"/>
    <cellStyle name="Calculation 3 2 3 14" xfId="21849"/>
    <cellStyle name="Calculation 3 2 3 15" xfId="20946"/>
    <cellStyle name="Calculation 3 2 3 16" xfId="26074"/>
    <cellStyle name="Calculation 3 2 3 17" xfId="26238"/>
    <cellStyle name="Calculation 3 2 3 18" xfId="28748"/>
    <cellStyle name="Calculation 3 2 3 19" xfId="25914"/>
    <cellStyle name="Calculation 3 2 3 2" xfId="879"/>
    <cellStyle name="Calculation 3 2 3 2 10" xfId="14374"/>
    <cellStyle name="Calculation 3 2 3 2 11" xfId="14941"/>
    <cellStyle name="Calculation 3 2 3 2 12" xfId="26297"/>
    <cellStyle name="Calculation 3 2 3 2 13" xfId="27183"/>
    <cellStyle name="Calculation 3 2 3 2 14" xfId="25919"/>
    <cellStyle name="Calculation 3 2 3 2 15" xfId="27477"/>
    <cellStyle name="Calculation 3 2 3 2 16" xfId="26904"/>
    <cellStyle name="Calculation 3 2 3 2 17" xfId="26897"/>
    <cellStyle name="Calculation 3 2 3 2 18" xfId="34993"/>
    <cellStyle name="Calculation 3 2 3 2 19" xfId="34923"/>
    <cellStyle name="Calculation 3 2 3 2 2" xfId="880"/>
    <cellStyle name="Calculation 3 2 3 2 2 10" xfId="23196"/>
    <cellStyle name="Calculation 3 2 3 2 2 11" xfId="24168"/>
    <cellStyle name="Calculation 3 2 3 2 2 12" xfId="25167"/>
    <cellStyle name="Calculation 3 2 3 2 2 13" xfId="28112"/>
    <cellStyle name="Calculation 3 2 3 2 2 14" xfId="29081"/>
    <cellStyle name="Calculation 3 2 3 2 2 15" xfId="30120"/>
    <cellStyle name="Calculation 3 2 3 2 2 16" xfId="31113"/>
    <cellStyle name="Calculation 3 2 3 2 2 17" xfId="32122"/>
    <cellStyle name="Calculation 3 2 3 2 2 18" xfId="33125"/>
    <cellStyle name="Calculation 3 2 3 2 2 19" xfId="34124"/>
    <cellStyle name="Calculation 3 2 3 2 2 2" xfId="881"/>
    <cellStyle name="Calculation 3 2 3 2 2 2 10" xfId="24169"/>
    <cellStyle name="Calculation 3 2 3 2 2 2 11" xfId="25168"/>
    <cellStyle name="Calculation 3 2 3 2 2 2 12" xfId="28113"/>
    <cellStyle name="Calculation 3 2 3 2 2 2 13" xfId="29082"/>
    <cellStyle name="Calculation 3 2 3 2 2 2 14" xfId="30121"/>
    <cellStyle name="Calculation 3 2 3 2 2 2 15" xfId="31114"/>
    <cellStyle name="Calculation 3 2 3 2 2 2 16" xfId="32123"/>
    <cellStyle name="Calculation 3 2 3 2 2 2 17" xfId="33126"/>
    <cellStyle name="Calculation 3 2 3 2 2 2 18" xfId="34125"/>
    <cellStyle name="Calculation 3 2 3 2 2 2 19" xfId="35746"/>
    <cellStyle name="Calculation 3 2 3 2 2 2 2" xfId="16149"/>
    <cellStyle name="Calculation 3 2 3 2 2 2 20" xfId="36685"/>
    <cellStyle name="Calculation 3 2 3 2 2 2 3" xfId="17127"/>
    <cellStyle name="Calculation 3 2 3 2 2 2 4" xfId="18155"/>
    <cellStyle name="Calculation 3 2 3 2 2 2 5" xfId="19187"/>
    <cellStyle name="Calculation 3 2 3 2 2 2 6" xfId="20209"/>
    <cellStyle name="Calculation 3 2 3 2 2 2 7" xfId="21218"/>
    <cellStyle name="Calculation 3 2 3 2 2 2 8" xfId="22192"/>
    <cellStyle name="Calculation 3 2 3 2 2 2 9" xfId="23197"/>
    <cellStyle name="Calculation 3 2 3 2 2 20" xfId="35745"/>
    <cellStyle name="Calculation 3 2 3 2 2 21" xfId="36684"/>
    <cellStyle name="Calculation 3 2 3 2 2 3" xfId="16148"/>
    <cellStyle name="Calculation 3 2 3 2 2 4" xfId="17126"/>
    <cellStyle name="Calculation 3 2 3 2 2 5" xfId="18154"/>
    <cellStyle name="Calculation 3 2 3 2 2 6" xfId="19186"/>
    <cellStyle name="Calculation 3 2 3 2 2 7" xfId="20208"/>
    <cellStyle name="Calculation 3 2 3 2 2 8" xfId="21217"/>
    <cellStyle name="Calculation 3 2 3 2 2 9" xfId="22191"/>
    <cellStyle name="Calculation 3 2 3 2 3" xfId="882"/>
    <cellStyle name="Calculation 3 2 3 2 3 10" xfId="23198"/>
    <cellStyle name="Calculation 3 2 3 2 3 11" xfId="24170"/>
    <cellStyle name="Calculation 3 2 3 2 3 12" xfId="25169"/>
    <cellStyle name="Calculation 3 2 3 2 3 13" xfId="28114"/>
    <cellStyle name="Calculation 3 2 3 2 3 14" xfId="29083"/>
    <cellStyle name="Calculation 3 2 3 2 3 15" xfId="30122"/>
    <cellStyle name="Calculation 3 2 3 2 3 16" xfId="31115"/>
    <cellStyle name="Calculation 3 2 3 2 3 17" xfId="32124"/>
    <cellStyle name="Calculation 3 2 3 2 3 18" xfId="33127"/>
    <cellStyle name="Calculation 3 2 3 2 3 19" xfId="34126"/>
    <cellStyle name="Calculation 3 2 3 2 3 2" xfId="883"/>
    <cellStyle name="Calculation 3 2 3 2 3 2 10" xfId="24171"/>
    <cellStyle name="Calculation 3 2 3 2 3 2 11" xfId="25170"/>
    <cellStyle name="Calculation 3 2 3 2 3 2 12" xfId="28115"/>
    <cellStyle name="Calculation 3 2 3 2 3 2 13" xfId="29084"/>
    <cellStyle name="Calculation 3 2 3 2 3 2 14" xfId="30123"/>
    <cellStyle name="Calculation 3 2 3 2 3 2 15" xfId="31116"/>
    <cellStyle name="Calculation 3 2 3 2 3 2 16" xfId="32125"/>
    <cellStyle name="Calculation 3 2 3 2 3 2 17" xfId="33128"/>
    <cellStyle name="Calculation 3 2 3 2 3 2 18" xfId="34127"/>
    <cellStyle name="Calculation 3 2 3 2 3 2 19" xfId="35748"/>
    <cellStyle name="Calculation 3 2 3 2 3 2 2" xfId="16151"/>
    <cellStyle name="Calculation 3 2 3 2 3 2 20" xfId="36687"/>
    <cellStyle name="Calculation 3 2 3 2 3 2 3" xfId="17129"/>
    <cellStyle name="Calculation 3 2 3 2 3 2 4" xfId="18157"/>
    <cellStyle name="Calculation 3 2 3 2 3 2 5" xfId="19189"/>
    <cellStyle name="Calculation 3 2 3 2 3 2 6" xfId="20211"/>
    <cellStyle name="Calculation 3 2 3 2 3 2 7" xfId="21220"/>
    <cellStyle name="Calculation 3 2 3 2 3 2 8" xfId="22194"/>
    <cellStyle name="Calculation 3 2 3 2 3 2 9" xfId="23199"/>
    <cellStyle name="Calculation 3 2 3 2 3 20" xfId="35747"/>
    <cellStyle name="Calculation 3 2 3 2 3 21" xfId="36686"/>
    <cellStyle name="Calculation 3 2 3 2 3 3" xfId="16150"/>
    <cellStyle name="Calculation 3 2 3 2 3 4" xfId="17128"/>
    <cellStyle name="Calculation 3 2 3 2 3 5" xfId="18156"/>
    <cellStyle name="Calculation 3 2 3 2 3 6" xfId="19188"/>
    <cellStyle name="Calculation 3 2 3 2 3 7" xfId="20210"/>
    <cellStyle name="Calculation 3 2 3 2 3 8" xfId="21219"/>
    <cellStyle name="Calculation 3 2 3 2 3 9" xfId="22193"/>
    <cellStyle name="Calculation 3 2 3 2 4" xfId="884"/>
    <cellStyle name="Calculation 3 2 3 2 4 10" xfId="23200"/>
    <cellStyle name="Calculation 3 2 3 2 4 11" xfId="24172"/>
    <cellStyle name="Calculation 3 2 3 2 4 12" xfId="25171"/>
    <cellStyle name="Calculation 3 2 3 2 4 13" xfId="28116"/>
    <cellStyle name="Calculation 3 2 3 2 4 14" xfId="29085"/>
    <cellStyle name="Calculation 3 2 3 2 4 15" xfId="30124"/>
    <cellStyle name="Calculation 3 2 3 2 4 16" xfId="31117"/>
    <cellStyle name="Calculation 3 2 3 2 4 17" xfId="32126"/>
    <cellStyle name="Calculation 3 2 3 2 4 18" xfId="33129"/>
    <cellStyle name="Calculation 3 2 3 2 4 19" xfId="34128"/>
    <cellStyle name="Calculation 3 2 3 2 4 2" xfId="885"/>
    <cellStyle name="Calculation 3 2 3 2 4 2 10" xfId="24173"/>
    <cellStyle name="Calculation 3 2 3 2 4 2 11" xfId="25172"/>
    <cellStyle name="Calculation 3 2 3 2 4 2 12" xfId="28117"/>
    <cellStyle name="Calculation 3 2 3 2 4 2 13" xfId="29086"/>
    <cellStyle name="Calculation 3 2 3 2 4 2 14" xfId="30125"/>
    <cellStyle name="Calculation 3 2 3 2 4 2 15" xfId="31118"/>
    <cellStyle name="Calculation 3 2 3 2 4 2 16" xfId="32127"/>
    <cellStyle name="Calculation 3 2 3 2 4 2 17" xfId="33130"/>
    <cellStyle name="Calculation 3 2 3 2 4 2 18" xfId="34129"/>
    <cellStyle name="Calculation 3 2 3 2 4 2 19" xfId="35750"/>
    <cellStyle name="Calculation 3 2 3 2 4 2 2" xfId="16153"/>
    <cellStyle name="Calculation 3 2 3 2 4 2 20" xfId="36689"/>
    <cellStyle name="Calculation 3 2 3 2 4 2 3" xfId="17131"/>
    <cellStyle name="Calculation 3 2 3 2 4 2 4" xfId="18159"/>
    <cellStyle name="Calculation 3 2 3 2 4 2 5" xfId="19191"/>
    <cellStyle name="Calculation 3 2 3 2 4 2 6" xfId="20213"/>
    <cellStyle name="Calculation 3 2 3 2 4 2 7" xfId="21222"/>
    <cellStyle name="Calculation 3 2 3 2 4 2 8" xfId="22196"/>
    <cellStyle name="Calculation 3 2 3 2 4 2 9" xfId="23201"/>
    <cellStyle name="Calculation 3 2 3 2 4 20" xfId="35749"/>
    <cellStyle name="Calculation 3 2 3 2 4 21" xfId="36688"/>
    <cellStyle name="Calculation 3 2 3 2 4 3" xfId="16152"/>
    <cellStyle name="Calculation 3 2 3 2 4 4" xfId="17130"/>
    <cellStyle name="Calculation 3 2 3 2 4 5" xfId="18158"/>
    <cellStyle name="Calculation 3 2 3 2 4 6" xfId="19190"/>
    <cellStyle name="Calculation 3 2 3 2 4 7" xfId="20212"/>
    <cellStyle name="Calculation 3 2 3 2 4 8" xfId="21221"/>
    <cellStyle name="Calculation 3 2 3 2 4 9" xfId="22195"/>
    <cellStyle name="Calculation 3 2 3 2 5" xfId="886"/>
    <cellStyle name="Calculation 3 2 3 2 5 10" xfId="24174"/>
    <cellStyle name="Calculation 3 2 3 2 5 11" xfId="25173"/>
    <cellStyle name="Calculation 3 2 3 2 5 12" xfId="28118"/>
    <cellStyle name="Calculation 3 2 3 2 5 13" xfId="29087"/>
    <cellStyle name="Calculation 3 2 3 2 5 14" xfId="30126"/>
    <cellStyle name="Calculation 3 2 3 2 5 15" xfId="31119"/>
    <cellStyle name="Calculation 3 2 3 2 5 16" xfId="32128"/>
    <cellStyle name="Calculation 3 2 3 2 5 17" xfId="33131"/>
    <cellStyle name="Calculation 3 2 3 2 5 18" xfId="34130"/>
    <cellStyle name="Calculation 3 2 3 2 5 19" xfId="35751"/>
    <cellStyle name="Calculation 3 2 3 2 5 2" xfId="16154"/>
    <cellStyle name="Calculation 3 2 3 2 5 20" xfId="36690"/>
    <cellStyle name="Calculation 3 2 3 2 5 3" xfId="17132"/>
    <cellStyle name="Calculation 3 2 3 2 5 4" xfId="18160"/>
    <cellStyle name="Calculation 3 2 3 2 5 5" xfId="19192"/>
    <cellStyle name="Calculation 3 2 3 2 5 6" xfId="20214"/>
    <cellStyle name="Calculation 3 2 3 2 5 7" xfId="21223"/>
    <cellStyle name="Calculation 3 2 3 2 5 8" xfId="22197"/>
    <cellStyle name="Calculation 3 2 3 2 5 9" xfId="23202"/>
    <cellStyle name="Calculation 3 2 3 2 6" xfId="13716"/>
    <cellStyle name="Calculation 3 2 3 2 7" xfId="14133"/>
    <cellStyle name="Calculation 3 2 3 2 8" xfId="15625"/>
    <cellStyle name="Calculation 3 2 3 2 9" xfId="14945"/>
    <cellStyle name="Calculation 3 2 3 20" xfId="30846"/>
    <cellStyle name="Calculation 3 2 3 21" xfId="26675"/>
    <cellStyle name="Calculation 3 2 3 22" xfId="34936"/>
    <cellStyle name="Calculation 3 2 3 23" xfId="35368"/>
    <cellStyle name="Calculation 3 2 3 3" xfId="887"/>
    <cellStyle name="Calculation 3 2 3 3 10" xfId="14486"/>
    <cellStyle name="Calculation 3 2 3 3 11" xfId="15063"/>
    <cellStyle name="Calculation 3 2 3 3 12" xfId="26377"/>
    <cellStyle name="Calculation 3 2 3 3 13" xfId="27131"/>
    <cellStyle name="Calculation 3 2 3 3 14" xfId="26825"/>
    <cellStyle name="Calculation 3 2 3 3 15" xfId="29830"/>
    <cellStyle name="Calculation 3 2 3 3 16" xfId="26847"/>
    <cellStyle name="Calculation 3 2 3 3 17" xfId="27627"/>
    <cellStyle name="Calculation 3 2 3 3 18" xfId="35068"/>
    <cellStyle name="Calculation 3 2 3 3 19" xfId="35286"/>
    <cellStyle name="Calculation 3 2 3 3 2" xfId="888"/>
    <cellStyle name="Calculation 3 2 3 3 2 10" xfId="23203"/>
    <cellStyle name="Calculation 3 2 3 3 2 11" xfId="24175"/>
    <cellStyle name="Calculation 3 2 3 3 2 12" xfId="25174"/>
    <cellStyle name="Calculation 3 2 3 3 2 13" xfId="28119"/>
    <cellStyle name="Calculation 3 2 3 3 2 14" xfId="29088"/>
    <cellStyle name="Calculation 3 2 3 3 2 15" xfId="30127"/>
    <cellStyle name="Calculation 3 2 3 3 2 16" xfId="31120"/>
    <cellStyle name="Calculation 3 2 3 3 2 17" xfId="32129"/>
    <cellStyle name="Calculation 3 2 3 3 2 18" xfId="33132"/>
    <cellStyle name="Calculation 3 2 3 3 2 19" xfId="34131"/>
    <cellStyle name="Calculation 3 2 3 3 2 2" xfId="889"/>
    <cellStyle name="Calculation 3 2 3 3 2 2 10" xfId="24176"/>
    <cellStyle name="Calculation 3 2 3 3 2 2 11" xfId="25175"/>
    <cellStyle name="Calculation 3 2 3 3 2 2 12" xfId="28120"/>
    <cellStyle name="Calculation 3 2 3 3 2 2 13" xfId="29089"/>
    <cellStyle name="Calculation 3 2 3 3 2 2 14" xfId="30128"/>
    <cellStyle name="Calculation 3 2 3 3 2 2 15" xfId="31121"/>
    <cellStyle name="Calculation 3 2 3 3 2 2 16" xfId="32130"/>
    <cellStyle name="Calculation 3 2 3 3 2 2 17" xfId="33133"/>
    <cellStyle name="Calculation 3 2 3 3 2 2 18" xfId="34132"/>
    <cellStyle name="Calculation 3 2 3 3 2 2 19" xfId="35753"/>
    <cellStyle name="Calculation 3 2 3 3 2 2 2" xfId="16156"/>
    <cellStyle name="Calculation 3 2 3 3 2 2 20" xfId="36692"/>
    <cellStyle name="Calculation 3 2 3 3 2 2 3" xfId="17134"/>
    <cellStyle name="Calculation 3 2 3 3 2 2 4" xfId="18162"/>
    <cellStyle name="Calculation 3 2 3 3 2 2 5" xfId="19194"/>
    <cellStyle name="Calculation 3 2 3 3 2 2 6" xfId="20216"/>
    <cellStyle name="Calculation 3 2 3 3 2 2 7" xfId="21225"/>
    <cellStyle name="Calculation 3 2 3 3 2 2 8" xfId="22199"/>
    <cellStyle name="Calculation 3 2 3 3 2 2 9" xfId="23204"/>
    <cellStyle name="Calculation 3 2 3 3 2 20" xfId="35752"/>
    <cellStyle name="Calculation 3 2 3 3 2 21" xfId="36691"/>
    <cellStyle name="Calculation 3 2 3 3 2 3" xfId="16155"/>
    <cellStyle name="Calculation 3 2 3 3 2 4" xfId="17133"/>
    <cellStyle name="Calculation 3 2 3 3 2 5" xfId="18161"/>
    <cellStyle name="Calculation 3 2 3 3 2 6" xfId="19193"/>
    <cellStyle name="Calculation 3 2 3 3 2 7" xfId="20215"/>
    <cellStyle name="Calculation 3 2 3 3 2 8" xfId="21224"/>
    <cellStyle name="Calculation 3 2 3 3 2 9" xfId="22198"/>
    <cellStyle name="Calculation 3 2 3 3 3" xfId="890"/>
    <cellStyle name="Calculation 3 2 3 3 3 10" xfId="23205"/>
    <cellStyle name="Calculation 3 2 3 3 3 11" xfId="24177"/>
    <cellStyle name="Calculation 3 2 3 3 3 12" xfId="25176"/>
    <cellStyle name="Calculation 3 2 3 3 3 13" xfId="28121"/>
    <cellStyle name="Calculation 3 2 3 3 3 14" xfId="29090"/>
    <cellStyle name="Calculation 3 2 3 3 3 15" xfId="30129"/>
    <cellStyle name="Calculation 3 2 3 3 3 16" xfId="31122"/>
    <cellStyle name="Calculation 3 2 3 3 3 17" xfId="32131"/>
    <cellStyle name="Calculation 3 2 3 3 3 18" xfId="33134"/>
    <cellStyle name="Calculation 3 2 3 3 3 19" xfId="34133"/>
    <cellStyle name="Calculation 3 2 3 3 3 2" xfId="891"/>
    <cellStyle name="Calculation 3 2 3 3 3 2 10" xfId="24178"/>
    <cellStyle name="Calculation 3 2 3 3 3 2 11" xfId="25177"/>
    <cellStyle name="Calculation 3 2 3 3 3 2 12" xfId="28122"/>
    <cellStyle name="Calculation 3 2 3 3 3 2 13" xfId="29091"/>
    <cellStyle name="Calculation 3 2 3 3 3 2 14" xfId="30130"/>
    <cellStyle name="Calculation 3 2 3 3 3 2 15" xfId="31123"/>
    <cellStyle name="Calculation 3 2 3 3 3 2 16" xfId="32132"/>
    <cellStyle name="Calculation 3 2 3 3 3 2 17" xfId="33135"/>
    <cellStyle name="Calculation 3 2 3 3 3 2 18" xfId="34134"/>
    <cellStyle name="Calculation 3 2 3 3 3 2 19" xfId="35755"/>
    <cellStyle name="Calculation 3 2 3 3 3 2 2" xfId="16158"/>
    <cellStyle name="Calculation 3 2 3 3 3 2 20" xfId="36694"/>
    <cellStyle name="Calculation 3 2 3 3 3 2 3" xfId="17136"/>
    <cellStyle name="Calculation 3 2 3 3 3 2 4" xfId="18164"/>
    <cellStyle name="Calculation 3 2 3 3 3 2 5" xfId="19196"/>
    <cellStyle name="Calculation 3 2 3 3 3 2 6" xfId="20218"/>
    <cellStyle name="Calculation 3 2 3 3 3 2 7" xfId="21227"/>
    <cellStyle name="Calculation 3 2 3 3 3 2 8" xfId="22201"/>
    <cellStyle name="Calculation 3 2 3 3 3 2 9" xfId="23206"/>
    <cellStyle name="Calculation 3 2 3 3 3 20" xfId="35754"/>
    <cellStyle name="Calculation 3 2 3 3 3 21" xfId="36693"/>
    <cellStyle name="Calculation 3 2 3 3 3 3" xfId="16157"/>
    <cellStyle name="Calculation 3 2 3 3 3 4" xfId="17135"/>
    <cellStyle name="Calculation 3 2 3 3 3 5" xfId="18163"/>
    <cellStyle name="Calculation 3 2 3 3 3 6" xfId="19195"/>
    <cellStyle name="Calculation 3 2 3 3 3 7" xfId="20217"/>
    <cellStyle name="Calculation 3 2 3 3 3 8" xfId="21226"/>
    <cellStyle name="Calculation 3 2 3 3 3 9" xfId="22200"/>
    <cellStyle name="Calculation 3 2 3 3 4" xfId="892"/>
    <cellStyle name="Calculation 3 2 3 3 4 10" xfId="23207"/>
    <cellStyle name="Calculation 3 2 3 3 4 11" xfId="24179"/>
    <cellStyle name="Calculation 3 2 3 3 4 12" xfId="25178"/>
    <cellStyle name="Calculation 3 2 3 3 4 13" xfId="28123"/>
    <cellStyle name="Calculation 3 2 3 3 4 14" xfId="29092"/>
    <cellStyle name="Calculation 3 2 3 3 4 15" xfId="30131"/>
    <cellStyle name="Calculation 3 2 3 3 4 16" xfId="31124"/>
    <cellStyle name="Calculation 3 2 3 3 4 17" xfId="32133"/>
    <cellStyle name="Calculation 3 2 3 3 4 18" xfId="33136"/>
    <cellStyle name="Calculation 3 2 3 3 4 19" xfId="34135"/>
    <cellStyle name="Calculation 3 2 3 3 4 2" xfId="893"/>
    <cellStyle name="Calculation 3 2 3 3 4 2 10" xfId="24180"/>
    <cellStyle name="Calculation 3 2 3 3 4 2 11" xfId="25179"/>
    <cellStyle name="Calculation 3 2 3 3 4 2 12" xfId="28124"/>
    <cellStyle name="Calculation 3 2 3 3 4 2 13" xfId="29093"/>
    <cellStyle name="Calculation 3 2 3 3 4 2 14" xfId="30132"/>
    <cellStyle name="Calculation 3 2 3 3 4 2 15" xfId="31125"/>
    <cellStyle name="Calculation 3 2 3 3 4 2 16" xfId="32134"/>
    <cellStyle name="Calculation 3 2 3 3 4 2 17" xfId="33137"/>
    <cellStyle name="Calculation 3 2 3 3 4 2 18" xfId="34136"/>
    <cellStyle name="Calculation 3 2 3 3 4 2 19" xfId="35757"/>
    <cellStyle name="Calculation 3 2 3 3 4 2 2" xfId="16160"/>
    <cellStyle name="Calculation 3 2 3 3 4 2 20" xfId="36696"/>
    <cellStyle name="Calculation 3 2 3 3 4 2 3" xfId="17138"/>
    <cellStyle name="Calculation 3 2 3 3 4 2 4" xfId="18166"/>
    <cellStyle name="Calculation 3 2 3 3 4 2 5" xfId="19198"/>
    <cellStyle name="Calculation 3 2 3 3 4 2 6" xfId="20220"/>
    <cellStyle name="Calculation 3 2 3 3 4 2 7" xfId="21229"/>
    <cellStyle name="Calculation 3 2 3 3 4 2 8" xfId="22203"/>
    <cellStyle name="Calculation 3 2 3 3 4 2 9" xfId="23208"/>
    <cellStyle name="Calculation 3 2 3 3 4 20" xfId="35756"/>
    <cellStyle name="Calculation 3 2 3 3 4 21" xfId="36695"/>
    <cellStyle name="Calculation 3 2 3 3 4 3" xfId="16159"/>
    <cellStyle name="Calculation 3 2 3 3 4 4" xfId="17137"/>
    <cellStyle name="Calculation 3 2 3 3 4 5" xfId="18165"/>
    <cellStyle name="Calculation 3 2 3 3 4 6" xfId="19197"/>
    <cellStyle name="Calculation 3 2 3 3 4 7" xfId="20219"/>
    <cellStyle name="Calculation 3 2 3 3 4 8" xfId="21228"/>
    <cellStyle name="Calculation 3 2 3 3 4 9" xfId="22202"/>
    <cellStyle name="Calculation 3 2 3 3 5" xfId="894"/>
    <cellStyle name="Calculation 3 2 3 3 5 10" xfId="24181"/>
    <cellStyle name="Calculation 3 2 3 3 5 11" xfId="25180"/>
    <cellStyle name="Calculation 3 2 3 3 5 12" xfId="28125"/>
    <cellStyle name="Calculation 3 2 3 3 5 13" xfId="29094"/>
    <cellStyle name="Calculation 3 2 3 3 5 14" xfId="30133"/>
    <cellStyle name="Calculation 3 2 3 3 5 15" xfId="31126"/>
    <cellStyle name="Calculation 3 2 3 3 5 16" xfId="32135"/>
    <cellStyle name="Calculation 3 2 3 3 5 17" xfId="33138"/>
    <cellStyle name="Calculation 3 2 3 3 5 18" xfId="34137"/>
    <cellStyle name="Calculation 3 2 3 3 5 19" xfId="35758"/>
    <cellStyle name="Calculation 3 2 3 3 5 2" xfId="16161"/>
    <cellStyle name="Calculation 3 2 3 3 5 20" xfId="36697"/>
    <cellStyle name="Calculation 3 2 3 3 5 3" xfId="17139"/>
    <cellStyle name="Calculation 3 2 3 3 5 4" xfId="18167"/>
    <cellStyle name="Calculation 3 2 3 3 5 5" xfId="19199"/>
    <cellStyle name="Calculation 3 2 3 3 5 6" xfId="20221"/>
    <cellStyle name="Calculation 3 2 3 3 5 7" xfId="21230"/>
    <cellStyle name="Calculation 3 2 3 3 5 8" xfId="22204"/>
    <cellStyle name="Calculation 3 2 3 3 5 9" xfId="23209"/>
    <cellStyle name="Calculation 3 2 3 3 6" xfId="14048"/>
    <cellStyle name="Calculation 3 2 3 3 7" xfId="14469"/>
    <cellStyle name="Calculation 3 2 3 3 8" xfId="15453"/>
    <cellStyle name="Calculation 3 2 3 3 9" xfId="15040"/>
    <cellStyle name="Calculation 3 2 3 4" xfId="895"/>
    <cellStyle name="Calculation 3 2 3 4 10" xfId="13902"/>
    <cellStyle name="Calculation 3 2 3 4 11" xfId="13593"/>
    <cellStyle name="Calculation 3 2 3 4 12" xfId="26481"/>
    <cellStyle name="Calculation 3 2 3 4 13" xfId="27063"/>
    <cellStyle name="Calculation 3 2 3 4 14" xfId="26180"/>
    <cellStyle name="Calculation 3 2 3 4 15" xfId="26559"/>
    <cellStyle name="Calculation 3 2 3 4 16" xfId="27595"/>
    <cellStyle name="Calculation 3 2 3 4 17" xfId="27360"/>
    <cellStyle name="Calculation 3 2 3 4 18" xfId="35164"/>
    <cellStyle name="Calculation 3 2 3 4 19" xfId="35218"/>
    <cellStyle name="Calculation 3 2 3 4 2" xfId="896"/>
    <cellStyle name="Calculation 3 2 3 4 2 10" xfId="23210"/>
    <cellStyle name="Calculation 3 2 3 4 2 11" xfId="24182"/>
    <cellStyle name="Calculation 3 2 3 4 2 12" xfId="25181"/>
    <cellStyle name="Calculation 3 2 3 4 2 13" xfId="28126"/>
    <cellStyle name="Calculation 3 2 3 4 2 14" xfId="29095"/>
    <cellStyle name="Calculation 3 2 3 4 2 15" xfId="30134"/>
    <cellStyle name="Calculation 3 2 3 4 2 16" xfId="31127"/>
    <cellStyle name="Calculation 3 2 3 4 2 17" xfId="32136"/>
    <cellStyle name="Calculation 3 2 3 4 2 18" xfId="33139"/>
    <cellStyle name="Calculation 3 2 3 4 2 19" xfId="34138"/>
    <cellStyle name="Calculation 3 2 3 4 2 2" xfId="897"/>
    <cellStyle name="Calculation 3 2 3 4 2 2 10" xfId="24183"/>
    <cellStyle name="Calculation 3 2 3 4 2 2 11" xfId="25182"/>
    <cellStyle name="Calculation 3 2 3 4 2 2 12" xfId="28127"/>
    <cellStyle name="Calculation 3 2 3 4 2 2 13" xfId="29096"/>
    <cellStyle name="Calculation 3 2 3 4 2 2 14" xfId="30135"/>
    <cellStyle name="Calculation 3 2 3 4 2 2 15" xfId="31128"/>
    <cellStyle name="Calculation 3 2 3 4 2 2 16" xfId="32137"/>
    <cellStyle name="Calculation 3 2 3 4 2 2 17" xfId="33140"/>
    <cellStyle name="Calculation 3 2 3 4 2 2 18" xfId="34139"/>
    <cellStyle name="Calculation 3 2 3 4 2 2 19" xfId="35760"/>
    <cellStyle name="Calculation 3 2 3 4 2 2 2" xfId="16163"/>
    <cellStyle name="Calculation 3 2 3 4 2 2 20" xfId="36699"/>
    <cellStyle name="Calculation 3 2 3 4 2 2 3" xfId="17141"/>
    <cellStyle name="Calculation 3 2 3 4 2 2 4" xfId="18169"/>
    <cellStyle name="Calculation 3 2 3 4 2 2 5" xfId="19201"/>
    <cellStyle name="Calculation 3 2 3 4 2 2 6" xfId="20223"/>
    <cellStyle name="Calculation 3 2 3 4 2 2 7" xfId="21232"/>
    <cellStyle name="Calculation 3 2 3 4 2 2 8" xfId="22206"/>
    <cellStyle name="Calculation 3 2 3 4 2 2 9" xfId="23211"/>
    <cellStyle name="Calculation 3 2 3 4 2 20" xfId="35759"/>
    <cellStyle name="Calculation 3 2 3 4 2 21" xfId="36698"/>
    <cellStyle name="Calculation 3 2 3 4 2 3" xfId="16162"/>
    <cellStyle name="Calculation 3 2 3 4 2 4" xfId="17140"/>
    <cellStyle name="Calculation 3 2 3 4 2 5" xfId="18168"/>
    <cellStyle name="Calculation 3 2 3 4 2 6" xfId="19200"/>
    <cellStyle name="Calculation 3 2 3 4 2 7" xfId="20222"/>
    <cellStyle name="Calculation 3 2 3 4 2 8" xfId="21231"/>
    <cellStyle name="Calculation 3 2 3 4 2 9" xfId="22205"/>
    <cellStyle name="Calculation 3 2 3 4 3" xfId="898"/>
    <cellStyle name="Calculation 3 2 3 4 3 10" xfId="23212"/>
    <cellStyle name="Calculation 3 2 3 4 3 11" xfId="24184"/>
    <cellStyle name="Calculation 3 2 3 4 3 12" xfId="25183"/>
    <cellStyle name="Calculation 3 2 3 4 3 13" xfId="28128"/>
    <cellStyle name="Calculation 3 2 3 4 3 14" xfId="29097"/>
    <cellStyle name="Calculation 3 2 3 4 3 15" xfId="30136"/>
    <cellStyle name="Calculation 3 2 3 4 3 16" xfId="31129"/>
    <cellStyle name="Calculation 3 2 3 4 3 17" xfId="32138"/>
    <cellStyle name="Calculation 3 2 3 4 3 18" xfId="33141"/>
    <cellStyle name="Calculation 3 2 3 4 3 19" xfId="34140"/>
    <cellStyle name="Calculation 3 2 3 4 3 2" xfId="899"/>
    <cellStyle name="Calculation 3 2 3 4 3 2 10" xfId="24185"/>
    <cellStyle name="Calculation 3 2 3 4 3 2 11" xfId="25184"/>
    <cellStyle name="Calculation 3 2 3 4 3 2 12" xfId="28129"/>
    <cellStyle name="Calculation 3 2 3 4 3 2 13" xfId="29098"/>
    <cellStyle name="Calculation 3 2 3 4 3 2 14" xfId="30137"/>
    <cellStyle name="Calculation 3 2 3 4 3 2 15" xfId="31130"/>
    <cellStyle name="Calculation 3 2 3 4 3 2 16" xfId="32139"/>
    <cellStyle name="Calculation 3 2 3 4 3 2 17" xfId="33142"/>
    <cellStyle name="Calculation 3 2 3 4 3 2 18" xfId="34141"/>
    <cellStyle name="Calculation 3 2 3 4 3 2 19" xfId="35762"/>
    <cellStyle name="Calculation 3 2 3 4 3 2 2" xfId="16165"/>
    <cellStyle name="Calculation 3 2 3 4 3 2 20" xfId="36701"/>
    <cellStyle name="Calculation 3 2 3 4 3 2 3" xfId="17143"/>
    <cellStyle name="Calculation 3 2 3 4 3 2 4" xfId="18171"/>
    <cellStyle name="Calculation 3 2 3 4 3 2 5" xfId="19203"/>
    <cellStyle name="Calculation 3 2 3 4 3 2 6" xfId="20225"/>
    <cellStyle name="Calculation 3 2 3 4 3 2 7" xfId="21234"/>
    <cellStyle name="Calculation 3 2 3 4 3 2 8" xfId="22208"/>
    <cellStyle name="Calculation 3 2 3 4 3 2 9" xfId="23213"/>
    <cellStyle name="Calculation 3 2 3 4 3 20" xfId="35761"/>
    <cellStyle name="Calculation 3 2 3 4 3 21" xfId="36700"/>
    <cellStyle name="Calculation 3 2 3 4 3 3" xfId="16164"/>
    <cellStyle name="Calculation 3 2 3 4 3 4" xfId="17142"/>
    <cellStyle name="Calculation 3 2 3 4 3 5" xfId="18170"/>
    <cellStyle name="Calculation 3 2 3 4 3 6" xfId="19202"/>
    <cellStyle name="Calculation 3 2 3 4 3 7" xfId="20224"/>
    <cellStyle name="Calculation 3 2 3 4 3 8" xfId="21233"/>
    <cellStyle name="Calculation 3 2 3 4 3 9" xfId="22207"/>
    <cellStyle name="Calculation 3 2 3 4 4" xfId="900"/>
    <cellStyle name="Calculation 3 2 3 4 4 10" xfId="23214"/>
    <cellStyle name="Calculation 3 2 3 4 4 11" xfId="24186"/>
    <cellStyle name="Calculation 3 2 3 4 4 12" xfId="25185"/>
    <cellStyle name="Calculation 3 2 3 4 4 13" xfId="28130"/>
    <cellStyle name="Calculation 3 2 3 4 4 14" xfId="29099"/>
    <cellStyle name="Calculation 3 2 3 4 4 15" xfId="30138"/>
    <cellStyle name="Calculation 3 2 3 4 4 16" xfId="31131"/>
    <cellStyle name="Calculation 3 2 3 4 4 17" xfId="32140"/>
    <cellStyle name="Calculation 3 2 3 4 4 18" xfId="33143"/>
    <cellStyle name="Calculation 3 2 3 4 4 19" xfId="34142"/>
    <cellStyle name="Calculation 3 2 3 4 4 2" xfId="901"/>
    <cellStyle name="Calculation 3 2 3 4 4 2 10" xfId="24187"/>
    <cellStyle name="Calculation 3 2 3 4 4 2 11" xfId="25186"/>
    <cellStyle name="Calculation 3 2 3 4 4 2 12" xfId="28131"/>
    <cellStyle name="Calculation 3 2 3 4 4 2 13" xfId="29100"/>
    <cellStyle name="Calculation 3 2 3 4 4 2 14" xfId="30139"/>
    <cellStyle name="Calculation 3 2 3 4 4 2 15" xfId="31132"/>
    <cellStyle name="Calculation 3 2 3 4 4 2 16" xfId="32141"/>
    <cellStyle name="Calculation 3 2 3 4 4 2 17" xfId="33144"/>
    <cellStyle name="Calculation 3 2 3 4 4 2 18" xfId="34143"/>
    <cellStyle name="Calculation 3 2 3 4 4 2 19" xfId="35764"/>
    <cellStyle name="Calculation 3 2 3 4 4 2 2" xfId="16167"/>
    <cellStyle name="Calculation 3 2 3 4 4 2 20" xfId="36703"/>
    <cellStyle name="Calculation 3 2 3 4 4 2 3" xfId="17145"/>
    <cellStyle name="Calculation 3 2 3 4 4 2 4" xfId="18173"/>
    <cellStyle name="Calculation 3 2 3 4 4 2 5" xfId="19205"/>
    <cellStyle name="Calculation 3 2 3 4 4 2 6" xfId="20227"/>
    <cellStyle name="Calculation 3 2 3 4 4 2 7" xfId="21236"/>
    <cellStyle name="Calculation 3 2 3 4 4 2 8" xfId="22210"/>
    <cellStyle name="Calculation 3 2 3 4 4 2 9" xfId="23215"/>
    <cellStyle name="Calculation 3 2 3 4 4 20" xfId="35763"/>
    <cellStyle name="Calculation 3 2 3 4 4 21" xfId="36702"/>
    <cellStyle name="Calculation 3 2 3 4 4 3" xfId="16166"/>
    <cellStyle name="Calculation 3 2 3 4 4 4" xfId="17144"/>
    <cellStyle name="Calculation 3 2 3 4 4 5" xfId="18172"/>
    <cellStyle name="Calculation 3 2 3 4 4 6" xfId="19204"/>
    <cellStyle name="Calculation 3 2 3 4 4 7" xfId="20226"/>
    <cellStyle name="Calculation 3 2 3 4 4 8" xfId="21235"/>
    <cellStyle name="Calculation 3 2 3 4 4 9" xfId="22209"/>
    <cellStyle name="Calculation 3 2 3 4 5" xfId="902"/>
    <cellStyle name="Calculation 3 2 3 4 5 10" xfId="24188"/>
    <cellStyle name="Calculation 3 2 3 4 5 11" xfId="25187"/>
    <cellStyle name="Calculation 3 2 3 4 5 12" xfId="28132"/>
    <cellStyle name="Calculation 3 2 3 4 5 13" xfId="29101"/>
    <cellStyle name="Calculation 3 2 3 4 5 14" xfId="30140"/>
    <cellStyle name="Calculation 3 2 3 4 5 15" xfId="31133"/>
    <cellStyle name="Calculation 3 2 3 4 5 16" xfId="32142"/>
    <cellStyle name="Calculation 3 2 3 4 5 17" xfId="33145"/>
    <cellStyle name="Calculation 3 2 3 4 5 18" xfId="34144"/>
    <cellStyle name="Calculation 3 2 3 4 5 19" xfId="35765"/>
    <cellStyle name="Calculation 3 2 3 4 5 2" xfId="16168"/>
    <cellStyle name="Calculation 3 2 3 4 5 20" xfId="36704"/>
    <cellStyle name="Calculation 3 2 3 4 5 3" xfId="17146"/>
    <cellStyle name="Calculation 3 2 3 4 5 4" xfId="18174"/>
    <cellStyle name="Calculation 3 2 3 4 5 5" xfId="19206"/>
    <cellStyle name="Calculation 3 2 3 4 5 6" xfId="20228"/>
    <cellStyle name="Calculation 3 2 3 4 5 7" xfId="21237"/>
    <cellStyle name="Calculation 3 2 3 4 5 8" xfId="22211"/>
    <cellStyle name="Calculation 3 2 3 4 5 9" xfId="23216"/>
    <cellStyle name="Calculation 3 2 3 4 6" xfId="15420"/>
    <cellStyle name="Calculation 3 2 3 4 7" xfId="15598"/>
    <cellStyle name="Calculation 3 2 3 4 8" xfId="14214"/>
    <cellStyle name="Calculation 3 2 3 4 9" xfId="13519"/>
    <cellStyle name="Calculation 3 2 3 5" xfId="903"/>
    <cellStyle name="Calculation 3 2 3 5 10" xfId="15029"/>
    <cellStyle name="Calculation 3 2 3 5 11" xfId="14481"/>
    <cellStyle name="Calculation 3 2 3 5 12" xfId="26447"/>
    <cellStyle name="Calculation 3 2 3 5 13" xfId="27086"/>
    <cellStyle name="Calculation 3 2 3 5 14" xfId="26164"/>
    <cellStyle name="Calculation 3 2 3 5 15" xfId="26782"/>
    <cellStyle name="Calculation 3 2 3 5 16" xfId="26661"/>
    <cellStyle name="Calculation 3 2 3 5 17" xfId="26210"/>
    <cellStyle name="Calculation 3 2 3 5 18" xfId="35130"/>
    <cellStyle name="Calculation 3 2 3 5 19" xfId="35406"/>
    <cellStyle name="Calculation 3 2 3 5 2" xfId="904"/>
    <cellStyle name="Calculation 3 2 3 5 2 10" xfId="23217"/>
    <cellStyle name="Calculation 3 2 3 5 2 11" xfId="24189"/>
    <cellStyle name="Calculation 3 2 3 5 2 12" xfId="25188"/>
    <cellStyle name="Calculation 3 2 3 5 2 13" xfId="28133"/>
    <cellStyle name="Calculation 3 2 3 5 2 14" xfId="29102"/>
    <cellStyle name="Calculation 3 2 3 5 2 15" xfId="30141"/>
    <cellStyle name="Calculation 3 2 3 5 2 16" xfId="31134"/>
    <cellStyle name="Calculation 3 2 3 5 2 17" xfId="32143"/>
    <cellStyle name="Calculation 3 2 3 5 2 18" xfId="33146"/>
    <cellStyle name="Calculation 3 2 3 5 2 19" xfId="34145"/>
    <cellStyle name="Calculation 3 2 3 5 2 2" xfId="905"/>
    <cellStyle name="Calculation 3 2 3 5 2 2 10" xfId="24190"/>
    <cellStyle name="Calculation 3 2 3 5 2 2 11" xfId="25189"/>
    <cellStyle name="Calculation 3 2 3 5 2 2 12" xfId="28134"/>
    <cellStyle name="Calculation 3 2 3 5 2 2 13" xfId="29103"/>
    <cellStyle name="Calculation 3 2 3 5 2 2 14" xfId="30142"/>
    <cellStyle name="Calculation 3 2 3 5 2 2 15" xfId="31135"/>
    <cellStyle name="Calculation 3 2 3 5 2 2 16" xfId="32144"/>
    <cellStyle name="Calculation 3 2 3 5 2 2 17" xfId="33147"/>
    <cellStyle name="Calculation 3 2 3 5 2 2 18" xfId="34146"/>
    <cellStyle name="Calculation 3 2 3 5 2 2 19" xfId="35767"/>
    <cellStyle name="Calculation 3 2 3 5 2 2 2" xfId="16170"/>
    <cellStyle name="Calculation 3 2 3 5 2 2 20" xfId="36706"/>
    <cellStyle name="Calculation 3 2 3 5 2 2 3" xfId="17148"/>
    <cellStyle name="Calculation 3 2 3 5 2 2 4" xfId="18176"/>
    <cellStyle name="Calculation 3 2 3 5 2 2 5" xfId="19208"/>
    <cellStyle name="Calculation 3 2 3 5 2 2 6" xfId="20230"/>
    <cellStyle name="Calculation 3 2 3 5 2 2 7" xfId="21239"/>
    <cellStyle name="Calculation 3 2 3 5 2 2 8" xfId="22213"/>
    <cellStyle name="Calculation 3 2 3 5 2 2 9" xfId="23218"/>
    <cellStyle name="Calculation 3 2 3 5 2 20" xfId="35766"/>
    <cellStyle name="Calculation 3 2 3 5 2 21" xfId="36705"/>
    <cellStyle name="Calculation 3 2 3 5 2 3" xfId="16169"/>
    <cellStyle name="Calculation 3 2 3 5 2 4" xfId="17147"/>
    <cellStyle name="Calculation 3 2 3 5 2 5" xfId="18175"/>
    <cellStyle name="Calculation 3 2 3 5 2 6" xfId="19207"/>
    <cellStyle name="Calculation 3 2 3 5 2 7" xfId="20229"/>
    <cellStyle name="Calculation 3 2 3 5 2 8" xfId="21238"/>
    <cellStyle name="Calculation 3 2 3 5 2 9" xfId="22212"/>
    <cellStyle name="Calculation 3 2 3 5 3" xfId="906"/>
    <cellStyle name="Calculation 3 2 3 5 3 10" xfId="23219"/>
    <cellStyle name="Calculation 3 2 3 5 3 11" xfId="24191"/>
    <cellStyle name="Calculation 3 2 3 5 3 12" xfId="25190"/>
    <cellStyle name="Calculation 3 2 3 5 3 13" xfId="28135"/>
    <cellStyle name="Calculation 3 2 3 5 3 14" xfId="29104"/>
    <cellStyle name="Calculation 3 2 3 5 3 15" xfId="30143"/>
    <cellStyle name="Calculation 3 2 3 5 3 16" xfId="31136"/>
    <cellStyle name="Calculation 3 2 3 5 3 17" xfId="32145"/>
    <cellStyle name="Calculation 3 2 3 5 3 18" xfId="33148"/>
    <cellStyle name="Calculation 3 2 3 5 3 19" xfId="34147"/>
    <cellStyle name="Calculation 3 2 3 5 3 2" xfId="907"/>
    <cellStyle name="Calculation 3 2 3 5 3 2 10" xfId="24192"/>
    <cellStyle name="Calculation 3 2 3 5 3 2 11" xfId="25191"/>
    <cellStyle name="Calculation 3 2 3 5 3 2 12" xfId="28136"/>
    <cellStyle name="Calculation 3 2 3 5 3 2 13" xfId="29105"/>
    <cellStyle name="Calculation 3 2 3 5 3 2 14" xfId="30144"/>
    <cellStyle name="Calculation 3 2 3 5 3 2 15" xfId="31137"/>
    <cellStyle name="Calculation 3 2 3 5 3 2 16" xfId="32146"/>
    <cellStyle name="Calculation 3 2 3 5 3 2 17" xfId="33149"/>
    <cellStyle name="Calculation 3 2 3 5 3 2 18" xfId="34148"/>
    <cellStyle name="Calculation 3 2 3 5 3 2 19" xfId="35769"/>
    <cellStyle name="Calculation 3 2 3 5 3 2 2" xfId="16172"/>
    <cellStyle name="Calculation 3 2 3 5 3 2 20" xfId="36708"/>
    <cellStyle name="Calculation 3 2 3 5 3 2 3" xfId="17150"/>
    <cellStyle name="Calculation 3 2 3 5 3 2 4" xfId="18178"/>
    <cellStyle name="Calculation 3 2 3 5 3 2 5" xfId="19210"/>
    <cellStyle name="Calculation 3 2 3 5 3 2 6" xfId="20232"/>
    <cellStyle name="Calculation 3 2 3 5 3 2 7" xfId="21241"/>
    <cellStyle name="Calculation 3 2 3 5 3 2 8" xfId="22215"/>
    <cellStyle name="Calculation 3 2 3 5 3 2 9" xfId="23220"/>
    <cellStyle name="Calculation 3 2 3 5 3 20" xfId="35768"/>
    <cellStyle name="Calculation 3 2 3 5 3 21" xfId="36707"/>
    <cellStyle name="Calculation 3 2 3 5 3 3" xfId="16171"/>
    <cellStyle name="Calculation 3 2 3 5 3 4" xfId="17149"/>
    <cellStyle name="Calculation 3 2 3 5 3 5" xfId="18177"/>
    <cellStyle name="Calculation 3 2 3 5 3 6" xfId="19209"/>
    <cellStyle name="Calculation 3 2 3 5 3 7" xfId="20231"/>
    <cellStyle name="Calculation 3 2 3 5 3 8" xfId="21240"/>
    <cellStyle name="Calculation 3 2 3 5 3 9" xfId="22214"/>
    <cellStyle name="Calculation 3 2 3 5 4" xfId="908"/>
    <cellStyle name="Calculation 3 2 3 5 4 10" xfId="23221"/>
    <cellStyle name="Calculation 3 2 3 5 4 11" xfId="24193"/>
    <cellStyle name="Calculation 3 2 3 5 4 12" xfId="25192"/>
    <cellStyle name="Calculation 3 2 3 5 4 13" xfId="28137"/>
    <cellStyle name="Calculation 3 2 3 5 4 14" xfId="29106"/>
    <cellStyle name="Calculation 3 2 3 5 4 15" xfId="30145"/>
    <cellStyle name="Calculation 3 2 3 5 4 16" xfId="31138"/>
    <cellStyle name="Calculation 3 2 3 5 4 17" xfId="32147"/>
    <cellStyle name="Calculation 3 2 3 5 4 18" xfId="33150"/>
    <cellStyle name="Calculation 3 2 3 5 4 19" xfId="34149"/>
    <cellStyle name="Calculation 3 2 3 5 4 2" xfId="909"/>
    <cellStyle name="Calculation 3 2 3 5 4 2 10" xfId="24194"/>
    <cellStyle name="Calculation 3 2 3 5 4 2 11" xfId="25193"/>
    <cellStyle name="Calculation 3 2 3 5 4 2 12" xfId="28138"/>
    <cellStyle name="Calculation 3 2 3 5 4 2 13" xfId="29107"/>
    <cellStyle name="Calculation 3 2 3 5 4 2 14" xfId="30146"/>
    <cellStyle name="Calculation 3 2 3 5 4 2 15" xfId="31139"/>
    <cellStyle name="Calculation 3 2 3 5 4 2 16" xfId="32148"/>
    <cellStyle name="Calculation 3 2 3 5 4 2 17" xfId="33151"/>
    <cellStyle name="Calculation 3 2 3 5 4 2 18" xfId="34150"/>
    <cellStyle name="Calculation 3 2 3 5 4 2 19" xfId="35771"/>
    <cellStyle name="Calculation 3 2 3 5 4 2 2" xfId="16174"/>
    <cellStyle name="Calculation 3 2 3 5 4 2 20" xfId="36710"/>
    <cellStyle name="Calculation 3 2 3 5 4 2 3" xfId="17152"/>
    <cellStyle name="Calculation 3 2 3 5 4 2 4" xfId="18180"/>
    <cellStyle name="Calculation 3 2 3 5 4 2 5" xfId="19212"/>
    <cellStyle name="Calculation 3 2 3 5 4 2 6" xfId="20234"/>
    <cellStyle name="Calculation 3 2 3 5 4 2 7" xfId="21243"/>
    <cellStyle name="Calculation 3 2 3 5 4 2 8" xfId="22217"/>
    <cellStyle name="Calculation 3 2 3 5 4 2 9" xfId="23222"/>
    <cellStyle name="Calculation 3 2 3 5 4 20" xfId="35770"/>
    <cellStyle name="Calculation 3 2 3 5 4 21" xfId="36709"/>
    <cellStyle name="Calculation 3 2 3 5 4 3" xfId="16173"/>
    <cellStyle name="Calculation 3 2 3 5 4 4" xfId="17151"/>
    <cellStyle name="Calculation 3 2 3 5 4 5" xfId="18179"/>
    <cellStyle name="Calculation 3 2 3 5 4 6" xfId="19211"/>
    <cellStyle name="Calculation 3 2 3 5 4 7" xfId="20233"/>
    <cellStyle name="Calculation 3 2 3 5 4 8" xfId="21242"/>
    <cellStyle name="Calculation 3 2 3 5 4 9" xfId="22216"/>
    <cellStyle name="Calculation 3 2 3 5 5" xfId="910"/>
    <cellStyle name="Calculation 3 2 3 5 5 10" xfId="24195"/>
    <cellStyle name="Calculation 3 2 3 5 5 11" xfId="25194"/>
    <cellStyle name="Calculation 3 2 3 5 5 12" xfId="28139"/>
    <cellStyle name="Calculation 3 2 3 5 5 13" xfId="29108"/>
    <cellStyle name="Calculation 3 2 3 5 5 14" xfId="30147"/>
    <cellStyle name="Calculation 3 2 3 5 5 15" xfId="31140"/>
    <cellStyle name="Calculation 3 2 3 5 5 16" xfId="32149"/>
    <cellStyle name="Calculation 3 2 3 5 5 17" xfId="33152"/>
    <cellStyle name="Calculation 3 2 3 5 5 18" xfId="34151"/>
    <cellStyle name="Calculation 3 2 3 5 5 19" xfId="35772"/>
    <cellStyle name="Calculation 3 2 3 5 5 2" xfId="16175"/>
    <cellStyle name="Calculation 3 2 3 5 5 20" xfId="36711"/>
    <cellStyle name="Calculation 3 2 3 5 5 3" xfId="17153"/>
    <cellStyle name="Calculation 3 2 3 5 5 4" xfId="18181"/>
    <cellStyle name="Calculation 3 2 3 5 5 5" xfId="19213"/>
    <cellStyle name="Calculation 3 2 3 5 5 6" xfId="20235"/>
    <cellStyle name="Calculation 3 2 3 5 5 7" xfId="21244"/>
    <cellStyle name="Calculation 3 2 3 5 5 8" xfId="22218"/>
    <cellStyle name="Calculation 3 2 3 5 5 9" xfId="23223"/>
    <cellStyle name="Calculation 3 2 3 5 6" xfId="13557"/>
    <cellStyle name="Calculation 3 2 3 5 7" xfId="14386"/>
    <cellStyle name="Calculation 3 2 3 5 8" xfId="15707"/>
    <cellStyle name="Calculation 3 2 3 5 9" xfId="14648"/>
    <cellStyle name="Calculation 3 2 3 6" xfId="911"/>
    <cellStyle name="Calculation 3 2 3 6 10" xfId="23224"/>
    <cellStyle name="Calculation 3 2 3 6 11" xfId="24196"/>
    <cellStyle name="Calculation 3 2 3 6 12" xfId="25195"/>
    <cellStyle name="Calculation 3 2 3 6 13" xfId="28140"/>
    <cellStyle name="Calculation 3 2 3 6 14" xfId="29109"/>
    <cellStyle name="Calculation 3 2 3 6 15" xfId="30148"/>
    <cellStyle name="Calculation 3 2 3 6 16" xfId="31141"/>
    <cellStyle name="Calculation 3 2 3 6 17" xfId="32150"/>
    <cellStyle name="Calculation 3 2 3 6 18" xfId="33153"/>
    <cellStyle name="Calculation 3 2 3 6 19" xfId="34152"/>
    <cellStyle name="Calculation 3 2 3 6 2" xfId="912"/>
    <cellStyle name="Calculation 3 2 3 6 2 10" xfId="24197"/>
    <cellStyle name="Calculation 3 2 3 6 2 11" xfId="25196"/>
    <cellStyle name="Calculation 3 2 3 6 2 12" xfId="28141"/>
    <cellStyle name="Calculation 3 2 3 6 2 13" xfId="29110"/>
    <cellStyle name="Calculation 3 2 3 6 2 14" xfId="30149"/>
    <cellStyle name="Calculation 3 2 3 6 2 15" xfId="31142"/>
    <cellStyle name="Calculation 3 2 3 6 2 16" xfId="32151"/>
    <cellStyle name="Calculation 3 2 3 6 2 17" xfId="33154"/>
    <cellStyle name="Calculation 3 2 3 6 2 18" xfId="34153"/>
    <cellStyle name="Calculation 3 2 3 6 2 19" xfId="35774"/>
    <cellStyle name="Calculation 3 2 3 6 2 2" xfId="16177"/>
    <cellStyle name="Calculation 3 2 3 6 2 20" xfId="36713"/>
    <cellStyle name="Calculation 3 2 3 6 2 3" xfId="17155"/>
    <cellStyle name="Calculation 3 2 3 6 2 4" xfId="18183"/>
    <cellStyle name="Calculation 3 2 3 6 2 5" xfId="19215"/>
    <cellStyle name="Calculation 3 2 3 6 2 6" xfId="20237"/>
    <cellStyle name="Calculation 3 2 3 6 2 7" xfId="21246"/>
    <cellStyle name="Calculation 3 2 3 6 2 8" xfId="22220"/>
    <cellStyle name="Calculation 3 2 3 6 2 9" xfId="23225"/>
    <cellStyle name="Calculation 3 2 3 6 20" xfId="35773"/>
    <cellStyle name="Calculation 3 2 3 6 21" xfId="36712"/>
    <cellStyle name="Calculation 3 2 3 6 3" xfId="16176"/>
    <cellStyle name="Calculation 3 2 3 6 4" xfId="17154"/>
    <cellStyle name="Calculation 3 2 3 6 5" xfId="18182"/>
    <cellStyle name="Calculation 3 2 3 6 6" xfId="19214"/>
    <cellStyle name="Calculation 3 2 3 6 7" xfId="20236"/>
    <cellStyle name="Calculation 3 2 3 6 8" xfId="21245"/>
    <cellStyle name="Calculation 3 2 3 6 9" xfId="22219"/>
    <cellStyle name="Calculation 3 2 3 7" xfId="913"/>
    <cellStyle name="Calculation 3 2 3 7 10" xfId="23226"/>
    <cellStyle name="Calculation 3 2 3 7 11" xfId="24198"/>
    <cellStyle name="Calculation 3 2 3 7 12" xfId="25197"/>
    <cellStyle name="Calculation 3 2 3 7 13" xfId="28142"/>
    <cellStyle name="Calculation 3 2 3 7 14" xfId="29111"/>
    <cellStyle name="Calculation 3 2 3 7 15" xfId="30150"/>
    <cellStyle name="Calculation 3 2 3 7 16" xfId="31143"/>
    <cellStyle name="Calculation 3 2 3 7 17" xfId="32152"/>
    <cellStyle name="Calculation 3 2 3 7 18" xfId="33155"/>
    <cellStyle name="Calculation 3 2 3 7 19" xfId="34154"/>
    <cellStyle name="Calculation 3 2 3 7 2" xfId="914"/>
    <cellStyle name="Calculation 3 2 3 7 2 10" xfId="24199"/>
    <cellStyle name="Calculation 3 2 3 7 2 11" xfId="25198"/>
    <cellStyle name="Calculation 3 2 3 7 2 12" xfId="28143"/>
    <cellStyle name="Calculation 3 2 3 7 2 13" xfId="29112"/>
    <cellStyle name="Calculation 3 2 3 7 2 14" xfId="30151"/>
    <cellStyle name="Calculation 3 2 3 7 2 15" xfId="31144"/>
    <cellStyle name="Calculation 3 2 3 7 2 16" xfId="32153"/>
    <cellStyle name="Calculation 3 2 3 7 2 17" xfId="33156"/>
    <cellStyle name="Calculation 3 2 3 7 2 18" xfId="34155"/>
    <cellStyle name="Calculation 3 2 3 7 2 19" xfId="35776"/>
    <cellStyle name="Calculation 3 2 3 7 2 2" xfId="16179"/>
    <cellStyle name="Calculation 3 2 3 7 2 20" xfId="36715"/>
    <cellStyle name="Calculation 3 2 3 7 2 3" xfId="17157"/>
    <cellStyle name="Calculation 3 2 3 7 2 4" xfId="18185"/>
    <cellStyle name="Calculation 3 2 3 7 2 5" xfId="19217"/>
    <cellStyle name="Calculation 3 2 3 7 2 6" xfId="20239"/>
    <cellStyle name="Calculation 3 2 3 7 2 7" xfId="21248"/>
    <cellStyle name="Calculation 3 2 3 7 2 8" xfId="22222"/>
    <cellStyle name="Calculation 3 2 3 7 2 9" xfId="23227"/>
    <cellStyle name="Calculation 3 2 3 7 20" xfId="35775"/>
    <cellStyle name="Calculation 3 2 3 7 21" xfId="36714"/>
    <cellStyle name="Calculation 3 2 3 7 3" xfId="16178"/>
    <cellStyle name="Calculation 3 2 3 7 4" xfId="17156"/>
    <cellStyle name="Calculation 3 2 3 7 5" xfId="18184"/>
    <cellStyle name="Calculation 3 2 3 7 6" xfId="19216"/>
    <cellStyle name="Calculation 3 2 3 7 7" xfId="20238"/>
    <cellStyle name="Calculation 3 2 3 7 8" xfId="21247"/>
    <cellStyle name="Calculation 3 2 3 7 9" xfId="22221"/>
    <cellStyle name="Calculation 3 2 3 8" xfId="915"/>
    <cellStyle name="Calculation 3 2 3 8 10" xfId="23228"/>
    <cellStyle name="Calculation 3 2 3 8 11" xfId="24200"/>
    <cellStyle name="Calculation 3 2 3 8 12" xfId="25199"/>
    <cellStyle name="Calculation 3 2 3 8 13" xfId="28144"/>
    <cellStyle name="Calculation 3 2 3 8 14" xfId="29113"/>
    <cellStyle name="Calculation 3 2 3 8 15" xfId="30152"/>
    <cellStyle name="Calculation 3 2 3 8 16" xfId="31145"/>
    <cellStyle name="Calculation 3 2 3 8 17" xfId="32154"/>
    <cellStyle name="Calculation 3 2 3 8 18" xfId="33157"/>
    <cellStyle name="Calculation 3 2 3 8 19" xfId="34156"/>
    <cellStyle name="Calculation 3 2 3 8 2" xfId="916"/>
    <cellStyle name="Calculation 3 2 3 8 2 10" xfId="24201"/>
    <cellStyle name="Calculation 3 2 3 8 2 11" xfId="25200"/>
    <cellStyle name="Calculation 3 2 3 8 2 12" xfId="28145"/>
    <cellStyle name="Calculation 3 2 3 8 2 13" xfId="29114"/>
    <cellStyle name="Calculation 3 2 3 8 2 14" xfId="30153"/>
    <cellStyle name="Calculation 3 2 3 8 2 15" xfId="31146"/>
    <cellStyle name="Calculation 3 2 3 8 2 16" xfId="32155"/>
    <cellStyle name="Calculation 3 2 3 8 2 17" xfId="33158"/>
    <cellStyle name="Calculation 3 2 3 8 2 18" xfId="34157"/>
    <cellStyle name="Calculation 3 2 3 8 2 19" xfId="35778"/>
    <cellStyle name="Calculation 3 2 3 8 2 2" xfId="16181"/>
    <cellStyle name="Calculation 3 2 3 8 2 20" xfId="36717"/>
    <cellStyle name="Calculation 3 2 3 8 2 3" xfId="17159"/>
    <cellStyle name="Calculation 3 2 3 8 2 4" xfId="18187"/>
    <cellStyle name="Calculation 3 2 3 8 2 5" xfId="19219"/>
    <cellStyle name="Calculation 3 2 3 8 2 6" xfId="20241"/>
    <cellStyle name="Calculation 3 2 3 8 2 7" xfId="21250"/>
    <cellStyle name="Calculation 3 2 3 8 2 8" xfId="22224"/>
    <cellStyle name="Calculation 3 2 3 8 2 9" xfId="23229"/>
    <cellStyle name="Calculation 3 2 3 8 20" xfId="35777"/>
    <cellStyle name="Calculation 3 2 3 8 21" xfId="36716"/>
    <cellStyle name="Calculation 3 2 3 8 3" xfId="16180"/>
    <cellStyle name="Calculation 3 2 3 8 4" xfId="17158"/>
    <cellStyle name="Calculation 3 2 3 8 5" xfId="18186"/>
    <cellStyle name="Calculation 3 2 3 8 6" xfId="19218"/>
    <cellStyle name="Calculation 3 2 3 8 7" xfId="20240"/>
    <cellStyle name="Calculation 3 2 3 8 8" xfId="21249"/>
    <cellStyle name="Calculation 3 2 3 8 9" xfId="22223"/>
    <cellStyle name="Calculation 3 2 3 9" xfId="917"/>
    <cellStyle name="Calculation 3 2 3 9 10" xfId="24202"/>
    <cellStyle name="Calculation 3 2 3 9 11" xfId="25201"/>
    <cellStyle name="Calculation 3 2 3 9 12" xfId="28146"/>
    <cellStyle name="Calculation 3 2 3 9 13" xfId="29115"/>
    <cellStyle name="Calculation 3 2 3 9 14" xfId="30154"/>
    <cellStyle name="Calculation 3 2 3 9 15" xfId="31147"/>
    <cellStyle name="Calculation 3 2 3 9 16" xfId="32156"/>
    <cellStyle name="Calculation 3 2 3 9 17" xfId="33159"/>
    <cellStyle name="Calculation 3 2 3 9 18" xfId="34158"/>
    <cellStyle name="Calculation 3 2 3 9 19" xfId="35779"/>
    <cellStyle name="Calculation 3 2 3 9 2" xfId="16182"/>
    <cellStyle name="Calculation 3 2 3 9 20" xfId="36718"/>
    <cellStyle name="Calculation 3 2 3 9 3" xfId="17160"/>
    <cellStyle name="Calculation 3 2 3 9 4" xfId="18188"/>
    <cellStyle name="Calculation 3 2 3 9 5" xfId="19220"/>
    <cellStyle name="Calculation 3 2 3 9 6" xfId="20242"/>
    <cellStyle name="Calculation 3 2 3 9 7" xfId="21251"/>
    <cellStyle name="Calculation 3 2 3 9 8" xfId="22225"/>
    <cellStyle name="Calculation 3 2 3 9 9" xfId="23230"/>
    <cellStyle name="Calculation 3 2 4" xfId="918"/>
    <cellStyle name="Calculation 3 2 4 10" xfId="23231"/>
    <cellStyle name="Calculation 3 2 4 11" xfId="24203"/>
    <cellStyle name="Calculation 3 2 4 12" xfId="25202"/>
    <cellStyle name="Calculation 3 2 4 13" xfId="28147"/>
    <cellStyle name="Calculation 3 2 4 14" xfId="29116"/>
    <cellStyle name="Calculation 3 2 4 15" xfId="30155"/>
    <cellStyle name="Calculation 3 2 4 16" xfId="31148"/>
    <cellStyle name="Calculation 3 2 4 17" xfId="32157"/>
    <cellStyle name="Calculation 3 2 4 18" xfId="33160"/>
    <cellStyle name="Calculation 3 2 4 19" xfId="34159"/>
    <cellStyle name="Calculation 3 2 4 2" xfId="919"/>
    <cellStyle name="Calculation 3 2 4 2 10" xfId="24204"/>
    <cellStyle name="Calculation 3 2 4 2 11" xfId="25203"/>
    <cellStyle name="Calculation 3 2 4 2 12" xfId="28148"/>
    <cellStyle name="Calculation 3 2 4 2 13" xfId="29117"/>
    <cellStyle name="Calculation 3 2 4 2 14" xfId="30156"/>
    <cellStyle name="Calculation 3 2 4 2 15" xfId="31149"/>
    <cellStyle name="Calculation 3 2 4 2 16" xfId="32158"/>
    <cellStyle name="Calculation 3 2 4 2 17" xfId="33161"/>
    <cellStyle name="Calculation 3 2 4 2 18" xfId="34160"/>
    <cellStyle name="Calculation 3 2 4 2 19" xfId="35781"/>
    <cellStyle name="Calculation 3 2 4 2 2" xfId="16184"/>
    <cellStyle name="Calculation 3 2 4 2 20" xfId="36720"/>
    <cellStyle name="Calculation 3 2 4 2 3" xfId="17162"/>
    <cellStyle name="Calculation 3 2 4 2 4" xfId="18190"/>
    <cellStyle name="Calculation 3 2 4 2 5" xfId="19222"/>
    <cellStyle name="Calculation 3 2 4 2 6" xfId="20244"/>
    <cellStyle name="Calculation 3 2 4 2 7" xfId="21253"/>
    <cellStyle name="Calculation 3 2 4 2 8" xfId="22227"/>
    <cellStyle name="Calculation 3 2 4 2 9" xfId="23232"/>
    <cellStyle name="Calculation 3 2 4 20" xfId="35780"/>
    <cellStyle name="Calculation 3 2 4 21" xfId="36719"/>
    <cellStyle name="Calculation 3 2 4 3" xfId="16183"/>
    <cellStyle name="Calculation 3 2 4 4" xfId="17161"/>
    <cellStyle name="Calculation 3 2 4 5" xfId="18189"/>
    <cellStyle name="Calculation 3 2 4 6" xfId="19221"/>
    <cellStyle name="Calculation 3 2 4 7" xfId="20243"/>
    <cellStyle name="Calculation 3 2 4 8" xfId="21252"/>
    <cellStyle name="Calculation 3 2 4 9" xfId="22226"/>
    <cellStyle name="Calculation 3 2 5" xfId="920"/>
    <cellStyle name="Calculation 3 2 5 10" xfId="23233"/>
    <cellStyle name="Calculation 3 2 5 11" xfId="24205"/>
    <cellStyle name="Calculation 3 2 5 12" xfId="25204"/>
    <cellStyle name="Calculation 3 2 5 13" xfId="28149"/>
    <cellStyle name="Calculation 3 2 5 14" xfId="29118"/>
    <cellStyle name="Calculation 3 2 5 15" xfId="30157"/>
    <cellStyle name="Calculation 3 2 5 16" xfId="31150"/>
    <cellStyle name="Calculation 3 2 5 17" xfId="32159"/>
    <cellStyle name="Calculation 3 2 5 18" xfId="33162"/>
    <cellStyle name="Calculation 3 2 5 19" xfId="34161"/>
    <cellStyle name="Calculation 3 2 5 2" xfId="921"/>
    <cellStyle name="Calculation 3 2 5 2 10" xfId="24206"/>
    <cellStyle name="Calculation 3 2 5 2 11" xfId="25205"/>
    <cellStyle name="Calculation 3 2 5 2 12" xfId="28150"/>
    <cellStyle name="Calculation 3 2 5 2 13" xfId="29119"/>
    <cellStyle name="Calculation 3 2 5 2 14" xfId="30158"/>
    <cellStyle name="Calculation 3 2 5 2 15" xfId="31151"/>
    <cellStyle name="Calculation 3 2 5 2 16" xfId="32160"/>
    <cellStyle name="Calculation 3 2 5 2 17" xfId="33163"/>
    <cellStyle name="Calculation 3 2 5 2 18" xfId="34162"/>
    <cellStyle name="Calculation 3 2 5 2 19" xfId="35783"/>
    <cellStyle name="Calculation 3 2 5 2 2" xfId="16186"/>
    <cellStyle name="Calculation 3 2 5 2 20" xfId="36722"/>
    <cellStyle name="Calculation 3 2 5 2 3" xfId="17164"/>
    <cellStyle name="Calculation 3 2 5 2 4" xfId="18192"/>
    <cellStyle name="Calculation 3 2 5 2 5" xfId="19224"/>
    <cellStyle name="Calculation 3 2 5 2 6" xfId="20246"/>
    <cellStyle name="Calculation 3 2 5 2 7" xfId="21255"/>
    <cellStyle name="Calculation 3 2 5 2 8" xfId="22229"/>
    <cellStyle name="Calculation 3 2 5 2 9" xfId="23234"/>
    <cellStyle name="Calculation 3 2 5 20" xfId="35782"/>
    <cellStyle name="Calculation 3 2 5 21" xfId="36721"/>
    <cellStyle name="Calculation 3 2 5 3" xfId="16185"/>
    <cellStyle name="Calculation 3 2 5 4" xfId="17163"/>
    <cellStyle name="Calculation 3 2 5 5" xfId="18191"/>
    <cellStyle name="Calculation 3 2 5 6" xfId="19223"/>
    <cellStyle name="Calculation 3 2 5 7" xfId="20245"/>
    <cellStyle name="Calculation 3 2 5 8" xfId="21254"/>
    <cellStyle name="Calculation 3 2 5 9" xfId="22228"/>
    <cellStyle name="Calculation 3 2 6" xfId="922"/>
    <cellStyle name="Calculation 3 2 6 10" xfId="23235"/>
    <cellStyle name="Calculation 3 2 6 11" xfId="24207"/>
    <cellStyle name="Calculation 3 2 6 12" xfId="25206"/>
    <cellStyle name="Calculation 3 2 6 13" xfId="28151"/>
    <cellStyle name="Calculation 3 2 6 14" xfId="29120"/>
    <cellStyle name="Calculation 3 2 6 15" xfId="30159"/>
    <cellStyle name="Calculation 3 2 6 16" xfId="31152"/>
    <cellStyle name="Calculation 3 2 6 17" xfId="32161"/>
    <cellStyle name="Calculation 3 2 6 18" xfId="33164"/>
    <cellStyle name="Calculation 3 2 6 19" xfId="34163"/>
    <cellStyle name="Calculation 3 2 6 2" xfId="923"/>
    <cellStyle name="Calculation 3 2 6 2 10" xfId="24208"/>
    <cellStyle name="Calculation 3 2 6 2 11" xfId="25207"/>
    <cellStyle name="Calculation 3 2 6 2 12" xfId="28152"/>
    <cellStyle name="Calculation 3 2 6 2 13" xfId="29121"/>
    <cellStyle name="Calculation 3 2 6 2 14" xfId="30160"/>
    <cellStyle name="Calculation 3 2 6 2 15" xfId="31153"/>
    <cellStyle name="Calculation 3 2 6 2 16" xfId="32162"/>
    <cellStyle name="Calculation 3 2 6 2 17" xfId="33165"/>
    <cellStyle name="Calculation 3 2 6 2 18" xfId="34164"/>
    <cellStyle name="Calculation 3 2 6 2 19" xfId="35785"/>
    <cellStyle name="Calculation 3 2 6 2 2" xfId="16188"/>
    <cellStyle name="Calculation 3 2 6 2 20" xfId="36724"/>
    <cellStyle name="Calculation 3 2 6 2 3" xfId="17166"/>
    <cellStyle name="Calculation 3 2 6 2 4" xfId="18194"/>
    <cellStyle name="Calculation 3 2 6 2 5" xfId="19226"/>
    <cellStyle name="Calculation 3 2 6 2 6" xfId="20248"/>
    <cellStyle name="Calculation 3 2 6 2 7" xfId="21257"/>
    <cellStyle name="Calculation 3 2 6 2 8" xfId="22231"/>
    <cellStyle name="Calculation 3 2 6 2 9" xfId="23236"/>
    <cellStyle name="Calculation 3 2 6 20" xfId="35784"/>
    <cellStyle name="Calculation 3 2 6 21" xfId="36723"/>
    <cellStyle name="Calculation 3 2 6 3" xfId="16187"/>
    <cellStyle name="Calculation 3 2 6 4" xfId="17165"/>
    <cellStyle name="Calculation 3 2 6 5" xfId="18193"/>
    <cellStyle name="Calculation 3 2 6 6" xfId="19225"/>
    <cellStyle name="Calculation 3 2 6 7" xfId="20247"/>
    <cellStyle name="Calculation 3 2 6 8" xfId="21256"/>
    <cellStyle name="Calculation 3 2 6 9" xfId="22230"/>
    <cellStyle name="Calculation 3 2 7" xfId="924"/>
    <cellStyle name="Calculation 3 2 7 10" xfId="24209"/>
    <cellStyle name="Calculation 3 2 7 11" xfId="25208"/>
    <cellStyle name="Calculation 3 2 7 12" xfId="28153"/>
    <cellStyle name="Calculation 3 2 7 13" xfId="29122"/>
    <cellStyle name="Calculation 3 2 7 14" xfId="30161"/>
    <cellStyle name="Calculation 3 2 7 15" xfId="31154"/>
    <cellStyle name="Calculation 3 2 7 16" xfId="32163"/>
    <cellStyle name="Calculation 3 2 7 17" xfId="33166"/>
    <cellStyle name="Calculation 3 2 7 18" xfId="34165"/>
    <cellStyle name="Calculation 3 2 7 19" xfId="35786"/>
    <cellStyle name="Calculation 3 2 7 2" xfId="16189"/>
    <cellStyle name="Calculation 3 2 7 20" xfId="36725"/>
    <cellStyle name="Calculation 3 2 7 3" xfId="17167"/>
    <cellStyle name="Calculation 3 2 7 4" xfId="18195"/>
    <cellStyle name="Calculation 3 2 7 5" xfId="19227"/>
    <cellStyle name="Calculation 3 2 7 6" xfId="20249"/>
    <cellStyle name="Calculation 3 2 7 7" xfId="21258"/>
    <cellStyle name="Calculation 3 2 7 8" xfId="22232"/>
    <cellStyle name="Calculation 3 2 7 9" xfId="23237"/>
    <cellStyle name="Calculation 3 2 8" xfId="925"/>
    <cellStyle name="Calculation 3 2 8 10" xfId="24858"/>
    <cellStyle name="Calculation 3 2 8 11" xfId="25857"/>
    <cellStyle name="Calculation 3 2 8 12" xfId="28763"/>
    <cellStyle name="Calculation 3 2 8 13" xfId="29780"/>
    <cellStyle name="Calculation 3 2 8 14" xfId="30813"/>
    <cellStyle name="Calculation 3 2 8 15" xfId="31808"/>
    <cellStyle name="Calculation 3 2 8 16" xfId="32812"/>
    <cellStyle name="Calculation 3 2 8 17" xfId="33815"/>
    <cellStyle name="Calculation 3 2 8 18" xfId="34814"/>
    <cellStyle name="Calculation 3 2 8 19" xfId="36375"/>
    <cellStyle name="Calculation 3 2 8 2" xfId="16847"/>
    <cellStyle name="Calculation 3 2 8 20" xfId="37374"/>
    <cellStyle name="Calculation 3 2 8 3" xfId="17827"/>
    <cellStyle name="Calculation 3 2 8 4" xfId="18852"/>
    <cellStyle name="Calculation 3 2 8 5" xfId="19886"/>
    <cellStyle name="Calculation 3 2 8 6" xfId="20911"/>
    <cellStyle name="Calculation 3 2 8 7" xfId="21871"/>
    <cellStyle name="Calculation 3 2 8 8" xfId="22883"/>
    <cellStyle name="Calculation 3 2 8 9" xfId="23886"/>
    <cellStyle name="Calculation 3 2 9" xfId="34884"/>
    <cellStyle name="Calculation 3 3" xfId="926"/>
    <cellStyle name="Calculation 3 3 10" xfId="14111"/>
    <cellStyle name="Calculation 3 3 11" xfId="14813"/>
    <cellStyle name="Calculation 3 3 12" xfId="15447"/>
    <cellStyle name="Calculation 3 3 13" xfId="20935"/>
    <cellStyle name="Calculation 3 3 14" xfId="25964"/>
    <cellStyle name="Calculation 3 3 15" xfId="27307"/>
    <cellStyle name="Calculation 3 3 16" xfId="27468"/>
    <cellStyle name="Calculation 3 3 17" xfId="26606"/>
    <cellStyle name="Calculation 3 3 18" xfId="27389"/>
    <cellStyle name="Calculation 3 3 19" xfId="27570"/>
    <cellStyle name="Calculation 3 3 2" xfId="927"/>
    <cellStyle name="Calculation 3 3 2 10" xfId="15375"/>
    <cellStyle name="Calculation 3 3 2 11" xfId="15157"/>
    <cellStyle name="Calculation 3 3 2 12" xfId="13886"/>
    <cellStyle name="Calculation 3 3 2 13" xfId="13636"/>
    <cellStyle name="Calculation 3 3 2 14" xfId="14651"/>
    <cellStyle name="Calculation 3 3 2 15" xfId="15231"/>
    <cellStyle name="Calculation 3 3 2 16" xfId="26091"/>
    <cellStyle name="Calculation 3 3 2 17" xfId="27261"/>
    <cellStyle name="Calculation 3 3 2 18" xfId="27345"/>
    <cellStyle name="Calculation 3 3 2 19" xfId="27846"/>
    <cellStyle name="Calculation 3 3 2 2" xfId="928"/>
    <cellStyle name="Calculation 3 3 2 2 10" xfId="13669"/>
    <cellStyle name="Calculation 3 3 2 2 11" xfId="15745"/>
    <cellStyle name="Calculation 3 3 2 2 12" xfId="26312"/>
    <cellStyle name="Calculation 3 3 2 2 13" xfId="27173"/>
    <cellStyle name="Calculation 3 3 2 2 14" xfId="26815"/>
    <cellStyle name="Calculation 3 3 2 2 15" xfId="26246"/>
    <cellStyle name="Calculation 3 3 2 2 16" xfId="26850"/>
    <cellStyle name="Calculation 3 3 2 2 17" xfId="26981"/>
    <cellStyle name="Calculation 3 3 2 2 18" xfId="35008"/>
    <cellStyle name="Calculation 3 3 2 2 19" xfId="35455"/>
    <cellStyle name="Calculation 3 3 2 2 2" xfId="929"/>
    <cellStyle name="Calculation 3 3 2 2 2 10" xfId="23238"/>
    <cellStyle name="Calculation 3 3 2 2 2 11" xfId="24210"/>
    <cellStyle name="Calculation 3 3 2 2 2 12" xfId="25209"/>
    <cellStyle name="Calculation 3 3 2 2 2 13" xfId="28154"/>
    <cellStyle name="Calculation 3 3 2 2 2 14" xfId="29123"/>
    <cellStyle name="Calculation 3 3 2 2 2 15" xfId="30162"/>
    <cellStyle name="Calculation 3 3 2 2 2 16" xfId="31155"/>
    <cellStyle name="Calculation 3 3 2 2 2 17" xfId="32164"/>
    <cellStyle name="Calculation 3 3 2 2 2 18" xfId="33167"/>
    <cellStyle name="Calculation 3 3 2 2 2 19" xfId="34166"/>
    <cellStyle name="Calculation 3 3 2 2 2 2" xfId="930"/>
    <cellStyle name="Calculation 3 3 2 2 2 2 10" xfId="24211"/>
    <cellStyle name="Calculation 3 3 2 2 2 2 11" xfId="25210"/>
    <cellStyle name="Calculation 3 3 2 2 2 2 12" xfId="28155"/>
    <cellStyle name="Calculation 3 3 2 2 2 2 13" xfId="29124"/>
    <cellStyle name="Calculation 3 3 2 2 2 2 14" xfId="30163"/>
    <cellStyle name="Calculation 3 3 2 2 2 2 15" xfId="31156"/>
    <cellStyle name="Calculation 3 3 2 2 2 2 16" xfId="32165"/>
    <cellStyle name="Calculation 3 3 2 2 2 2 17" xfId="33168"/>
    <cellStyle name="Calculation 3 3 2 2 2 2 18" xfId="34167"/>
    <cellStyle name="Calculation 3 3 2 2 2 2 19" xfId="35788"/>
    <cellStyle name="Calculation 3 3 2 2 2 2 2" xfId="16191"/>
    <cellStyle name="Calculation 3 3 2 2 2 2 20" xfId="36727"/>
    <cellStyle name="Calculation 3 3 2 2 2 2 3" xfId="17169"/>
    <cellStyle name="Calculation 3 3 2 2 2 2 4" xfId="18197"/>
    <cellStyle name="Calculation 3 3 2 2 2 2 5" xfId="19229"/>
    <cellStyle name="Calculation 3 3 2 2 2 2 6" xfId="20251"/>
    <cellStyle name="Calculation 3 3 2 2 2 2 7" xfId="21260"/>
    <cellStyle name="Calculation 3 3 2 2 2 2 8" xfId="22234"/>
    <cellStyle name="Calculation 3 3 2 2 2 2 9" xfId="23239"/>
    <cellStyle name="Calculation 3 3 2 2 2 20" xfId="35787"/>
    <cellStyle name="Calculation 3 3 2 2 2 21" xfId="36726"/>
    <cellStyle name="Calculation 3 3 2 2 2 3" xfId="16190"/>
    <cellStyle name="Calculation 3 3 2 2 2 4" xfId="17168"/>
    <cellStyle name="Calculation 3 3 2 2 2 5" xfId="18196"/>
    <cellStyle name="Calculation 3 3 2 2 2 6" xfId="19228"/>
    <cellStyle name="Calculation 3 3 2 2 2 7" xfId="20250"/>
    <cellStyle name="Calculation 3 3 2 2 2 8" xfId="21259"/>
    <cellStyle name="Calculation 3 3 2 2 2 9" xfId="22233"/>
    <cellStyle name="Calculation 3 3 2 2 3" xfId="931"/>
    <cellStyle name="Calculation 3 3 2 2 3 10" xfId="23240"/>
    <cellStyle name="Calculation 3 3 2 2 3 11" xfId="24212"/>
    <cellStyle name="Calculation 3 3 2 2 3 12" xfId="25211"/>
    <cellStyle name="Calculation 3 3 2 2 3 13" xfId="28156"/>
    <cellStyle name="Calculation 3 3 2 2 3 14" xfId="29125"/>
    <cellStyle name="Calculation 3 3 2 2 3 15" xfId="30164"/>
    <cellStyle name="Calculation 3 3 2 2 3 16" xfId="31157"/>
    <cellStyle name="Calculation 3 3 2 2 3 17" xfId="32166"/>
    <cellStyle name="Calculation 3 3 2 2 3 18" xfId="33169"/>
    <cellStyle name="Calculation 3 3 2 2 3 19" xfId="34168"/>
    <cellStyle name="Calculation 3 3 2 2 3 2" xfId="932"/>
    <cellStyle name="Calculation 3 3 2 2 3 2 10" xfId="24213"/>
    <cellStyle name="Calculation 3 3 2 2 3 2 11" xfId="25212"/>
    <cellStyle name="Calculation 3 3 2 2 3 2 12" xfId="28157"/>
    <cellStyle name="Calculation 3 3 2 2 3 2 13" xfId="29126"/>
    <cellStyle name="Calculation 3 3 2 2 3 2 14" xfId="30165"/>
    <cellStyle name="Calculation 3 3 2 2 3 2 15" xfId="31158"/>
    <cellStyle name="Calculation 3 3 2 2 3 2 16" xfId="32167"/>
    <cellStyle name="Calculation 3 3 2 2 3 2 17" xfId="33170"/>
    <cellStyle name="Calculation 3 3 2 2 3 2 18" xfId="34169"/>
    <cellStyle name="Calculation 3 3 2 2 3 2 19" xfId="35790"/>
    <cellStyle name="Calculation 3 3 2 2 3 2 2" xfId="16193"/>
    <cellStyle name="Calculation 3 3 2 2 3 2 20" xfId="36729"/>
    <cellStyle name="Calculation 3 3 2 2 3 2 3" xfId="17171"/>
    <cellStyle name="Calculation 3 3 2 2 3 2 4" xfId="18199"/>
    <cellStyle name="Calculation 3 3 2 2 3 2 5" xfId="19231"/>
    <cellStyle name="Calculation 3 3 2 2 3 2 6" xfId="20253"/>
    <cellStyle name="Calculation 3 3 2 2 3 2 7" xfId="21262"/>
    <cellStyle name="Calculation 3 3 2 2 3 2 8" xfId="22236"/>
    <cellStyle name="Calculation 3 3 2 2 3 2 9" xfId="23241"/>
    <cellStyle name="Calculation 3 3 2 2 3 20" xfId="35789"/>
    <cellStyle name="Calculation 3 3 2 2 3 21" xfId="36728"/>
    <cellStyle name="Calculation 3 3 2 2 3 3" xfId="16192"/>
    <cellStyle name="Calculation 3 3 2 2 3 4" xfId="17170"/>
    <cellStyle name="Calculation 3 3 2 2 3 5" xfId="18198"/>
    <cellStyle name="Calculation 3 3 2 2 3 6" xfId="19230"/>
    <cellStyle name="Calculation 3 3 2 2 3 7" xfId="20252"/>
    <cellStyle name="Calculation 3 3 2 2 3 8" xfId="21261"/>
    <cellStyle name="Calculation 3 3 2 2 3 9" xfId="22235"/>
    <cellStyle name="Calculation 3 3 2 2 4" xfId="933"/>
    <cellStyle name="Calculation 3 3 2 2 4 10" xfId="23242"/>
    <cellStyle name="Calculation 3 3 2 2 4 11" xfId="24214"/>
    <cellStyle name="Calculation 3 3 2 2 4 12" xfId="25213"/>
    <cellStyle name="Calculation 3 3 2 2 4 13" xfId="28158"/>
    <cellStyle name="Calculation 3 3 2 2 4 14" xfId="29127"/>
    <cellStyle name="Calculation 3 3 2 2 4 15" xfId="30166"/>
    <cellStyle name="Calculation 3 3 2 2 4 16" xfId="31159"/>
    <cellStyle name="Calculation 3 3 2 2 4 17" xfId="32168"/>
    <cellStyle name="Calculation 3 3 2 2 4 18" xfId="33171"/>
    <cellStyle name="Calculation 3 3 2 2 4 19" xfId="34170"/>
    <cellStyle name="Calculation 3 3 2 2 4 2" xfId="934"/>
    <cellStyle name="Calculation 3 3 2 2 4 2 10" xfId="24215"/>
    <cellStyle name="Calculation 3 3 2 2 4 2 11" xfId="25214"/>
    <cellStyle name="Calculation 3 3 2 2 4 2 12" xfId="28159"/>
    <cellStyle name="Calculation 3 3 2 2 4 2 13" xfId="29128"/>
    <cellStyle name="Calculation 3 3 2 2 4 2 14" xfId="30167"/>
    <cellStyle name="Calculation 3 3 2 2 4 2 15" xfId="31160"/>
    <cellStyle name="Calculation 3 3 2 2 4 2 16" xfId="32169"/>
    <cellStyle name="Calculation 3 3 2 2 4 2 17" xfId="33172"/>
    <cellStyle name="Calculation 3 3 2 2 4 2 18" xfId="34171"/>
    <cellStyle name="Calculation 3 3 2 2 4 2 19" xfId="35792"/>
    <cellStyle name="Calculation 3 3 2 2 4 2 2" xfId="16195"/>
    <cellStyle name="Calculation 3 3 2 2 4 2 20" xfId="36731"/>
    <cellStyle name="Calculation 3 3 2 2 4 2 3" xfId="17173"/>
    <cellStyle name="Calculation 3 3 2 2 4 2 4" xfId="18201"/>
    <cellStyle name="Calculation 3 3 2 2 4 2 5" xfId="19233"/>
    <cellStyle name="Calculation 3 3 2 2 4 2 6" xfId="20255"/>
    <cellStyle name="Calculation 3 3 2 2 4 2 7" xfId="21264"/>
    <cellStyle name="Calculation 3 3 2 2 4 2 8" xfId="22238"/>
    <cellStyle name="Calculation 3 3 2 2 4 2 9" xfId="23243"/>
    <cellStyle name="Calculation 3 3 2 2 4 20" xfId="35791"/>
    <cellStyle name="Calculation 3 3 2 2 4 21" xfId="36730"/>
    <cellStyle name="Calculation 3 3 2 2 4 3" xfId="16194"/>
    <cellStyle name="Calculation 3 3 2 2 4 4" xfId="17172"/>
    <cellStyle name="Calculation 3 3 2 2 4 5" xfId="18200"/>
    <cellStyle name="Calculation 3 3 2 2 4 6" xfId="19232"/>
    <cellStyle name="Calculation 3 3 2 2 4 7" xfId="20254"/>
    <cellStyle name="Calculation 3 3 2 2 4 8" xfId="21263"/>
    <cellStyle name="Calculation 3 3 2 2 4 9" xfId="22237"/>
    <cellStyle name="Calculation 3 3 2 2 5" xfId="935"/>
    <cellStyle name="Calculation 3 3 2 2 5 10" xfId="24216"/>
    <cellStyle name="Calculation 3 3 2 2 5 11" xfId="25215"/>
    <cellStyle name="Calculation 3 3 2 2 5 12" xfId="28160"/>
    <cellStyle name="Calculation 3 3 2 2 5 13" xfId="29129"/>
    <cellStyle name="Calculation 3 3 2 2 5 14" xfId="30168"/>
    <cellStyle name="Calculation 3 3 2 2 5 15" xfId="31161"/>
    <cellStyle name="Calculation 3 3 2 2 5 16" xfId="32170"/>
    <cellStyle name="Calculation 3 3 2 2 5 17" xfId="33173"/>
    <cellStyle name="Calculation 3 3 2 2 5 18" xfId="34172"/>
    <cellStyle name="Calculation 3 3 2 2 5 19" xfId="35793"/>
    <cellStyle name="Calculation 3 3 2 2 5 2" xfId="16196"/>
    <cellStyle name="Calculation 3 3 2 2 5 20" xfId="36732"/>
    <cellStyle name="Calculation 3 3 2 2 5 3" xfId="17174"/>
    <cellStyle name="Calculation 3 3 2 2 5 4" xfId="18202"/>
    <cellStyle name="Calculation 3 3 2 2 5 5" xfId="19234"/>
    <cellStyle name="Calculation 3 3 2 2 5 6" xfId="20256"/>
    <cellStyle name="Calculation 3 3 2 2 5 7" xfId="21265"/>
    <cellStyle name="Calculation 3 3 2 2 5 8" xfId="22239"/>
    <cellStyle name="Calculation 3 3 2 2 5 9" xfId="23244"/>
    <cellStyle name="Calculation 3 3 2 2 6" xfId="13725"/>
    <cellStyle name="Calculation 3 3 2 2 7" xfId="13888"/>
    <cellStyle name="Calculation 3 3 2 2 8" xfId="13513"/>
    <cellStyle name="Calculation 3 3 2 2 9" xfId="15300"/>
    <cellStyle name="Calculation 3 3 2 20" xfId="27043"/>
    <cellStyle name="Calculation 3 3 2 21" xfId="26968"/>
    <cellStyle name="Calculation 3 3 2 22" xfId="34951"/>
    <cellStyle name="Calculation 3 3 2 23" xfId="34889"/>
    <cellStyle name="Calculation 3 3 2 3" xfId="936"/>
    <cellStyle name="Calculation 3 3 2 3 10" xfId="15763"/>
    <cellStyle name="Calculation 3 3 2 3 11" xfId="15150"/>
    <cellStyle name="Calculation 3 3 2 3 12" xfId="26392"/>
    <cellStyle name="Calculation 3 3 2 3 13" xfId="27121"/>
    <cellStyle name="Calculation 3 3 2 3 14" xfId="26827"/>
    <cellStyle name="Calculation 3 3 2 3 15" xfId="27489"/>
    <cellStyle name="Calculation 3 3 2 3 16" xfId="27435"/>
    <cellStyle name="Calculation 3 3 2 3 17" xfId="26695"/>
    <cellStyle name="Calculation 3 3 2 3 18" xfId="35083"/>
    <cellStyle name="Calculation 3 3 2 3 19" xfId="35276"/>
    <cellStyle name="Calculation 3 3 2 3 2" xfId="937"/>
    <cellStyle name="Calculation 3 3 2 3 2 10" xfId="23245"/>
    <cellStyle name="Calculation 3 3 2 3 2 11" xfId="24217"/>
    <cellStyle name="Calculation 3 3 2 3 2 12" xfId="25216"/>
    <cellStyle name="Calculation 3 3 2 3 2 13" xfId="28161"/>
    <cellStyle name="Calculation 3 3 2 3 2 14" xfId="29130"/>
    <cellStyle name="Calculation 3 3 2 3 2 15" xfId="30169"/>
    <cellStyle name="Calculation 3 3 2 3 2 16" xfId="31162"/>
    <cellStyle name="Calculation 3 3 2 3 2 17" xfId="32171"/>
    <cellStyle name="Calculation 3 3 2 3 2 18" xfId="33174"/>
    <cellStyle name="Calculation 3 3 2 3 2 19" xfId="34173"/>
    <cellStyle name="Calculation 3 3 2 3 2 2" xfId="938"/>
    <cellStyle name="Calculation 3 3 2 3 2 2 10" xfId="24218"/>
    <cellStyle name="Calculation 3 3 2 3 2 2 11" xfId="25217"/>
    <cellStyle name="Calculation 3 3 2 3 2 2 12" xfId="28162"/>
    <cellStyle name="Calculation 3 3 2 3 2 2 13" xfId="29131"/>
    <cellStyle name="Calculation 3 3 2 3 2 2 14" xfId="30170"/>
    <cellStyle name="Calculation 3 3 2 3 2 2 15" xfId="31163"/>
    <cellStyle name="Calculation 3 3 2 3 2 2 16" xfId="32172"/>
    <cellStyle name="Calculation 3 3 2 3 2 2 17" xfId="33175"/>
    <cellStyle name="Calculation 3 3 2 3 2 2 18" xfId="34174"/>
    <cellStyle name="Calculation 3 3 2 3 2 2 19" xfId="35795"/>
    <cellStyle name="Calculation 3 3 2 3 2 2 2" xfId="16198"/>
    <cellStyle name="Calculation 3 3 2 3 2 2 20" xfId="36734"/>
    <cellStyle name="Calculation 3 3 2 3 2 2 3" xfId="17176"/>
    <cellStyle name="Calculation 3 3 2 3 2 2 4" xfId="18204"/>
    <cellStyle name="Calculation 3 3 2 3 2 2 5" xfId="19236"/>
    <cellStyle name="Calculation 3 3 2 3 2 2 6" xfId="20258"/>
    <cellStyle name="Calculation 3 3 2 3 2 2 7" xfId="21267"/>
    <cellStyle name="Calculation 3 3 2 3 2 2 8" xfId="22241"/>
    <cellStyle name="Calculation 3 3 2 3 2 2 9" xfId="23246"/>
    <cellStyle name="Calculation 3 3 2 3 2 20" xfId="35794"/>
    <cellStyle name="Calculation 3 3 2 3 2 21" xfId="36733"/>
    <cellStyle name="Calculation 3 3 2 3 2 3" xfId="16197"/>
    <cellStyle name="Calculation 3 3 2 3 2 4" xfId="17175"/>
    <cellStyle name="Calculation 3 3 2 3 2 5" xfId="18203"/>
    <cellStyle name="Calculation 3 3 2 3 2 6" xfId="19235"/>
    <cellStyle name="Calculation 3 3 2 3 2 7" xfId="20257"/>
    <cellStyle name="Calculation 3 3 2 3 2 8" xfId="21266"/>
    <cellStyle name="Calculation 3 3 2 3 2 9" xfId="22240"/>
    <cellStyle name="Calculation 3 3 2 3 3" xfId="939"/>
    <cellStyle name="Calculation 3 3 2 3 3 10" xfId="23247"/>
    <cellStyle name="Calculation 3 3 2 3 3 11" xfId="24219"/>
    <cellStyle name="Calculation 3 3 2 3 3 12" xfId="25218"/>
    <cellStyle name="Calculation 3 3 2 3 3 13" xfId="28163"/>
    <cellStyle name="Calculation 3 3 2 3 3 14" xfId="29132"/>
    <cellStyle name="Calculation 3 3 2 3 3 15" xfId="30171"/>
    <cellStyle name="Calculation 3 3 2 3 3 16" xfId="31164"/>
    <cellStyle name="Calculation 3 3 2 3 3 17" xfId="32173"/>
    <cellStyle name="Calculation 3 3 2 3 3 18" xfId="33176"/>
    <cellStyle name="Calculation 3 3 2 3 3 19" xfId="34175"/>
    <cellStyle name="Calculation 3 3 2 3 3 2" xfId="940"/>
    <cellStyle name="Calculation 3 3 2 3 3 2 10" xfId="24220"/>
    <cellStyle name="Calculation 3 3 2 3 3 2 11" xfId="25219"/>
    <cellStyle name="Calculation 3 3 2 3 3 2 12" xfId="28164"/>
    <cellStyle name="Calculation 3 3 2 3 3 2 13" xfId="29133"/>
    <cellStyle name="Calculation 3 3 2 3 3 2 14" xfId="30172"/>
    <cellStyle name="Calculation 3 3 2 3 3 2 15" xfId="31165"/>
    <cellStyle name="Calculation 3 3 2 3 3 2 16" xfId="32174"/>
    <cellStyle name="Calculation 3 3 2 3 3 2 17" xfId="33177"/>
    <cellStyle name="Calculation 3 3 2 3 3 2 18" xfId="34176"/>
    <cellStyle name="Calculation 3 3 2 3 3 2 19" xfId="35797"/>
    <cellStyle name="Calculation 3 3 2 3 3 2 2" xfId="16200"/>
    <cellStyle name="Calculation 3 3 2 3 3 2 20" xfId="36736"/>
    <cellStyle name="Calculation 3 3 2 3 3 2 3" xfId="17178"/>
    <cellStyle name="Calculation 3 3 2 3 3 2 4" xfId="18206"/>
    <cellStyle name="Calculation 3 3 2 3 3 2 5" xfId="19238"/>
    <cellStyle name="Calculation 3 3 2 3 3 2 6" xfId="20260"/>
    <cellStyle name="Calculation 3 3 2 3 3 2 7" xfId="21269"/>
    <cellStyle name="Calculation 3 3 2 3 3 2 8" xfId="22243"/>
    <cellStyle name="Calculation 3 3 2 3 3 2 9" xfId="23248"/>
    <cellStyle name="Calculation 3 3 2 3 3 20" xfId="35796"/>
    <cellStyle name="Calculation 3 3 2 3 3 21" xfId="36735"/>
    <cellStyle name="Calculation 3 3 2 3 3 3" xfId="16199"/>
    <cellStyle name="Calculation 3 3 2 3 3 4" xfId="17177"/>
    <cellStyle name="Calculation 3 3 2 3 3 5" xfId="18205"/>
    <cellStyle name="Calculation 3 3 2 3 3 6" xfId="19237"/>
    <cellStyle name="Calculation 3 3 2 3 3 7" xfId="20259"/>
    <cellStyle name="Calculation 3 3 2 3 3 8" xfId="21268"/>
    <cellStyle name="Calculation 3 3 2 3 3 9" xfId="22242"/>
    <cellStyle name="Calculation 3 3 2 3 4" xfId="941"/>
    <cellStyle name="Calculation 3 3 2 3 4 10" xfId="23249"/>
    <cellStyle name="Calculation 3 3 2 3 4 11" xfId="24221"/>
    <cellStyle name="Calculation 3 3 2 3 4 12" xfId="25220"/>
    <cellStyle name="Calculation 3 3 2 3 4 13" xfId="28165"/>
    <cellStyle name="Calculation 3 3 2 3 4 14" xfId="29134"/>
    <cellStyle name="Calculation 3 3 2 3 4 15" xfId="30173"/>
    <cellStyle name="Calculation 3 3 2 3 4 16" xfId="31166"/>
    <cellStyle name="Calculation 3 3 2 3 4 17" xfId="32175"/>
    <cellStyle name="Calculation 3 3 2 3 4 18" xfId="33178"/>
    <cellStyle name="Calculation 3 3 2 3 4 19" xfId="34177"/>
    <cellStyle name="Calculation 3 3 2 3 4 2" xfId="942"/>
    <cellStyle name="Calculation 3 3 2 3 4 2 10" xfId="24222"/>
    <cellStyle name="Calculation 3 3 2 3 4 2 11" xfId="25221"/>
    <cellStyle name="Calculation 3 3 2 3 4 2 12" xfId="28166"/>
    <cellStyle name="Calculation 3 3 2 3 4 2 13" xfId="29135"/>
    <cellStyle name="Calculation 3 3 2 3 4 2 14" xfId="30174"/>
    <cellStyle name="Calculation 3 3 2 3 4 2 15" xfId="31167"/>
    <cellStyle name="Calculation 3 3 2 3 4 2 16" xfId="32176"/>
    <cellStyle name="Calculation 3 3 2 3 4 2 17" xfId="33179"/>
    <cellStyle name="Calculation 3 3 2 3 4 2 18" xfId="34178"/>
    <cellStyle name="Calculation 3 3 2 3 4 2 19" xfId="35799"/>
    <cellStyle name="Calculation 3 3 2 3 4 2 2" xfId="16202"/>
    <cellStyle name="Calculation 3 3 2 3 4 2 20" xfId="36738"/>
    <cellStyle name="Calculation 3 3 2 3 4 2 3" xfId="17180"/>
    <cellStyle name="Calculation 3 3 2 3 4 2 4" xfId="18208"/>
    <cellStyle name="Calculation 3 3 2 3 4 2 5" xfId="19240"/>
    <cellStyle name="Calculation 3 3 2 3 4 2 6" xfId="20262"/>
    <cellStyle name="Calculation 3 3 2 3 4 2 7" xfId="21271"/>
    <cellStyle name="Calculation 3 3 2 3 4 2 8" xfId="22245"/>
    <cellStyle name="Calculation 3 3 2 3 4 2 9" xfId="23250"/>
    <cellStyle name="Calculation 3 3 2 3 4 20" xfId="35798"/>
    <cellStyle name="Calculation 3 3 2 3 4 21" xfId="36737"/>
    <cellStyle name="Calculation 3 3 2 3 4 3" xfId="16201"/>
    <cellStyle name="Calculation 3 3 2 3 4 4" xfId="17179"/>
    <cellStyle name="Calculation 3 3 2 3 4 5" xfId="18207"/>
    <cellStyle name="Calculation 3 3 2 3 4 6" xfId="19239"/>
    <cellStyle name="Calculation 3 3 2 3 4 7" xfId="20261"/>
    <cellStyle name="Calculation 3 3 2 3 4 8" xfId="21270"/>
    <cellStyle name="Calculation 3 3 2 3 4 9" xfId="22244"/>
    <cellStyle name="Calculation 3 3 2 3 5" xfId="943"/>
    <cellStyle name="Calculation 3 3 2 3 5 10" xfId="24223"/>
    <cellStyle name="Calculation 3 3 2 3 5 11" xfId="25222"/>
    <cellStyle name="Calculation 3 3 2 3 5 12" xfId="28167"/>
    <cellStyle name="Calculation 3 3 2 3 5 13" xfId="29136"/>
    <cellStyle name="Calculation 3 3 2 3 5 14" xfId="30175"/>
    <cellStyle name="Calculation 3 3 2 3 5 15" xfId="31168"/>
    <cellStyle name="Calculation 3 3 2 3 5 16" xfId="32177"/>
    <cellStyle name="Calculation 3 3 2 3 5 17" xfId="33180"/>
    <cellStyle name="Calculation 3 3 2 3 5 18" xfId="34179"/>
    <cellStyle name="Calculation 3 3 2 3 5 19" xfId="35800"/>
    <cellStyle name="Calculation 3 3 2 3 5 2" xfId="16203"/>
    <cellStyle name="Calculation 3 3 2 3 5 20" xfId="36739"/>
    <cellStyle name="Calculation 3 3 2 3 5 3" xfId="17181"/>
    <cellStyle name="Calculation 3 3 2 3 5 4" xfId="18209"/>
    <cellStyle name="Calculation 3 3 2 3 5 5" xfId="19241"/>
    <cellStyle name="Calculation 3 3 2 3 5 6" xfId="20263"/>
    <cellStyle name="Calculation 3 3 2 3 5 7" xfId="21272"/>
    <cellStyle name="Calculation 3 3 2 3 5 8" xfId="22246"/>
    <cellStyle name="Calculation 3 3 2 3 5 9" xfId="23251"/>
    <cellStyle name="Calculation 3 3 2 3 6" xfId="15411"/>
    <cellStyle name="Calculation 3 3 2 3 7" xfId="14554"/>
    <cellStyle name="Calculation 3 3 2 3 8" xfId="14102"/>
    <cellStyle name="Calculation 3 3 2 3 9" xfId="14125"/>
    <cellStyle name="Calculation 3 3 2 4" xfId="944"/>
    <cellStyle name="Calculation 3 3 2 4 10" xfId="14211"/>
    <cellStyle name="Calculation 3 3 2 4 11" xfId="13807"/>
    <cellStyle name="Calculation 3 3 2 4 12" xfId="26410"/>
    <cellStyle name="Calculation 3 3 2 4 13" xfId="27107"/>
    <cellStyle name="Calculation 3 3 2 4 14" xfId="25943"/>
    <cellStyle name="Calculation 3 3 2 4 15" xfId="26739"/>
    <cellStyle name="Calculation 3 3 2 4 16" xfId="26954"/>
    <cellStyle name="Calculation 3 3 2 4 17" xfId="27605"/>
    <cellStyle name="Calculation 3 3 2 4 18" xfId="35100"/>
    <cellStyle name="Calculation 3 3 2 4 19" xfId="35263"/>
    <cellStyle name="Calculation 3 3 2 4 2" xfId="945"/>
    <cellStyle name="Calculation 3 3 2 4 2 10" xfId="23252"/>
    <cellStyle name="Calculation 3 3 2 4 2 11" xfId="24224"/>
    <cellStyle name="Calculation 3 3 2 4 2 12" xfId="25223"/>
    <cellStyle name="Calculation 3 3 2 4 2 13" xfId="28168"/>
    <cellStyle name="Calculation 3 3 2 4 2 14" xfId="29137"/>
    <cellStyle name="Calculation 3 3 2 4 2 15" xfId="30176"/>
    <cellStyle name="Calculation 3 3 2 4 2 16" xfId="31169"/>
    <cellStyle name="Calculation 3 3 2 4 2 17" xfId="32178"/>
    <cellStyle name="Calculation 3 3 2 4 2 18" xfId="33181"/>
    <cellStyle name="Calculation 3 3 2 4 2 19" xfId="34180"/>
    <cellStyle name="Calculation 3 3 2 4 2 2" xfId="946"/>
    <cellStyle name="Calculation 3 3 2 4 2 2 10" xfId="24225"/>
    <cellStyle name="Calculation 3 3 2 4 2 2 11" xfId="25224"/>
    <cellStyle name="Calculation 3 3 2 4 2 2 12" xfId="28169"/>
    <cellStyle name="Calculation 3 3 2 4 2 2 13" xfId="29138"/>
    <cellStyle name="Calculation 3 3 2 4 2 2 14" xfId="30177"/>
    <cellStyle name="Calculation 3 3 2 4 2 2 15" xfId="31170"/>
    <cellStyle name="Calculation 3 3 2 4 2 2 16" xfId="32179"/>
    <cellStyle name="Calculation 3 3 2 4 2 2 17" xfId="33182"/>
    <cellStyle name="Calculation 3 3 2 4 2 2 18" xfId="34181"/>
    <cellStyle name="Calculation 3 3 2 4 2 2 19" xfId="35802"/>
    <cellStyle name="Calculation 3 3 2 4 2 2 2" xfId="16205"/>
    <cellStyle name="Calculation 3 3 2 4 2 2 20" xfId="36741"/>
    <cellStyle name="Calculation 3 3 2 4 2 2 3" xfId="17183"/>
    <cellStyle name="Calculation 3 3 2 4 2 2 4" xfId="18211"/>
    <cellStyle name="Calculation 3 3 2 4 2 2 5" xfId="19243"/>
    <cellStyle name="Calculation 3 3 2 4 2 2 6" xfId="20265"/>
    <cellStyle name="Calculation 3 3 2 4 2 2 7" xfId="21274"/>
    <cellStyle name="Calculation 3 3 2 4 2 2 8" xfId="22248"/>
    <cellStyle name="Calculation 3 3 2 4 2 2 9" xfId="23253"/>
    <cellStyle name="Calculation 3 3 2 4 2 20" xfId="35801"/>
    <cellStyle name="Calculation 3 3 2 4 2 21" xfId="36740"/>
    <cellStyle name="Calculation 3 3 2 4 2 3" xfId="16204"/>
    <cellStyle name="Calculation 3 3 2 4 2 4" xfId="17182"/>
    <cellStyle name="Calculation 3 3 2 4 2 5" xfId="18210"/>
    <cellStyle name="Calculation 3 3 2 4 2 6" xfId="19242"/>
    <cellStyle name="Calculation 3 3 2 4 2 7" xfId="20264"/>
    <cellStyle name="Calculation 3 3 2 4 2 8" xfId="21273"/>
    <cellStyle name="Calculation 3 3 2 4 2 9" xfId="22247"/>
    <cellStyle name="Calculation 3 3 2 4 3" xfId="947"/>
    <cellStyle name="Calculation 3 3 2 4 3 10" xfId="23254"/>
    <cellStyle name="Calculation 3 3 2 4 3 11" xfId="24226"/>
    <cellStyle name="Calculation 3 3 2 4 3 12" xfId="25225"/>
    <cellStyle name="Calculation 3 3 2 4 3 13" xfId="28170"/>
    <cellStyle name="Calculation 3 3 2 4 3 14" xfId="29139"/>
    <cellStyle name="Calculation 3 3 2 4 3 15" xfId="30178"/>
    <cellStyle name="Calculation 3 3 2 4 3 16" xfId="31171"/>
    <cellStyle name="Calculation 3 3 2 4 3 17" xfId="32180"/>
    <cellStyle name="Calculation 3 3 2 4 3 18" xfId="33183"/>
    <cellStyle name="Calculation 3 3 2 4 3 19" xfId="34182"/>
    <cellStyle name="Calculation 3 3 2 4 3 2" xfId="948"/>
    <cellStyle name="Calculation 3 3 2 4 3 2 10" xfId="24227"/>
    <cellStyle name="Calculation 3 3 2 4 3 2 11" xfId="25226"/>
    <cellStyle name="Calculation 3 3 2 4 3 2 12" xfId="28171"/>
    <cellStyle name="Calculation 3 3 2 4 3 2 13" xfId="29140"/>
    <cellStyle name="Calculation 3 3 2 4 3 2 14" xfId="30179"/>
    <cellStyle name="Calculation 3 3 2 4 3 2 15" xfId="31172"/>
    <cellStyle name="Calculation 3 3 2 4 3 2 16" xfId="32181"/>
    <cellStyle name="Calculation 3 3 2 4 3 2 17" xfId="33184"/>
    <cellStyle name="Calculation 3 3 2 4 3 2 18" xfId="34183"/>
    <cellStyle name="Calculation 3 3 2 4 3 2 19" xfId="35804"/>
    <cellStyle name="Calculation 3 3 2 4 3 2 2" xfId="16207"/>
    <cellStyle name="Calculation 3 3 2 4 3 2 20" xfId="36743"/>
    <cellStyle name="Calculation 3 3 2 4 3 2 3" xfId="17185"/>
    <cellStyle name="Calculation 3 3 2 4 3 2 4" xfId="18213"/>
    <cellStyle name="Calculation 3 3 2 4 3 2 5" xfId="19245"/>
    <cellStyle name="Calculation 3 3 2 4 3 2 6" xfId="20267"/>
    <cellStyle name="Calculation 3 3 2 4 3 2 7" xfId="21276"/>
    <cellStyle name="Calculation 3 3 2 4 3 2 8" xfId="22250"/>
    <cellStyle name="Calculation 3 3 2 4 3 2 9" xfId="23255"/>
    <cellStyle name="Calculation 3 3 2 4 3 20" xfId="35803"/>
    <cellStyle name="Calculation 3 3 2 4 3 21" xfId="36742"/>
    <cellStyle name="Calculation 3 3 2 4 3 3" xfId="16206"/>
    <cellStyle name="Calculation 3 3 2 4 3 4" xfId="17184"/>
    <cellStyle name="Calculation 3 3 2 4 3 5" xfId="18212"/>
    <cellStyle name="Calculation 3 3 2 4 3 6" xfId="19244"/>
    <cellStyle name="Calculation 3 3 2 4 3 7" xfId="20266"/>
    <cellStyle name="Calculation 3 3 2 4 3 8" xfId="21275"/>
    <cellStyle name="Calculation 3 3 2 4 3 9" xfId="22249"/>
    <cellStyle name="Calculation 3 3 2 4 4" xfId="949"/>
    <cellStyle name="Calculation 3 3 2 4 4 10" xfId="23256"/>
    <cellStyle name="Calculation 3 3 2 4 4 11" xfId="24228"/>
    <cellStyle name="Calculation 3 3 2 4 4 12" xfId="25227"/>
    <cellStyle name="Calculation 3 3 2 4 4 13" xfId="28172"/>
    <cellStyle name="Calculation 3 3 2 4 4 14" xfId="29141"/>
    <cellStyle name="Calculation 3 3 2 4 4 15" xfId="30180"/>
    <cellStyle name="Calculation 3 3 2 4 4 16" xfId="31173"/>
    <cellStyle name="Calculation 3 3 2 4 4 17" xfId="32182"/>
    <cellStyle name="Calculation 3 3 2 4 4 18" xfId="33185"/>
    <cellStyle name="Calculation 3 3 2 4 4 19" xfId="34184"/>
    <cellStyle name="Calculation 3 3 2 4 4 2" xfId="950"/>
    <cellStyle name="Calculation 3 3 2 4 4 2 10" xfId="24229"/>
    <cellStyle name="Calculation 3 3 2 4 4 2 11" xfId="25228"/>
    <cellStyle name="Calculation 3 3 2 4 4 2 12" xfId="28173"/>
    <cellStyle name="Calculation 3 3 2 4 4 2 13" xfId="29142"/>
    <cellStyle name="Calculation 3 3 2 4 4 2 14" xfId="30181"/>
    <cellStyle name="Calculation 3 3 2 4 4 2 15" xfId="31174"/>
    <cellStyle name="Calculation 3 3 2 4 4 2 16" xfId="32183"/>
    <cellStyle name="Calculation 3 3 2 4 4 2 17" xfId="33186"/>
    <cellStyle name="Calculation 3 3 2 4 4 2 18" xfId="34185"/>
    <cellStyle name="Calculation 3 3 2 4 4 2 19" xfId="35806"/>
    <cellStyle name="Calculation 3 3 2 4 4 2 2" xfId="16209"/>
    <cellStyle name="Calculation 3 3 2 4 4 2 20" xfId="36745"/>
    <cellStyle name="Calculation 3 3 2 4 4 2 3" xfId="17187"/>
    <cellStyle name="Calculation 3 3 2 4 4 2 4" xfId="18215"/>
    <cellStyle name="Calculation 3 3 2 4 4 2 5" xfId="19247"/>
    <cellStyle name="Calculation 3 3 2 4 4 2 6" xfId="20269"/>
    <cellStyle name="Calculation 3 3 2 4 4 2 7" xfId="21278"/>
    <cellStyle name="Calculation 3 3 2 4 4 2 8" xfId="22252"/>
    <cellStyle name="Calculation 3 3 2 4 4 2 9" xfId="23257"/>
    <cellStyle name="Calculation 3 3 2 4 4 20" xfId="35805"/>
    <cellStyle name="Calculation 3 3 2 4 4 21" xfId="36744"/>
    <cellStyle name="Calculation 3 3 2 4 4 3" xfId="16208"/>
    <cellStyle name="Calculation 3 3 2 4 4 4" xfId="17186"/>
    <cellStyle name="Calculation 3 3 2 4 4 5" xfId="18214"/>
    <cellStyle name="Calculation 3 3 2 4 4 6" xfId="19246"/>
    <cellStyle name="Calculation 3 3 2 4 4 7" xfId="20268"/>
    <cellStyle name="Calculation 3 3 2 4 4 8" xfId="21277"/>
    <cellStyle name="Calculation 3 3 2 4 4 9" xfId="22251"/>
    <cellStyle name="Calculation 3 3 2 4 5" xfId="951"/>
    <cellStyle name="Calculation 3 3 2 4 5 10" xfId="24230"/>
    <cellStyle name="Calculation 3 3 2 4 5 11" xfId="25229"/>
    <cellStyle name="Calculation 3 3 2 4 5 12" xfId="28174"/>
    <cellStyle name="Calculation 3 3 2 4 5 13" xfId="29143"/>
    <cellStyle name="Calculation 3 3 2 4 5 14" xfId="30182"/>
    <cellStyle name="Calculation 3 3 2 4 5 15" xfId="31175"/>
    <cellStyle name="Calculation 3 3 2 4 5 16" xfId="32184"/>
    <cellStyle name="Calculation 3 3 2 4 5 17" xfId="33187"/>
    <cellStyle name="Calculation 3 3 2 4 5 18" xfId="34186"/>
    <cellStyle name="Calculation 3 3 2 4 5 19" xfId="35807"/>
    <cellStyle name="Calculation 3 3 2 4 5 2" xfId="16210"/>
    <cellStyle name="Calculation 3 3 2 4 5 20" xfId="36746"/>
    <cellStyle name="Calculation 3 3 2 4 5 3" xfId="17188"/>
    <cellStyle name="Calculation 3 3 2 4 5 4" xfId="18216"/>
    <cellStyle name="Calculation 3 3 2 4 5 5" xfId="19248"/>
    <cellStyle name="Calculation 3 3 2 4 5 6" xfId="20270"/>
    <cellStyle name="Calculation 3 3 2 4 5 7" xfId="21279"/>
    <cellStyle name="Calculation 3 3 2 4 5 8" xfId="22253"/>
    <cellStyle name="Calculation 3 3 2 4 5 9" xfId="23258"/>
    <cellStyle name="Calculation 3 3 2 4 6" xfId="15205"/>
    <cellStyle name="Calculation 3 3 2 4 7" xfId="15816"/>
    <cellStyle name="Calculation 3 3 2 4 8" xfId="13934"/>
    <cellStyle name="Calculation 3 3 2 4 9" xfId="14141"/>
    <cellStyle name="Calculation 3 3 2 5" xfId="952"/>
    <cellStyle name="Calculation 3 3 2 5 10" xfId="14017"/>
    <cellStyle name="Calculation 3 3 2 5 11" xfId="15252"/>
    <cellStyle name="Calculation 3 3 2 5 12" xfId="26371"/>
    <cellStyle name="Calculation 3 3 2 5 13" xfId="27137"/>
    <cellStyle name="Calculation 3 3 2 5 14" xfId="27525"/>
    <cellStyle name="Calculation 3 3 2 5 15" xfId="26725"/>
    <cellStyle name="Calculation 3 3 2 5 16" xfId="26682"/>
    <cellStyle name="Calculation 3 3 2 5 17" xfId="26797"/>
    <cellStyle name="Calculation 3 3 2 5 18" xfId="35063"/>
    <cellStyle name="Calculation 3 3 2 5 19" xfId="34897"/>
    <cellStyle name="Calculation 3 3 2 5 2" xfId="953"/>
    <cellStyle name="Calculation 3 3 2 5 2 10" xfId="23259"/>
    <cellStyle name="Calculation 3 3 2 5 2 11" xfId="24231"/>
    <cellStyle name="Calculation 3 3 2 5 2 12" xfId="25230"/>
    <cellStyle name="Calculation 3 3 2 5 2 13" xfId="28175"/>
    <cellStyle name="Calculation 3 3 2 5 2 14" xfId="29144"/>
    <cellStyle name="Calculation 3 3 2 5 2 15" xfId="30183"/>
    <cellStyle name="Calculation 3 3 2 5 2 16" xfId="31176"/>
    <cellStyle name="Calculation 3 3 2 5 2 17" xfId="32185"/>
    <cellStyle name="Calculation 3 3 2 5 2 18" xfId="33188"/>
    <cellStyle name="Calculation 3 3 2 5 2 19" xfId="34187"/>
    <cellStyle name="Calculation 3 3 2 5 2 2" xfId="954"/>
    <cellStyle name="Calculation 3 3 2 5 2 2 10" xfId="24232"/>
    <cellStyle name="Calculation 3 3 2 5 2 2 11" xfId="25231"/>
    <cellStyle name="Calculation 3 3 2 5 2 2 12" xfId="28176"/>
    <cellStyle name="Calculation 3 3 2 5 2 2 13" xfId="29145"/>
    <cellStyle name="Calculation 3 3 2 5 2 2 14" xfId="30184"/>
    <cellStyle name="Calculation 3 3 2 5 2 2 15" xfId="31177"/>
    <cellStyle name="Calculation 3 3 2 5 2 2 16" xfId="32186"/>
    <cellStyle name="Calculation 3 3 2 5 2 2 17" xfId="33189"/>
    <cellStyle name="Calculation 3 3 2 5 2 2 18" xfId="34188"/>
    <cellStyle name="Calculation 3 3 2 5 2 2 19" xfId="35809"/>
    <cellStyle name="Calculation 3 3 2 5 2 2 2" xfId="16212"/>
    <cellStyle name="Calculation 3 3 2 5 2 2 20" xfId="36748"/>
    <cellStyle name="Calculation 3 3 2 5 2 2 3" xfId="17190"/>
    <cellStyle name="Calculation 3 3 2 5 2 2 4" xfId="18218"/>
    <cellStyle name="Calculation 3 3 2 5 2 2 5" xfId="19250"/>
    <cellStyle name="Calculation 3 3 2 5 2 2 6" xfId="20272"/>
    <cellStyle name="Calculation 3 3 2 5 2 2 7" xfId="21281"/>
    <cellStyle name="Calculation 3 3 2 5 2 2 8" xfId="22255"/>
    <cellStyle name="Calculation 3 3 2 5 2 2 9" xfId="23260"/>
    <cellStyle name="Calculation 3 3 2 5 2 20" xfId="35808"/>
    <cellStyle name="Calculation 3 3 2 5 2 21" xfId="36747"/>
    <cellStyle name="Calculation 3 3 2 5 2 3" xfId="16211"/>
    <cellStyle name="Calculation 3 3 2 5 2 4" xfId="17189"/>
    <cellStyle name="Calculation 3 3 2 5 2 5" xfId="18217"/>
    <cellStyle name="Calculation 3 3 2 5 2 6" xfId="19249"/>
    <cellStyle name="Calculation 3 3 2 5 2 7" xfId="20271"/>
    <cellStyle name="Calculation 3 3 2 5 2 8" xfId="21280"/>
    <cellStyle name="Calculation 3 3 2 5 2 9" xfId="22254"/>
    <cellStyle name="Calculation 3 3 2 5 3" xfId="955"/>
    <cellStyle name="Calculation 3 3 2 5 3 10" xfId="23261"/>
    <cellStyle name="Calculation 3 3 2 5 3 11" xfId="24233"/>
    <cellStyle name="Calculation 3 3 2 5 3 12" xfId="25232"/>
    <cellStyle name="Calculation 3 3 2 5 3 13" xfId="28177"/>
    <cellStyle name="Calculation 3 3 2 5 3 14" xfId="29146"/>
    <cellStyle name="Calculation 3 3 2 5 3 15" xfId="30185"/>
    <cellStyle name="Calculation 3 3 2 5 3 16" xfId="31178"/>
    <cellStyle name="Calculation 3 3 2 5 3 17" xfId="32187"/>
    <cellStyle name="Calculation 3 3 2 5 3 18" xfId="33190"/>
    <cellStyle name="Calculation 3 3 2 5 3 19" xfId="34189"/>
    <cellStyle name="Calculation 3 3 2 5 3 2" xfId="956"/>
    <cellStyle name="Calculation 3 3 2 5 3 2 10" xfId="24234"/>
    <cellStyle name="Calculation 3 3 2 5 3 2 11" xfId="25233"/>
    <cellStyle name="Calculation 3 3 2 5 3 2 12" xfId="28178"/>
    <cellStyle name="Calculation 3 3 2 5 3 2 13" xfId="29147"/>
    <cellStyle name="Calculation 3 3 2 5 3 2 14" xfId="30186"/>
    <cellStyle name="Calculation 3 3 2 5 3 2 15" xfId="31179"/>
    <cellStyle name="Calculation 3 3 2 5 3 2 16" xfId="32188"/>
    <cellStyle name="Calculation 3 3 2 5 3 2 17" xfId="33191"/>
    <cellStyle name="Calculation 3 3 2 5 3 2 18" xfId="34190"/>
    <cellStyle name="Calculation 3 3 2 5 3 2 19" xfId="35811"/>
    <cellStyle name="Calculation 3 3 2 5 3 2 2" xfId="16214"/>
    <cellStyle name="Calculation 3 3 2 5 3 2 20" xfId="36750"/>
    <cellStyle name="Calculation 3 3 2 5 3 2 3" xfId="17192"/>
    <cellStyle name="Calculation 3 3 2 5 3 2 4" xfId="18220"/>
    <cellStyle name="Calculation 3 3 2 5 3 2 5" xfId="19252"/>
    <cellStyle name="Calculation 3 3 2 5 3 2 6" xfId="20274"/>
    <cellStyle name="Calculation 3 3 2 5 3 2 7" xfId="21283"/>
    <cellStyle name="Calculation 3 3 2 5 3 2 8" xfId="22257"/>
    <cellStyle name="Calculation 3 3 2 5 3 2 9" xfId="23262"/>
    <cellStyle name="Calculation 3 3 2 5 3 20" xfId="35810"/>
    <cellStyle name="Calculation 3 3 2 5 3 21" xfId="36749"/>
    <cellStyle name="Calculation 3 3 2 5 3 3" xfId="16213"/>
    <cellStyle name="Calculation 3 3 2 5 3 4" xfId="17191"/>
    <cellStyle name="Calculation 3 3 2 5 3 5" xfId="18219"/>
    <cellStyle name="Calculation 3 3 2 5 3 6" xfId="19251"/>
    <cellStyle name="Calculation 3 3 2 5 3 7" xfId="20273"/>
    <cellStyle name="Calculation 3 3 2 5 3 8" xfId="21282"/>
    <cellStyle name="Calculation 3 3 2 5 3 9" xfId="22256"/>
    <cellStyle name="Calculation 3 3 2 5 4" xfId="957"/>
    <cellStyle name="Calculation 3 3 2 5 4 10" xfId="23263"/>
    <cellStyle name="Calculation 3 3 2 5 4 11" xfId="24235"/>
    <cellStyle name="Calculation 3 3 2 5 4 12" xfId="25234"/>
    <cellStyle name="Calculation 3 3 2 5 4 13" xfId="28179"/>
    <cellStyle name="Calculation 3 3 2 5 4 14" xfId="29148"/>
    <cellStyle name="Calculation 3 3 2 5 4 15" xfId="30187"/>
    <cellStyle name="Calculation 3 3 2 5 4 16" xfId="31180"/>
    <cellStyle name="Calculation 3 3 2 5 4 17" xfId="32189"/>
    <cellStyle name="Calculation 3 3 2 5 4 18" xfId="33192"/>
    <cellStyle name="Calculation 3 3 2 5 4 19" xfId="34191"/>
    <cellStyle name="Calculation 3 3 2 5 4 2" xfId="958"/>
    <cellStyle name="Calculation 3 3 2 5 4 2 10" xfId="24236"/>
    <cellStyle name="Calculation 3 3 2 5 4 2 11" xfId="25235"/>
    <cellStyle name="Calculation 3 3 2 5 4 2 12" xfId="28180"/>
    <cellStyle name="Calculation 3 3 2 5 4 2 13" xfId="29149"/>
    <cellStyle name="Calculation 3 3 2 5 4 2 14" xfId="30188"/>
    <cellStyle name="Calculation 3 3 2 5 4 2 15" xfId="31181"/>
    <cellStyle name="Calculation 3 3 2 5 4 2 16" xfId="32190"/>
    <cellStyle name="Calculation 3 3 2 5 4 2 17" xfId="33193"/>
    <cellStyle name="Calculation 3 3 2 5 4 2 18" xfId="34192"/>
    <cellStyle name="Calculation 3 3 2 5 4 2 19" xfId="35813"/>
    <cellStyle name="Calculation 3 3 2 5 4 2 2" xfId="16216"/>
    <cellStyle name="Calculation 3 3 2 5 4 2 20" xfId="36752"/>
    <cellStyle name="Calculation 3 3 2 5 4 2 3" xfId="17194"/>
    <cellStyle name="Calculation 3 3 2 5 4 2 4" xfId="18222"/>
    <cellStyle name="Calculation 3 3 2 5 4 2 5" xfId="19254"/>
    <cellStyle name="Calculation 3 3 2 5 4 2 6" xfId="20276"/>
    <cellStyle name="Calculation 3 3 2 5 4 2 7" xfId="21285"/>
    <cellStyle name="Calculation 3 3 2 5 4 2 8" xfId="22259"/>
    <cellStyle name="Calculation 3 3 2 5 4 2 9" xfId="23264"/>
    <cellStyle name="Calculation 3 3 2 5 4 20" xfId="35812"/>
    <cellStyle name="Calculation 3 3 2 5 4 21" xfId="36751"/>
    <cellStyle name="Calculation 3 3 2 5 4 3" xfId="16215"/>
    <cellStyle name="Calculation 3 3 2 5 4 4" xfId="17193"/>
    <cellStyle name="Calculation 3 3 2 5 4 5" xfId="18221"/>
    <cellStyle name="Calculation 3 3 2 5 4 6" xfId="19253"/>
    <cellStyle name="Calculation 3 3 2 5 4 7" xfId="20275"/>
    <cellStyle name="Calculation 3 3 2 5 4 8" xfId="21284"/>
    <cellStyle name="Calculation 3 3 2 5 4 9" xfId="22258"/>
    <cellStyle name="Calculation 3 3 2 5 5" xfId="959"/>
    <cellStyle name="Calculation 3 3 2 5 5 10" xfId="24237"/>
    <cellStyle name="Calculation 3 3 2 5 5 11" xfId="25236"/>
    <cellStyle name="Calculation 3 3 2 5 5 12" xfId="28181"/>
    <cellStyle name="Calculation 3 3 2 5 5 13" xfId="29150"/>
    <cellStyle name="Calculation 3 3 2 5 5 14" xfId="30189"/>
    <cellStyle name="Calculation 3 3 2 5 5 15" xfId="31182"/>
    <cellStyle name="Calculation 3 3 2 5 5 16" xfId="32191"/>
    <cellStyle name="Calculation 3 3 2 5 5 17" xfId="33194"/>
    <cellStyle name="Calculation 3 3 2 5 5 18" xfId="34193"/>
    <cellStyle name="Calculation 3 3 2 5 5 19" xfId="35814"/>
    <cellStyle name="Calculation 3 3 2 5 5 2" xfId="16217"/>
    <cellStyle name="Calculation 3 3 2 5 5 20" xfId="36753"/>
    <cellStyle name="Calculation 3 3 2 5 5 3" xfId="17195"/>
    <cellStyle name="Calculation 3 3 2 5 5 4" xfId="18223"/>
    <cellStyle name="Calculation 3 3 2 5 5 5" xfId="19255"/>
    <cellStyle name="Calculation 3 3 2 5 5 6" xfId="20277"/>
    <cellStyle name="Calculation 3 3 2 5 5 7" xfId="21286"/>
    <cellStyle name="Calculation 3 3 2 5 5 8" xfId="22260"/>
    <cellStyle name="Calculation 3 3 2 5 5 9" xfId="23265"/>
    <cellStyle name="Calculation 3 3 2 5 6" xfId="14046"/>
    <cellStyle name="Calculation 3 3 2 5 7" xfId="14468"/>
    <cellStyle name="Calculation 3 3 2 5 8" xfId="13426"/>
    <cellStyle name="Calculation 3 3 2 5 9" xfId="14274"/>
    <cellStyle name="Calculation 3 3 2 6" xfId="960"/>
    <cellStyle name="Calculation 3 3 2 6 10" xfId="23266"/>
    <cellStyle name="Calculation 3 3 2 6 11" xfId="24238"/>
    <cellStyle name="Calculation 3 3 2 6 12" xfId="25237"/>
    <cellStyle name="Calculation 3 3 2 6 13" xfId="28182"/>
    <cellStyle name="Calculation 3 3 2 6 14" xfId="29151"/>
    <cellStyle name="Calculation 3 3 2 6 15" xfId="30190"/>
    <cellStyle name="Calculation 3 3 2 6 16" xfId="31183"/>
    <cellStyle name="Calculation 3 3 2 6 17" xfId="32192"/>
    <cellStyle name="Calculation 3 3 2 6 18" xfId="33195"/>
    <cellStyle name="Calculation 3 3 2 6 19" xfId="34194"/>
    <cellStyle name="Calculation 3 3 2 6 2" xfId="961"/>
    <cellStyle name="Calculation 3 3 2 6 2 10" xfId="24239"/>
    <cellStyle name="Calculation 3 3 2 6 2 11" xfId="25238"/>
    <cellStyle name="Calculation 3 3 2 6 2 12" xfId="28183"/>
    <cellStyle name="Calculation 3 3 2 6 2 13" xfId="29152"/>
    <cellStyle name="Calculation 3 3 2 6 2 14" xfId="30191"/>
    <cellStyle name="Calculation 3 3 2 6 2 15" xfId="31184"/>
    <cellStyle name="Calculation 3 3 2 6 2 16" xfId="32193"/>
    <cellStyle name="Calculation 3 3 2 6 2 17" xfId="33196"/>
    <cellStyle name="Calculation 3 3 2 6 2 18" xfId="34195"/>
    <cellStyle name="Calculation 3 3 2 6 2 19" xfId="35816"/>
    <cellStyle name="Calculation 3 3 2 6 2 2" xfId="16219"/>
    <cellStyle name="Calculation 3 3 2 6 2 20" xfId="36755"/>
    <cellStyle name="Calculation 3 3 2 6 2 3" xfId="17197"/>
    <cellStyle name="Calculation 3 3 2 6 2 4" xfId="18225"/>
    <cellStyle name="Calculation 3 3 2 6 2 5" xfId="19257"/>
    <cellStyle name="Calculation 3 3 2 6 2 6" xfId="20279"/>
    <cellStyle name="Calculation 3 3 2 6 2 7" xfId="21288"/>
    <cellStyle name="Calculation 3 3 2 6 2 8" xfId="22262"/>
    <cellStyle name="Calculation 3 3 2 6 2 9" xfId="23267"/>
    <cellStyle name="Calculation 3 3 2 6 20" xfId="35815"/>
    <cellStyle name="Calculation 3 3 2 6 21" xfId="36754"/>
    <cellStyle name="Calculation 3 3 2 6 3" xfId="16218"/>
    <cellStyle name="Calculation 3 3 2 6 4" xfId="17196"/>
    <cellStyle name="Calculation 3 3 2 6 5" xfId="18224"/>
    <cellStyle name="Calculation 3 3 2 6 6" xfId="19256"/>
    <cellStyle name="Calculation 3 3 2 6 7" xfId="20278"/>
    <cellStyle name="Calculation 3 3 2 6 8" xfId="21287"/>
    <cellStyle name="Calculation 3 3 2 6 9" xfId="22261"/>
    <cellStyle name="Calculation 3 3 2 7" xfId="962"/>
    <cellStyle name="Calculation 3 3 2 7 10" xfId="23268"/>
    <cellStyle name="Calculation 3 3 2 7 11" xfId="24240"/>
    <cellStyle name="Calculation 3 3 2 7 12" xfId="25239"/>
    <cellStyle name="Calculation 3 3 2 7 13" xfId="28184"/>
    <cellStyle name="Calculation 3 3 2 7 14" xfId="29153"/>
    <cellStyle name="Calculation 3 3 2 7 15" xfId="30192"/>
    <cellStyle name="Calculation 3 3 2 7 16" xfId="31185"/>
    <cellStyle name="Calculation 3 3 2 7 17" xfId="32194"/>
    <cellStyle name="Calculation 3 3 2 7 18" xfId="33197"/>
    <cellStyle name="Calculation 3 3 2 7 19" xfId="34196"/>
    <cellStyle name="Calculation 3 3 2 7 2" xfId="963"/>
    <cellStyle name="Calculation 3 3 2 7 2 10" xfId="24241"/>
    <cellStyle name="Calculation 3 3 2 7 2 11" xfId="25240"/>
    <cellStyle name="Calculation 3 3 2 7 2 12" xfId="28185"/>
    <cellStyle name="Calculation 3 3 2 7 2 13" xfId="29154"/>
    <cellStyle name="Calculation 3 3 2 7 2 14" xfId="30193"/>
    <cellStyle name="Calculation 3 3 2 7 2 15" xfId="31186"/>
    <cellStyle name="Calculation 3 3 2 7 2 16" xfId="32195"/>
    <cellStyle name="Calculation 3 3 2 7 2 17" xfId="33198"/>
    <cellStyle name="Calculation 3 3 2 7 2 18" xfId="34197"/>
    <cellStyle name="Calculation 3 3 2 7 2 19" xfId="35818"/>
    <cellStyle name="Calculation 3 3 2 7 2 2" xfId="16221"/>
    <cellStyle name="Calculation 3 3 2 7 2 20" xfId="36757"/>
    <cellStyle name="Calculation 3 3 2 7 2 3" xfId="17199"/>
    <cellStyle name="Calculation 3 3 2 7 2 4" xfId="18227"/>
    <cellStyle name="Calculation 3 3 2 7 2 5" xfId="19259"/>
    <cellStyle name="Calculation 3 3 2 7 2 6" xfId="20281"/>
    <cellStyle name="Calculation 3 3 2 7 2 7" xfId="21290"/>
    <cellStyle name="Calculation 3 3 2 7 2 8" xfId="22264"/>
    <cellStyle name="Calculation 3 3 2 7 2 9" xfId="23269"/>
    <cellStyle name="Calculation 3 3 2 7 20" xfId="35817"/>
    <cellStyle name="Calculation 3 3 2 7 21" xfId="36756"/>
    <cellStyle name="Calculation 3 3 2 7 3" xfId="16220"/>
    <cellStyle name="Calculation 3 3 2 7 4" xfId="17198"/>
    <cellStyle name="Calculation 3 3 2 7 5" xfId="18226"/>
    <cellStyle name="Calculation 3 3 2 7 6" xfId="19258"/>
    <cellStyle name="Calculation 3 3 2 7 7" xfId="20280"/>
    <cellStyle name="Calculation 3 3 2 7 8" xfId="21289"/>
    <cellStyle name="Calculation 3 3 2 7 9" xfId="22263"/>
    <cellStyle name="Calculation 3 3 2 8" xfId="964"/>
    <cellStyle name="Calculation 3 3 2 8 10" xfId="23270"/>
    <cellStyle name="Calculation 3 3 2 8 11" xfId="24242"/>
    <cellStyle name="Calculation 3 3 2 8 12" xfId="25241"/>
    <cellStyle name="Calculation 3 3 2 8 13" xfId="28186"/>
    <cellStyle name="Calculation 3 3 2 8 14" xfId="29155"/>
    <cellStyle name="Calculation 3 3 2 8 15" xfId="30194"/>
    <cellStyle name="Calculation 3 3 2 8 16" xfId="31187"/>
    <cellStyle name="Calculation 3 3 2 8 17" xfId="32196"/>
    <cellStyle name="Calculation 3 3 2 8 18" xfId="33199"/>
    <cellStyle name="Calculation 3 3 2 8 19" xfId="34198"/>
    <cellStyle name="Calculation 3 3 2 8 2" xfId="965"/>
    <cellStyle name="Calculation 3 3 2 8 2 10" xfId="24243"/>
    <cellStyle name="Calculation 3 3 2 8 2 11" xfId="25242"/>
    <cellStyle name="Calculation 3 3 2 8 2 12" xfId="28187"/>
    <cellStyle name="Calculation 3 3 2 8 2 13" xfId="29156"/>
    <cellStyle name="Calculation 3 3 2 8 2 14" xfId="30195"/>
    <cellStyle name="Calculation 3 3 2 8 2 15" xfId="31188"/>
    <cellStyle name="Calculation 3 3 2 8 2 16" xfId="32197"/>
    <cellStyle name="Calculation 3 3 2 8 2 17" xfId="33200"/>
    <cellStyle name="Calculation 3 3 2 8 2 18" xfId="34199"/>
    <cellStyle name="Calculation 3 3 2 8 2 19" xfId="35820"/>
    <cellStyle name="Calculation 3 3 2 8 2 2" xfId="16223"/>
    <cellStyle name="Calculation 3 3 2 8 2 20" xfId="36759"/>
    <cellStyle name="Calculation 3 3 2 8 2 3" xfId="17201"/>
    <cellStyle name="Calculation 3 3 2 8 2 4" xfId="18229"/>
    <cellStyle name="Calculation 3 3 2 8 2 5" xfId="19261"/>
    <cellStyle name="Calculation 3 3 2 8 2 6" xfId="20283"/>
    <cellStyle name="Calculation 3 3 2 8 2 7" xfId="21292"/>
    <cellStyle name="Calculation 3 3 2 8 2 8" xfId="22266"/>
    <cellStyle name="Calculation 3 3 2 8 2 9" xfId="23271"/>
    <cellStyle name="Calculation 3 3 2 8 20" xfId="35819"/>
    <cellStyle name="Calculation 3 3 2 8 21" xfId="36758"/>
    <cellStyle name="Calculation 3 3 2 8 3" xfId="16222"/>
    <cellStyle name="Calculation 3 3 2 8 4" xfId="17200"/>
    <cellStyle name="Calculation 3 3 2 8 5" xfId="18228"/>
    <cellStyle name="Calculation 3 3 2 8 6" xfId="19260"/>
    <cellStyle name="Calculation 3 3 2 8 7" xfId="20282"/>
    <cellStyle name="Calculation 3 3 2 8 8" xfId="21291"/>
    <cellStyle name="Calculation 3 3 2 8 9" xfId="22265"/>
    <cellStyle name="Calculation 3 3 2 9" xfId="966"/>
    <cellStyle name="Calculation 3 3 2 9 10" xfId="24244"/>
    <cellStyle name="Calculation 3 3 2 9 11" xfId="25243"/>
    <cellStyle name="Calculation 3 3 2 9 12" xfId="28188"/>
    <cellStyle name="Calculation 3 3 2 9 13" xfId="29157"/>
    <cellStyle name="Calculation 3 3 2 9 14" xfId="30196"/>
    <cellStyle name="Calculation 3 3 2 9 15" xfId="31189"/>
    <cellStyle name="Calculation 3 3 2 9 16" xfId="32198"/>
    <cellStyle name="Calculation 3 3 2 9 17" xfId="33201"/>
    <cellStyle name="Calculation 3 3 2 9 18" xfId="34200"/>
    <cellStyle name="Calculation 3 3 2 9 19" xfId="35821"/>
    <cellStyle name="Calculation 3 3 2 9 2" xfId="16224"/>
    <cellStyle name="Calculation 3 3 2 9 20" xfId="36760"/>
    <cellStyle name="Calculation 3 3 2 9 3" xfId="17202"/>
    <cellStyle name="Calculation 3 3 2 9 4" xfId="18230"/>
    <cellStyle name="Calculation 3 3 2 9 5" xfId="19262"/>
    <cellStyle name="Calculation 3 3 2 9 6" xfId="20284"/>
    <cellStyle name="Calculation 3 3 2 9 7" xfId="21293"/>
    <cellStyle name="Calculation 3 3 2 9 8" xfId="22267"/>
    <cellStyle name="Calculation 3 3 2 9 9" xfId="23272"/>
    <cellStyle name="Calculation 3 3 20" xfId="34854"/>
    <cellStyle name="Calculation 3 3 21" xfId="34873"/>
    <cellStyle name="Calculation 3 3 22" xfId="35380"/>
    <cellStyle name="Calculation 3 3 23" xfId="37473"/>
    <cellStyle name="Calculation 3 3 3" xfId="967"/>
    <cellStyle name="Calculation 3 3 3 10" xfId="14013"/>
    <cellStyle name="Calculation 3 3 3 11" xfId="14655"/>
    <cellStyle name="Calculation 3 3 3 12" xfId="15061"/>
    <cellStyle name="Calculation 3 3 3 13" xfId="17820"/>
    <cellStyle name="Calculation 3 3 3 14" xfId="14517"/>
    <cellStyle name="Calculation 3 3 3 15" xfId="21856"/>
    <cellStyle name="Calculation 3 3 3 16" xfId="26510"/>
    <cellStyle name="Calculation 3 3 3 17" xfId="27050"/>
    <cellStyle name="Calculation 3 3 3 18" xfId="26194"/>
    <cellStyle name="Calculation 3 3 3 19" xfId="26632"/>
    <cellStyle name="Calculation 3 3 3 2" xfId="968"/>
    <cellStyle name="Calculation 3 3 3 2 10" xfId="23273"/>
    <cellStyle name="Calculation 3 3 3 2 11" xfId="24245"/>
    <cellStyle name="Calculation 3 3 3 2 12" xfId="25244"/>
    <cellStyle name="Calculation 3 3 3 2 13" xfId="28189"/>
    <cellStyle name="Calculation 3 3 3 2 14" xfId="29158"/>
    <cellStyle name="Calculation 3 3 3 2 15" xfId="30197"/>
    <cellStyle name="Calculation 3 3 3 2 16" xfId="31190"/>
    <cellStyle name="Calculation 3 3 3 2 17" xfId="32199"/>
    <cellStyle name="Calculation 3 3 3 2 18" xfId="33202"/>
    <cellStyle name="Calculation 3 3 3 2 19" xfId="34201"/>
    <cellStyle name="Calculation 3 3 3 2 2" xfId="969"/>
    <cellStyle name="Calculation 3 3 3 2 2 10" xfId="24246"/>
    <cellStyle name="Calculation 3 3 3 2 2 11" xfId="25245"/>
    <cellStyle name="Calculation 3 3 3 2 2 12" xfId="28190"/>
    <cellStyle name="Calculation 3 3 3 2 2 13" xfId="29159"/>
    <cellStyle name="Calculation 3 3 3 2 2 14" xfId="30198"/>
    <cellStyle name="Calculation 3 3 3 2 2 15" xfId="31191"/>
    <cellStyle name="Calculation 3 3 3 2 2 16" xfId="32200"/>
    <cellStyle name="Calculation 3 3 3 2 2 17" xfId="33203"/>
    <cellStyle name="Calculation 3 3 3 2 2 18" xfId="34202"/>
    <cellStyle name="Calculation 3 3 3 2 2 19" xfId="35823"/>
    <cellStyle name="Calculation 3 3 3 2 2 2" xfId="16226"/>
    <cellStyle name="Calculation 3 3 3 2 2 20" xfId="36762"/>
    <cellStyle name="Calculation 3 3 3 2 2 3" xfId="17204"/>
    <cellStyle name="Calculation 3 3 3 2 2 4" xfId="18232"/>
    <cellStyle name="Calculation 3 3 3 2 2 5" xfId="19264"/>
    <cellStyle name="Calculation 3 3 3 2 2 6" xfId="20286"/>
    <cellStyle name="Calculation 3 3 3 2 2 7" xfId="21295"/>
    <cellStyle name="Calculation 3 3 3 2 2 8" xfId="22269"/>
    <cellStyle name="Calculation 3 3 3 2 2 9" xfId="23274"/>
    <cellStyle name="Calculation 3 3 3 2 20" xfId="35822"/>
    <cellStyle name="Calculation 3 3 3 2 21" xfId="36761"/>
    <cellStyle name="Calculation 3 3 3 2 3" xfId="16225"/>
    <cellStyle name="Calculation 3 3 3 2 4" xfId="17203"/>
    <cellStyle name="Calculation 3 3 3 2 5" xfId="18231"/>
    <cellStyle name="Calculation 3 3 3 2 6" xfId="19263"/>
    <cellStyle name="Calculation 3 3 3 2 7" xfId="20285"/>
    <cellStyle name="Calculation 3 3 3 2 8" xfId="21294"/>
    <cellStyle name="Calculation 3 3 3 2 9" xfId="22268"/>
    <cellStyle name="Calculation 3 3 3 20" xfId="27822"/>
    <cellStyle name="Calculation 3 3 3 21" xfId="27593"/>
    <cellStyle name="Calculation 3 3 3 22" xfId="26565"/>
    <cellStyle name="Calculation 3 3 3 23" xfId="35181"/>
    <cellStyle name="Calculation 3 3 3 24" xfId="35206"/>
    <cellStyle name="Calculation 3 3 3 3" xfId="970"/>
    <cellStyle name="Calculation 3 3 3 3 10" xfId="23275"/>
    <cellStyle name="Calculation 3 3 3 3 11" xfId="24247"/>
    <cellStyle name="Calculation 3 3 3 3 12" xfId="25246"/>
    <cellStyle name="Calculation 3 3 3 3 13" xfId="28191"/>
    <cellStyle name="Calculation 3 3 3 3 14" xfId="29160"/>
    <cellStyle name="Calculation 3 3 3 3 15" xfId="30199"/>
    <cellStyle name="Calculation 3 3 3 3 16" xfId="31192"/>
    <cellStyle name="Calculation 3 3 3 3 17" xfId="32201"/>
    <cellStyle name="Calculation 3 3 3 3 18" xfId="33204"/>
    <cellStyle name="Calculation 3 3 3 3 19" xfId="34203"/>
    <cellStyle name="Calculation 3 3 3 3 2" xfId="971"/>
    <cellStyle name="Calculation 3 3 3 3 2 10" xfId="24248"/>
    <cellStyle name="Calculation 3 3 3 3 2 11" xfId="25247"/>
    <cellStyle name="Calculation 3 3 3 3 2 12" xfId="28192"/>
    <cellStyle name="Calculation 3 3 3 3 2 13" xfId="29161"/>
    <cellStyle name="Calculation 3 3 3 3 2 14" xfId="30200"/>
    <cellStyle name="Calculation 3 3 3 3 2 15" xfId="31193"/>
    <cellStyle name="Calculation 3 3 3 3 2 16" xfId="32202"/>
    <cellStyle name="Calculation 3 3 3 3 2 17" xfId="33205"/>
    <cellStyle name="Calculation 3 3 3 3 2 18" xfId="34204"/>
    <cellStyle name="Calculation 3 3 3 3 2 19" xfId="35825"/>
    <cellStyle name="Calculation 3 3 3 3 2 2" xfId="16228"/>
    <cellStyle name="Calculation 3 3 3 3 2 20" xfId="36764"/>
    <cellStyle name="Calculation 3 3 3 3 2 3" xfId="17206"/>
    <cellStyle name="Calculation 3 3 3 3 2 4" xfId="18234"/>
    <cellStyle name="Calculation 3 3 3 3 2 5" xfId="19266"/>
    <cellStyle name="Calculation 3 3 3 3 2 6" xfId="20288"/>
    <cellStyle name="Calculation 3 3 3 3 2 7" xfId="21297"/>
    <cellStyle name="Calculation 3 3 3 3 2 8" xfId="22271"/>
    <cellStyle name="Calculation 3 3 3 3 2 9" xfId="23276"/>
    <cellStyle name="Calculation 3 3 3 3 20" xfId="35824"/>
    <cellStyle name="Calculation 3 3 3 3 21" xfId="36763"/>
    <cellStyle name="Calculation 3 3 3 3 3" xfId="16227"/>
    <cellStyle name="Calculation 3 3 3 3 4" xfId="17205"/>
    <cellStyle name="Calculation 3 3 3 3 5" xfId="18233"/>
    <cellStyle name="Calculation 3 3 3 3 6" xfId="19265"/>
    <cellStyle name="Calculation 3 3 3 3 7" xfId="20287"/>
    <cellStyle name="Calculation 3 3 3 3 8" xfId="21296"/>
    <cellStyle name="Calculation 3 3 3 3 9" xfId="22270"/>
    <cellStyle name="Calculation 3 3 3 4" xfId="972"/>
    <cellStyle name="Calculation 3 3 3 4 10" xfId="23277"/>
    <cellStyle name="Calculation 3 3 3 4 11" xfId="24249"/>
    <cellStyle name="Calculation 3 3 3 4 12" xfId="25248"/>
    <cellStyle name="Calculation 3 3 3 4 13" xfId="28193"/>
    <cellStyle name="Calculation 3 3 3 4 14" xfId="29162"/>
    <cellStyle name="Calculation 3 3 3 4 15" xfId="30201"/>
    <cellStyle name="Calculation 3 3 3 4 16" xfId="31194"/>
    <cellStyle name="Calculation 3 3 3 4 17" xfId="32203"/>
    <cellStyle name="Calculation 3 3 3 4 18" xfId="33206"/>
    <cellStyle name="Calculation 3 3 3 4 19" xfId="34205"/>
    <cellStyle name="Calculation 3 3 3 4 2" xfId="973"/>
    <cellStyle name="Calculation 3 3 3 4 2 10" xfId="24250"/>
    <cellStyle name="Calculation 3 3 3 4 2 11" xfId="25249"/>
    <cellStyle name="Calculation 3 3 3 4 2 12" xfId="28194"/>
    <cellStyle name="Calculation 3 3 3 4 2 13" xfId="29163"/>
    <cellStyle name="Calculation 3 3 3 4 2 14" xfId="30202"/>
    <cellStyle name="Calculation 3 3 3 4 2 15" xfId="31195"/>
    <cellStyle name="Calculation 3 3 3 4 2 16" xfId="32204"/>
    <cellStyle name="Calculation 3 3 3 4 2 17" xfId="33207"/>
    <cellStyle name="Calculation 3 3 3 4 2 18" xfId="34206"/>
    <cellStyle name="Calculation 3 3 3 4 2 19" xfId="35827"/>
    <cellStyle name="Calculation 3 3 3 4 2 2" xfId="16230"/>
    <cellStyle name="Calculation 3 3 3 4 2 20" xfId="36766"/>
    <cellStyle name="Calculation 3 3 3 4 2 3" xfId="17208"/>
    <cellStyle name="Calculation 3 3 3 4 2 4" xfId="18236"/>
    <cellStyle name="Calculation 3 3 3 4 2 5" xfId="19268"/>
    <cellStyle name="Calculation 3 3 3 4 2 6" xfId="20290"/>
    <cellStyle name="Calculation 3 3 3 4 2 7" xfId="21299"/>
    <cellStyle name="Calculation 3 3 3 4 2 8" xfId="22273"/>
    <cellStyle name="Calculation 3 3 3 4 2 9" xfId="23278"/>
    <cellStyle name="Calculation 3 3 3 4 20" xfId="35826"/>
    <cellStyle name="Calculation 3 3 3 4 21" xfId="36765"/>
    <cellStyle name="Calculation 3 3 3 4 3" xfId="16229"/>
    <cellStyle name="Calculation 3 3 3 4 4" xfId="17207"/>
    <cellStyle name="Calculation 3 3 3 4 5" xfId="18235"/>
    <cellStyle name="Calculation 3 3 3 4 6" xfId="19267"/>
    <cellStyle name="Calculation 3 3 3 4 7" xfId="20289"/>
    <cellStyle name="Calculation 3 3 3 4 8" xfId="21298"/>
    <cellStyle name="Calculation 3 3 3 4 9" xfId="22272"/>
    <cellStyle name="Calculation 3 3 3 5" xfId="974"/>
    <cellStyle name="Calculation 3 3 3 5 10" xfId="24251"/>
    <cellStyle name="Calculation 3 3 3 5 11" xfId="25250"/>
    <cellStyle name="Calculation 3 3 3 5 12" xfId="28195"/>
    <cellStyle name="Calculation 3 3 3 5 13" xfId="29164"/>
    <cellStyle name="Calculation 3 3 3 5 14" xfId="30203"/>
    <cellStyle name="Calculation 3 3 3 5 15" xfId="31196"/>
    <cellStyle name="Calculation 3 3 3 5 16" xfId="32205"/>
    <cellStyle name="Calculation 3 3 3 5 17" xfId="33208"/>
    <cellStyle name="Calculation 3 3 3 5 18" xfId="34207"/>
    <cellStyle name="Calculation 3 3 3 5 19" xfId="35828"/>
    <cellStyle name="Calculation 3 3 3 5 2" xfId="16231"/>
    <cellStyle name="Calculation 3 3 3 5 20" xfId="36767"/>
    <cellStyle name="Calculation 3 3 3 5 3" xfId="17209"/>
    <cellStyle name="Calculation 3 3 3 5 4" xfId="18237"/>
    <cellStyle name="Calculation 3 3 3 5 5" xfId="19269"/>
    <cellStyle name="Calculation 3 3 3 5 6" xfId="20291"/>
    <cellStyle name="Calculation 3 3 3 5 7" xfId="21300"/>
    <cellStyle name="Calculation 3 3 3 5 8" xfId="22274"/>
    <cellStyle name="Calculation 3 3 3 5 9" xfId="23279"/>
    <cellStyle name="Calculation 3 3 3 6" xfId="13949"/>
    <cellStyle name="Calculation 3 3 3 7" xfId="14820"/>
    <cellStyle name="Calculation 3 3 3 8" xfId="14445"/>
    <cellStyle name="Calculation 3 3 3 9" xfId="15755"/>
    <cellStyle name="Calculation 3 3 4" xfId="975"/>
    <cellStyle name="Calculation 3 3 4 10" xfId="23280"/>
    <cellStyle name="Calculation 3 3 4 11" xfId="24252"/>
    <cellStyle name="Calculation 3 3 4 12" xfId="25251"/>
    <cellStyle name="Calculation 3 3 4 13" xfId="28196"/>
    <cellStyle name="Calculation 3 3 4 14" xfId="29165"/>
    <cellStyle name="Calculation 3 3 4 15" xfId="30204"/>
    <cellStyle name="Calculation 3 3 4 16" xfId="31197"/>
    <cellStyle name="Calculation 3 3 4 17" xfId="32206"/>
    <cellStyle name="Calculation 3 3 4 18" xfId="33209"/>
    <cellStyle name="Calculation 3 3 4 19" xfId="34208"/>
    <cellStyle name="Calculation 3 3 4 2" xfId="976"/>
    <cellStyle name="Calculation 3 3 4 2 10" xfId="24253"/>
    <cellStyle name="Calculation 3 3 4 2 11" xfId="25252"/>
    <cellStyle name="Calculation 3 3 4 2 12" xfId="28197"/>
    <cellStyle name="Calculation 3 3 4 2 13" xfId="29166"/>
    <cellStyle name="Calculation 3 3 4 2 14" xfId="30205"/>
    <cellStyle name="Calculation 3 3 4 2 15" xfId="31198"/>
    <cellStyle name="Calculation 3 3 4 2 16" xfId="32207"/>
    <cellStyle name="Calculation 3 3 4 2 17" xfId="33210"/>
    <cellStyle name="Calculation 3 3 4 2 18" xfId="34209"/>
    <cellStyle name="Calculation 3 3 4 2 19" xfId="35830"/>
    <cellStyle name="Calculation 3 3 4 2 2" xfId="16233"/>
    <cellStyle name="Calculation 3 3 4 2 20" xfId="36769"/>
    <cellStyle name="Calculation 3 3 4 2 3" xfId="17211"/>
    <cellStyle name="Calculation 3 3 4 2 4" xfId="18239"/>
    <cellStyle name="Calculation 3 3 4 2 5" xfId="19271"/>
    <cellStyle name="Calculation 3 3 4 2 6" xfId="20293"/>
    <cellStyle name="Calculation 3 3 4 2 7" xfId="21302"/>
    <cellStyle name="Calculation 3 3 4 2 8" xfId="22276"/>
    <cellStyle name="Calculation 3 3 4 2 9" xfId="23281"/>
    <cellStyle name="Calculation 3 3 4 20" xfId="35829"/>
    <cellStyle name="Calculation 3 3 4 21" xfId="36768"/>
    <cellStyle name="Calculation 3 3 4 3" xfId="16232"/>
    <cellStyle name="Calculation 3 3 4 4" xfId="17210"/>
    <cellStyle name="Calculation 3 3 4 5" xfId="18238"/>
    <cellStyle name="Calculation 3 3 4 6" xfId="19270"/>
    <cellStyle name="Calculation 3 3 4 7" xfId="20292"/>
    <cellStyle name="Calculation 3 3 4 8" xfId="21301"/>
    <cellStyle name="Calculation 3 3 4 9" xfId="22275"/>
    <cellStyle name="Calculation 3 3 5" xfId="977"/>
    <cellStyle name="Calculation 3 3 5 10" xfId="23282"/>
    <cellStyle name="Calculation 3 3 5 11" xfId="24254"/>
    <cellStyle name="Calculation 3 3 5 12" xfId="25253"/>
    <cellStyle name="Calculation 3 3 5 13" xfId="28198"/>
    <cellStyle name="Calculation 3 3 5 14" xfId="29167"/>
    <cellStyle name="Calculation 3 3 5 15" xfId="30206"/>
    <cellStyle name="Calculation 3 3 5 16" xfId="31199"/>
    <cellStyle name="Calculation 3 3 5 17" xfId="32208"/>
    <cellStyle name="Calculation 3 3 5 18" xfId="33211"/>
    <cellStyle name="Calculation 3 3 5 19" xfId="34210"/>
    <cellStyle name="Calculation 3 3 5 2" xfId="978"/>
    <cellStyle name="Calculation 3 3 5 2 10" xfId="24255"/>
    <cellStyle name="Calculation 3 3 5 2 11" xfId="25254"/>
    <cellStyle name="Calculation 3 3 5 2 12" xfId="28199"/>
    <cellStyle name="Calculation 3 3 5 2 13" xfId="29168"/>
    <cellStyle name="Calculation 3 3 5 2 14" xfId="30207"/>
    <cellStyle name="Calculation 3 3 5 2 15" xfId="31200"/>
    <cellStyle name="Calculation 3 3 5 2 16" xfId="32209"/>
    <cellStyle name="Calculation 3 3 5 2 17" xfId="33212"/>
    <cellStyle name="Calculation 3 3 5 2 18" xfId="34211"/>
    <cellStyle name="Calculation 3 3 5 2 19" xfId="35832"/>
    <cellStyle name="Calculation 3 3 5 2 2" xfId="16235"/>
    <cellStyle name="Calculation 3 3 5 2 20" xfId="36771"/>
    <cellStyle name="Calculation 3 3 5 2 3" xfId="17213"/>
    <cellStyle name="Calculation 3 3 5 2 4" xfId="18241"/>
    <cellStyle name="Calculation 3 3 5 2 5" xfId="19273"/>
    <cellStyle name="Calculation 3 3 5 2 6" xfId="20295"/>
    <cellStyle name="Calculation 3 3 5 2 7" xfId="21304"/>
    <cellStyle name="Calculation 3 3 5 2 8" xfId="22278"/>
    <cellStyle name="Calculation 3 3 5 2 9" xfId="23283"/>
    <cellStyle name="Calculation 3 3 5 20" xfId="35831"/>
    <cellStyle name="Calculation 3 3 5 21" xfId="36770"/>
    <cellStyle name="Calculation 3 3 5 3" xfId="16234"/>
    <cellStyle name="Calculation 3 3 5 4" xfId="17212"/>
    <cellStyle name="Calculation 3 3 5 5" xfId="18240"/>
    <cellStyle name="Calculation 3 3 5 6" xfId="19272"/>
    <cellStyle name="Calculation 3 3 5 7" xfId="20294"/>
    <cellStyle name="Calculation 3 3 5 8" xfId="21303"/>
    <cellStyle name="Calculation 3 3 5 9" xfId="22277"/>
    <cellStyle name="Calculation 3 3 6" xfId="979"/>
    <cellStyle name="Calculation 3 3 6 10" xfId="23284"/>
    <cellStyle name="Calculation 3 3 6 11" xfId="24256"/>
    <cellStyle name="Calculation 3 3 6 12" xfId="25255"/>
    <cellStyle name="Calculation 3 3 6 13" xfId="28200"/>
    <cellStyle name="Calculation 3 3 6 14" xfId="29169"/>
    <cellStyle name="Calculation 3 3 6 15" xfId="30208"/>
    <cellStyle name="Calculation 3 3 6 16" xfId="31201"/>
    <cellStyle name="Calculation 3 3 6 17" xfId="32210"/>
    <cellStyle name="Calculation 3 3 6 18" xfId="33213"/>
    <cellStyle name="Calculation 3 3 6 19" xfId="34212"/>
    <cellStyle name="Calculation 3 3 6 2" xfId="980"/>
    <cellStyle name="Calculation 3 3 6 2 10" xfId="24257"/>
    <cellStyle name="Calculation 3 3 6 2 11" xfId="25256"/>
    <cellStyle name="Calculation 3 3 6 2 12" xfId="28201"/>
    <cellStyle name="Calculation 3 3 6 2 13" xfId="29170"/>
    <cellStyle name="Calculation 3 3 6 2 14" xfId="30209"/>
    <cellStyle name="Calculation 3 3 6 2 15" xfId="31202"/>
    <cellStyle name="Calculation 3 3 6 2 16" xfId="32211"/>
    <cellStyle name="Calculation 3 3 6 2 17" xfId="33214"/>
    <cellStyle name="Calculation 3 3 6 2 18" xfId="34213"/>
    <cellStyle name="Calculation 3 3 6 2 19" xfId="35834"/>
    <cellStyle name="Calculation 3 3 6 2 2" xfId="16237"/>
    <cellStyle name="Calculation 3 3 6 2 20" xfId="36773"/>
    <cellStyle name="Calculation 3 3 6 2 3" xfId="17215"/>
    <cellStyle name="Calculation 3 3 6 2 4" xfId="18243"/>
    <cellStyle name="Calculation 3 3 6 2 5" xfId="19275"/>
    <cellStyle name="Calculation 3 3 6 2 6" xfId="20297"/>
    <cellStyle name="Calculation 3 3 6 2 7" xfId="21306"/>
    <cellStyle name="Calculation 3 3 6 2 8" xfId="22280"/>
    <cellStyle name="Calculation 3 3 6 2 9" xfId="23285"/>
    <cellStyle name="Calculation 3 3 6 20" xfId="35833"/>
    <cellStyle name="Calculation 3 3 6 21" xfId="36772"/>
    <cellStyle name="Calculation 3 3 6 3" xfId="16236"/>
    <cellStyle name="Calculation 3 3 6 4" xfId="17214"/>
    <cellStyle name="Calculation 3 3 6 5" xfId="18242"/>
    <cellStyle name="Calculation 3 3 6 6" xfId="19274"/>
    <cellStyle name="Calculation 3 3 6 7" xfId="20296"/>
    <cellStyle name="Calculation 3 3 6 8" xfId="21305"/>
    <cellStyle name="Calculation 3 3 6 9" xfId="22279"/>
    <cellStyle name="Calculation 3 3 7" xfId="981"/>
    <cellStyle name="Calculation 3 3 7 10" xfId="24258"/>
    <cellStyle name="Calculation 3 3 7 11" xfId="25257"/>
    <cellStyle name="Calculation 3 3 7 12" xfId="28202"/>
    <cellStyle name="Calculation 3 3 7 13" xfId="29171"/>
    <cellStyle name="Calculation 3 3 7 14" xfId="30210"/>
    <cellStyle name="Calculation 3 3 7 15" xfId="31203"/>
    <cellStyle name="Calculation 3 3 7 16" xfId="32212"/>
    <cellStyle name="Calculation 3 3 7 17" xfId="33215"/>
    <cellStyle name="Calculation 3 3 7 18" xfId="34214"/>
    <cellStyle name="Calculation 3 3 7 19" xfId="35835"/>
    <cellStyle name="Calculation 3 3 7 2" xfId="16238"/>
    <cellStyle name="Calculation 3 3 7 20" xfId="36774"/>
    <cellStyle name="Calculation 3 3 7 3" xfId="17216"/>
    <cellStyle name="Calculation 3 3 7 4" xfId="18244"/>
    <cellStyle name="Calculation 3 3 7 5" xfId="19276"/>
    <cellStyle name="Calculation 3 3 7 6" xfId="20298"/>
    <cellStyle name="Calculation 3 3 7 7" xfId="21307"/>
    <cellStyle name="Calculation 3 3 7 8" xfId="22281"/>
    <cellStyle name="Calculation 3 3 7 9" xfId="23286"/>
    <cellStyle name="Calculation 3 3 8" xfId="13431"/>
    <cellStyle name="Calculation 3 3 9" xfId="14000"/>
    <cellStyle name="Calculation 3 4" xfId="982"/>
    <cellStyle name="Calculation 3 4 10" xfId="14025"/>
    <cellStyle name="Calculation 3 4 11" xfId="14086"/>
    <cellStyle name="Calculation 3 4 12" xfId="14666"/>
    <cellStyle name="Calculation 3 4 13" xfId="13395"/>
    <cellStyle name="Calculation 3 4 14" xfId="15578"/>
    <cellStyle name="Calculation 3 4 15" xfId="15398"/>
    <cellStyle name="Calculation 3 4 16" xfId="26283"/>
    <cellStyle name="Calculation 3 4 17" xfId="27193"/>
    <cellStyle name="Calculation 3 4 18" xfId="26133"/>
    <cellStyle name="Calculation 3 4 19" xfId="25878"/>
    <cellStyle name="Calculation 3 4 2" xfId="983"/>
    <cellStyle name="Calculation 3 4 2 10" xfId="14244"/>
    <cellStyle name="Calculation 3 4 2 11" xfId="14101"/>
    <cellStyle name="Calculation 3 4 2 12" xfId="26336"/>
    <cellStyle name="Calculation 3 4 2 13" xfId="27720"/>
    <cellStyle name="Calculation 3 4 2 14" xfId="27520"/>
    <cellStyle name="Calculation 3 4 2 15" xfId="26760"/>
    <cellStyle name="Calculation 3 4 2 16" xfId="26888"/>
    <cellStyle name="Calculation 3 4 2 17" xfId="30839"/>
    <cellStyle name="Calculation 3 4 2 18" xfId="35031"/>
    <cellStyle name="Calculation 3 4 2 19" xfId="35445"/>
    <cellStyle name="Calculation 3 4 2 2" xfId="984"/>
    <cellStyle name="Calculation 3 4 2 2 10" xfId="23287"/>
    <cellStyle name="Calculation 3 4 2 2 11" xfId="24259"/>
    <cellStyle name="Calculation 3 4 2 2 12" xfId="25258"/>
    <cellStyle name="Calculation 3 4 2 2 13" xfId="28203"/>
    <cellStyle name="Calculation 3 4 2 2 14" xfId="29172"/>
    <cellStyle name="Calculation 3 4 2 2 15" xfId="30211"/>
    <cellStyle name="Calculation 3 4 2 2 16" xfId="31204"/>
    <cellStyle name="Calculation 3 4 2 2 17" xfId="32213"/>
    <cellStyle name="Calculation 3 4 2 2 18" xfId="33216"/>
    <cellStyle name="Calculation 3 4 2 2 19" xfId="34215"/>
    <cellStyle name="Calculation 3 4 2 2 2" xfId="985"/>
    <cellStyle name="Calculation 3 4 2 2 2 10" xfId="24260"/>
    <cellStyle name="Calculation 3 4 2 2 2 11" xfId="25259"/>
    <cellStyle name="Calculation 3 4 2 2 2 12" xfId="28204"/>
    <cellStyle name="Calculation 3 4 2 2 2 13" xfId="29173"/>
    <cellStyle name="Calculation 3 4 2 2 2 14" xfId="30212"/>
    <cellStyle name="Calculation 3 4 2 2 2 15" xfId="31205"/>
    <cellStyle name="Calculation 3 4 2 2 2 16" xfId="32214"/>
    <cellStyle name="Calculation 3 4 2 2 2 17" xfId="33217"/>
    <cellStyle name="Calculation 3 4 2 2 2 18" xfId="34216"/>
    <cellStyle name="Calculation 3 4 2 2 2 19" xfId="35837"/>
    <cellStyle name="Calculation 3 4 2 2 2 2" xfId="16240"/>
    <cellStyle name="Calculation 3 4 2 2 2 20" xfId="36776"/>
    <cellStyle name="Calculation 3 4 2 2 2 3" xfId="17218"/>
    <cellStyle name="Calculation 3 4 2 2 2 4" xfId="18246"/>
    <cellStyle name="Calculation 3 4 2 2 2 5" xfId="19278"/>
    <cellStyle name="Calculation 3 4 2 2 2 6" xfId="20300"/>
    <cellStyle name="Calculation 3 4 2 2 2 7" xfId="21309"/>
    <cellStyle name="Calculation 3 4 2 2 2 8" xfId="22283"/>
    <cellStyle name="Calculation 3 4 2 2 2 9" xfId="23288"/>
    <cellStyle name="Calculation 3 4 2 2 20" xfId="35836"/>
    <cellStyle name="Calculation 3 4 2 2 21" xfId="36775"/>
    <cellStyle name="Calculation 3 4 2 2 3" xfId="16239"/>
    <cellStyle name="Calculation 3 4 2 2 4" xfId="17217"/>
    <cellStyle name="Calculation 3 4 2 2 5" xfId="18245"/>
    <cellStyle name="Calculation 3 4 2 2 6" xfId="19277"/>
    <cellStyle name="Calculation 3 4 2 2 7" xfId="20299"/>
    <cellStyle name="Calculation 3 4 2 2 8" xfId="21308"/>
    <cellStyle name="Calculation 3 4 2 2 9" xfId="22282"/>
    <cellStyle name="Calculation 3 4 2 3" xfId="986"/>
    <cellStyle name="Calculation 3 4 2 3 10" xfId="23289"/>
    <cellStyle name="Calculation 3 4 2 3 11" xfId="24261"/>
    <cellStyle name="Calculation 3 4 2 3 12" xfId="25260"/>
    <cellStyle name="Calculation 3 4 2 3 13" xfId="28205"/>
    <cellStyle name="Calculation 3 4 2 3 14" xfId="29174"/>
    <cellStyle name="Calculation 3 4 2 3 15" xfId="30213"/>
    <cellStyle name="Calculation 3 4 2 3 16" xfId="31206"/>
    <cellStyle name="Calculation 3 4 2 3 17" xfId="32215"/>
    <cellStyle name="Calculation 3 4 2 3 18" xfId="33218"/>
    <cellStyle name="Calculation 3 4 2 3 19" xfId="34217"/>
    <cellStyle name="Calculation 3 4 2 3 2" xfId="987"/>
    <cellStyle name="Calculation 3 4 2 3 2 10" xfId="24262"/>
    <cellStyle name="Calculation 3 4 2 3 2 11" xfId="25261"/>
    <cellStyle name="Calculation 3 4 2 3 2 12" xfId="28206"/>
    <cellStyle name="Calculation 3 4 2 3 2 13" xfId="29175"/>
    <cellStyle name="Calculation 3 4 2 3 2 14" xfId="30214"/>
    <cellStyle name="Calculation 3 4 2 3 2 15" xfId="31207"/>
    <cellStyle name="Calculation 3 4 2 3 2 16" xfId="32216"/>
    <cellStyle name="Calculation 3 4 2 3 2 17" xfId="33219"/>
    <cellStyle name="Calculation 3 4 2 3 2 18" xfId="34218"/>
    <cellStyle name="Calculation 3 4 2 3 2 19" xfId="35839"/>
    <cellStyle name="Calculation 3 4 2 3 2 2" xfId="16242"/>
    <cellStyle name="Calculation 3 4 2 3 2 20" xfId="36778"/>
    <cellStyle name="Calculation 3 4 2 3 2 3" xfId="17220"/>
    <cellStyle name="Calculation 3 4 2 3 2 4" xfId="18248"/>
    <cellStyle name="Calculation 3 4 2 3 2 5" xfId="19280"/>
    <cellStyle name="Calculation 3 4 2 3 2 6" xfId="20302"/>
    <cellStyle name="Calculation 3 4 2 3 2 7" xfId="21311"/>
    <cellStyle name="Calculation 3 4 2 3 2 8" xfId="22285"/>
    <cellStyle name="Calculation 3 4 2 3 2 9" xfId="23290"/>
    <cellStyle name="Calculation 3 4 2 3 20" xfId="35838"/>
    <cellStyle name="Calculation 3 4 2 3 21" xfId="36777"/>
    <cellStyle name="Calculation 3 4 2 3 3" xfId="16241"/>
    <cellStyle name="Calculation 3 4 2 3 4" xfId="17219"/>
    <cellStyle name="Calculation 3 4 2 3 5" xfId="18247"/>
    <cellStyle name="Calculation 3 4 2 3 6" xfId="19279"/>
    <cellStyle name="Calculation 3 4 2 3 7" xfId="20301"/>
    <cellStyle name="Calculation 3 4 2 3 8" xfId="21310"/>
    <cellStyle name="Calculation 3 4 2 3 9" xfId="22284"/>
    <cellStyle name="Calculation 3 4 2 4" xfId="988"/>
    <cellStyle name="Calculation 3 4 2 4 10" xfId="23291"/>
    <cellStyle name="Calculation 3 4 2 4 11" xfId="24263"/>
    <cellStyle name="Calculation 3 4 2 4 12" xfId="25262"/>
    <cellStyle name="Calculation 3 4 2 4 13" xfId="28207"/>
    <cellStyle name="Calculation 3 4 2 4 14" xfId="29176"/>
    <cellStyle name="Calculation 3 4 2 4 15" xfId="30215"/>
    <cellStyle name="Calculation 3 4 2 4 16" xfId="31208"/>
    <cellStyle name="Calculation 3 4 2 4 17" xfId="32217"/>
    <cellStyle name="Calculation 3 4 2 4 18" xfId="33220"/>
    <cellStyle name="Calculation 3 4 2 4 19" xfId="34219"/>
    <cellStyle name="Calculation 3 4 2 4 2" xfId="989"/>
    <cellStyle name="Calculation 3 4 2 4 2 10" xfId="24264"/>
    <cellStyle name="Calculation 3 4 2 4 2 11" xfId="25263"/>
    <cellStyle name="Calculation 3 4 2 4 2 12" xfId="28208"/>
    <cellStyle name="Calculation 3 4 2 4 2 13" xfId="29177"/>
    <cellStyle name="Calculation 3 4 2 4 2 14" xfId="30216"/>
    <cellStyle name="Calculation 3 4 2 4 2 15" xfId="31209"/>
    <cellStyle name="Calculation 3 4 2 4 2 16" xfId="32218"/>
    <cellStyle name="Calculation 3 4 2 4 2 17" xfId="33221"/>
    <cellStyle name="Calculation 3 4 2 4 2 18" xfId="34220"/>
    <cellStyle name="Calculation 3 4 2 4 2 19" xfId="35841"/>
    <cellStyle name="Calculation 3 4 2 4 2 2" xfId="16244"/>
    <cellStyle name="Calculation 3 4 2 4 2 20" xfId="36780"/>
    <cellStyle name="Calculation 3 4 2 4 2 3" xfId="17222"/>
    <cellStyle name="Calculation 3 4 2 4 2 4" xfId="18250"/>
    <cellStyle name="Calculation 3 4 2 4 2 5" xfId="19282"/>
    <cellStyle name="Calculation 3 4 2 4 2 6" xfId="20304"/>
    <cellStyle name="Calculation 3 4 2 4 2 7" xfId="21313"/>
    <cellStyle name="Calculation 3 4 2 4 2 8" xfId="22287"/>
    <cellStyle name="Calculation 3 4 2 4 2 9" xfId="23292"/>
    <cellStyle name="Calculation 3 4 2 4 20" xfId="35840"/>
    <cellStyle name="Calculation 3 4 2 4 21" xfId="36779"/>
    <cellStyle name="Calculation 3 4 2 4 3" xfId="16243"/>
    <cellStyle name="Calculation 3 4 2 4 4" xfId="17221"/>
    <cellStyle name="Calculation 3 4 2 4 5" xfId="18249"/>
    <cellStyle name="Calculation 3 4 2 4 6" xfId="19281"/>
    <cellStyle name="Calculation 3 4 2 4 7" xfId="20303"/>
    <cellStyle name="Calculation 3 4 2 4 8" xfId="21312"/>
    <cellStyle name="Calculation 3 4 2 4 9" xfId="22286"/>
    <cellStyle name="Calculation 3 4 2 5" xfId="990"/>
    <cellStyle name="Calculation 3 4 2 5 10" xfId="24265"/>
    <cellStyle name="Calculation 3 4 2 5 11" xfId="25264"/>
    <cellStyle name="Calculation 3 4 2 5 12" xfId="28209"/>
    <cellStyle name="Calculation 3 4 2 5 13" xfId="29178"/>
    <cellStyle name="Calculation 3 4 2 5 14" xfId="30217"/>
    <cellStyle name="Calculation 3 4 2 5 15" xfId="31210"/>
    <cellStyle name="Calculation 3 4 2 5 16" xfId="32219"/>
    <cellStyle name="Calculation 3 4 2 5 17" xfId="33222"/>
    <cellStyle name="Calculation 3 4 2 5 18" xfId="34221"/>
    <cellStyle name="Calculation 3 4 2 5 19" xfId="35842"/>
    <cellStyle name="Calculation 3 4 2 5 2" xfId="16245"/>
    <cellStyle name="Calculation 3 4 2 5 20" xfId="36781"/>
    <cellStyle name="Calculation 3 4 2 5 3" xfId="17223"/>
    <cellStyle name="Calculation 3 4 2 5 4" xfId="18251"/>
    <cellStyle name="Calculation 3 4 2 5 5" xfId="19283"/>
    <cellStyle name="Calculation 3 4 2 5 6" xfId="20305"/>
    <cellStyle name="Calculation 3 4 2 5 7" xfId="21314"/>
    <cellStyle name="Calculation 3 4 2 5 8" xfId="22288"/>
    <cellStyle name="Calculation 3 4 2 5 9" xfId="23293"/>
    <cellStyle name="Calculation 3 4 2 6" xfId="13742"/>
    <cellStyle name="Calculation 3 4 2 7" xfId="14003"/>
    <cellStyle name="Calculation 3 4 2 8" xfId="13594"/>
    <cellStyle name="Calculation 3 4 2 9" xfId="15622"/>
    <cellStyle name="Calculation 3 4 20" xfId="27332"/>
    <cellStyle name="Calculation 3 4 21" xfId="27798"/>
    <cellStyle name="Calculation 3 4 22" xfId="34979"/>
    <cellStyle name="Calculation 3 4 23" xfId="35466"/>
    <cellStyle name="Calculation 3 4 24" xfId="37474"/>
    <cellStyle name="Calculation 3 4 3" xfId="991"/>
    <cellStyle name="Calculation 3 4 3 10" xfId="14694"/>
    <cellStyle name="Calculation 3 4 3 11" xfId="14979"/>
    <cellStyle name="Calculation 3 4 3 12" xfId="26475"/>
    <cellStyle name="Calculation 3 4 3 13" xfId="27067"/>
    <cellStyle name="Calculation 3 4 3 14" xfId="26178"/>
    <cellStyle name="Calculation 3 4 3 15" xfId="27498"/>
    <cellStyle name="Calculation 3 4 3 16" xfId="27618"/>
    <cellStyle name="Calculation 3 4 3 17" xfId="26839"/>
    <cellStyle name="Calculation 3 4 3 18" xfId="35158"/>
    <cellStyle name="Calculation 3 4 3 19" xfId="35222"/>
    <cellStyle name="Calculation 3 4 3 2" xfId="992"/>
    <cellStyle name="Calculation 3 4 3 2 10" xfId="23294"/>
    <cellStyle name="Calculation 3 4 3 2 11" xfId="24266"/>
    <cellStyle name="Calculation 3 4 3 2 12" xfId="25265"/>
    <cellStyle name="Calculation 3 4 3 2 13" xfId="28210"/>
    <cellStyle name="Calculation 3 4 3 2 14" xfId="29179"/>
    <cellStyle name="Calculation 3 4 3 2 15" xfId="30218"/>
    <cellStyle name="Calculation 3 4 3 2 16" xfId="31211"/>
    <cellStyle name="Calculation 3 4 3 2 17" xfId="32220"/>
    <cellStyle name="Calculation 3 4 3 2 18" xfId="33223"/>
    <cellStyle name="Calculation 3 4 3 2 19" xfId="34222"/>
    <cellStyle name="Calculation 3 4 3 2 2" xfId="993"/>
    <cellStyle name="Calculation 3 4 3 2 2 10" xfId="24267"/>
    <cellStyle name="Calculation 3 4 3 2 2 11" xfId="25266"/>
    <cellStyle name="Calculation 3 4 3 2 2 12" xfId="28211"/>
    <cellStyle name="Calculation 3 4 3 2 2 13" xfId="29180"/>
    <cellStyle name="Calculation 3 4 3 2 2 14" xfId="30219"/>
    <cellStyle name="Calculation 3 4 3 2 2 15" xfId="31212"/>
    <cellStyle name="Calculation 3 4 3 2 2 16" xfId="32221"/>
    <cellStyle name="Calculation 3 4 3 2 2 17" xfId="33224"/>
    <cellStyle name="Calculation 3 4 3 2 2 18" xfId="34223"/>
    <cellStyle name="Calculation 3 4 3 2 2 19" xfId="35844"/>
    <cellStyle name="Calculation 3 4 3 2 2 2" xfId="16247"/>
    <cellStyle name="Calculation 3 4 3 2 2 20" xfId="36783"/>
    <cellStyle name="Calculation 3 4 3 2 2 3" xfId="17225"/>
    <cellStyle name="Calculation 3 4 3 2 2 4" xfId="18253"/>
    <cellStyle name="Calculation 3 4 3 2 2 5" xfId="19285"/>
    <cellStyle name="Calculation 3 4 3 2 2 6" xfId="20307"/>
    <cellStyle name="Calculation 3 4 3 2 2 7" xfId="21316"/>
    <cellStyle name="Calculation 3 4 3 2 2 8" xfId="22290"/>
    <cellStyle name="Calculation 3 4 3 2 2 9" xfId="23295"/>
    <cellStyle name="Calculation 3 4 3 2 20" xfId="35843"/>
    <cellStyle name="Calculation 3 4 3 2 21" xfId="36782"/>
    <cellStyle name="Calculation 3 4 3 2 3" xfId="16246"/>
    <cellStyle name="Calculation 3 4 3 2 4" xfId="17224"/>
    <cellStyle name="Calculation 3 4 3 2 5" xfId="18252"/>
    <cellStyle name="Calculation 3 4 3 2 6" xfId="19284"/>
    <cellStyle name="Calculation 3 4 3 2 7" xfId="20306"/>
    <cellStyle name="Calculation 3 4 3 2 8" xfId="21315"/>
    <cellStyle name="Calculation 3 4 3 2 9" xfId="22289"/>
    <cellStyle name="Calculation 3 4 3 3" xfId="994"/>
    <cellStyle name="Calculation 3 4 3 3 10" xfId="23296"/>
    <cellStyle name="Calculation 3 4 3 3 11" xfId="24268"/>
    <cellStyle name="Calculation 3 4 3 3 12" xfId="25267"/>
    <cellStyle name="Calculation 3 4 3 3 13" xfId="28212"/>
    <cellStyle name="Calculation 3 4 3 3 14" xfId="29181"/>
    <cellStyle name="Calculation 3 4 3 3 15" xfId="30220"/>
    <cellStyle name="Calculation 3 4 3 3 16" xfId="31213"/>
    <cellStyle name="Calculation 3 4 3 3 17" xfId="32222"/>
    <cellStyle name="Calculation 3 4 3 3 18" xfId="33225"/>
    <cellStyle name="Calculation 3 4 3 3 19" xfId="34224"/>
    <cellStyle name="Calculation 3 4 3 3 2" xfId="995"/>
    <cellStyle name="Calculation 3 4 3 3 2 10" xfId="24269"/>
    <cellStyle name="Calculation 3 4 3 3 2 11" xfId="25268"/>
    <cellStyle name="Calculation 3 4 3 3 2 12" xfId="28213"/>
    <cellStyle name="Calculation 3 4 3 3 2 13" xfId="29182"/>
    <cellStyle name="Calculation 3 4 3 3 2 14" xfId="30221"/>
    <cellStyle name="Calculation 3 4 3 3 2 15" xfId="31214"/>
    <cellStyle name="Calculation 3 4 3 3 2 16" xfId="32223"/>
    <cellStyle name="Calculation 3 4 3 3 2 17" xfId="33226"/>
    <cellStyle name="Calculation 3 4 3 3 2 18" xfId="34225"/>
    <cellStyle name="Calculation 3 4 3 3 2 19" xfId="35846"/>
    <cellStyle name="Calculation 3 4 3 3 2 2" xfId="16249"/>
    <cellStyle name="Calculation 3 4 3 3 2 20" xfId="36785"/>
    <cellStyle name="Calculation 3 4 3 3 2 3" xfId="17227"/>
    <cellStyle name="Calculation 3 4 3 3 2 4" xfId="18255"/>
    <cellStyle name="Calculation 3 4 3 3 2 5" xfId="19287"/>
    <cellStyle name="Calculation 3 4 3 3 2 6" xfId="20309"/>
    <cellStyle name="Calculation 3 4 3 3 2 7" xfId="21318"/>
    <cellStyle name="Calculation 3 4 3 3 2 8" xfId="22292"/>
    <cellStyle name="Calculation 3 4 3 3 2 9" xfId="23297"/>
    <cellStyle name="Calculation 3 4 3 3 20" xfId="35845"/>
    <cellStyle name="Calculation 3 4 3 3 21" xfId="36784"/>
    <cellStyle name="Calculation 3 4 3 3 3" xfId="16248"/>
    <cellStyle name="Calculation 3 4 3 3 4" xfId="17226"/>
    <cellStyle name="Calculation 3 4 3 3 5" xfId="18254"/>
    <cellStyle name="Calculation 3 4 3 3 6" xfId="19286"/>
    <cellStyle name="Calculation 3 4 3 3 7" xfId="20308"/>
    <cellStyle name="Calculation 3 4 3 3 8" xfId="21317"/>
    <cellStyle name="Calculation 3 4 3 3 9" xfId="22291"/>
    <cellStyle name="Calculation 3 4 3 4" xfId="996"/>
    <cellStyle name="Calculation 3 4 3 4 10" xfId="23298"/>
    <cellStyle name="Calculation 3 4 3 4 11" xfId="24270"/>
    <cellStyle name="Calculation 3 4 3 4 12" xfId="25269"/>
    <cellStyle name="Calculation 3 4 3 4 13" xfId="28214"/>
    <cellStyle name="Calculation 3 4 3 4 14" xfId="29183"/>
    <cellStyle name="Calculation 3 4 3 4 15" xfId="30222"/>
    <cellStyle name="Calculation 3 4 3 4 16" xfId="31215"/>
    <cellStyle name="Calculation 3 4 3 4 17" xfId="32224"/>
    <cellStyle name="Calculation 3 4 3 4 18" xfId="33227"/>
    <cellStyle name="Calculation 3 4 3 4 19" xfId="34226"/>
    <cellStyle name="Calculation 3 4 3 4 2" xfId="997"/>
    <cellStyle name="Calculation 3 4 3 4 2 10" xfId="24271"/>
    <cellStyle name="Calculation 3 4 3 4 2 11" xfId="25270"/>
    <cellStyle name="Calculation 3 4 3 4 2 12" xfId="28215"/>
    <cellStyle name="Calculation 3 4 3 4 2 13" xfId="29184"/>
    <cellStyle name="Calculation 3 4 3 4 2 14" xfId="30223"/>
    <cellStyle name="Calculation 3 4 3 4 2 15" xfId="31216"/>
    <cellStyle name="Calculation 3 4 3 4 2 16" xfId="32225"/>
    <cellStyle name="Calculation 3 4 3 4 2 17" xfId="33228"/>
    <cellStyle name="Calculation 3 4 3 4 2 18" xfId="34227"/>
    <cellStyle name="Calculation 3 4 3 4 2 19" xfId="35848"/>
    <cellStyle name="Calculation 3 4 3 4 2 2" xfId="16251"/>
    <cellStyle name="Calculation 3 4 3 4 2 20" xfId="36787"/>
    <cellStyle name="Calculation 3 4 3 4 2 3" xfId="17229"/>
    <cellStyle name="Calculation 3 4 3 4 2 4" xfId="18257"/>
    <cellStyle name="Calculation 3 4 3 4 2 5" xfId="19289"/>
    <cellStyle name="Calculation 3 4 3 4 2 6" xfId="20311"/>
    <cellStyle name="Calculation 3 4 3 4 2 7" xfId="21320"/>
    <cellStyle name="Calculation 3 4 3 4 2 8" xfId="22294"/>
    <cellStyle name="Calculation 3 4 3 4 2 9" xfId="23299"/>
    <cellStyle name="Calculation 3 4 3 4 20" xfId="35847"/>
    <cellStyle name="Calculation 3 4 3 4 21" xfId="36786"/>
    <cellStyle name="Calculation 3 4 3 4 3" xfId="16250"/>
    <cellStyle name="Calculation 3 4 3 4 4" xfId="17228"/>
    <cellStyle name="Calculation 3 4 3 4 5" xfId="18256"/>
    <cellStyle name="Calculation 3 4 3 4 6" xfId="19288"/>
    <cellStyle name="Calculation 3 4 3 4 7" xfId="20310"/>
    <cellStyle name="Calculation 3 4 3 4 8" xfId="21319"/>
    <cellStyle name="Calculation 3 4 3 4 9" xfId="22293"/>
    <cellStyle name="Calculation 3 4 3 5" xfId="998"/>
    <cellStyle name="Calculation 3 4 3 5 10" xfId="24272"/>
    <cellStyle name="Calculation 3 4 3 5 11" xfId="25271"/>
    <cellStyle name="Calculation 3 4 3 5 12" xfId="28216"/>
    <cellStyle name="Calculation 3 4 3 5 13" xfId="29185"/>
    <cellStyle name="Calculation 3 4 3 5 14" xfId="30224"/>
    <cellStyle name="Calculation 3 4 3 5 15" xfId="31217"/>
    <cellStyle name="Calculation 3 4 3 5 16" xfId="32226"/>
    <cellStyle name="Calculation 3 4 3 5 17" xfId="33229"/>
    <cellStyle name="Calculation 3 4 3 5 18" xfId="34228"/>
    <cellStyle name="Calculation 3 4 3 5 19" xfId="35849"/>
    <cellStyle name="Calculation 3 4 3 5 2" xfId="16252"/>
    <cellStyle name="Calculation 3 4 3 5 20" xfId="36788"/>
    <cellStyle name="Calculation 3 4 3 5 3" xfId="17230"/>
    <cellStyle name="Calculation 3 4 3 5 4" xfId="18258"/>
    <cellStyle name="Calculation 3 4 3 5 5" xfId="19290"/>
    <cellStyle name="Calculation 3 4 3 5 6" xfId="20312"/>
    <cellStyle name="Calculation 3 4 3 5 7" xfId="21321"/>
    <cellStyle name="Calculation 3 4 3 5 8" xfId="22295"/>
    <cellStyle name="Calculation 3 4 3 5 9" xfId="23300"/>
    <cellStyle name="Calculation 3 4 3 6" xfId="14435"/>
    <cellStyle name="Calculation 3 4 3 7" xfId="14140"/>
    <cellStyle name="Calculation 3 4 3 8" xfId="13676"/>
    <cellStyle name="Calculation 3 4 3 9" xfId="15833"/>
    <cellStyle name="Calculation 3 4 4" xfId="999"/>
    <cellStyle name="Calculation 3 4 4 10" xfId="13637"/>
    <cellStyle name="Calculation 3 4 4 11" xfId="14989"/>
    <cellStyle name="Calculation 3 4 4 12" xfId="26453"/>
    <cellStyle name="Calculation 3 4 4 13" xfId="27680"/>
    <cellStyle name="Calculation 3 4 4 14" xfId="26120"/>
    <cellStyle name="Calculation 3 4 4 15" xfId="27372"/>
    <cellStyle name="Calculation 3 4 4 16" xfId="28329"/>
    <cellStyle name="Calculation 3 4 4 17" xfId="26075"/>
    <cellStyle name="Calculation 3 4 4 18" xfId="35136"/>
    <cellStyle name="Calculation 3 4 4 19" xfId="35237"/>
    <cellStyle name="Calculation 3 4 4 2" xfId="1000"/>
    <cellStyle name="Calculation 3 4 4 2 10" xfId="23301"/>
    <cellStyle name="Calculation 3 4 4 2 11" xfId="24273"/>
    <cellStyle name="Calculation 3 4 4 2 12" xfId="25272"/>
    <cellStyle name="Calculation 3 4 4 2 13" xfId="28217"/>
    <cellStyle name="Calculation 3 4 4 2 14" xfId="29186"/>
    <cellStyle name="Calculation 3 4 4 2 15" xfId="30225"/>
    <cellStyle name="Calculation 3 4 4 2 16" xfId="31218"/>
    <cellStyle name="Calculation 3 4 4 2 17" xfId="32227"/>
    <cellStyle name="Calculation 3 4 4 2 18" xfId="33230"/>
    <cellStyle name="Calculation 3 4 4 2 19" xfId="34229"/>
    <cellStyle name="Calculation 3 4 4 2 2" xfId="1001"/>
    <cellStyle name="Calculation 3 4 4 2 2 10" xfId="24274"/>
    <cellStyle name="Calculation 3 4 4 2 2 11" xfId="25273"/>
    <cellStyle name="Calculation 3 4 4 2 2 12" xfId="28218"/>
    <cellStyle name="Calculation 3 4 4 2 2 13" xfId="29187"/>
    <cellStyle name="Calculation 3 4 4 2 2 14" xfId="30226"/>
    <cellStyle name="Calculation 3 4 4 2 2 15" xfId="31219"/>
    <cellStyle name="Calculation 3 4 4 2 2 16" xfId="32228"/>
    <cellStyle name="Calculation 3 4 4 2 2 17" xfId="33231"/>
    <cellStyle name="Calculation 3 4 4 2 2 18" xfId="34230"/>
    <cellStyle name="Calculation 3 4 4 2 2 19" xfId="35851"/>
    <cellStyle name="Calculation 3 4 4 2 2 2" xfId="16254"/>
    <cellStyle name="Calculation 3 4 4 2 2 20" xfId="36790"/>
    <cellStyle name="Calculation 3 4 4 2 2 3" xfId="17232"/>
    <cellStyle name="Calculation 3 4 4 2 2 4" xfId="18260"/>
    <cellStyle name="Calculation 3 4 4 2 2 5" xfId="19292"/>
    <cellStyle name="Calculation 3 4 4 2 2 6" xfId="20314"/>
    <cellStyle name="Calculation 3 4 4 2 2 7" xfId="21323"/>
    <cellStyle name="Calculation 3 4 4 2 2 8" xfId="22297"/>
    <cellStyle name="Calculation 3 4 4 2 2 9" xfId="23302"/>
    <cellStyle name="Calculation 3 4 4 2 20" xfId="35850"/>
    <cellStyle name="Calculation 3 4 4 2 21" xfId="36789"/>
    <cellStyle name="Calculation 3 4 4 2 3" xfId="16253"/>
    <cellStyle name="Calculation 3 4 4 2 4" xfId="17231"/>
    <cellStyle name="Calculation 3 4 4 2 5" xfId="18259"/>
    <cellStyle name="Calculation 3 4 4 2 6" xfId="19291"/>
    <cellStyle name="Calculation 3 4 4 2 7" xfId="20313"/>
    <cellStyle name="Calculation 3 4 4 2 8" xfId="21322"/>
    <cellStyle name="Calculation 3 4 4 2 9" xfId="22296"/>
    <cellStyle name="Calculation 3 4 4 3" xfId="1002"/>
    <cellStyle name="Calculation 3 4 4 3 10" xfId="23303"/>
    <cellStyle name="Calculation 3 4 4 3 11" xfId="24275"/>
    <cellStyle name="Calculation 3 4 4 3 12" xfId="25274"/>
    <cellStyle name="Calculation 3 4 4 3 13" xfId="28219"/>
    <cellStyle name="Calculation 3 4 4 3 14" xfId="29188"/>
    <cellStyle name="Calculation 3 4 4 3 15" xfId="30227"/>
    <cellStyle name="Calculation 3 4 4 3 16" xfId="31220"/>
    <cellStyle name="Calculation 3 4 4 3 17" xfId="32229"/>
    <cellStyle name="Calculation 3 4 4 3 18" xfId="33232"/>
    <cellStyle name="Calculation 3 4 4 3 19" xfId="34231"/>
    <cellStyle name="Calculation 3 4 4 3 2" xfId="1003"/>
    <cellStyle name="Calculation 3 4 4 3 2 10" xfId="24276"/>
    <cellStyle name="Calculation 3 4 4 3 2 11" xfId="25275"/>
    <cellStyle name="Calculation 3 4 4 3 2 12" xfId="28220"/>
    <cellStyle name="Calculation 3 4 4 3 2 13" xfId="29189"/>
    <cellStyle name="Calculation 3 4 4 3 2 14" xfId="30228"/>
    <cellStyle name="Calculation 3 4 4 3 2 15" xfId="31221"/>
    <cellStyle name="Calculation 3 4 4 3 2 16" xfId="32230"/>
    <cellStyle name="Calculation 3 4 4 3 2 17" xfId="33233"/>
    <cellStyle name="Calculation 3 4 4 3 2 18" xfId="34232"/>
    <cellStyle name="Calculation 3 4 4 3 2 19" xfId="35853"/>
    <cellStyle name="Calculation 3 4 4 3 2 2" xfId="16256"/>
    <cellStyle name="Calculation 3 4 4 3 2 20" xfId="36792"/>
    <cellStyle name="Calculation 3 4 4 3 2 3" xfId="17234"/>
    <cellStyle name="Calculation 3 4 4 3 2 4" xfId="18262"/>
    <cellStyle name="Calculation 3 4 4 3 2 5" xfId="19294"/>
    <cellStyle name="Calculation 3 4 4 3 2 6" xfId="20316"/>
    <cellStyle name="Calculation 3 4 4 3 2 7" xfId="21325"/>
    <cellStyle name="Calculation 3 4 4 3 2 8" xfId="22299"/>
    <cellStyle name="Calculation 3 4 4 3 2 9" xfId="23304"/>
    <cellStyle name="Calculation 3 4 4 3 20" xfId="35852"/>
    <cellStyle name="Calculation 3 4 4 3 21" xfId="36791"/>
    <cellStyle name="Calculation 3 4 4 3 3" xfId="16255"/>
    <cellStyle name="Calculation 3 4 4 3 4" xfId="17233"/>
    <cellStyle name="Calculation 3 4 4 3 5" xfId="18261"/>
    <cellStyle name="Calculation 3 4 4 3 6" xfId="19293"/>
    <cellStyle name="Calculation 3 4 4 3 7" xfId="20315"/>
    <cellStyle name="Calculation 3 4 4 3 8" xfId="21324"/>
    <cellStyle name="Calculation 3 4 4 3 9" xfId="22298"/>
    <cellStyle name="Calculation 3 4 4 4" xfId="1004"/>
    <cellStyle name="Calculation 3 4 4 4 10" xfId="23305"/>
    <cellStyle name="Calculation 3 4 4 4 11" xfId="24277"/>
    <cellStyle name="Calculation 3 4 4 4 12" xfId="25276"/>
    <cellStyle name="Calculation 3 4 4 4 13" xfId="28221"/>
    <cellStyle name="Calculation 3 4 4 4 14" xfId="29190"/>
    <cellStyle name="Calculation 3 4 4 4 15" xfId="30229"/>
    <cellStyle name="Calculation 3 4 4 4 16" xfId="31222"/>
    <cellStyle name="Calculation 3 4 4 4 17" xfId="32231"/>
    <cellStyle name="Calculation 3 4 4 4 18" xfId="33234"/>
    <cellStyle name="Calculation 3 4 4 4 19" xfId="34233"/>
    <cellStyle name="Calculation 3 4 4 4 2" xfId="1005"/>
    <cellStyle name="Calculation 3 4 4 4 2 10" xfId="24278"/>
    <cellStyle name="Calculation 3 4 4 4 2 11" xfId="25277"/>
    <cellStyle name="Calculation 3 4 4 4 2 12" xfId="28222"/>
    <cellStyle name="Calculation 3 4 4 4 2 13" xfId="29191"/>
    <cellStyle name="Calculation 3 4 4 4 2 14" xfId="30230"/>
    <cellStyle name="Calculation 3 4 4 4 2 15" xfId="31223"/>
    <cellStyle name="Calculation 3 4 4 4 2 16" xfId="32232"/>
    <cellStyle name="Calculation 3 4 4 4 2 17" xfId="33235"/>
    <cellStyle name="Calculation 3 4 4 4 2 18" xfId="34234"/>
    <cellStyle name="Calculation 3 4 4 4 2 19" xfId="35855"/>
    <cellStyle name="Calculation 3 4 4 4 2 2" xfId="16258"/>
    <cellStyle name="Calculation 3 4 4 4 2 20" xfId="36794"/>
    <cellStyle name="Calculation 3 4 4 4 2 3" xfId="17236"/>
    <cellStyle name="Calculation 3 4 4 4 2 4" xfId="18264"/>
    <cellStyle name="Calculation 3 4 4 4 2 5" xfId="19296"/>
    <cellStyle name="Calculation 3 4 4 4 2 6" xfId="20318"/>
    <cellStyle name="Calculation 3 4 4 4 2 7" xfId="21327"/>
    <cellStyle name="Calculation 3 4 4 4 2 8" xfId="22301"/>
    <cellStyle name="Calculation 3 4 4 4 2 9" xfId="23306"/>
    <cellStyle name="Calculation 3 4 4 4 20" xfId="35854"/>
    <cellStyle name="Calculation 3 4 4 4 21" xfId="36793"/>
    <cellStyle name="Calculation 3 4 4 4 3" xfId="16257"/>
    <cellStyle name="Calculation 3 4 4 4 4" xfId="17235"/>
    <cellStyle name="Calculation 3 4 4 4 5" xfId="18263"/>
    <cellStyle name="Calculation 3 4 4 4 6" xfId="19295"/>
    <cellStyle name="Calculation 3 4 4 4 7" xfId="20317"/>
    <cellStyle name="Calculation 3 4 4 4 8" xfId="21326"/>
    <cellStyle name="Calculation 3 4 4 4 9" xfId="22300"/>
    <cellStyle name="Calculation 3 4 4 5" xfId="1006"/>
    <cellStyle name="Calculation 3 4 4 5 10" xfId="24279"/>
    <cellStyle name="Calculation 3 4 4 5 11" xfId="25278"/>
    <cellStyle name="Calculation 3 4 4 5 12" xfId="28223"/>
    <cellStyle name="Calculation 3 4 4 5 13" xfId="29192"/>
    <cellStyle name="Calculation 3 4 4 5 14" xfId="30231"/>
    <cellStyle name="Calculation 3 4 4 5 15" xfId="31224"/>
    <cellStyle name="Calculation 3 4 4 5 16" xfId="32233"/>
    <cellStyle name="Calculation 3 4 4 5 17" xfId="33236"/>
    <cellStyle name="Calculation 3 4 4 5 18" xfId="34235"/>
    <cellStyle name="Calculation 3 4 4 5 19" xfId="35856"/>
    <cellStyle name="Calculation 3 4 4 5 2" xfId="16259"/>
    <cellStyle name="Calculation 3 4 4 5 20" xfId="36795"/>
    <cellStyle name="Calculation 3 4 4 5 3" xfId="17237"/>
    <cellStyle name="Calculation 3 4 4 5 4" xfId="18265"/>
    <cellStyle name="Calculation 3 4 4 5 5" xfId="19297"/>
    <cellStyle name="Calculation 3 4 4 5 6" xfId="20319"/>
    <cellStyle name="Calculation 3 4 4 5 7" xfId="21328"/>
    <cellStyle name="Calculation 3 4 4 5 8" xfId="22302"/>
    <cellStyle name="Calculation 3 4 4 5 9" xfId="23307"/>
    <cellStyle name="Calculation 3 4 4 6" xfId="13558"/>
    <cellStyle name="Calculation 3 4 4 7" xfId="15389"/>
    <cellStyle name="Calculation 3 4 4 8" xfId="13464"/>
    <cellStyle name="Calculation 3 4 4 9" xfId="15498"/>
    <cellStyle name="Calculation 3 4 5" xfId="1007"/>
    <cellStyle name="Calculation 3 4 5 10" xfId="14185"/>
    <cellStyle name="Calculation 3 4 5 11" xfId="18889"/>
    <cellStyle name="Calculation 3 4 5 12" xfId="26489"/>
    <cellStyle name="Calculation 3 4 5 13" xfId="27057"/>
    <cellStyle name="Calculation 3 4 5 14" xfId="26184"/>
    <cellStyle name="Calculation 3 4 5 15" xfId="26793"/>
    <cellStyle name="Calculation 3 4 5 16" xfId="27594"/>
    <cellStyle name="Calculation 3 4 5 17" xfId="26993"/>
    <cellStyle name="Calculation 3 4 5 18" xfId="35172"/>
    <cellStyle name="Calculation 3 4 5 19" xfId="35212"/>
    <cellStyle name="Calculation 3 4 5 2" xfId="1008"/>
    <cellStyle name="Calculation 3 4 5 2 10" xfId="23308"/>
    <cellStyle name="Calculation 3 4 5 2 11" xfId="24280"/>
    <cellStyle name="Calculation 3 4 5 2 12" xfId="25279"/>
    <cellStyle name="Calculation 3 4 5 2 13" xfId="28224"/>
    <cellStyle name="Calculation 3 4 5 2 14" xfId="29193"/>
    <cellStyle name="Calculation 3 4 5 2 15" xfId="30232"/>
    <cellStyle name="Calculation 3 4 5 2 16" xfId="31225"/>
    <cellStyle name="Calculation 3 4 5 2 17" xfId="32234"/>
    <cellStyle name="Calculation 3 4 5 2 18" xfId="33237"/>
    <cellStyle name="Calculation 3 4 5 2 19" xfId="34236"/>
    <cellStyle name="Calculation 3 4 5 2 2" xfId="1009"/>
    <cellStyle name="Calculation 3 4 5 2 2 10" xfId="24281"/>
    <cellStyle name="Calculation 3 4 5 2 2 11" xfId="25280"/>
    <cellStyle name="Calculation 3 4 5 2 2 12" xfId="28225"/>
    <cellStyle name="Calculation 3 4 5 2 2 13" xfId="29194"/>
    <cellStyle name="Calculation 3 4 5 2 2 14" xfId="30233"/>
    <cellStyle name="Calculation 3 4 5 2 2 15" xfId="31226"/>
    <cellStyle name="Calculation 3 4 5 2 2 16" xfId="32235"/>
    <cellStyle name="Calculation 3 4 5 2 2 17" xfId="33238"/>
    <cellStyle name="Calculation 3 4 5 2 2 18" xfId="34237"/>
    <cellStyle name="Calculation 3 4 5 2 2 19" xfId="35858"/>
    <cellStyle name="Calculation 3 4 5 2 2 2" xfId="16261"/>
    <cellStyle name="Calculation 3 4 5 2 2 20" xfId="36797"/>
    <cellStyle name="Calculation 3 4 5 2 2 3" xfId="17239"/>
    <cellStyle name="Calculation 3 4 5 2 2 4" xfId="18267"/>
    <cellStyle name="Calculation 3 4 5 2 2 5" xfId="19299"/>
    <cellStyle name="Calculation 3 4 5 2 2 6" xfId="20321"/>
    <cellStyle name="Calculation 3 4 5 2 2 7" xfId="21330"/>
    <cellStyle name="Calculation 3 4 5 2 2 8" xfId="22304"/>
    <cellStyle name="Calculation 3 4 5 2 2 9" xfId="23309"/>
    <cellStyle name="Calculation 3 4 5 2 20" xfId="35857"/>
    <cellStyle name="Calculation 3 4 5 2 21" xfId="36796"/>
    <cellStyle name="Calculation 3 4 5 2 3" xfId="16260"/>
    <cellStyle name="Calculation 3 4 5 2 4" xfId="17238"/>
    <cellStyle name="Calculation 3 4 5 2 5" xfId="18266"/>
    <cellStyle name="Calculation 3 4 5 2 6" xfId="19298"/>
    <cellStyle name="Calculation 3 4 5 2 7" xfId="20320"/>
    <cellStyle name="Calculation 3 4 5 2 8" xfId="21329"/>
    <cellStyle name="Calculation 3 4 5 2 9" xfId="22303"/>
    <cellStyle name="Calculation 3 4 5 3" xfId="1010"/>
    <cellStyle name="Calculation 3 4 5 3 10" xfId="23310"/>
    <cellStyle name="Calculation 3 4 5 3 11" xfId="24282"/>
    <cellStyle name="Calculation 3 4 5 3 12" xfId="25281"/>
    <cellStyle name="Calculation 3 4 5 3 13" xfId="28226"/>
    <cellStyle name="Calculation 3 4 5 3 14" xfId="29195"/>
    <cellStyle name="Calculation 3 4 5 3 15" xfId="30234"/>
    <cellStyle name="Calculation 3 4 5 3 16" xfId="31227"/>
    <cellStyle name="Calculation 3 4 5 3 17" xfId="32236"/>
    <cellStyle name="Calculation 3 4 5 3 18" xfId="33239"/>
    <cellStyle name="Calculation 3 4 5 3 19" xfId="34238"/>
    <cellStyle name="Calculation 3 4 5 3 2" xfId="1011"/>
    <cellStyle name="Calculation 3 4 5 3 2 10" xfId="24283"/>
    <cellStyle name="Calculation 3 4 5 3 2 11" xfId="25282"/>
    <cellStyle name="Calculation 3 4 5 3 2 12" xfId="28227"/>
    <cellStyle name="Calculation 3 4 5 3 2 13" xfId="29196"/>
    <cellStyle name="Calculation 3 4 5 3 2 14" xfId="30235"/>
    <cellStyle name="Calculation 3 4 5 3 2 15" xfId="31228"/>
    <cellStyle name="Calculation 3 4 5 3 2 16" xfId="32237"/>
    <cellStyle name="Calculation 3 4 5 3 2 17" xfId="33240"/>
    <cellStyle name="Calculation 3 4 5 3 2 18" xfId="34239"/>
    <cellStyle name="Calculation 3 4 5 3 2 19" xfId="35860"/>
    <cellStyle name="Calculation 3 4 5 3 2 2" xfId="16263"/>
    <cellStyle name="Calculation 3 4 5 3 2 20" xfId="36799"/>
    <cellStyle name="Calculation 3 4 5 3 2 3" xfId="17241"/>
    <cellStyle name="Calculation 3 4 5 3 2 4" xfId="18269"/>
    <cellStyle name="Calculation 3 4 5 3 2 5" xfId="19301"/>
    <cellStyle name="Calculation 3 4 5 3 2 6" xfId="20323"/>
    <cellStyle name="Calculation 3 4 5 3 2 7" xfId="21332"/>
    <cellStyle name="Calculation 3 4 5 3 2 8" xfId="22306"/>
    <cellStyle name="Calculation 3 4 5 3 2 9" xfId="23311"/>
    <cellStyle name="Calculation 3 4 5 3 20" xfId="35859"/>
    <cellStyle name="Calculation 3 4 5 3 21" xfId="36798"/>
    <cellStyle name="Calculation 3 4 5 3 3" xfId="16262"/>
    <cellStyle name="Calculation 3 4 5 3 4" xfId="17240"/>
    <cellStyle name="Calculation 3 4 5 3 5" xfId="18268"/>
    <cellStyle name="Calculation 3 4 5 3 6" xfId="19300"/>
    <cellStyle name="Calculation 3 4 5 3 7" xfId="20322"/>
    <cellStyle name="Calculation 3 4 5 3 8" xfId="21331"/>
    <cellStyle name="Calculation 3 4 5 3 9" xfId="22305"/>
    <cellStyle name="Calculation 3 4 5 4" xfId="1012"/>
    <cellStyle name="Calculation 3 4 5 4 10" xfId="23312"/>
    <cellStyle name="Calculation 3 4 5 4 11" xfId="24284"/>
    <cellStyle name="Calculation 3 4 5 4 12" xfId="25283"/>
    <cellStyle name="Calculation 3 4 5 4 13" xfId="28228"/>
    <cellStyle name="Calculation 3 4 5 4 14" xfId="29197"/>
    <cellStyle name="Calculation 3 4 5 4 15" xfId="30236"/>
    <cellStyle name="Calculation 3 4 5 4 16" xfId="31229"/>
    <cellStyle name="Calculation 3 4 5 4 17" xfId="32238"/>
    <cellStyle name="Calculation 3 4 5 4 18" xfId="33241"/>
    <cellStyle name="Calculation 3 4 5 4 19" xfId="34240"/>
    <cellStyle name="Calculation 3 4 5 4 2" xfId="1013"/>
    <cellStyle name="Calculation 3 4 5 4 2 10" xfId="24285"/>
    <cellStyle name="Calculation 3 4 5 4 2 11" xfId="25284"/>
    <cellStyle name="Calculation 3 4 5 4 2 12" xfId="28229"/>
    <cellStyle name="Calculation 3 4 5 4 2 13" xfId="29198"/>
    <cellStyle name="Calculation 3 4 5 4 2 14" xfId="30237"/>
    <cellStyle name="Calculation 3 4 5 4 2 15" xfId="31230"/>
    <cellStyle name="Calculation 3 4 5 4 2 16" xfId="32239"/>
    <cellStyle name="Calculation 3 4 5 4 2 17" xfId="33242"/>
    <cellStyle name="Calculation 3 4 5 4 2 18" xfId="34241"/>
    <cellStyle name="Calculation 3 4 5 4 2 19" xfId="35862"/>
    <cellStyle name="Calculation 3 4 5 4 2 2" xfId="16265"/>
    <cellStyle name="Calculation 3 4 5 4 2 20" xfId="36801"/>
    <cellStyle name="Calculation 3 4 5 4 2 3" xfId="17243"/>
    <cellStyle name="Calculation 3 4 5 4 2 4" xfId="18271"/>
    <cellStyle name="Calculation 3 4 5 4 2 5" xfId="19303"/>
    <cellStyle name="Calculation 3 4 5 4 2 6" xfId="20325"/>
    <cellStyle name="Calculation 3 4 5 4 2 7" xfId="21334"/>
    <cellStyle name="Calculation 3 4 5 4 2 8" xfId="22308"/>
    <cellStyle name="Calculation 3 4 5 4 2 9" xfId="23313"/>
    <cellStyle name="Calculation 3 4 5 4 20" xfId="35861"/>
    <cellStyle name="Calculation 3 4 5 4 21" xfId="36800"/>
    <cellStyle name="Calculation 3 4 5 4 3" xfId="16264"/>
    <cellStyle name="Calculation 3 4 5 4 4" xfId="17242"/>
    <cellStyle name="Calculation 3 4 5 4 5" xfId="18270"/>
    <cellStyle name="Calculation 3 4 5 4 6" xfId="19302"/>
    <cellStyle name="Calculation 3 4 5 4 7" xfId="20324"/>
    <cellStyle name="Calculation 3 4 5 4 8" xfId="21333"/>
    <cellStyle name="Calculation 3 4 5 4 9" xfId="22307"/>
    <cellStyle name="Calculation 3 4 5 5" xfId="1014"/>
    <cellStyle name="Calculation 3 4 5 5 10" xfId="24286"/>
    <cellStyle name="Calculation 3 4 5 5 11" xfId="25285"/>
    <cellStyle name="Calculation 3 4 5 5 12" xfId="28230"/>
    <cellStyle name="Calculation 3 4 5 5 13" xfId="29199"/>
    <cellStyle name="Calculation 3 4 5 5 14" xfId="30238"/>
    <cellStyle name="Calculation 3 4 5 5 15" xfId="31231"/>
    <cellStyle name="Calculation 3 4 5 5 16" xfId="32240"/>
    <cellStyle name="Calculation 3 4 5 5 17" xfId="33243"/>
    <cellStyle name="Calculation 3 4 5 5 18" xfId="34242"/>
    <cellStyle name="Calculation 3 4 5 5 19" xfId="35863"/>
    <cellStyle name="Calculation 3 4 5 5 2" xfId="16266"/>
    <cellStyle name="Calculation 3 4 5 5 20" xfId="36802"/>
    <cellStyle name="Calculation 3 4 5 5 3" xfId="17244"/>
    <cellStyle name="Calculation 3 4 5 5 4" xfId="18272"/>
    <cellStyle name="Calculation 3 4 5 5 5" xfId="19304"/>
    <cellStyle name="Calculation 3 4 5 5 6" xfId="20326"/>
    <cellStyle name="Calculation 3 4 5 5 7" xfId="21335"/>
    <cellStyle name="Calculation 3 4 5 5 8" xfId="22309"/>
    <cellStyle name="Calculation 3 4 5 5 9" xfId="23314"/>
    <cellStyle name="Calculation 3 4 5 6" xfId="15422"/>
    <cellStyle name="Calculation 3 4 5 7" xfId="14393"/>
    <cellStyle name="Calculation 3 4 5 8" xfId="14875"/>
    <cellStyle name="Calculation 3 4 5 9" xfId="14716"/>
    <cellStyle name="Calculation 3 4 6" xfId="1015"/>
    <cellStyle name="Calculation 3 4 6 10" xfId="23315"/>
    <cellStyle name="Calculation 3 4 6 11" xfId="24287"/>
    <cellStyle name="Calculation 3 4 6 12" xfId="25286"/>
    <cellStyle name="Calculation 3 4 6 13" xfId="28231"/>
    <cellStyle name="Calculation 3 4 6 14" xfId="29200"/>
    <cellStyle name="Calculation 3 4 6 15" xfId="30239"/>
    <cellStyle name="Calculation 3 4 6 16" xfId="31232"/>
    <cellStyle name="Calculation 3 4 6 17" xfId="32241"/>
    <cellStyle name="Calculation 3 4 6 18" xfId="33244"/>
    <cellStyle name="Calculation 3 4 6 19" xfId="34243"/>
    <cellStyle name="Calculation 3 4 6 2" xfId="1016"/>
    <cellStyle name="Calculation 3 4 6 2 10" xfId="24288"/>
    <cellStyle name="Calculation 3 4 6 2 11" xfId="25287"/>
    <cellStyle name="Calculation 3 4 6 2 12" xfId="28232"/>
    <cellStyle name="Calculation 3 4 6 2 13" xfId="29201"/>
    <cellStyle name="Calculation 3 4 6 2 14" xfId="30240"/>
    <cellStyle name="Calculation 3 4 6 2 15" xfId="31233"/>
    <cellStyle name="Calculation 3 4 6 2 16" xfId="32242"/>
    <cellStyle name="Calculation 3 4 6 2 17" xfId="33245"/>
    <cellStyle name="Calculation 3 4 6 2 18" xfId="34244"/>
    <cellStyle name="Calculation 3 4 6 2 19" xfId="35865"/>
    <cellStyle name="Calculation 3 4 6 2 2" xfId="16268"/>
    <cellStyle name="Calculation 3 4 6 2 20" xfId="36804"/>
    <cellStyle name="Calculation 3 4 6 2 3" xfId="17246"/>
    <cellStyle name="Calculation 3 4 6 2 4" xfId="18274"/>
    <cellStyle name="Calculation 3 4 6 2 5" xfId="19306"/>
    <cellStyle name="Calculation 3 4 6 2 6" xfId="20328"/>
    <cellStyle name="Calculation 3 4 6 2 7" xfId="21337"/>
    <cellStyle name="Calculation 3 4 6 2 8" xfId="22311"/>
    <cellStyle name="Calculation 3 4 6 2 9" xfId="23316"/>
    <cellStyle name="Calculation 3 4 6 20" xfId="35864"/>
    <cellStyle name="Calculation 3 4 6 21" xfId="36803"/>
    <cellStyle name="Calculation 3 4 6 3" xfId="16267"/>
    <cellStyle name="Calculation 3 4 6 4" xfId="17245"/>
    <cellStyle name="Calculation 3 4 6 5" xfId="18273"/>
    <cellStyle name="Calculation 3 4 6 6" xfId="19305"/>
    <cellStyle name="Calculation 3 4 6 7" xfId="20327"/>
    <cellStyle name="Calculation 3 4 6 8" xfId="21336"/>
    <cellStyle name="Calculation 3 4 6 9" xfId="22310"/>
    <cellStyle name="Calculation 3 4 7" xfId="1017"/>
    <cellStyle name="Calculation 3 4 7 10" xfId="23317"/>
    <cellStyle name="Calculation 3 4 7 11" xfId="24289"/>
    <cellStyle name="Calculation 3 4 7 12" xfId="25288"/>
    <cellStyle name="Calculation 3 4 7 13" xfId="28233"/>
    <cellStyle name="Calculation 3 4 7 14" xfId="29202"/>
    <cellStyle name="Calculation 3 4 7 15" xfId="30241"/>
    <cellStyle name="Calculation 3 4 7 16" xfId="31234"/>
    <cellStyle name="Calculation 3 4 7 17" xfId="32243"/>
    <cellStyle name="Calculation 3 4 7 18" xfId="33246"/>
    <cellStyle name="Calculation 3 4 7 19" xfId="34245"/>
    <cellStyle name="Calculation 3 4 7 2" xfId="1018"/>
    <cellStyle name="Calculation 3 4 7 2 10" xfId="24290"/>
    <cellStyle name="Calculation 3 4 7 2 11" xfId="25289"/>
    <cellStyle name="Calculation 3 4 7 2 12" xfId="28234"/>
    <cellStyle name="Calculation 3 4 7 2 13" xfId="29203"/>
    <cellStyle name="Calculation 3 4 7 2 14" xfId="30242"/>
    <cellStyle name="Calculation 3 4 7 2 15" xfId="31235"/>
    <cellStyle name="Calculation 3 4 7 2 16" xfId="32244"/>
    <cellStyle name="Calculation 3 4 7 2 17" xfId="33247"/>
    <cellStyle name="Calculation 3 4 7 2 18" xfId="34246"/>
    <cellStyle name="Calculation 3 4 7 2 19" xfId="35867"/>
    <cellStyle name="Calculation 3 4 7 2 2" xfId="16270"/>
    <cellStyle name="Calculation 3 4 7 2 20" xfId="36806"/>
    <cellStyle name="Calculation 3 4 7 2 3" xfId="17248"/>
    <cellStyle name="Calculation 3 4 7 2 4" xfId="18276"/>
    <cellStyle name="Calculation 3 4 7 2 5" xfId="19308"/>
    <cellStyle name="Calculation 3 4 7 2 6" xfId="20330"/>
    <cellStyle name="Calculation 3 4 7 2 7" xfId="21339"/>
    <cellStyle name="Calculation 3 4 7 2 8" xfId="22313"/>
    <cellStyle name="Calculation 3 4 7 2 9" xfId="23318"/>
    <cellStyle name="Calculation 3 4 7 20" xfId="35866"/>
    <cellStyle name="Calculation 3 4 7 21" xfId="36805"/>
    <cellStyle name="Calculation 3 4 7 3" xfId="16269"/>
    <cellStyle name="Calculation 3 4 7 4" xfId="17247"/>
    <cellStyle name="Calculation 3 4 7 5" xfId="18275"/>
    <cellStyle name="Calculation 3 4 7 6" xfId="19307"/>
    <cellStyle name="Calculation 3 4 7 7" xfId="20329"/>
    <cellStyle name="Calculation 3 4 7 8" xfId="21338"/>
    <cellStyle name="Calculation 3 4 7 9" xfId="22312"/>
    <cellStyle name="Calculation 3 4 8" xfId="1019"/>
    <cellStyle name="Calculation 3 4 8 10" xfId="23319"/>
    <cellStyle name="Calculation 3 4 8 11" xfId="24291"/>
    <cellStyle name="Calculation 3 4 8 12" xfId="25290"/>
    <cellStyle name="Calculation 3 4 8 13" xfId="28235"/>
    <cellStyle name="Calculation 3 4 8 14" xfId="29204"/>
    <cellStyle name="Calculation 3 4 8 15" xfId="30243"/>
    <cellStyle name="Calculation 3 4 8 16" xfId="31236"/>
    <cellStyle name="Calculation 3 4 8 17" xfId="32245"/>
    <cellStyle name="Calculation 3 4 8 18" xfId="33248"/>
    <cellStyle name="Calculation 3 4 8 19" xfId="34247"/>
    <cellStyle name="Calculation 3 4 8 2" xfId="1020"/>
    <cellStyle name="Calculation 3 4 8 2 10" xfId="24292"/>
    <cellStyle name="Calculation 3 4 8 2 11" xfId="25291"/>
    <cellStyle name="Calculation 3 4 8 2 12" xfId="28236"/>
    <cellStyle name="Calculation 3 4 8 2 13" xfId="29205"/>
    <cellStyle name="Calculation 3 4 8 2 14" xfId="30244"/>
    <cellStyle name="Calculation 3 4 8 2 15" xfId="31237"/>
    <cellStyle name="Calculation 3 4 8 2 16" xfId="32246"/>
    <cellStyle name="Calculation 3 4 8 2 17" xfId="33249"/>
    <cellStyle name="Calculation 3 4 8 2 18" xfId="34248"/>
    <cellStyle name="Calculation 3 4 8 2 19" xfId="35869"/>
    <cellStyle name="Calculation 3 4 8 2 2" xfId="16272"/>
    <cellStyle name="Calculation 3 4 8 2 20" xfId="36808"/>
    <cellStyle name="Calculation 3 4 8 2 3" xfId="17250"/>
    <cellStyle name="Calculation 3 4 8 2 4" xfId="18278"/>
    <cellStyle name="Calculation 3 4 8 2 5" xfId="19310"/>
    <cellStyle name="Calculation 3 4 8 2 6" xfId="20332"/>
    <cellStyle name="Calculation 3 4 8 2 7" xfId="21341"/>
    <cellStyle name="Calculation 3 4 8 2 8" xfId="22315"/>
    <cellStyle name="Calculation 3 4 8 2 9" xfId="23320"/>
    <cellStyle name="Calculation 3 4 8 20" xfId="35868"/>
    <cellStyle name="Calculation 3 4 8 21" xfId="36807"/>
    <cellStyle name="Calculation 3 4 8 3" xfId="16271"/>
    <cellStyle name="Calculation 3 4 8 4" xfId="17249"/>
    <cellStyle name="Calculation 3 4 8 5" xfId="18277"/>
    <cellStyle name="Calculation 3 4 8 6" xfId="19309"/>
    <cellStyle name="Calculation 3 4 8 7" xfId="20331"/>
    <cellStyle name="Calculation 3 4 8 8" xfId="21340"/>
    <cellStyle name="Calculation 3 4 8 9" xfId="22314"/>
    <cellStyle name="Calculation 3 4 9" xfId="1021"/>
    <cellStyle name="Calculation 3 4 9 10" xfId="24293"/>
    <cellStyle name="Calculation 3 4 9 11" xfId="25292"/>
    <cellStyle name="Calculation 3 4 9 12" xfId="28237"/>
    <cellStyle name="Calculation 3 4 9 13" xfId="29206"/>
    <cellStyle name="Calculation 3 4 9 14" xfId="30245"/>
    <cellStyle name="Calculation 3 4 9 15" xfId="31238"/>
    <cellStyle name="Calculation 3 4 9 16" xfId="32247"/>
    <cellStyle name="Calculation 3 4 9 17" xfId="33250"/>
    <cellStyle name="Calculation 3 4 9 18" xfId="34249"/>
    <cellStyle name="Calculation 3 4 9 19" xfId="35870"/>
    <cellStyle name="Calculation 3 4 9 2" xfId="16273"/>
    <cellStyle name="Calculation 3 4 9 20" xfId="36809"/>
    <cellStyle name="Calculation 3 4 9 3" xfId="17251"/>
    <cellStyle name="Calculation 3 4 9 4" xfId="18279"/>
    <cellStyle name="Calculation 3 4 9 5" xfId="19311"/>
    <cellStyle name="Calculation 3 4 9 6" xfId="20333"/>
    <cellStyle name="Calculation 3 4 9 7" xfId="21342"/>
    <cellStyle name="Calculation 3 4 9 8" xfId="22316"/>
    <cellStyle name="Calculation 3 4 9 9" xfId="23321"/>
    <cellStyle name="Calculation 3 5" xfId="1022"/>
    <cellStyle name="Calculation 3 5 10" xfId="15841"/>
    <cellStyle name="Calculation 3 5 11" xfId="17851"/>
    <cellStyle name="Calculation 3 5 12" xfId="13786"/>
    <cellStyle name="Calculation 3 5 13" xfId="17861"/>
    <cellStyle name="Calculation 3 5 14" xfId="20908"/>
    <cellStyle name="Calculation 3 5 15" xfId="13692"/>
    <cellStyle name="Calculation 3 5 16" xfId="26073"/>
    <cellStyle name="Calculation 3 5 17" xfId="27847"/>
    <cellStyle name="Calculation 3 5 18" xfId="25956"/>
    <cellStyle name="Calculation 3 5 19" xfId="29818"/>
    <cellStyle name="Calculation 3 5 2" xfId="1023"/>
    <cellStyle name="Calculation 3 5 2 10" xfId="14148"/>
    <cellStyle name="Calculation 3 5 2 11" xfId="13781"/>
    <cellStyle name="Calculation 3 5 2 12" xfId="26296"/>
    <cellStyle name="Calculation 3 5 2 13" xfId="27736"/>
    <cellStyle name="Calculation 3 5 2 14" xfId="26251"/>
    <cellStyle name="Calculation 3 5 2 15" xfId="27361"/>
    <cellStyle name="Calculation 3 5 2 16" xfId="27848"/>
    <cellStyle name="Calculation 3 5 2 17" xfId="26741"/>
    <cellStyle name="Calculation 3 5 2 18" xfId="34992"/>
    <cellStyle name="Calculation 3 5 2 19" xfId="35336"/>
    <cellStyle name="Calculation 3 5 2 2" xfId="1024"/>
    <cellStyle name="Calculation 3 5 2 2 10" xfId="23322"/>
    <cellStyle name="Calculation 3 5 2 2 11" xfId="24294"/>
    <cellStyle name="Calculation 3 5 2 2 12" xfId="25293"/>
    <cellStyle name="Calculation 3 5 2 2 13" xfId="28238"/>
    <cellStyle name="Calculation 3 5 2 2 14" xfId="29207"/>
    <cellStyle name="Calculation 3 5 2 2 15" xfId="30246"/>
    <cellStyle name="Calculation 3 5 2 2 16" xfId="31239"/>
    <cellStyle name="Calculation 3 5 2 2 17" xfId="32248"/>
    <cellStyle name="Calculation 3 5 2 2 18" xfId="33251"/>
    <cellStyle name="Calculation 3 5 2 2 19" xfId="34250"/>
    <cellStyle name="Calculation 3 5 2 2 2" xfId="1025"/>
    <cellStyle name="Calculation 3 5 2 2 2 10" xfId="24295"/>
    <cellStyle name="Calculation 3 5 2 2 2 11" xfId="25294"/>
    <cellStyle name="Calculation 3 5 2 2 2 12" xfId="28239"/>
    <cellStyle name="Calculation 3 5 2 2 2 13" xfId="29208"/>
    <cellStyle name="Calculation 3 5 2 2 2 14" xfId="30247"/>
    <cellStyle name="Calculation 3 5 2 2 2 15" xfId="31240"/>
    <cellStyle name="Calculation 3 5 2 2 2 16" xfId="32249"/>
    <cellStyle name="Calculation 3 5 2 2 2 17" xfId="33252"/>
    <cellStyle name="Calculation 3 5 2 2 2 18" xfId="34251"/>
    <cellStyle name="Calculation 3 5 2 2 2 19" xfId="35872"/>
    <cellStyle name="Calculation 3 5 2 2 2 2" xfId="16275"/>
    <cellStyle name="Calculation 3 5 2 2 2 20" xfId="36811"/>
    <cellStyle name="Calculation 3 5 2 2 2 3" xfId="17253"/>
    <cellStyle name="Calculation 3 5 2 2 2 4" xfId="18281"/>
    <cellStyle name="Calculation 3 5 2 2 2 5" xfId="19313"/>
    <cellStyle name="Calculation 3 5 2 2 2 6" xfId="20335"/>
    <cellStyle name="Calculation 3 5 2 2 2 7" xfId="21344"/>
    <cellStyle name="Calculation 3 5 2 2 2 8" xfId="22318"/>
    <cellStyle name="Calculation 3 5 2 2 2 9" xfId="23323"/>
    <cellStyle name="Calculation 3 5 2 2 20" xfId="35871"/>
    <cellStyle name="Calculation 3 5 2 2 21" xfId="36810"/>
    <cellStyle name="Calculation 3 5 2 2 3" xfId="16274"/>
    <cellStyle name="Calculation 3 5 2 2 4" xfId="17252"/>
    <cellStyle name="Calculation 3 5 2 2 5" xfId="18280"/>
    <cellStyle name="Calculation 3 5 2 2 6" xfId="19312"/>
    <cellStyle name="Calculation 3 5 2 2 7" xfId="20334"/>
    <cellStyle name="Calculation 3 5 2 2 8" xfId="21343"/>
    <cellStyle name="Calculation 3 5 2 2 9" xfId="22317"/>
    <cellStyle name="Calculation 3 5 2 3" xfId="1026"/>
    <cellStyle name="Calculation 3 5 2 3 10" xfId="23324"/>
    <cellStyle name="Calculation 3 5 2 3 11" xfId="24296"/>
    <cellStyle name="Calculation 3 5 2 3 12" xfId="25295"/>
    <cellStyle name="Calculation 3 5 2 3 13" xfId="28240"/>
    <cellStyle name="Calculation 3 5 2 3 14" xfId="29209"/>
    <cellStyle name="Calculation 3 5 2 3 15" xfId="30248"/>
    <cellStyle name="Calculation 3 5 2 3 16" xfId="31241"/>
    <cellStyle name="Calculation 3 5 2 3 17" xfId="32250"/>
    <cellStyle name="Calculation 3 5 2 3 18" xfId="33253"/>
    <cellStyle name="Calculation 3 5 2 3 19" xfId="34252"/>
    <cellStyle name="Calculation 3 5 2 3 2" xfId="1027"/>
    <cellStyle name="Calculation 3 5 2 3 2 10" xfId="24297"/>
    <cellStyle name="Calculation 3 5 2 3 2 11" xfId="25296"/>
    <cellStyle name="Calculation 3 5 2 3 2 12" xfId="28241"/>
    <cellStyle name="Calculation 3 5 2 3 2 13" xfId="29210"/>
    <cellStyle name="Calculation 3 5 2 3 2 14" xfId="30249"/>
    <cellStyle name="Calculation 3 5 2 3 2 15" xfId="31242"/>
    <cellStyle name="Calculation 3 5 2 3 2 16" xfId="32251"/>
    <cellStyle name="Calculation 3 5 2 3 2 17" xfId="33254"/>
    <cellStyle name="Calculation 3 5 2 3 2 18" xfId="34253"/>
    <cellStyle name="Calculation 3 5 2 3 2 19" xfId="35874"/>
    <cellStyle name="Calculation 3 5 2 3 2 2" xfId="16277"/>
    <cellStyle name="Calculation 3 5 2 3 2 20" xfId="36813"/>
    <cellStyle name="Calculation 3 5 2 3 2 3" xfId="17255"/>
    <cellStyle name="Calculation 3 5 2 3 2 4" xfId="18283"/>
    <cellStyle name="Calculation 3 5 2 3 2 5" xfId="19315"/>
    <cellStyle name="Calculation 3 5 2 3 2 6" xfId="20337"/>
    <cellStyle name="Calculation 3 5 2 3 2 7" xfId="21346"/>
    <cellStyle name="Calculation 3 5 2 3 2 8" xfId="22320"/>
    <cellStyle name="Calculation 3 5 2 3 2 9" xfId="23325"/>
    <cellStyle name="Calculation 3 5 2 3 20" xfId="35873"/>
    <cellStyle name="Calculation 3 5 2 3 21" xfId="36812"/>
    <cellStyle name="Calculation 3 5 2 3 3" xfId="16276"/>
    <cellStyle name="Calculation 3 5 2 3 4" xfId="17254"/>
    <cellStyle name="Calculation 3 5 2 3 5" xfId="18282"/>
    <cellStyle name="Calculation 3 5 2 3 6" xfId="19314"/>
    <cellStyle name="Calculation 3 5 2 3 7" xfId="20336"/>
    <cellStyle name="Calculation 3 5 2 3 8" xfId="21345"/>
    <cellStyle name="Calculation 3 5 2 3 9" xfId="22319"/>
    <cellStyle name="Calculation 3 5 2 4" xfId="1028"/>
    <cellStyle name="Calculation 3 5 2 4 10" xfId="23326"/>
    <cellStyle name="Calculation 3 5 2 4 11" xfId="24298"/>
    <cellStyle name="Calculation 3 5 2 4 12" xfId="25297"/>
    <cellStyle name="Calculation 3 5 2 4 13" xfId="28242"/>
    <cellStyle name="Calculation 3 5 2 4 14" xfId="29211"/>
    <cellStyle name="Calculation 3 5 2 4 15" xfId="30250"/>
    <cellStyle name="Calculation 3 5 2 4 16" xfId="31243"/>
    <cellStyle name="Calculation 3 5 2 4 17" xfId="32252"/>
    <cellStyle name="Calculation 3 5 2 4 18" xfId="33255"/>
    <cellStyle name="Calculation 3 5 2 4 19" xfId="34254"/>
    <cellStyle name="Calculation 3 5 2 4 2" xfId="1029"/>
    <cellStyle name="Calculation 3 5 2 4 2 10" xfId="24299"/>
    <cellStyle name="Calculation 3 5 2 4 2 11" xfId="25298"/>
    <cellStyle name="Calculation 3 5 2 4 2 12" xfId="28243"/>
    <cellStyle name="Calculation 3 5 2 4 2 13" xfId="29212"/>
    <cellStyle name="Calculation 3 5 2 4 2 14" xfId="30251"/>
    <cellStyle name="Calculation 3 5 2 4 2 15" xfId="31244"/>
    <cellStyle name="Calculation 3 5 2 4 2 16" xfId="32253"/>
    <cellStyle name="Calculation 3 5 2 4 2 17" xfId="33256"/>
    <cellStyle name="Calculation 3 5 2 4 2 18" xfId="34255"/>
    <cellStyle name="Calculation 3 5 2 4 2 19" xfId="35876"/>
    <cellStyle name="Calculation 3 5 2 4 2 2" xfId="16279"/>
    <cellStyle name="Calculation 3 5 2 4 2 20" xfId="36815"/>
    <cellStyle name="Calculation 3 5 2 4 2 3" xfId="17257"/>
    <cellStyle name="Calculation 3 5 2 4 2 4" xfId="18285"/>
    <cellStyle name="Calculation 3 5 2 4 2 5" xfId="19317"/>
    <cellStyle name="Calculation 3 5 2 4 2 6" xfId="20339"/>
    <cellStyle name="Calculation 3 5 2 4 2 7" xfId="21348"/>
    <cellStyle name="Calculation 3 5 2 4 2 8" xfId="22322"/>
    <cellStyle name="Calculation 3 5 2 4 2 9" xfId="23327"/>
    <cellStyle name="Calculation 3 5 2 4 20" xfId="35875"/>
    <cellStyle name="Calculation 3 5 2 4 21" xfId="36814"/>
    <cellStyle name="Calculation 3 5 2 4 3" xfId="16278"/>
    <cellStyle name="Calculation 3 5 2 4 4" xfId="17256"/>
    <cellStyle name="Calculation 3 5 2 4 5" xfId="18284"/>
    <cellStyle name="Calculation 3 5 2 4 6" xfId="19316"/>
    <cellStyle name="Calculation 3 5 2 4 7" xfId="20338"/>
    <cellStyle name="Calculation 3 5 2 4 8" xfId="21347"/>
    <cellStyle name="Calculation 3 5 2 4 9" xfId="22321"/>
    <cellStyle name="Calculation 3 5 2 5" xfId="1030"/>
    <cellStyle name="Calculation 3 5 2 5 10" xfId="24300"/>
    <cellStyle name="Calculation 3 5 2 5 11" xfId="25299"/>
    <cellStyle name="Calculation 3 5 2 5 12" xfId="28244"/>
    <cellStyle name="Calculation 3 5 2 5 13" xfId="29213"/>
    <cellStyle name="Calculation 3 5 2 5 14" xfId="30252"/>
    <cellStyle name="Calculation 3 5 2 5 15" xfId="31245"/>
    <cellStyle name="Calculation 3 5 2 5 16" xfId="32254"/>
    <cellStyle name="Calculation 3 5 2 5 17" xfId="33257"/>
    <cellStyle name="Calculation 3 5 2 5 18" xfId="34256"/>
    <cellStyle name="Calculation 3 5 2 5 19" xfId="35877"/>
    <cellStyle name="Calculation 3 5 2 5 2" xfId="16280"/>
    <cellStyle name="Calculation 3 5 2 5 20" xfId="36816"/>
    <cellStyle name="Calculation 3 5 2 5 3" xfId="17258"/>
    <cellStyle name="Calculation 3 5 2 5 4" xfId="18286"/>
    <cellStyle name="Calculation 3 5 2 5 5" xfId="19318"/>
    <cellStyle name="Calculation 3 5 2 5 6" xfId="20340"/>
    <cellStyle name="Calculation 3 5 2 5 7" xfId="21349"/>
    <cellStyle name="Calculation 3 5 2 5 8" xfId="22323"/>
    <cellStyle name="Calculation 3 5 2 5 9" xfId="23328"/>
    <cellStyle name="Calculation 3 5 2 6" xfId="13715"/>
    <cellStyle name="Calculation 3 5 2 7" xfId="14379"/>
    <cellStyle name="Calculation 3 5 2 8" xfId="14308"/>
    <cellStyle name="Calculation 3 5 2 9" xfId="13804"/>
    <cellStyle name="Calculation 3 5 20" xfId="27427"/>
    <cellStyle name="Calculation 3 5 21" xfId="26977"/>
    <cellStyle name="Calculation 3 5 22" xfId="34935"/>
    <cellStyle name="Calculation 3 5 23" xfId="35369"/>
    <cellStyle name="Calculation 3 5 3" xfId="1031"/>
    <cellStyle name="Calculation 3 5 3 10" xfId="13591"/>
    <cellStyle name="Calculation 3 5 3 11" xfId="19917"/>
    <cellStyle name="Calculation 3 5 3 12" xfId="26376"/>
    <cellStyle name="Calculation 3 5 3 13" xfId="27708"/>
    <cellStyle name="Calculation 3 5 3 14" xfId="26497"/>
    <cellStyle name="Calculation 3 5 3 15" xfId="26546"/>
    <cellStyle name="Calculation 3 5 3 16" xfId="26973"/>
    <cellStyle name="Calculation 3 5 3 17" xfId="27006"/>
    <cellStyle name="Calculation 3 5 3 18" xfId="35067"/>
    <cellStyle name="Calculation 3 5 3 19" xfId="35432"/>
    <cellStyle name="Calculation 3 5 3 2" xfId="1032"/>
    <cellStyle name="Calculation 3 5 3 2 10" xfId="23329"/>
    <cellStyle name="Calculation 3 5 3 2 11" xfId="24301"/>
    <cellStyle name="Calculation 3 5 3 2 12" xfId="25300"/>
    <cellStyle name="Calculation 3 5 3 2 13" xfId="28245"/>
    <cellStyle name="Calculation 3 5 3 2 14" xfId="29214"/>
    <cellStyle name="Calculation 3 5 3 2 15" xfId="30253"/>
    <cellStyle name="Calculation 3 5 3 2 16" xfId="31246"/>
    <cellStyle name="Calculation 3 5 3 2 17" xfId="32255"/>
    <cellStyle name="Calculation 3 5 3 2 18" xfId="33258"/>
    <cellStyle name="Calculation 3 5 3 2 19" xfId="34257"/>
    <cellStyle name="Calculation 3 5 3 2 2" xfId="1033"/>
    <cellStyle name="Calculation 3 5 3 2 2 10" xfId="24302"/>
    <cellStyle name="Calculation 3 5 3 2 2 11" xfId="25301"/>
    <cellStyle name="Calculation 3 5 3 2 2 12" xfId="28246"/>
    <cellStyle name="Calculation 3 5 3 2 2 13" xfId="29215"/>
    <cellStyle name="Calculation 3 5 3 2 2 14" xfId="30254"/>
    <cellStyle name="Calculation 3 5 3 2 2 15" xfId="31247"/>
    <cellStyle name="Calculation 3 5 3 2 2 16" xfId="32256"/>
    <cellStyle name="Calculation 3 5 3 2 2 17" xfId="33259"/>
    <cellStyle name="Calculation 3 5 3 2 2 18" xfId="34258"/>
    <cellStyle name="Calculation 3 5 3 2 2 19" xfId="35879"/>
    <cellStyle name="Calculation 3 5 3 2 2 2" xfId="16282"/>
    <cellStyle name="Calculation 3 5 3 2 2 20" xfId="36818"/>
    <cellStyle name="Calculation 3 5 3 2 2 3" xfId="17260"/>
    <cellStyle name="Calculation 3 5 3 2 2 4" xfId="18288"/>
    <cellStyle name="Calculation 3 5 3 2 2 5" xfId="19320"/>
    <cellStyle name="Calculation 3 5 3 2 2 6" xfId="20342"/>
    <cellStyle name="Calculation 3 5 3 2 2 7" xfId="21351"/>
    <cellStyle name="Calculation 3 5 3 2 2 8" xfId="22325"/>
    <cellStyle name="Calculation 3 5 3 2 2 9" xfId="23330"/>
    <cellStyle name="Calculation 3 5 3 2 20" xfId="35878"/>
    <cellStyle name="Calculation 3 5 3 2 21" xfId="36817"/>
    <cellStyle name="Calculation 3 5 3 2 3" xfId="16281"/>
    <cellStyle name="Calculation 3 5 3 2 4" xfId="17259"/>
    <cellStyle name="Calculation 3 5 3 2 5" xfId="18287"/>
    <cellStyle name="Calculation 3 5 3 2 6" xfId="19319"/>
    <cellStyle name="Calculation 3 5 3 2 7" xfId="20341"/>
    <cellStyle name="Calculation 3 5 3 2 8" xfId="21350"/>
    <cellStyle name="Calculation 3 5 3 2 9" xfId="22324"/>
    <cellStyle name="Calculation 3 5 3 3" xfId="1034"/>
    <cellStyle name="Calculation 3 5 3 3 10" xfId="23331"/>
    <cellStyle name="Calculation 3 5 3 3 11" xfId="24303"/>
    <cellStyle name="Calculation 3 5 3 3 12" xfId="25302"/>
    <cellStyle name="Calculation 3 5 3 3 13" xfId="28247"/>
    <cellStyle name="Calculation 3 5 3 3 14" xfId="29216"/>
    <cellStyle name="Calculation 3 5 3 3 15" xfId="30255"/>
    <cellStyle name="Calculation 3 5 3 3 16" xfId="31248"/>
    <cellStyle name="Calculation 3 5 3 3 17" xfId="32257"/>
    <cellStyle name="Calculation 3 5 3 3 18" xfId="33260"/>
    <cellStyle name="Calculation 3 5 3 3 19" xfId="34259"/>
    <cellStyle name="Calculation 3 5 3 3 2" xfId="1035"/>
    <cellStyle name="Calculation 3 5 3 3 2 10" xfId="24304"/>
    <cellStyle name="Calculation 3 5 3 3 2 11" xfId="25303"/>
    <cellStyle name="Calculation 3 5 3 3 2 12" xfId="28248"/>
    <cellStyle name="Calculation 3 5 3 3 2 13" xfId="29217"/>
    <cellStyle name="Calculation 3 5 3 3 2 14" xfId="30256"/>
    <cellStyle name="Calculation 3 5 3 3 2 15" xfId="31249"/>
    <cellStyle name="Calculation 3 5 3 3 2 16" xfId="32258"/>
    <cellStyle name="Calculation 3 5 3 3 2 17" xfId="33261"/>
    <cellStyle name="Calculation 3 5 3 3 2 18" xfId="34260"/>
    <cellStyle name="Calculation 3 5 3 3 2 19" xfId="35881"/>
    <cellStyle name="Calculation 3 5 3 3 2 2" xfId="16284"/>
    <cellStyle name="Calculation 3 5 3 3 2 20" xfId="36820"/>
    <cellStyle name="Calculation 3 5 3 3 2 3" xfId="17262"/>
    <cellStyle name="Calculation 3 5 3 3 2 4" xfId="18290"/>
    <cellStyle name="Calculation 3 5 3 3 2 5" xfId="19322"/>
    <cellStyle name="Calculation 3 5 3 3 2 6" xfId="20344"/>
    <cellStyle name="Calculation 3 5 3 3 2 7" xfId="21353"/>
    <cellStyle name="Calculation 3 5 3 3 2 8" xfId="22327"/>
    <cellStyle name="Calculation 3 5 3 3 2 9" xfId="23332"/>
    <cellStyle name="Calculation 3 5 3 3 20" xfId="35880"/>
    <cellStyle name="Calculation 3 5 3 3 21" xfId="36819"/>
    <cellStyle name="Calculation 3 5 3 3 3" xfId="16283"/>
    <cellStyle name="Calculation 3 5 3 3 4" xfId="17261"/>
    <cellStyle name="Calculation 3 5 3 3 5" xfId="18289"/>
    <cellStyle name="Calculation 3 5 3 3 6" xfId="19321"/>
    <cellStyle name="Calculation 3 5 3 3 7" xfId="20343"/>
    <cellStyle name="Calculation 3 5 3 3 8" xfId="21352"/>
    <cellStyle name="Calculation 3 5 3 3 9" xfId="22326"/>
    <cellStyle name="Calculation 3 5 3 4" xfId="1036"/>
    <cellStyle name="Calculation 3 5 3 4 10" xfId="23333"/>
    <cellStyle name="Calculation 3 5 3 4 11" xfId="24305"/>
    <cellStyle name="Calculation 3 5 3 4 12" xfId="25304"/>
    <cellStyle name="Calculation 3 5 3 4 13" xfId="28249"/>
    <cellStyle name="Calculation 3 5 3 4 14" xfId="29218"/>
    <cellStyle name="Calculation 3 5 3 4 15" xfId="30257"/>
    <cellStyle name="Calculation 3 5 3 4 16" xfId="31250"/>
    <cellStyle name="Calculation 3 5 3 4 17" xfId="32259"/>
    <cellStyle name="Calculation 3 5 3 4 18" xfId="33262"/>
    <cellStyle name="Calculation 3 5 3 4 19" xfId="34261"/>
    <cellStyle name="Calculation 3 5 3 4 2" xfId="1037"/>
    <cellStyle name="Calculation 3 5 3 4 2 10" xfId="24306"/>
    <cellStyle name="Calculation 3 5 3 4 2 11" xfId="25305"/>
    <cellStyle name="Calculation 3 5 3 4 2 12" xfId="28250"/>
    <cellStyle name="Calculation 3 5 3 4 2 13" xfId="29219"/>
    <cellStyle name="Calculation 3 5 3 4 2 14" xfId="30258"/>
    <cellStyle name="Calculation 3 5 3 4 2 15" xfId="31251"/>
    <cellStyle name="Calculation 3 5 3 4 2 16" xfId="32260"/>
    <cellStyle name="Calculation 3 5 3 4 2 17" xfId="33263"/>
    <cellStyle name="Calculation 3 5 3 4 2 18" xfId="34262"/>
    <cellStyle name="Calculation 3 5 3 4 2 19" xfId="35883"/>
    <cellStyle name="Calculation 3 5 3 4 2 2" xfId="16286"/>
    <cellStyle name="Calculation 3 5 3 4 2 20" xfId="36822"/>
    <cellStyle name="Calculation 3 5 3 4 2 3" xfId="17264"/>
    <cellStyle name="Calculation 3 5 3 4 2 4" xfId="18292"/>
    <cellStyle name="Calculation 3 5 3 4 2 5" xfId="19324"/>
    <cellStyle name="Calculation 3 5 3 4 2 6" xfId="20346"/>
    <cellStyle name="Calculation 3 5 3 4 2 7" xfId="21355"/>
    <cellStyle name="Calculation 3 5 3 4 2 8" xfId="22329"/>
    <cellStyle name="Calculation 3 5 3 4 2 9" xfId="23334"/>
    <cellStyle name="Calculation 3 5 3 4 20" xfId="35882"/>
    <cellStyle name="Calculation 3 5 3 4 21" xfId="36821"/>
    <cellStyle name="Calculation 3 5 3 4 3" xfId="16285"/>
    <cellStyle name="Calculation 3 5 3 4 4" xfId="17263"/>
    <cellStyle name="Calculation 3 5 3 4 5" xfId="18291"/>
    <cellStyle name="Calculation 3 5 3 4 6" xfId="19323"/>
    <cellStyle name="Calculation 3 5 3 4 7" xfId="20345"/>
    <cellStyle name="Calculation 3 5 3 4 8" xfId="21354"/>
    <cellStyle name="Calculation 3 5 3 4 9" xfId="22328"/>
    <cellStyle name="Calculation 3 5 3 5" xfId="1038"/>
    <cellStyle name="Calculation 3 5 3 5 10" xfId="24307"/>
    <cellStyle name="Calculation 3 5 3 5 11" xfId="25306"/>
    <cellStyle name="Calculation 3 5 3 5 12" xfId="28251"/>
    <cellStyle name="Calculation 3 5 3 5 13" xfId="29220"/>
    <cellStyle name="Calculation 3 5 3 5 14" xfId="30259"/>
    <cellStyle name="Calculation 3 5 3 5 15" xfId="31252"/>
    <cellStyle name="Calculation 3 5 3 5 16" xfId="32261"/>
    <cellStyle name="Calculation 3 5 3 5 17" xfId="33264"/>
    <cellStyle name="Calculation 3 5 3 5 18" xfId="34263"/>
    <cellStyle name="Calculation 3 5 3 5 19" xfId="35884"/>
    <cellStyle name="Calculation 3 5 3 5 2" xfId="16287"/>
    <cellStyle name="Calculation 3 5 3 5 20" xfId="36823"/>
    <cellStyle name="Calculation 3 5 3 5 3" xfId="17265"/>
    <cellStyle name="Calculation 3 5 3 5 4" xfId="18293"/>
    <cellStyle name="Calculation 3 5 3 5 5" xfId="19325"/>
    <cellStyle name="Calculation 3 5 3 5 6" xfId="20347"/>
    <cellStyle name="Calculation 3 5 3 5 7" xfId="21356"/>
    <cellStyle name="Calculation 3 5 3 5 8" xfId="22330"/>
    <cellStyle name="Calculation 3 5 3 5 9" xfId="23335"/>
    <cellStyle name="Calculation 3 5 3 6" xfId="15408"/>
    <cellStyle name="Calculation 3 5 3 7" xfId="14136"/>
    <cellStyle name="Calculation 3 5 3 8" xfId="15425"/>
    <cellStyle name="Calculation 3 5 3 9" xfId="14221"/>
    <cellStyle name="Calculation 3 5 4" xfId="1039"/>
    <cellStyle name="Calculation 3 5 4 10" xfId="15067"/>
    <cellStyle name="Calculation 3 5 4 11" xfId="13872"/>
    <cellStyle name="Calculation 3 5 4 12" xfId="26347"/>
    <cellStyle name="Calculation 3 5 4 13" xfId="27148"/>
    <cellStyle name="Calculation 3 5 4 14" xfId="27839"/>
    <cellStyle name="Calculation 3 5 4 15" xfId="26215"/>
    <cellStyle name="Calculation 3 5 4 16" xfId="26975"/>
    <cellStyle name="Calculation 3 5 4 17" xfId="26991"/>
    <cellStyle name="Calculation 3 5 4 18" xfId="35041"/>
    <cellStyle name="Calculation 3 5 4 19" xfId="35303"/>
    <cellStyle name="Calculation 3 5 4 2" xfId="1040"/>
    <cellStyle name="Calculation 3 5 4 2 10" xfId="23336"/>
    <cellStyle name="Calculation 3 5 4 2 11" xfId="24308"/>
    <cellStyle name="Calculation 3 5 4 2 12" xfId="25307"/>
    <cellStyle name="Calculation 3 5 4 2 13" xfId="28252"/>
    <cellStyle name="Calculation 3 5 4 2 14" xfId="29221"/>
    <cellStyle name="Calculation 3 5 4 2 15" xfId="30260"/>
    <cellStyle name="Calculation 3 5 4 2 16" xfId="31253"/>
    <cellStyle name="Calculation 3 5 4 2 17" xfId="32262"/>
    <cellStyle name="Calculation 3 5 4 2 18" xfId="33265"/>
    <cellStyle name="Calculation 3 5 4 2 19" xfId="34264"/>
    <cellStyle name="Calculation 3 5 4 2 2" xfId="1041"/>
    <cellStyle name="Calculation 3 5 4 2 2 10" xfId="24309"/>
    <cellStyle name="Calculation 3 5 4 2 2 11" xfId="25308"/>
    <cellStyle name="Calculation 3 5 4 2 2 12" xfId="28253"/>
    <cellStyle name="Calculation 3 5 4 2 2 13" xfId="29222"/>
    <cellStyle name="Calculation 3 5 4 2 2 14" xfId="30261"/>
    <cellStyle name="Calculation 3 5 4 2 2 15" xfId="31254"/>
    <cellStyle name="Calculation 3 5 4 2 2 16" xfId="32263"/>
    <cellStyle name="Calculation 3 5 4 2 2 17" xfId="33266"/>
    <cellStyle name="Calculation 3 5 4 2 2 18" xfId="34265"/>
    <cellStyle name="Calculation 3 5 4 2 2 19" xfId="35886"/>
    <cellStyle name="Calculation 3 5 4 2 2 2" xfId="16289"/>
    <cellStyle name="Calculation 3 5 4 2 2 20" xfId="36825"/>
    <cellStyle name="Calculation 3 5 4 2 2 3" xfId="17267"/>
    <cellStyle name="Calculation 3 5 4 2 2 4" xfId="18295"/>
    <cellStyle name="Calculation 3 5 4 2 2 5" xfId="19327"/>
    <cellStyle name="Calculation 3 5 4 2 2 6" xfId="20349"/>
    <cellStyle name="Calculation 3 5 4 2 2 7" xfId="21358"/>
    <cellStyle name="Calculation 3 5 4 2 2 8" xfId="22332"/>
    <cellStyle name="Calculation 3 5 4 2 2 9" xfId="23337"/>
    <cellStyle name="Calculation 3 5 4 2 20" xfId="35885"/>
    <cellStyle name="Calculation 3 5 4 2 21" xfId="36824"/>
    <cellStyle name="Calculation 3 5 4 2 3" xfId="16288"/>
    <cellStyle name="Calculation 3 5 4 2 4" xfId="17266"/>
    <cellStyle name="Calculation 3 5 4 2 5" xfId="18294"/>
    <cellStyle name="Calculation 3 5 4 2 6" xfId="19326"/>
    <cellStyle name="Calculation 3 5 4 2 7" xfId="20348"/>
    <cellStyle name="Calculation 3 5 4 2 8" xfId="21357"/>
    <cellStyle name="Calculation 3 5 4 2 9" xfId="22331"/>
    <cellStyle name="Calculation 3 5 4 3" xfId="1042"/>
    <cellStyle name="Calculation 3 5 4 3 10" xfId="23338"/>
    <cellStyle name="Calculation 3 5 4 3 11" xfId="24310"/>
    <cellStyle name="Calculation 3 5 4 3 12" xfId="25309"/>
    <cellStyle name="Calculation 3 5 4 3 13" xfId="28254"/>
    <cellStyle name="Calculation 3 5 4 3 14" xfId="29223"/>
    <cellStyle name="Calculation 3 5 4 3 15" xfId="30262"/>
    <cellStyle name="Calculation 3 5 4 3 16" xfId="31255"/>
    <cellStyle name="Calculation 3 5 4 3 17" xfId="32264"/>
    <cellStyle name="Calculation 3 5 4 3 18" xfId="33267"/>
    <cellStyle name="Calculation 3 5 4 3 19" xfId="34266"/>
    <cellStyle name="Calculation 3 5 4 3 2" xfId="1043"/>
    <cellStyle name="Calculation 3 5 4 3 2 10" xfId="24311"/>
    <cellStyle name="Calculation 3 5 4 3 2 11" xfId="25310"/>
    <cellStyle name="Calculation 3 5 4 3 2 12" xfId="28255"/>
    <cellStyle name="Calculation 3 5 4 3 2 13" xfId="29224"/>
    <cellStyle name="Calculation 3 5 4 3 2 14" xfId="30263"/>
    <cellStyle name="Calculation 3 5 4 3 2 15" xfId="31256"/>
    <cellStyle name="Calculation 3 5 4 3 2 16" xfId="32265"/>
    <cellStyle name="Calculation 3 5 4 3 2 17" xfId="33268"/>
    <cellStyle name="Calculation 3 5 4 3 2 18" xfId="34267"/>
    <cellStyle name="Calculation 3 5 4 3 2 19" xfId="35888"/>
    <cellStyle name="Calculation 3 5 4 3 2 2" xfId="16291"/>
    <cellStyle name="Calculation 3 5 4 3 2 20" xfId="36827"/>
    <cellStyle name="Calculation 3 5 4 3 2 3" xfId="17269"/>
    <cellStyle name="Calculation 3 5 4 3 2 4" xfId="18297"/>
    <cellStyle name="Calculation 3 5 4 3 2 5" xfId="19329"/>
    <cellStyle name="Calculation 3 5 4 3 2 6" xfId="20351"/>
    <cellStyle name="Calculation 3 5 4 3 2 7" xfId="21360"/>
    <cellStyle name="Calculation 3 5 4 3 2 8" xfId="22334"/>
    <cellStyle name="Calculation 3 5 4 3 2 9" xfId="23339"/>
    <cellStyle name="Calculation 3 5 4 3 20" xfId="35887"/>
    <cellStyle name="Calculation 3 5 4 3 21" xfId="36826"/>
    <cellStyle name="Calculation 3 5 4 3 3" xfId="16290"/>
    <cellStyle name="Calculation 3 5 4 3 4" xfId="17268"/>
    <cellStyle name="Calculation 3 5 4 3 5" xfId="18296"/>
    <cellStyle name="Calculation 3 5 4 3 6" xfId="19328"/>
    <cellStyle name="Calculation 3 5 4 3 7" xfId="20350"/>
    <cellStyle name="Calculation 3 5 4 3 8" xfId="21359"/>
    <cellStyle name="Calculation 3 5 4 3 9" xfId="22333"/>
    <cellStyle name="Calculation 3 5 4 4" xfId="1044"/>
    <cellStyle name="Calculation 3 5 4 4 10" xfId="23340"/>
    <cellStyle name="Calculation 3 5 4 4 11" xfId="24312"/>
    <cellStyle name="Calculation 3 5 4 4 12" xfId="25311"/>
    <cellStyle name="Calculation 3 5 4 4 13" xfId="28256"/>
    <cellStyle name="Calculation 3 5 4 4 14" xfId="29225"/>
    <cellStyle name="Calculation 3 5 4 4 15" xfId="30264"/>
    <cellStyle name="Calculation 3 5 4 4 16" xfId="31257"/>
    <cellStyle name="Calculation 3 5 4 4 17" xfId="32266"/>
    <cellStyle name="Calculation 3 5 4 4 18" xfId="33269"/>
    <cellStyle name="Calculation 3 5 4 4 19" xfId="34268"/>
    <cellStyle name="Calculation 3 5 4 4 2" xfId="1045"/>
    <cellStyle name="Calculation 3 5 4 4 2 10" xfId="24313"/>
    <cellStyle name="Calculation 3 5 4 4 2 11" xfId="25312"/>
    <cellStyle name="Calculation 3 5 4 4 2 12" xfId="28257"/>
    <cellStyle name="Calculation 3 5 4 4 2 13" xfId="29226"/>
    <cellStyle name="Calculation 3 5 4 4 2 14" xfId="30265"/>
    <cellStyle name="Calculation 3 5 4 4 2 15" xfId="31258"/>
    <cellStyle name="Calculation 3 5 4 4 2 16" xfId="32267"/>
    <cellStyle name="Calculation 3 5 4 4 2 17" xfId="33270"/>
    <cellStyle name="Calculation 3 5 4 4 2 18" xfId="34269"/>
    <cellStyle name="Calculation 3 5 4 4 2 19" xfId="35890"/>
    <cellStyle name="Calculation 3 5 4 4 2 2" xfId="16293"/>
    <cellStyle name="Calculation 3 5 4 4 2 20" xfId="36829"/>
    <cellStyle name="Calculation 3 5 4 4 2 3" xfId="17271"/>
    <cellStyle name="Calculation 3 5 4 4 2 4" xfId="18299"/>
    <cellStyle name="Calculation 3 5 4 4 2 5" xfId="19331"/>
    <cellStyle name="Calculation 3 5 4 4 2 6" xfId="20353"/>
    <cellStyle name="Calculation 3 5 4 4 2 7" xfId="21362"/>
    <cellStyle name="Calculation 3 5 4 4 2 8" xfId="22336"/>
    <cellStyle name="Calculation 3 5 4 4 2 9" xfId="23341"/>
    <cellStyle name="Calculation 3 5 4 4 20" xfId="35889"/>
    <cellStyle name="Calculation 3 5 4 4 21" xfId="36828"/>
    <cellStyle name="Calculation 3 5 4 4 3" xfId="16292"/>
    <cellStyle name="Calculation 3 5 4 4 4" xfId="17270"/>
    <cellStyle name="Calculation 3 5 4 4 5" xfId="18298"/>
    <cellStyle name="Calculation 3 5 4 4 6" xfId="19330"/>
    <cellStyle name="Calculation 3 5 4 4 7" xfId="20352"/>
    <cellStyle name="Calculation 3 5 4 4 8" xfId="21361"/>
    <cellStyle name="Calculation 3 5 4 4 9" xfId="22335"/>
    <cellStyle name="Calculation 3 5 4 5" xfId="1046"/>
    <cellStyle name="Calculation 3 5 4 5 10" xfId="24314"/>
    <cellStyle name="Calculation 3 5 4 5 11" xfId="25313"/>
    <cellStyle name="Calculation 3 5 4 5 12" xfId="28258"/>
    <cellStyle name="Calculation 3 5 4 5 13" xfId="29227"/>
    <cellStyle name="Calculation 3 5 4 5 14" xfId="30266"/>
    <cellStyle name="Calculation 3 5 4 5 15" xfId="31259"/>
    <cellStyle name="Calculation 3 5 4 5 16" xfId="32268"/>
    <cellStyle name="Calculation 3 5 4 5 17" xfId="33271"/>
    <cellStyle name="Calculation 3 5 4 5 18" xfId="34270"/>
    <cellStyle name="Calculation 3 5 4 5 19" xfId="35891"/>
    <cellStyle name="Calculation 3 5 4 5 2" xfId="16294"/>
    <cellStyle name="Calculation 3 5 4 5 20" xfId="36830"/>
    <cellStyle name="Calculation 3 5 4 5 3" xfId="17272"/>
    <cellStyle name="Calculation 3 5 4 5 4" xfId="18300"/>
    <cellStyle name="Calculation 3 5 4 5 5" xfId="19332"/>
    <cellStyle name="Calculation 3 5 4 5 6" xfId="20354"/>
    <cellStyle name="Calculation 3 5 4 5 7" xfId="21363"/>
    <cellStyle name="Calculation 3 5 4 5 8" xfId="22337"/>
    <cellStyle name="Calculation 3 5 4 5 9" xfId="23342"/>
    <cellStyle name="Calculation 3 5 4 6" xfId="15162"/>
    <cellStyle name="Calculation 3 5 4 7" xfId="13463"/>
    <cellStyle name="Calculation 3 5 4 8" xfId="15581"/>
    <cellStyle name="Calculation 3 5 4 9" xfId="14589"/>
    <cellStyle name="Calculation 3 5 5" xfId="1047"/>
    <cellStyle name="Calculation 3 5 5 10" xfId="15326"/>
    <cellStyle name="Calculation 3 5 5 11" xfId="15573"/>
    <cellStyle name="Calculation 3 5 5 12" xfId="26448"/>
    <cellStyle name="Calculation 3 5 5 13" xfId="27682"/>
    <cellStyle name="Calculation 3 5 5 14" xfId="26165"/>
    <cellStyle name="Calculation 3 5 5 15" xfId="26260"/>
    <cellStyle name="Calculation 3 5 5 16" xfId="27828"/>
    <cellStyle name="Calculation 3 5 5 17" xfId="26799"/>
    <cellStyle name="Calculation 3 5 5 18" xfId="35131"/>
    <cellStyle name="Calculation 3 5 5 19" xfId="35241"/>
    <cellStyle name="Calculation 3 5 5 2" xfId="1048"/>
    <cellStyle name="Calculation 3 5 5 2 10" xfId="23343"/>
    <cellStyle name="Calculation 3 5 5 2 11" xfId="24315"/>
    <cellStyle name="Calculation 3 5 5 2 12" xfId="25314"/>
    <cellStyle name="Calculation 3 5 5 2 13" xfId="28259"/>
    <cellStyle name="Calculation 3 5 5 2 14" xfId="29228"/>
    <cellStyle name="Calculation 3 5 5 2 15" xfId="30267"/>
    <cellStyle name="Calculation 3 5 5 2 16" xfId="31260"/>
    <cellStyle name="Calculation 3 5 5 2 17" xfId="32269"/>
    <cellStyle name="Calculation 3 5 5 2 18" xfId="33272"/>
    <cellStyle name="Calculation 3 5 5 2 19" xfId="34271"/>
    <cellStyle name="Calculation 3 5 5 2 2" xfId="1049"/>
    <cellStyle name="Calculation 3 5 5 2 2 10" xfId="24316"/>
    <cellStyle name="Calculation 3 5 5 2 2 11" xfId="25315"/>
    <cellStyle name="Calculation 3 5 5 2 2 12" xfId="28260"/>
    <cellStyle name="Calculation 3 5 5 2 2 13" xfId="29229"/>
    <cellStyle name="Calculation 3 5 5 2 2 14" xfId="30268"/>
    <cellStyle name="Calculation 3 5 5 2 2 15" xfId="31261"/>
    <cellStyle name="Calculation 3 5 5 2 2 16" xfId="32270"/>
    <cellStyle name="Calculation 3 5 5 2 2 17" xfId="33273"/>
    <cellStyle name="Calculation 3 5 5 2 2 18" xfId="34272"/>
    <cellStyle name="Calculation 3 5 5 2 2 19" xfId="35893"/>
    <cellStyle name="Calculation 3 5 5 2 2 2" xfId="16296"/>
    <cellStyle name="Calculation 3 5 5 2 2 20" xfId="36832"/>
    <cellStyle name="Calculation 3 5 5 2 2 3" xfId="17274"/>
    <cellStyle name="Calculation 3 5 5 2 2 4" xfId="18302"/>
    <cellStyle name="Calculation 3 5 5 2 2 5" xfId="19334"/>
    <cellStyle name="Calculation 3 5 5 2 2 6" xfId="20356"/>
    <cellStyle name="Calculation 3 5 5 2 2 7" xfId="21365"/>
    <cellStyle name="Calculation 3 5 5 2 2 8" xfId="22339"/>
    <cellStyle name="Calculation 3 5 5 2 2 9" xfId="23344"/>
    <cellStyle name="Calculation 3 5 5 2 20" xfId="35892"/>
    <cellStyle name="Calculation 3 5 5 2 21" xfId="36831"/>
    <cellStyle name="Calculation 3 5 5 2 3" xfId="16295"/>
    <cellStyle name="Calculation 3 5 5 2 4" xfId="17273"/>
    <cellStyle name="Calculation 3 5 5 2 5" xfId="18301"/>
    <cellStyle name="Calculation 3 5 5 2 6" xfId="19333"/>
    <cellStyle name="Calculation 3 5 5 2 7" xfId="20355"/>
    <cellStyle name="Calculation 3 5 5 2 8" xfId="21364"/>
    <cellStyle name="Calculation 3 5 5 2 9" xfId="22338"/>
    <cellStyle name="Calculation 3 5 5 3" xfId="1050"/>
    <cellStyle name="Calculation 3 5 5 3 10" xfId="23345"/>
    <cellStyle name="Calculation 3 5 5 3 11" xfId="24317"/>
    <cellStyle name="Calculation 3 5 5 3 12" xfId="25316"/>
    <cellStyle name="Calculation 3 5 5 3 13" xfId="28261"/>
    <cellStyle name="Calculation 3 5 5 3 14" xfId="29230"/>
    <cellStyle name="Calculation 3 5 5 3 15" xfId="30269"/>
    <cellStyle name="Calculation 3 5 5 3 16" xfId="31262"/>
    <cellStyle name="Calculation 3 5 5 3 17" xfId="32271"/>
    <cellStyle name="Calculation 3 5 5 3 18" xfId="33274"/>
    <cellStyle name="Calculation 3 5 5 3 19" xfId="34273"/>
    <cellStyle name="Calculation 3 5 5 3 2" xfId="1051"/>
    <cellStyle name="Calculation 3 5 5 3 2 10" xfId="24318"/>
    <cellStyle name="Calculation 3 5 5 3 2 11" xfId="25317"/>
    <cellStyle name="Calculation 3 5 5 3 2 12" xfId="28262"/>
    <cellStyle name="Calculation 3 5 5 3 2 13" xfId="29231"/>
    <cellStyle name="Calculation 3 5 5 3 2 14" xfId="30270"/>
    <cellStyle name="Calculation 3 5 5 3 2 15" xfId="31263"/>
    <cellStyle name="Calculation 3 5 5 3 2 16" xfId="32272"/>
    <cellStyle name="Calculation 3 5 5 3 2 17" xfId="33275"/>
    <cellStyle name="Calculation 3 5 5 3 2 18" xfId="34274"/>
    <cellStyle name="Calculation 3 5 5 3 2 19" xfId="35895"/>
    <cellStyle name="Calculation 3 5 5 3 2 2" xfId="16298"/>
    <cellStyle name="Calculation 3 5 5 3 2 20" xfId="36834"/>
    <cellStyle name="Calculation 3 5 5 3 2 3" xfId="17276"/>
    <cellStyle name="Calculation 3 5 5 3 2 4" xfId="18304"/>
    <cellStyle name="Calculation 3 5 5 3 2 5" xfId="19336"/>
    <cellStyle name="Calculation 3 5 5 3 2 6" xfId="20358"/>
    <cellStyle name="Calculation 3 5 5 3 2 7" xfId="21367"/>
    <cellStyle name="Calculation 3 5 5 3 2 8" xfId="22341"/>
    <cellStyle name="Calculation 3 5 5 3 2 9" xfId="23346"/>
    <cellStyle name="Calculation 3 5 5 3 20" xfId="35894"/>
    <cellStyle name="Calculation 3 5 5 3 21" xfId="36833"/>
    <cellStyle name="Calculation 3 5 5 3 3" xfId="16297"/>
    <cellStyle name="Calculation 3 5 5 3 4" xfId="17275"/>
    <cellStyle name="Calculation 3 5 5 3 5" xfId="18303"/>
    <cellStyle name="Calculation 3 5 5 3 6" xfId="19335"/>
    <cellStyle name="Calculation 3 5 5 3 7" xfId="20357"/>
    <cellStyle name="Calculation 3 5 5 3 8" xfId="21366"/>
    <cellStyle name="Calculation 3 5 5 3 9" xfId="22340"/>
    <cellStyle name="Calculation 3 5 5 4" xfId="1052"/>
    <cellStyle name="Calculation 3 5 5 4 10" xfId="23347"/>
    <cellStyle name="Calculation 3 5 5 4 11" xfId="24319"/>
    <cellStyle name="Calculation 3 5 5 4 12" xfId="25318"/>
    <cellStyle name="Calculation 3 5 5 4 13" xfId="28263"/>
    <cellStyle name="Calculation 3 5 5 4 14" xfId="29232"/>
    <cellStyle name="Calculation 3 5 5 4 15" xfId="30271"/>
    <cellStyle name="Calculation 3 5 5 4 16" xfId="31264"/>
    <cellStyle name="Calculation 3 5 5 4 17" xfId="32273"/>
    <cellStyle name="Calculation 3 5 5 4 18" xfId="33276"/>
    <cellStyle name="Calculation 3 5 5 4 19" xfId="34275"/>
    <cellStyle name="Calculation 3 5 5 4 2" xfId="1053"/>
    <cellStyle name="Calculation 3 5 5 4 2 10" xfId="24320"/>
    <cellStyle name="Calculation 3 5 5 4 2 11" xfId="25319"/>
    <cellStyle name="Calculation 3 5 5 4 2 12" xfId="28264"/>
    <cellStyle name="Calculation 3 5 5 4 2 13" xfId="29233"/>
    <cellStyle name="Calculation 3 5 5 4 2 14" xfId="30272"/>
    <cellStyle name="Calculation 3 5 5 4 2 15" xfId="31265"/>
    <cellStyle name="Calculation 3 5 5 4 2 16" xfId="32274"/>
    <cellStyle name="Calculation 3 5 5 4 2 17" xfId="33277"/>
    <cellStyle name="Calculation 3 5 5 4 2 18" xfId="34276"/>
    <cellStyle name="Calculation 3 5 5 4 2 19" xfId="35897"/>
    <cellStyle name="Calculation 3 5 5 4 2 2" xfId="16300"/>
    <cellStyle name="Calculation 3 5 5 4 2 20" xfId="36836"/>
    <cellStyle name="Calculation 3 5 5 4 2 3" xfId="17278"/>
    <cellStyle name="Calculation 3 5 5 4 2 4" xfId="18306"/>
    <cellStyle name="Calculation 3 5 5 4 2 5" xfId="19338"/>
    <cellStyle name="Calculation 3 5 5 4 2 6" xfId="20360"/>
    <cellStyle name="Calculation 3 5 5 4 2 7" xfId="21369"/>
    <cellStyle name="Calculation 3 5 5 4 2 8" xfId="22343"/>
    <cellStyle name="Calculation 3 5 5 4 2 9" xfId="23348"/>
    <cellStyle name="Calculation 3 5 5 4 20" xfId="35896"/>
    <cellStyle name="Calculation 3 5 5 4 21" xfId="36835"/>
    <cellStyle name="Calculation 3 5 5 4 3" xfId="16299"/>
    <cellStyle name="Calculation 3 5 5 4 4" xfId="17277"/>
    <cellStyle name="Calculation 3 5 5 4 5" xfId="18305"/>
    <cellStyle name="Calculation 3 5 5 4 6" xfId="19337"/>
    <cellStyle name="Calculation 3 5 5 4 7" xfId="20359"/>
    <cellStyle name="Calculation 3 5 5 4 8" xfId="21368"/>
    <cellStyle name="Calculation 3 5 5 4 9" xfId="22342"/>
    <cellStyle name="Calculation 3 5 5 5" xfId="1054"/>
    <cellStyle name="Calculation 3 5 5 5 10" xfId="24321"/>
    <cellStyle name="Calculation 3 5 5 5 11" xfId="25320"/>
    <cellStyle name="Calculation 3 5 5 5 12" xfId="28265"/>
    <cellStyle name="Calculation 3 5 5 5 13" xfId="29234"/>
    <cellStyle name="Calculation 3 5 5 5 14" xfId="30273"/>
    <cellStyle name="Calculation 3 5 5 5 15" xfId="31266"/>
    <cellStyle name="Calculation 3 5 5 5 16" xfId="32275"/>
    <cellStyle name="Calculation 3 5 5 5 17" xfId="33278"/>
    <cellStyle name="Calculation 3 5 5 5 18" xfId="34277"/>
    <cellStyle name="Calculation 3 5 5 5 19" xfId="35898"/>
    <cellStyle name="Calculation 3 5 5 5 2" xfId="16301"/>
    <cellStyle name="Calculation 3 5 5 5 20" xfId="36837"/>
    <cellStyle name="Calculation 3 5 5 5 3" xfId="17279"/>
    <cellStyle name="Calculation 3 5 5 5 4" xfId="18307"/>
    <cellStyle name="Calculation 3 5 5 5 5" xfId="19339"/>
    <cellStyle name="Calculation 3 5 5 5 6" xfId="20361"/>
    <cellStyle name="Calculation 3 5 5 5 7" xfId="21370"/>
    <cellStyle name="Calculation 3 5 5 5 8" xfId="22344"/>
    <cellStyle name="Calculation 3 5 5 5 9" xfId="23349"/>
    <cellStyle name="Calculation 3 5 5 6" xfId="14064"/>
    <cellStyle name="Calculation 3 5 5 7" xfId="14475"/>
    <cellStyle name="Calculation 3 5 5 8" xfId="15555"/>
    <cellStyle name="Calculation 3 5 5 9" xfId="13869"/>
    <cellStyle name="Calculation 3 5 6" xfId="1055"/>
    <cellStyle name="Calculation 3 5 6 10" xfId="23350"/>
    <cellStyle name="Calculation 3 5 6 11" xfId="24322"/>
    <cellStyle name="Calculation 3 5 6 12" xfId="25321"/>
    <cellStyle name="Calculation 3 5 6 13" xfId="28266"/>
    <cellStyle name="Calculation 3 5 6 14" xfId="29235"/>
    <cellStyle name="Calculation 3 5 6 15" xfId="30274"/>
    <cellStyle name="Calculation 3 5 6 16" xfId="31267"/>
    <cellStyle name="Calculation 3 5 6 17" xfId="32276"/>
    <cellStyle name="Calculation 3 5 6 18" xfId="33279"/>
    <cellStyle name="Calculation 3 5 6 19" xfId="34278"/>
    <cellStyle name="Calculation 3 5 6 2" xfId="1056"/>
    <cellStyle name="Calculation 3 5 6 2 10" xfId="24323"/>
    <cellStyle name="Calculation 3 5 6 2 11" xfId="25322"/>
    <cellStyle name="Calculation 3 5 6 2 12" xfId="28267"/>
    <cellStyle name="Calculation 3 5 6 2 13" xfId="29236"/>
    <cellStyle name="Calculation 3 5 6 2 14" xfId="30275"/>
    <cellStyle name="Calculation 3 5 6 2 15" xfId="31268"/>
    <cellStyle name="Calculation 3 5 6 2 16" xfId="32277"/>
    <cellStyle name="Calculation 3 5 6 2 17" xfId="33280"/>
    <cellStyle name="Calculation 3 5 6 2 18" xfId="34279"/>
    <cellStyle name="Calculation 3 5 6 2 19" xfId="35900"/>
    <cellStyle name="Calculation 3 5 6 2 2" xfId="16303"/>
    <cellStyle name="Calculation 3 5 6 2 20" xfId="36839"/>
    <cellStyle name="Calculation 3 5 6 2 3" xfId="17281"/>
    <cellStyle name="Calculation 3 5 6 2 4" xfId="18309"/>
    <cellStyle name="Calculation 3 5 6 2 5" xfId="19341"/>
    <cellStyle name="Calculation 3 5 6 2 6" xfId="20363"/>
    <cellStyle name="Calculation 3 5 6 2 7" xfId="21372"/>
    <cellStyle name="Calculation 3 5 6 2 8" xfId="22346"/>
    <cellStyle name="Calculation 3 5 6 2 9" xfId="23351"/>
    <cellStyle name="Calculation 3 5 6 20" xfId="35899"/>
    <cellStyle name="Calculation 3 5 6 21" xfId="36838"/>
    <cellStyle name="Calculation 3 5 6 3" xfId="16302"/>
    <cellStyle name="Calculation 3 5 6 4" xfId="17280"/>
    <cellStyle name="Calculation 3 5 6 5" xfId="18308"/>
    <cellStyle name="Calculation 3 5 6 6" xfId="19340"/>
    <cellStyle name="Calculation 3 5 6 7" xfId="20362"/>
    <cellStyle name="Calculation 3 5 6 8" xfId="21371"/>
    <cellStyle name="Calculation 3 5 6 9" xfId="22345"/>
    <cellStyle name="Calculation 3 5 7" xfId="1057"/>
    <cellStyle name="Calculation 3 5 7 10" xfId="23352"/>
    <cellStyle name="Calculation 3 5 7 11" xfId="24324"/>
    <cellStyle name="Calculation 3 5 7 12" xfId="25323"/>
    <cellStyle name="Calculation 3 5 7 13" xfId="28268"/>
    <cellStyle name="Calculation 3 5 7 14" xfId="29237"/>
    <cellStyle name="Calculation 3 5 7 15" xfId="30276"/>
    <cellStyle name="Calculation 3 5 7 16" xfId="31269"/>
    <cellStyle name="Calculation 3 5 7 17" xfId="32278"/>
    <cellStyle name="Calculation 3 5 7 18" xfId="33281"/>
    <cellStyle name="Calculation 3 5 7 19" xfId="34280"/>
    <cellStyle name="Calculation 3 5 7 2" xfId="1058"/>
    <cellStyle name="Calculation 3 5 7 2 10" xfId="24325"/>
    <cellStyle name="Calculation 3 5 7 2 11" xfId="25324"/>
    <cellStyle name="Calculation 3 5 7 2 12" xfId="28269"/>
    <cellStyle name="Calculation 3 5 7 2 13" xfId="29238"/>
    <cellStyle name="Calculation 3 5 7 2 14" xfId="30277"/>
    <cellStyle name="Calculation 3 5 7 2 15" xfId="31270"/>
    <cellStyle name="Calculation 3 5 7 2 16" xfId="32279"/>
    <cellStyle name="Calculation 3 5 7 2 17" xfId="33282"/>
    <cellStyle name="Calculation 3 5 7 2 18" xfId="34281"/>
    <cellStyle name="Calculation 3 5 7 2 19" xfId="35902"/>
    <cellStyle name="Calculation 3 5 7 2 2" xfId="16305"/>
    <cellStyle name="Calculation 3 5 7 2 20" xfId="36841"/>
    <cellStyle name="Calculation 3 5 7 2 3" xfId="17283"/>
    <cellStyle name="Calculation 3 5 7 2 4" xfId="18311"/>
    <cellStyle name="Calculation 3 5 7 2 5" xfId="19343"/>
    <cellStyle name="Calculation 3 5 7 2 6" xfId="20365"/>
    <cellStyle name="Calculation 3 5 7 2 7" xfId="21374"/>
    <cellStyle name="Calculation 3 5 7 2 8" xfId="22348"/>
    <cellStyle name="Calculation 3 5 7 2 9" xfId="23353"/>
    <cellStyle name="Calculation 3 5 7 20" xfId="35901"/>
    <cellStyle name="Calculation 3 5 7 21" xfId="36840"/>
    <cellStyle name="Calculation 3 5 7 3" xfId="16304"/>
    <cellStyle name="Calculation 3 5 7 4" xfId="17282"/>
    <cellStyle name="Calculation 3 5 7 5" xfId="18310"/>
    <cellStyle name="Calculation 3 5 7 6" xfId="19342"/>
    <cellStyle name="Calculation 3 5 7 7" xfId="20364"/>
    <cellStyle name="Calculation 3 5 7 8" xfId="21373"/>
    <cellStyle name="Calculation 3 5 7 9" xfId="22347"/>
    <cellStyle name="Calculation 3 5 8" xfId="1059"/>
    <cellStyle name="Calculation 3 5 8 10" xfId="23354"/>
    <cellStyle name="Calculation 3 5 8 11" xfId="24326"/>
    <cellStyle name="Calculation 3 5 8 12" xfId="25325"/>
    <cellStyle name="Calculation 3 5 8 13" xfId="28270"/>
    <cellStyle name="Calculation 3 5 8 14" xfId="29239"/>
    <cellStyle name="Calculation 3 5 8 15" xfId="30278"/>
    <cellStyle name="Calculation 3 5 8 16" xfId="31271"/>
    <cellStyle name="Calculation 3 5 8 17" xfId="32280"/>
    <cellStyle name="Calculation 3 5 8 18" xfId="33283"/>
    <cellStyle name="Calculation 3 5 8 19" xfId="34282"/>
    <cellStyle name="Calculation 3 5 8 2" xfId="1060"/>
    <cellStyle name="Calculation 3 5 8 2 10" xfId="24327"/>
    <cellStyle name="Calculation 3 5 8 2 11" xfId="25326"/>
    <cellStyle name="Calculation 3 5 8 2 12" xfId="28271"/>
    <cellStyle name="Calculation 3 5 8 2 13" xfId="29240"/>
    <cellStyle name="Calculation 3 5 8 2 14" xfId="30279"/>
    <cellStyle name="Calculation 3 5 8 2 15" xfId="31272"/>
    <cellStyle name="Calculation 3 5 8 2 16" xfId="32281"/>
    <cellStyle name="Calculation 3 5 8 2 17" xfId="33284"/>
    <cellStyle name="Calculation 3 5 8 2 18" xfId="34283"/>
    <cellStyle name="Calculation 3 5 8 2 19" xfId="35904"/>
    <cellStyle name="Calculation 3 5 8 2 2" xfId="16307"/>
    <cellStyle name="Calculation 3 5 8 2 20" xfId="36843"/>
    <cellStyle name="Calculation 3 5 8 2 3" xfId="17285"/>
    <cellStyle name="Calculation 3 5 8 2 4" xfId="18313"/>
    <cellStyle name="Calculation 3 5 8 2 5" xfId="19345"/>
    <cellStyle name="Calculation 3 5 8 2 6" xfId="20367"/>
    <cellStyle name="Calculation 3 5 8 2 7" xfId="21376"/>
    <cellStyle name="Calculation 3 5 8 2 8" xfId="22350"/>
    <cellStyle name="Calculation 3 5 8 2 9" xfId="23355"/>
    <cellStyle name="Calculation 3 5 8 20" xfId="35903"/>
    <cellStyle name="Calculation 3 5 8 21" xfId="36842"/>
    <cellStyle name="Calculation 3 5 8 3" xfId="16306"/>
    <cellStyle name="Calculation 3 5 8 4" xfId="17284"/>
    <cellStyle name="Calculation 3 5 8 5" xfId="18312"/>
    <cellStyle name="Calculation 3 5 8 6" xfId="19344"/>
    <cellStyle name="Calculation 3 5 8 7" xfId="20366"/>
    <cellStyle name="Calculation 3 5 8 8" xfId="21375"/>
    <cellStyle name="Calculation 3 5 8 9" xfId="22349"/>
    <cellStyle name="Calculation 3 5 9" xfId="1061"/>
    <cellStyle name="Calculation 3 5 9 10" xfId="24328"/>
    <cellStyle name="Calculation 3 5 9 11" xfId="25327"/>
    <cellStyle name="Calculation 3 5 9 12" xfId="28272"/>
    <cellStyle name="Calculation 3 5 9 13" xfId="29241"/>
    <cellStyle name="Calculation 3 5 9 14" xfId="30280"/>
    <cellStyle name="Calculation 3 5 9 15" xfId="31273"/>
    <cellStyle name="Calculation 3 5 9 16" xfId="32282"/>
    <cellStyle name="Calculation 3 5 9 17" xfId="33285"/>
    <cellStyle name="Calculation 3 5 9 18" xfId="34284"/>
    <cellStyle name="Calculation 3 5 9 19" xfId="35905"/>
    <cellStyle name="Calculation 3 5 9 2" xfId="16308"/>
    <cellStyle name="Calculation 3 5 9 20" xfId="36844"/>
    <cellStyle name="Calculation 3 5 9 3" xfId="17286"/>
    <cellStyle name="Calculation 3 5 9 4" xfId="18314"/>
    <cellStyle name="Calculation 3 5 9 5" xfId="19346"/>
    <cellStyle name="Calculation 3 5 9 6" xfId="20368"/>
    <cellStyle name="Calculation 3 5 9 7" xfId="21377"/>
    <cellStyle name="Calculation 3 5 9 8" xfId="22351"/>
    <cellStyle name="Calculation 3 5 9 9" xfId="23356"/>
    <cellStyle name="Calculation 3 6" xfId="1062"/>
    <cellStyle name="Calculation 3 6 10" xfId="23357"/>
    <cellStyle name="Calculation 3 6 11" xfId="24329"/>
    <cellStyle name="Calculation 3 6 12" xfId="25328"/>
    <cellStyle name="Calculation 3 6 13" xfId="28273"/>
    <cellStyle name="Calculation 3 6 14" xfId="29242"/>
    <cellStyle name="Calculation 3 6 15" xfId="30281"/>
    <cellStyle name="Calculation 3 6 16" xfId="31274"/>
    <cellStyle name="Calculation 3 6 17" xfId="32283"/>
    <cellStyle name="Calculation 3 6 18" xfId="33286"/>
    <cellStyle name="Calculation 3 6 19" xfId="34285"/>
    <cellStyle name="Calculation 3 6 2" xfId="1063"/>
    <cellStyle name="Calculation 3 6 2 10" xfId="24330"/>
    <cellStyle name="Calculation 3 6 2 11" xfId="25329"/>
    <cellStyle name="Calculation 3 6 2 12" xfId="28274"/>
    <cellStyle name="Calculation 3 6 2 13" xfId="29243"/>
    <cellStyle name="Calculation 3 6 2 14" xfId="30282"/>
    <cellStyle name="Calculation 3 6 2 15" xfId="31275"/>
    <cellStyle name="Calculation 3 6 2 16" xfId="32284"/>
    <cellStyle name="Calculation 3 6 2 17" xfId="33287"/>
    <cellStyle name="Calculation 3 6 2 18" xfId="34286"/>
    <cellStyle name="Calculation 3 6 2 19" xfId="35907"/>
    <cellStyle name="Calculation 3 6 2 2" xfId="16310"/>
    <cellStyle name="Calculation 3 6 2 20" xfId="36846"/>
    <cellStyle name="Calculation 3 6 2 3" xfId="17288"/>
    <cellStyle name="Calculation 3 6 2 4" xfId="18316"/>
    <cellStyle name="Calculation 3 6 2 5" xfId="19348"/>
    <cellStyle name="Calculation 3 6 2 6" xfId="20370"/>
    <cellStyle name="Calculation 3 6 2 7" xfId="21379"/>
    <cellStyle name="Calculation 3 6 2 8" xfId="22353"/>
    <cellStyle name="Calculation 3 6 2 9" xfId="23358"/>
    <cellStyle name="Calculation 3 6 20" xfId="35906"/>
    <cellStyle name="Calculation 3 6 21" xfId="36845"/>
    <cellStyle name="Calculation 3 6 3" xfId="16309"/>
    <cellStyle name="Calculation 3 6 4" xfId="17287"/>
    <cellStyle name="Calculation 3 6 5" xfId="18315"/>
    <cellStyle name="Calculation 3 6 6" xfId="19347"/>
    <cellStyle name="Calculation 3 6 7" xfId="20369"/>
    <cellStyle name="Calculation 3 6 8" xfId="21378"/>
    <cellStyle name="Calculation 3 6 9" xfId="22352"/>
    <cellStyle name="Calculation 3 7" xfId="1064"/>
    <cellStyle name="Calculation 3 7 10" xfId="23359"/>
    <cellStyle name="Calculation 3 7 11" xfId="24331"/>
    <cellStyle name="Calculation 3 7 12" xfId="25330"/>
    <cellStyle name="Calculation 3 7 13" xfId="28275"/>
    <cellStyle name="Calculation 3 7 14" xfId="29244"/>
    <cellStyle name="Calculation 3 7 15" xfId="30283"/>
    <cellStyle name="Calculation 3 7 16" xfId="31276"/>
    <cellStyle name="Calculation 3 7 17" xfId="32285"/>
    <cellStyle name="Calculation 3 7 18" xfId="33288"/>
    <cellStyle name="Calculation 3 7 19" xfId="34287"/>
    <cellStyle name="Calculation 3 7 2" xfId="1065"/>
    <cellStyle name="Calculation 3 7 2 10" xfId="24332"/>
    <cellStyle name="Calculation 3 7 2 11" xfId="25331"/>
    <cellStyle name="Calculation 3 7 2 12" xfId="28276"/>
    <cellStyle name="Calculation 3 7 2 13" xfId="29245"/>
    <cellStyle name="Calculation 3 7 2 14" xfId="30284"/>
    <cellStyle name="Calculation 3 7 2 15" xfId="31277"/>
    <cellStyle name="Calculation 3 7 2 16" xfId="32286"/>
    <cellStyle name="Calculation 3 7 2 17" xfId="33289"/>
    <cellStyle name="Calculation 3 7 2 18" xfId="34288"/>
    <cellStyle name="Calculation 3 7 2 19" xfId="35909"/>
    <cellStyle name="Calculation 3 7 2 2" xfId="16312"/>
    <cellStyle name="Calculation 3 7 2 20" xfId="36848"/>
    <cellStyle name="Calculation 3 7 2 3" xfId="17290"/>
    <cellStyle name="Calculation 3 7 2 4" xfId="18318"/>
    <cellStyle name="Calculation 3 7 2 5" xfId="19350"/>
    <cellStyle name="Calculation 3 7 2 6" xfId="20372"/>
    <cellStyle name="Calculation 3 7 2 7" xfId="21381"/>
    <cellStyle name="Calculation 3 7 2 8" xfId="22355"/>
    <cellStyle name="Calculation 3 7 2 9" xfId="23360"/>
    <cellStyle name="Calculation 3 7 20" xfId="35908"/>
    <cellStyle name="Calculation 3 7 21" xfId="36847"/>
    <cellStyle name="Calculation 3 7 3" xfId="16311"/>
    <cellStyle name="Calculation 3 7 4" xfId="17289"/>
    <cellStyle name="Calculation 3 7 5" xfId="18317"/>
    <cellStyle name="Calculation 3 7 6" xfId="19349"/>
    <cellStyle name="Calculation 3 7 7" xfId="20371"/>
    <cellStyle name="Calculation 3 7 8" xfId="21380"/>
    <cellStyle name="Calculation 3 7 9" xfId="22354"/>
    <cellStyle name="Calculation 3 8" xfId="1066"/>
    <cellStyle name="Calculation 3 8 10" xfId="23361"/>
    <cellStyle name="Calculation 3 8 11" xfId="24333"/>
    <cellStyle name="Calculation 3 8 12" xfId="25332"/>
    <cellStyle name="Calculation 3 8 13" xfId="28277"/>
    <cellStyle name="Calculation 3 8 14" xfId="29246"/>
    <cellStyle name="Calculation 3 8 15" xfId="30285"/>
    <cellStyle name="Calculation 3 8 16" xfId="31278"/>
    <cellStyle name="Calculation 3 8 17" xfId="32287"/>
    <cellStyle name="Calculation 3 8 18" xfId="33290"/>
    <cellStyle name="Calculation 3 8 19" xfId="34289"/>
    <cellStyle name="Calculation 3 8 2" xfId="1067"/>
    <cellStyle name="Calculation 3 8 2 10" xfId="24334"/>
    <cellStyle name="Calculation 3 8 2 11" xfId="25333"/>
    <cellStyle name="Calculation 3 8 2 12" xfId="28278"/>
    <cellStyle name="Calculation 3 8 2 13" xfId="29247"/>
    <cellStyle name="Calculation 3 8 2 14" xfId="30286"/>
    <cellStyle name="Calculation 3 8 2 15" xfId="31279"/>
    <cellStyle name="Calculation 3 8 2 16" xfId="32288"/>
    <cellStyle name="Calculation 3 8 2 17" xfId="33291"/>
    <cellStyle name="Calculation 3 8 2 18" xfId="34290"/>
    <cellStyle name="Calculation 3 8 2 19" xfId="35911"/>
    <cellStyle name="Calculation 3 8 2 2" xfId="16314"/>
    <cellStyle name="Calculation 3 8 2 20" xfId="36850"/>
    <cellStyle name="Calculation 3 8 2 3" xfId="17292"/>
    <cellStyle name="Calculation 3 8 2 4" xfId="18320"/>
    <cellStyle name="Calculation 3 8 2 5" xfId="19352"/>
    <cellStyle name="Calculation 3 8 2 6" xfId="20374"/>
    <cellStyle name="Calculation 3 8 2 7" xfId="21383"/>
    <cellStyle name="Calculation 3 8 2 8" xfId="22357"/>
    <cellStyle name="Calculation 3 8 2 9" xfId="23362"/>
    <cellStyle name="Calculation 3 8 20" xfId="35910"/>
    <cellStyle name="Calculation 3 8 21" xfId="36849"/>
    <cellStyle name="Calculation 3 8 3" xfId="16313"/>
    <cellStyle name="Calculation 3 8 4" xfId="17291"/>
    <cellStyle name="Calculation 3 8 5" xfId="18319"/>
    <cellStyle name="Calculation 3 8 6" xfId="19351"/>
    <cellStyle name="Calculation 3 8 7" xfId="20373"/>
    <cellStyle name="Calculation 3 8 8" xfId="21382"/>
    <cellStyle name="Calculation 3 8 9" xfId="22356"/>
    <cellStyle name="Calculation 3 9" xfId="1068"/>
    <cellStyle name="Calculation 3 9 10" xfId="24335"/>
    <cellStyle name="Calculation 3 9 11" xfId="25334"/>
    <cellStyle name="Calculation 3 9 12" xfId="28279"/>
    <cellStyle name="Calculation 3 9 13" xfId="29248"/>
    <cellStyle name="Calculation 3 9 14" xfId="30287"/>
    <cellStyle name="Calculation 3 9 15" xfId="31280"/>
    <cellStyle name="Calculation 3 9 16" xfId="32289"/>
    <cellStyle name="Calculation 3 9 17" xfId="33292"/>
    <cellStyle name="Calculation 3 9 18" xfId="34291"/>
    <cellStyle name="Calculation 3 9 19" xfId="35912"/>
    <cellStyle name="Calculation 3 9 2" xfId="16315"/>
    <cellStyle name="Calculation 3 9 20" xfId="36851"/>
    <cellStyle name="Calculation 3 9 3" xfId="17293"/>
    <cellStyle name="Calculation 3 9 4" xfId="18321"/>
    <cellStyle name="Calculation 3 9 5" xfId="19353"/>
    <cellStyle name="Calculation 3 9 6" xfId="20375"/>
    <cellStyle name="Calculation 3 9 7" xfId="21384"/>
    <cellStyle name="Calculation 3 9 8" xfId="22358"/>
    <cellStyle name="Calculation 3 9 9" xfId="23363"/>
    <cellStyle name="Calculation 4" xfId="1069"/>
    <cellStyle name="Calculation 4 10" xfId="13462"/>
    <cellStyle name="Calculation 4 11" xfId="15327"/>
    <cellStyle name="Calculation 4 12" xfId="18873"/>
    <cellStyle name="Calculation 4 13" xfId="13587"/>
    <cellStyle name="Calculation 4 14" xfId="15121"/>
    <cellStyle name="Calculation 4 15" xfId="25965"/>
    <cellStyle name="Calculation 4 16" xfId="27306"/>
    <cellStyle name="Calculation 4 17" xfId="26732"/>
    <cellStyle name="Calculation 4 18" xfId="26979"/>
    <cellStyle name="Calculation 4 19" xfId="27403"/>
    <cellStyle name="Calculation 4 2" xfId="1070"/>
    <cellStyle name="Calculation 4 20" xfId="32832"/>
    <cellStyle name="Calculation 4 21" xfId="34855"/>
    <cellStyle name="Calculation 4 22" xfId="34872"/>
    <cellStyle name="Calculation 4 23" xfId="35379"/>
    <cellStyle name="Calculation 4 24" xfId="37475"/>
    <cellStyle name="Calculation 4 3" xfId="1071"/>
    <cellStyle name="Calculation 4 3 10" xfId="14356"/>
    <cellStyle name="Calculation 4 3 11" xfId="14312"/>
    <cellStyle name="Calculation 4 3 12" xfId="13885"/>
    <cellStyle name="Calculation 4 3 13" xfId="14511"/>
    <cellStyle name="Calculation 4 3 14" xfId="14115"/>
    <cellStyle name="Calculation 4 3 15" xfId="14180"/>
    <cellStyle name="Calculation 4 3 16" xfId="26092"/>
    <cellStyle name="Calculation 4 3 17" xfId="27260"/>
    <cellStyle name="Calculation 4 3 18" xfId="27835"/>
    <cellStyle name="Calculation 4 3 19" xfId="26689"/>
    <cellStyle name="Calculation 4 3 2" xfId="1072"/>
    <cellStyle name="Calculation 4 3 2 10" xfId="14823"/>
    <cellStyle name="Calculation 4 3 2 11" xfId="13456"/>
    <cellStyle name="Calculation 4 3 2 12" xfId="26313"/>
    <cellStyle name="Calculation 4 3 2 13" xfId="27730"/>
    <cellStyle name="Calculation 4 3 2 14" xfId="26816"/>
    <cellStyle name="Calculation 4 3 2 15" xfId="25922"/>
    <cellStyle name="Calculation 4 3 2 16" xfId="27003"/>
    <cellStyle name="Calculation 4 3 2 17" xfId="26007"/>
    <cellStyle name="Calculation 4 3 2 18" xfId="35009"/>
    <cellStyle name="Calculation 4 3 2 19" xfId="35327"/>
    <cellStyle name="Calculation 4 3 2 2" xfId="1073"/>
    <cellStyle name="Calculation 4 3 2 2 10" xfId="23364"/>
    <cellStyle name="Calculation 4 3 2 2 11" xfId="24336"/>
    <cellStyle name="Calculation 4 3 2 2 12" xfId="25335"/>
    <cellStyle name="Calculation 4 3 2 2 13" xfId="28280"/>
    <cellStyle name="Calculation 4 3 2 2 14" xfId="29249"/>
    <cellStyle name="Calculation 4 3 2 2 15" xfId="30288"/>
    <cellStyle name="Calculation 4 3 2 2 16" xfId="31281"/>
    <cellStyle name="Calculation 4 3 2 2 17" xfId="32290"/>
    <cellStyle name="Calculation 4 3 2 2 18" xfId="33293"/>
    <cellStyle name="Calculation 4 3 2 2 19" xfId="34292"/>
    <cellStyle name="Calculation 4 3 2 2 2" xfId="1074"/>
    <cellStyle name="Calculation 4 3 2 2 2 10" xfId="24337"/>
    <cellStyle name="Calculation 4 3 2 2 2 11" xfId="25336"/>
    <cellStyle name="Calculation 4 3 2 2 2 12" xfId="28281"/>
    <cellStyle name="Calculation 4 3 2 2 2 13" xfId="29250"/>
    <cellStyle name="Calculation 4 3 2 2 2 14" xfId="30289"/>
    <cellStyle name="Calculation 4 3 2 2 2 15" xfId="31282"/>
    <cellStyle name="Calculation 4 3 2 2 2 16" xfId="32291"/>
    <cellStyle name="Calculation 4 3 2 2 2 17" xfId="33294"/>
    <cellStyle name="Calculation 4 3 2 2 2 18" xfId="34293"/>
    <cellStyle name="Calculation 4 3 2 2 2 19" xfId="35914"/>
    <cellStyle name="Calculation 4 3 2 2 2 2" xfId="16317"/>
    <cellStyle name="Calculation 4 3 2 2 2 20" xfId="36853"/>
    <cellStyle name="Calculation 4 3 2 2 2 3" xfId="17295"/>
    <cellStyle name="Calculation 4 3 2 2 2 4" xfId="18323"/>
    <cellStyle name="Calculation 4 3 2 2 2 5" xfId="19355"/>
    <cellStyle name="Calculation 4 3 2 2 2 6" xfId="20377"/>
    <cellStyle name="Calculation 4 3 2 2 2 7" xfId="21386"/>
    <cellStyle name="Calculation 4 3 2 2 2 8" xfId="22360"/>
    <cellStyle name="Calculation 4 3 2 2 2 9" xfId="23365"/>
    <cellStyle name="Calculation 4 3 2 2 20" xfId="35913"/>
    <cellStyle name="Calculation 4 3 2 2 21" xfId="36852"/>
    <cellStyle name="Calculation 4 3 2 2 3" xfId="16316"/>
    <cellStyle name="Calculation 4 3 2 2 4" xfId="17294"/>
    <cellStyle name="Calculation 4 3 2 2 5" xfId="18322"/>
    <cellStyle name="Calculation 4 3 2 2 6" xfId="19354"/>
    <cellStyle name="Calculation 4 3 2 2 7" xfId="20376"/>
    <cellStyle name="Calculation 4 3 2 2 8" xfId="21385"/>
    <cellStyle name="Calculation 4 3 2 2 9" xfId="22359"/>
    <cellStyle name="Calculation 4 3 2 3" xfId="1075"/>
    <cellStyle name="Calculation 4 3 2 3 10" xfId="23366"/>
    <cellStyle name="Calculation 4 3 2 3 11" xfId="24338"/>
    <cellStyle name="Calculation 4 3 2 3 12" xfId="25337"/>
    <cellStyle name="Calculation 4 3 2 3 13" xfId="28282"/>
    <cellStyle name="Calculation 4 3 2 3 14" xfId="29251"/>
    <cellStyle name="Calculation 4 3 2 3 15" xfId="30290"/>
    <cellStyle name="Calculation 4 3 2 3 16" xfId="31283"/>
    <cellStyle name="Calculation 4 3 2 3 17" xfId="32292"/>
    <cellStyle name="Calculation 4 3 2 3 18" xfId="33295"/>
    <cellStyle name="Calculation 4 3 2 3 19" xfId="34294"/>
    <cellStyle name="Calculation 4 3 2 3 2" xfId="1076"/>
    <cellStyle name="Calculation 4 3 2 3 2 10" xfId="24339"/>
    <cellStyle name="Calculation 4 3 2 3 2 11" xfId="25338"/>
    <cellStyle name="Calculation 4 3 2 3 2 12" xfId="28283"/>
    <cellStyle name="Calculation 4 3 2 3 2 13" xfId="29252"/>
    <cellStyle name="Calculation 4 3 2 3 2 14" xfId="30291"/>
    <cellStyle name="Calculation 4 3 2 3 2 15" xfId="31284"/>
    <cellStyle name="Calculation 4 3 2 3 2 16" xfId="32293"/>
    <cellStyle name="Calculation 4 3 2 3 2 17" xfId="33296"/>
    <cellStyle name="Calculation 4 3 2 3 2 18" xfId="34295"/>
    <cellStyle name="Calculation 4 3 2 3 2 19" xfId="35916"/>
    <cellStyle name="Calculation 4 3 2 3 2 2" xfId="16319"/>
    <cellStyle name="Calculation 4 3 2 3 2 20" xfId="36855"/>
    <cellStyle name="Calculation 4 3 2 3 2 3" xfId="17297"/>
    <cellStyle name="Calculation 4 3 2 3 2 4" xfId="18325"/>
    <cellStyle name="Calculation 4 3 2 3 2 5" xfId="19357"/>
    <cellStyle name="Calculation 4 3 2 3 2 6" xfId="20379"/>
    <cellStyle name="Calculation 4 3 2 3 2 7" xfId="21388"/>
    <cellStyle name="Calculation 4 3 2 3 2 8" xfId="22362"/>
    <cellStyle name="Calculation 4 3 2 3 2 9" xfId="23367"/>
    <cellStyle name="Calculation 4 3 2 3 20" xfId="35915"/>
    <cellStyle name="Calculation 4 3 2 3 21" xfId="36854"/>
    <cellStyle name="Calculation 4 3 2 3 3" xfId="16318"/>
    <cellStyle name="Calculation 4 3 2 3 4" xfId="17296"/>
    <cellStyle name="Calculation 4 3 2 3 5" xfId="18324"/>
    <cellStyle name="Calculation 4 3 2 3 6" xfId="19356"/>
    <cellStyle name="Calculation 4 3 2 3 7" xfId="20378"/>
    <cellStyle name="Calculation 4 3 2 3 8" xfId="21387"/>
    <cellStyle name="Calculation 4 3 2 3 9" xfId="22361"/>
    <cellStyle name="Calculation 4 3 2 4" xfId="1077"/>
    <cellStyle name="Calculation 4 3 2 4 10" xfId="23368"/>
    <cellStyle name="Calculation 4 3 2 4 11" xfId="24340"/>
    <cellStyle name="Calculation 4 3 2 4 12" xfId="25339"/>
    <cellStyle name="Calculation 4 3 2 4 13" xfId="28284"/>
    <cellStyle name="Calculation 4 3 2 4 14" xfId="29253"/>
    <cellStyle name="Calculation 4 3 2 4 15" xfId="30292"/>
    <cellStyle name="Calculation 4 3 2 4 16" xfId="31285"/>
    <cellStyle name="Calculation 4 3 2 4 17" xfId="32294"/>
    <cellStyle name="Calculation 4 3 2 4 18" xfId="33297"/>
    <cellStyle name="Calculation 4 3 2 4 19" xfId="34296"/>
    <cellStyle name="Calculation 4 3 2 4 2" xfId="1078"/>
    <cellStyle name="Calculation 4 3 2 4 2 10" xfId="24341"/>
    <cellStyle name="Calculation 4 3 2 4 2 11" xfId="25340"/>
    <cellStyle name="Calculation 4 3 2 4 2 12" xfId="28285"/>
    <cellStyle name="Calculation 4 3 2 4 2 13" xfId="29254"/>
    <cellStyle name="Calculation 4 3 2 4 2 14" xfId="30293"/>
    <cellStyle name="Calculation 4 3 2 4 2 15" xfId="31286"/>
    <cellStyle name="Calculation 4 3 2 4 2 16" xfId="32295"/>
    <cellStyle name="Calculation 4 3 2 4 2 17" xfId="33298"/>
    <cellStyle name="Calculation 4 3 2 4 2 18" xfId="34297"/>
    <cellStyle name="Calculation 4 3 2 4 2 19" xfId="35918"/>
    <cellStyle name="Calculation 4 3 2 4 2 2" xfId="16321"/>
    <cellStyle name="Calculation 4 3 2 4 2 20" xfId="36857"/>
    <cellStyle name="Calculation 4 3 2 4 2 3" xfId="17299"/>
    <cellStyle name="Calculation 4 3 2 4 2 4" xfId="18327"/>
    <cellStyle name="Calculation 4 3 2 4 2 5" xfId="19359"/>
    <cellStyle name="Calculation 4 3 2 4 2 6" xfId="20381"/>
    <cellStyle name="Calculation 4 3 2 4 2 7" xfId="21390"/>
    <cellStyle name="Calculation 4 3 2 4 2 8" xfId="22364"/>
    <cellStyle name="Calculation 4 3 2 4 2 9" xfId="23369"/>
    <cellStyle name="Calculation 4 3 2 4 20" xfId="35917"/>
    <cellStyle name="Calculation 4 3 2 4 21" xfId="36856"/>
    <cellStyle name="Calculation 4 3 2 4 3" xfId="16320"/>
    <cellStyle name="Calculation 4 3 2 4 4" xfId="17298"/>
    <cellStyle name="Calculation 4 3 2 4 5" xfId="18326"/>
    <cellStyle name="Calculation 4 3 2 4 6" xfId="19358"/>
    <cellStyle name="Calculation 4 3 2 4 7" xfId="20380"/>
    <cellStyle name="Calculation 4 3 2 4 8" xfId="21389"/>
    <cellStyle name="Calculation 4 3 2 4 9" xfId="22363"/>
    <cellStyle name="Calculation 4 3 2 5" xfId="1079"/>
    <cellStyle name="Calculation 4 3 2 5 10" xfId="24342"/>
    <cellStyle name="Calculation 4 3 2 5 11" xfId="25341"/>
    <cellStyle name="Calculation 4 3 2 5 12" xfId="28286"/>
    <cellStyle name="Calculation 4 3 2 5 13" xfId="29255"/>
    <cellStyle name="Calculation 4 3 2 5 14" xfId="30294"/>
    <cellStyle name="Calculation 4 3 2 5 15" xfId="31287"/>
    <cellStyle name="Calculation 4 3 2 5 16" xfId="32296"/>
    <cellStyle name="Calculation 4 3 2 5 17" xfId="33299"/>
    <cellStyle name="Calculation 4 3 2 5 18" xfId="34298"/>
    <cellStyle name="Calculation 4 3 2 5 19" xfId="35919"/>
    <cellStyle name="Calculation 4 3 2 5 2" xfId="16322"/>
    <cellStyle name="Calculation 4 3 2 5 20" xfId="36858"/>
    <cellStyle name="Calculation 4 3 2 5 3" xfId="17300"/>
    <cellStyle name="Calculation 4 3 2 5 4" xfId="18328"/>
    <cellStyle name="Calculation 4 3 2 5 5" xfId="19360"/>
    <cellStyle name="Calculation 4 3 2 5 6" xfId="20382"/>
    <cellStyle name="Calculation 4 3 2 5 7" xfId="21391"/>
    <cellStyle name="Calculation 4 3 2 5 8" xfId="22365"/>
    <cellStyle name="Calculation 4 3 2 5 9" xfId="23370"/>
    <cellStyle name="Calculation 4 3 2 6" xfId="14034"/>
    <cellStyle name="Calculation 4 3 2 7" xfId="15434"/>
    <cellStyle name="Calculation 4 3 2 8" xfId="13658"/>
    <cellStyle name="Calculation 4 3 2 9" xfId="13498"/>
    <cellStyle name="Calculation 4 3 20" xfId="26685"/>
    <cellStyle name="Calculation 4 3 21" xfId="26125"/>
    <cellStyle name="Calculation 4 3 22" xfId="34952"/>
    <cellStyle name="Calculation 4 3 23" xfId="34890"/>
    <cellStyle name="Calculation 4 3 3" xfId="1080"/>
    <cellStyle name="Calculation 4 3 3 10" xfId="14121"/>
    <cellStyle name="Calculation 4 3 3 11" xfId="15308"/>
    <cellStyle name="Calculation 4 3 3 12" xfId="26393"/>
    <cellStyle name="Calculation 4 3 3 13" xfId="27702"/>
    <cellStyle name="Calculation 4 3 3 14" xfId="25975"/>
    <cellStyle name="Calculation 4 3 3 15" xfId="26773"/>
    <cellStyle name="Calculation 4 3 3 16" xfId="27623"/>
    <cellStyle name="Calculation 4 3 3 17" xfId="26225"/>
    <cellStyle name="Calculation 4 3 3 18" xfId="35084"/>
    <cellStyle name="Calculation 4 3 3 19" xfId="35426"/>
    <cellStyle name="Calculation 4 3 3 2" xfId="1081"/>
    <cellStyle name="Calculation 4 3 3 2 10" xfId="23371"/>
    <cellStyle name="Calculation 4 3 3 2 11" xfId="24343"/>
    <cellStyle name="Calculation 4 3 3 2 12" xfId="25342"/>
    <cellStyle name="Calculation 4 3 3 2 13" xfId="28287"/>
    <cellStyle name="Calculation 4 3 3 2 14" xfId="29256"/>
    <cellStyle name="Calculation 4 3 3 2 15" xfId="30295"/>
    <cellStyle name="Calculation 4 3 3 2 16" xfId="31288"/>
    <cellStyle name="Calculation 4 3 3 2 17" xfId="32297"/>
    <cellStyle name="Calculation 4 3 3 2 18" xfId="33300"/>
    <cellStyle name="Calculation 4 3 3 2 19" xfId="34299"/>
    <cellStyle name="Calculation 4 3 3 2 2" xfId="1082"/>
    <cellStyle name="Calculation 4 3 3 2 2 10" xfId="24344"/>
    <cellStyle name="Calculation 4 3 3 2 2 11" xfId="25343"/>
    <cellStyle name="Calculation 4 3 3 2 2 12" xfId="28288"/>
    <cellStyle name="Calculation 4 3 3 2 2 13" xfId="29257"/>
    <cellStyle name="Calculation 4 3 3 2 2 14" xfId="30296"/>
    <cellStyle name="Calculation 4 3 3 2 2 15" xfId="31289"/>
    <cellStyle name="Calculation 4 3 3 2 2 16" xfId="32298"/>
    <cellStyle name="Calculation 4 3 3 2 2 17" xfId="33301"/>
    <cellStyle name="Calculation 4 3 3 2 2 18" xfId="34300"/>
    <cellStyle name="Calculation 4 3 3 2 2 19" xfId="35921"/>
    <cellStyle name="Calculation 4 3 3 2 2 2" xfId="16324"/>
    <cellStyle name="Calculation 4 3 3 2 2 20" xfId="36860"/>
    <cellStyle name="Calculation 4 3 3 2 2 3" xfId="17302"/>
    <cellStyle name="Calculation 4 3 3 2 2 4" xfId="18330"/>
    <cellStyle name="Calculation 4 3 3 2 2 5" xfId="19362"/>
    <cellStyle name="Calculation 4 3 3 2 2 6" xfId="20384"/>
    <cellStyle name="Calculation 4 3 3 2 2 7" xfId="21393"/>
    <cellStyle name="Calculation 4 3 3 2 2 8" xfId="22367"/>
    <cellStyle name="Calculation 4 3 3 2 2 9" xfId="23372"/>
    <cellStyle name="Calculation 4 3 3 2 20" xfId="35920"/>
    <cellStyle name="Calculation 4 3 3 2 21" xfId="36859"/>
    <cellStyle name="Calculation 4 3 3 2 3" xfId="16323"/>
    <cellStyle name="Calculation 4 3 3 2 4" xfId="17301"/>
    <cellStyle name="Calculation 4 3 3 2 5" xfId="18329"/>
    <cellStyle name="Calculation 4 3 3 2 6" xfId="19361"/>
    <cellStyle name="Calculation 4 3 3 2 7" xfId="20383"/>
    <cellStyle name="Calculation 4 3 3 2 8" xfId="21392"/>
    <cellStyle name="Calculation 4 3 3 2 9" xfId="22366"/>
    <cellStyle name="Calculation 4 3 3 3" xfId="1083"/>
    <cellStyle name="Calculation 4 3 3 3 10" xfId="23373"/>
    <cellStyle name="Calculation 4 3 3 3 11" xfId="24345"/>
    <cellStyle name="Calculation 4 3 3 3 12" xfId="25344"/>
    <cellStyle name="Calculation 4 3 3 3 13" xfId="28289"/>
    <cellStyle name="Calculation 4 3 3 3 14" xfId="29258"/>
    <cellStyle name="Calculation 4 3 3 3 15" xfId="30297"/>
    <cellStyle name="Calculation 4 3 3 3 16" xfId="31290"/>
    <cellStyle name="Calculation 4 3 3 3 17" xfId="32299"/>
    <cellStyle name="Calculation 4 3 3 3 18" xfId="33302"/>
    <cellStyle name="Calculation 4 3 3 3 19" xfId="34301"/>
    <cellStyle name="Calculation 4 3 3 3 2" xfId="1084"/>
    <cellStyle name="Calculation 4 3 3 3 2 10" xfId="24346"/>
    <cellStyle name="Calculation 4 3 3 3 2 11" xfId="25345"/>
    <cellStyle name="Calculation 4 3 3 3 2 12" xfId="28290"/>
    <cellStyle name="Calculation 4 3 3 3 2 13" xfId="29259"/>
    <cellStyle name="Calculation 4 3 3 3 2 14" xfId="30298"/>
    <cellStyle name="Calculation 4 3 3 3 2 15" xfId="31291"/>
    <cellStyle name="Calculation 4 3 3 3 2 16" xfId="32300"/>
    <cellStyle name="Calculation 4 3 3 3 2 17" xfId="33303"/>
    <cellStyle name="Calculation 4 3 3 3 2 18" xfId="34302"/>
    <cellStyle name="Calculation 4 3 3 3 2 19" xfId="35923"/>
    <cellStyle name="Calculation 4 3 3 3 2 2" xfId="16326"/>
    <cellStyle name="Calculation 4 3 3 3 2 20" xfId="36862"/>
    <cellStyle name="Calculation 4 3 3 3 2 3" xfId="17304"/>
    <cellStyle name="Calculation 4 3 3 3 2 4" xfId="18332"/>
    <cellStyle name="Calculation 4 3 3 3 2 5" xfId="19364"/>
    <cellStyle name="Calculation 4 3 3 3 2 6" xfId="20386"/>
    <cellStyle name="Calculation 4 3 3 3 2 7" xfId="21395"/>
    <cellStyle name="Calculation 4 3 3 3 2 8" xfId="22369"/>
    <cellStyle name="Calculation 4 3 3 3 2 9" xfId="23374"/>
    <cellStyle name="Calculation 4 3 3 3 20" xfId="35922"/>
    <cellStyle name="Calculation 4 3 3 3 21" xfId="36861"/>
    <cellStyle name="Calculation 4 3 3 3 3" xfId="16325"/>
    <cellStyle name="Calculation 4 3 3 3 4" xfId="17303"/>
    <cellStyle name="Calculation 4 3 3 3 5" xfId="18331"/>
    <cellStyle name="Calculation 4 3 3 3 6" xfId="19363"/>
    <cellStyle name="Calculation 4 3 3 3 7" xfId="20385"/>
    <cellStyle name="Calculation 4 3 3 3 8" xfId="21394"/>
    <cellStyle name="Calculation 4 3 3 3 9" xfId="22368"/>
    <cellStyle name="Calculation 4 3 3 4" xfId="1085"/>
    <cellStyle name="Calculation 4 3 3 4 10" xfId="23375"/>
    <cellStyle name="Calculation 4 3 3 4 11" xfId="24347"/>
    <cellStyle name="Calculation 4 3 3 4 12" xfId="25346"/>
    <cellStyle name="Calculation 4 3 3 4 13" xfId="28291"/>
    <cellStyle name="Calculation 4 3 3 4 14" xfId="29260"/>
    <cellStyle name="Calculation 4 3 3 4 15" xfId="30299"/>
    <cellStyle name="Calculation 4 3 3 4 16" xfId="31292"/>
    <cellStyle name="Calculation 4 3 3 4 17" xfId="32301"/>
    <cellStyle name="Calculation 4 3 3 4 18" xfId="33304"/>
    <cellStyle name="Calculation 4 3 3 4 19" xfId="34303"/>
    <cellStyle name="Calculation 4 3 3 4 2" xfId="1086"/>
    <cellStyle name="Calculation 4 3 3 4 2 10" xfId="24348"/>
    <cellStyle name="Calculation 4 3 3 4 2 11" xfId="25347"/>
    <cellStyle name="Calculation 4 3 3 4 2 12" xfId="28292"/>
    <cellStyle name="Calculation 4 3 3 4 2 13" xfId="29261"/>
    <cellStyle name="Calculation 4 3 3 4 2 14" xfId="30300"/>
    <cellStyle name="Calculation 4 3 3 4 2 15" xfId="31293"/>
    <cellStyle name="Calculation 4 3 3 4 2 16" xfId="32302"/>
    <cellStyle name="Calculation 4 3 3 4 2 17" xfId="33305"/>
    <cellStyle name="Calculation 4 3 3 4 2 18" xfId="34304"/>
    <cellStyle name="Calculation 4 3 3 4 2 19" xfId="35925"/>
    <cellStyle name="Calculation 4 3 3 4 2 2" xfId="16328"/>
    <cellStyle name="Calculation 4 3 3 4 2 20" xfId="36864"/>
    <cellStyle name="Calculation 4 3 3 4 2 3" xfId="17306"/>
    <cellStyle name="Calculation 4 3 3 4 2 4" xfId="18334"/>
    <cellStyle name="Calculation 4 3 3 4 2 5" xfId="19366"/>
    <cellStyle name="Calculation 4 3 3 4 2 6" xfId="20388"/>
    <cellStyle name="Calculation 4 3 3 4 2 7" xfId="21397"/>
    <cellStyle name="Calculation 4 3 3 4 2 8" xfId="22371"/>
    <cellStyle name="Calculation 4 3 3 4 2 9" xfId="23376"/>
    <cellStyle name="Calculation 4 3 3 4 20" xfId="35924"/>
    <cellStyle name="Calculation 4 3 3 4 21" xfId="36863"/>
    <cellStyle name="Calculation 4 3 3 4 3" xfId="16327"/>
    <cellStyle name="Calculation 4 3 3 4 4" xfId="17305"/>
    <cellStyle name="Calculation 4 3 3 4 5" xfId="18333"/>
    <cellStyle name="Calculation 4 3 3 4 6" xfId="19365"/>
    <cellStyle name="Calculation 4 3 3 4 7" xfId="20387"/>
    <cellStyle name="Calculation 4 3 3 4 8" xfId="21396"/>
    <cellStyle name="Calculation 4 3 3 4 9" xfId="22370"/>
    <cellStyle name="Calculation 4 3 3 5" xfId="1087"/>
    <cellStyle name="Calculation 4 3 3 5 10" xfId="24349"/>
    <cellStyle name="Calculation 4 3 3 5 11" xfId="25348"/>
    <cellStyle name="Calculation 4 3 3 5 12" xfId="28293"/>
    <cellStyle name="Calculation 4 3 3 5 13" xfId="29262"/>
    <cellStyle name="Calculation 4 3 3 5 14" xfId="30301"/>
    <cellStyle name="Calculation 4 3 3 5 15" xfId="31294"/>
    <cellStyle name="Calculation 4 3 3 5 16" xfId="32303"/>
    <cellStyle name="Calculation 4 3 3 5 17" xfId="33306"/>
    <cellStyle name="Calculation 4 3 3 5 18" xfId="34305"/>
    <cellStyle name="Calculation 4 3 3 5 19" xfId="35926"/>
    <cellStyle name="Calculation 4 3 3 5 2" xfId="16329"/>
    <cellStyle name="Calculation 4 3 3 5 20" xfId="36865"/>
    <cellStyle name="Calculation 4 3 3 5 3" xfId="17307"/>
    <cellStyle name="Calculation 4 3 3 5 4" xfId="18335"/>
    <cellStyle name="Calculation 4 3 3 5 5" xfId="19367"/>
    <cellStyle name="Calculation 4 3 3 5 6" xfId="20389"/>
    <cellStyle name="Calculation 4 3 3 5 7" xfId="21398"/>
    <cellStyle name="Calculation 4 3 3 5 8" xfId="22372"/>
    <cellStyle name="Calculation 4 3 3 5 9" xfId="23377"/>
    <cellStyle name="Calculation 4 3 3 6" xfId="13771"/>
    <cellStyle name="Calculation 4 3 3 7" xfId="15596"/>
    <cellStyle name="Calculation 4 3 3 8" xfId="13907"/>
    <cellStyle name="Calculation 4 3 3 9" xfId="13708"/>
    <cellStyle name="Calculation 4 3 4" xfId="1088"/>
    <cellStyle name="Calculation 4 3 4 10" xfId="15332"/>
    <cellStyle name="Calculation 4 3 4 11" xfId="15567"/>
    <cellStyle name="Calculation 4 3 4 12" xfId="26353"/>
    <cellStyle name="Calculation 4 3 4 13" xfId="26041"/>
    <cellStyle name="Calculation 4 3 4 14" xfId="27521"/>
    <cellStyle name="Calculation 4 3 4 15" xfId="26761"/>
    <cellStyle name="Calculation 4 3 4 16" xfId="26268"/>
    <cellStyle name="Calculation 4 3 4 17" xfId="26874"/>
    <cellStyle name="Calculation 4 3 4 18" xfId="35045"/>
    <cellStyle name="Calculation 4 3 4 19" xfId="35299"/>
    <cellStyle name="Calculation 4 3 4 2" xfId="1089"/>
    <cellStyle name="Calculation 4 3 4 2 10" xfId="23378"/>
    <cellStyle name="Calculation 4 3 4 2 11" xfId="24350"/>
    <cellStyle name="Calculation 4 3 4 2 12" xfId="25349"/>
    <cellStyle name="Calculation 4 3 4 2 13" xfId="28294"/>
    <cellStyle name="Calculation 4 3 4 2 14" xfId="29263"/>
    <cellStyle name="Calculation 4 3 4 2 15" xfId="30302"/>
    <cellStyle name="Calculation 4 3 4 2 16" xfId="31295"/>
    <cellStyle name="Calculation 4 3 4 2 17" xfId="32304"/>
    <cellStyle name="Calculation 4 3 4 2 18" xfId="33307"/>
    <cellStyle name="Calculation 4 3 4 2 19" xfId="34306"/>
    <cellStyle name="Calculation 4 3 4 2 2" xfId="1090"/>
    <cellStyle name="Calculation 4 3 4 2 2 10" xfId="24351"/>
    <cellStyle name="Calculation 4 3 4 2 2 11" xfId="25350"/>
    <cellStyle name="Calculation 4 3 4 2 2 12" xfId="28295"/>
    <cellStyle name="Calculation 4 3 4 2 2 13" xfId="29264"/>
    <cellStyle name="Calculation 4 3 4 2 2 14" xfId="30303"/>
    <cellStyle name="Calculation 4 3 4 2 2 15" xfId="31296"/>
    <cellStyle name="Calculation 4 3 4 2 2 16" xfId="32305"/>
    <cellStyle name="Calculation 4 3 4 2 2 17" xfId="33308"/>
    <cellStyle name="Calculation 4 3 4 2 2 18" xfId="34307"/>
    <cellStyle name="Calculation 4 3 4 2 2 19" xfId="35928"/>
    <cellStyle name="Calculation 4 3 4 2 2 2" xfId="16331"/>
    <cellStyle name="Calculation 4 3 4 2 2 20" xfId="36867"/>
    <cellStyle name="Calculation 4 3 4 2 2 3" xfId="17309"/>
    <cellStyle name="Calculation 4 3 4 2 2 4" xfId="18337"/>
    <cellStyle name="Calculation 4 3 4 2 2 5" xfId="19369"/>
    <cellStyle name="Calculation 4 3 4 2 2 6" xfId="20391"/>
    <cellStyle name="Calculation 4 3 4 2 2 7" xfId="21400"/>
    <cellStyle name="Calculation 4 3 4 2 2 8" xfId="22374"/>
    <cellStyle name="Calculation 4 3 4 2 2 9" xfId="23379"/>
    <cellStyle name="Calculation 4 3 4 2 20" xfId="35927"/>
    <cellStyle name="Calculation 4 3 4 2 21" xfId="36866"/>
    <cellStyle name="Calculation 4 3 4 2 3" xfId="16330"/>
    <cellStyle name="Calculation 4 3 4 2 4" xfId="17308"/>
    <cellStyle name="Calculation 4 3 4 2 5" xfId="18336"/>
    <cellStyle name="Calculation 4 3 4 2 6" xfId="19368"/>
    <cellStyle name="Calculation 4 3 4 2 7" xfId="20390"/>
    <cellStyle name="Calculation 4 3 4 2 8" xfId="21399"/>
    <cellStyle name="Calculation 4 3 4 2 9" xfId="22373"/>
    <cellStyle name="Calculation 4 3 4 3" xfId="1091"/>
    <cellStyle name="Calculation 4 3 4 3 10" xfId="23380"/>
    <cellStyle name="Calculation 4 3 4 3 11" xfId="24352"/>
    <cellStyle name="Calculation 4 3 4 3 12" xfId="25351"/>
    <cellStyle name="Calculation 4 3 4 3 13" xfId="28296"/>
    <cellStyle name="Calculation 4 3 4 3 14" xfId="29265"/>
    <cellStyle name="Calculation 4 3 4 3 15" xfId="30304"/>
    <cellStyle name="Calculation 4 3 4 3 16" xfId="31297"/>
    <cellStyle name="Calculation 4 3 4 3 17" xfId="32306"/>
    <cellStyle name="Calculation 4 3 4 3 18" xfId="33309"/>
    <cellStyle name="Calculation 4 3 4 3 19" xfId="34308"/>
    <cellStyle name="Calculation 4 3 4 3 2" xfId="1092"/>
    <cellStyle name="Calculation 4 3 4 3 2 10" xfId="24353"/>
    <cellStyle name="Calculation 4 3 4 3 2 11" xfId="25352"/>
    <cellStyle name="Calculation 4 3 4 3 2 12" xfId="28297"/>
    <cellStyle name="Calculation 4 3 4 3 2 13" xfId="29266"/>
    <cellStyle name="Calculation 4 3 4 3 2 14" xfId="30305"/>
    <cellStyle name="Calculation 4 3 4 3 2 15" xfId="31298"/>
    <cellStyle name="Calculation 4 3 4 3 2 16" xfId="32307"/>
    <cellStyle name="Calculation 4 3 4 3 2 17" xfId="33310"/>
    <cellStyle name="Calculation 4 3 4 3 2 18" xfId="34309"/>
    <cellStyle name="Calculation 4 3 4 3 2 19" xfId="35930"/>
    <cellStyle name="Calculation 4 3 4 3 2 2" xfId="16333"/>
    <cellStyle name="Calculation 4 3 4 3 2 20" xfId="36869"/>
    <cellStyle name="Calculation 4 3 4 3 2 3" xfId="17311"/>
    <cellStyle name="Calculation 4 3 4 3 2 4" xfId="18339"/>
    <cellStyle name="Calculation 4 3 4 3 2 5" xfId="19371"/>
    <cellStyle name="Calculation 4 3 4 3 2 6" xfId="20393"/>
    <cellStyle name="Calculation 4 3 4 3 2 7" xfId="21402"/>
    <cellStyle name="Calculation 4 3 4 3 2 8" xfId="22376"/>
    <cellStyle name="Calculation 4 3 4 3 2 9" xfId="23381"/>
    <cellStyle name="Calculation 4 3 4 3 20" xfId="35929"/>
    <cellStyle name="Calculation 4 3 4 3 21" xfId="36868"/>
    <cellStyle name="Calculation 4 3 4 3 3" xfId="16332"/>
    <cellStyle name="Calculation 4 3 4 3 4" xfId="17310"/>
    <cellStyle name="Calculation 4 3 4 3 5" xfId="18338"/>
    <cellStyle name="Calculation 4 3 4 3 6" xfId="19370"/>
    <cellStyle name="Calculation 4 3 4 3 7" xfId="20392"/>
    <cellStyle name="Calculation 4 3 4 3 8" xfId="21401"/>
    <cellStyle name="Calculation 4 3 4 3 9" xfId="22375"/>
    <cellStyle name="Calculation 4 3 4 4" xfId="1093"/>
    <cellStyle name="Calculation 4 3 4 4 10" xfId="23382"/>
    <cellStyle name="Calculation 4 3 4 4 11" xfId="24354"/>
    <cellStyle name="Calculation 4 3 4 4 12" xfId="25353"/>
    <cellStyle name="Calculation 4 3 4 4 13" xfId="28298"/>
    <cellStyle name="Calculation 4 3 4 4 14" xfId="29267"/>
    <cellStyle name="Calculation 4 3 4 4 15" xfId="30306"/>
    <cellStyle name="Calculation 4 3 4 4 16" xfId="31299"/>
    <cellStyle name="Calculation 4 3 4 4 17" xfId="32308"/>
    <cellStyle name="Calculation 4 3 4 4 18" xfId="33311"/>
    <cellStyle name="Calculation 4 3 4 4 19" xfId="34310"/>
    <cellStyle name="Calculation 4 3 4 4 2" xfId="1094"/>
    <cellStyle name="Calculation 4 3 4 4 2 10" xfId="24355"/>
    <cellStyle name="Calculation 4 3 4 4 2 11" xfId="25354"/>
    <cellStyle name="Calculation 4 3 4 4 2 12" xfId="28299"/>
    <cellStyle name="Calculation 4 3 4 4 2 13" xfId="29268"/>
    <cellStyle name="Calculation 4 3 4 4 2 14" xfId="30307"/>
    <cellStyle name="Calculation 4 3 4 4 2 15" xfId="31300"/>
    <cellStyle name="Calculation 4 3 4 4 2 16" xfId="32309"/>
    <cellStyle name="Calculation 4 3 4 4 2 17" xfId="33312"/>
    <cellStyle name="Calculation 4 3 4 4 2 18" xfId="34311"/>
    <cellStyle name="Calculation 4 3 4 4 2 19" xfId="35932"/>
    <cellStyle name="Calculation 4 3 4 4 2 2" xfId="16335"/>
    <cellStyle name="Calculation 4 3 4 4 2 20" xfId="36871"/>
    <cellStyle name="Calculation 4 3 4 4 2 3" xfId="17313"/>
    <cellStyle name="Calculation 4 3 4 4 2 4" xfId="18341"/>
    <cellStyle name="Calculation 4 3 4 4 2 5" xfId="19373"/>
    <cellStyle name="Calculation 4 3 4 4 2 6" xfId="20395"/>
    <cellStyle name="Calculation 4 3 4 4 2 7" xfId="21404"/>
    <cellStyle name="Calculation 4 3 4 4 2 8" xfId="22378"/>
    <cellStyle name="Calculation 4 3 4 4 2 9" xfId="23383"/>
    <cellStyle name="Calculation 4 3 4 4 20" xfId="35931"/>
    <cellStyle name="Calculation 4 3 4 4 21" xfId="36870"/>
    <cellStyle name="Calculation 4 3 4 4 3" xfId="16334"/>
    <cellStyle name="Calculation 4 3 4 4 4" xfId="17312"/>
    <cellStyle name="Calculation 4 3 4 4 5" xfId="18340"/>
    <cellStyle name="Calculation 4 3 4 4 6" xfId="19372"/>
    <cellStyle name="Calculation 4 3 4 4 7" xfId="20394"/>
    <cellStyle name="Calculation 4 3 4 4 8" xfId="21403"/>
    <cellStyle name="Calculation 4 3 4 4 9" xfId="22377"/>
    <cellStyle name="Calculation 4 3 4 5" xfId="1095"/>
    <cellStyle name="Calculation 4 3 4 5 10" xfId="24356"/>
    <cellStyle name="Calculation 4 3 4 5 11" xfId="25355"/>
    <cellStyle name="Calculation 4 3 4 5 12" xfId="28300"/>
    <cellStyle name="Calculation 4 3 4 5 13" xfId="29269"/>
    <cellStyle name="Calculation 4 3 4 5 14" xfId="30308"/>
    <cellStyle name="Calculation 4 3 4 5 15" xfId="31301"/>
    <cellStyle name="Calculation 4 3 4 5 16" xfId="32310"/>
    <cellStyle name="Calculation 4 3 4 5 17" xfId="33313"/>
    <cellStyle name="Calculation 4 3 4 5 18" xfId="34312"/>
    <cellStyle name="Calculation 4 3 4 5 19" xfId="35933"/>
    <cellStyle name="Calculation 4 3 4 5 2" xfId="16336"/>
    <cellStyle name="Calculation 4 3 4 5 20" xfId="36872"/>
    <cellStyle name="Calculation 4 3 4 5 3" xfId="17314"/>
    <cellStyle name="Calculation 4 3 4 5 4" xfId="18342"/>
    <cellStyle name="Calculation 4 3 4 5 5" xfId="19374"/>
    <cellStyle name="Calculation 4 3 4 5 6" xfId="20396"/>
    <cellStyle name="Calculation 4 3 4 5 7" xfId="21405"/>
    <cellStyle name="Calculation 4 3 4 5 8" xfId="22379"/>
    <cellStyle name="Calculation 4 3 4 5 9" xfId="23384"/>
    <cellStyle name="Calculation 4 3 4 6" xfId="13745"/>
    <cellStyle name="Calculation 4 3 4 7" xfId="14731"/>
    <cellStyle name="Calculation 4 3 4 8" xfId="14278"/>
    <cellStyle name="Calculation 4 3 4 9" xfId="14752"/>
    <cellStyle name="Calculation 4 3 5" xfId="1096"/>
    <cellStyle name="Calculation 4 3 5 10" xfId="15458"/>
    <cellStyle name="Calculation 4 3 5 11" xfId="13630"/>
    <cellStyle name="Calculation 4 3 5 12" xfId="26462"/>
    <cellStyle name="Calculation 4 3 5 13" xfId="27677"/>
    <cellStyle name="Calculation 4 3 5 14" xfId="26173"/>
    <cellStyle name="Calculation 4 3 5 15" xfId="26786"/>
    <cellStyle name="Calculation 4 3 5 16" xfId="27310"/>
    <cellStyle name="Calculation 4 3 5 17" xfId="27628"/>
    <cellStyle name="Calculation 4 3 5 18" xfId="35145"/>
    <cellStyle name="Calculation 4 3 5 19" xfId="35400"/>
    <cellStyle name="Calculation 4 3 5 2" xfId="1097"/>
    <cellStyle name="Calculation 4 3 5 2 10" xfId="23385"/>
    <cellStyle name="Calculation 4 3 5 2 11" xfId="24357"/>
    <cellStyle name="Calculation 4 3 5 2 12" xfId="25356"/>
    <cellStyle name="Calculation 4 3 5 2 13" xfId="28301"/>
    <cellStyle name="Calculation 4 3 5 2 14" xfId="29270"/>
    <cellStyle name="Calculation 4 3 5 2 15" xfId="30309"/>
    <cellStyle name="Calculation 4 3 5 2 16" xfId="31302"/>
    <cellStyle name="Calculation 4 3 5 2 17" xfId="32311"/>
    <cellStyle name="Calculation 4 3 5 2 18" xfId="33314"/>
    <cellStyle name="Calculation 4 3 5 2 19" xfId="34313"/>
    <cellStyle name="Calculation 4 3 5 2 2" xfId="1098"/>
    <cellStyle name="Calculation 4 3 5 2 2 10" xfId="24358"/>
    <cellStyle name="Calculation 4 3 5 2 2 11" xfId="25357"/>
    <cellStyle name="Calculation 4 3 5 2 2 12" xfId="28302"/>
    <cellStyle name="Calculation 4 3 5 2 2 13" xfId="29271"/>
    <cellStyle name="Calculation 4 3 5 2 2 14" xfId="30310"/>
    <cellStyle name="Calculation 4 3 5 2 2 15" xfId="31303"/>
    <cellStyle name="Calculation 4 3 5 2 2 16" xfId="32312"/>
    <cellStyle name="Calculation 4 3 5 2 2 17" xfId="33315"/>
    <cellStyle name="Calculation 4 3 5 2 2 18" xfId="34314"/>
    <cellStyle name="Calculation 4 3 5 2 2 19" xfId="35935"/>
    <cellStyle name="Calculation 4 3 5 2 2 2" xfId="16338"/>
    <cellStyle name="Calculation 4 3 5 2 2 20" xfId="36874"/>
    <cellStyle name="Calculation 4 3 5 2 2 3" xfId="17316"/>
    <cellStyle name="Calculation 4 3 5 2 2 4" xfId="18344"/>
    <cellStyle name="Calculation 4 3 5 2 2 5" xfId="19376"/>
    <cellStyle name="Calculation 4 3 5 2 2 6" xfId="20398"/>
    <cellStyle name="Calculation 4 3 5 2 2 7" xfId="21407"/>
    <cellStyle name="Calculation 4 3 5 2 2 8" xfId="22381"/>
    <cellStyle name="Calculation 4 3 5 2 2 9" xfId="23386"/>
    <cellStyle name="Calculation 4 3 5 2 20" xfId="35934"/>
    <cellStyle name="Calculation 4 3 5 2 21" xfId="36873"/>
    <cellStyle name="Calculation 4 3 5 2 3" xfId="16337"/>
    <cellStyle name="Calculation 4 3 5 2 4" xfId="17315"/>
    <cellStyle name="Calculation 4 3 5 2 5" xfId="18343"/>
    <cellStyle name="Calculation 4 3 5 2 6" xfId="19375"/>
    <cellStyle name="Calculation 4 3 5 2 7" xfId="20397"/>
    <cellStyle name="Calculation 4 3 5 2 8" xfId="21406"/>
    <cellStyle name="Calculation 4 3 5 2 9" xfId="22380"/>
    <cellStyle name="Calculation 4 3 5 3" xfId="1099"/>
    <cellStyle name="Calculation 4 3 5 3 10" xfId="23387"/>
    <cellStyle name="Calculation 4 3 5 3 11" xfId="24359"/>
    <cellStyle name="Calculation 4 3 5 3 12" xfId="25358"/>
    <cellStyle name="Calculation 4 3 5 3 13" xfId="28303"/>
    <cellStyle name="Calculation 4 3 5 3 14" xfId="29272"/>
    <cellStyle name="Calculation 4 3 5 3 15" xfId="30311"/>
    <cellStyle name="Calculation 4 3 5 3 16" xfId="31304"/>
    <cellStyle name="Calculation 4 3 5 3 17" xfId="32313"/>
    <cellStyle name="Calculation 4 3 5 3 18" xfId="33316"/>
    <cellStyle name="Calculation 4 3 5 3 19" xfId="34315"/>
    <cellStyle name="Calculation 4 3 5 3 2" xfId="1100"/>
    <cellStyle name="Calculation 4 3 5 3 2 10" xfId="24360"/>
    <cellStyle name="Calculation 4 3 5 3 2 11" xfId="25359"/>
    <cellStyle name="Calculation 4 3 5 3 2 12" xfId="28304"/>
    <cellStyle name="Calculation 4 3 5 3 2 13" xfId="29273"/>
    <cellStyle name="Calculation 4 3 5 3 2 14" xfId="30312"/>
    <cellStyle name="Calculation 4 3 5 3 2 15" xfId="31305"/>
    <cellStyle name="Calculation 4 3 5 3 2 16" xfId="32314"/>
    <cellStyle name="Calculation 4 3 5 3 2 17" xfId="33317"/>
    <cellStyle name="Calculation 4 3 5 3 2 18" xfId="34316"/>
    <cellStyle name="Calculation 4 3 5 3 2 19" xfId="35937"/>
    <cellStyle name="Calculation 4 3 5 3 2 2" xfId="16340"/>
    <cellStyle name="Calculation 4 3 5 3 2 20" xfId="36876"/>
    <cellStyle name="Calculation 4 3 5 3 2 3" xfId="17318"/>
    <cellStyle name="Calculation 4 3 5 3 2 4" xfId="18346"/>
    <cellStyle name="Calculation 4 3 5 3 2 5" xfId="19378"/>
    <cellStyle name="Calculation 4 3 5 3 2 6" xfId="20400"/>
    <cellStyle name="Calculation 4 3 5 3 2 7" xfId="21409"/>
    <cellStyle name="Calculation 4 3 5 3 2 8" xfId="22383"/>
    <cellStyle name="Calculation 4 3 5 3 2 9" xfId="23388"/>
    <cellStyle name="Calculation 4 3 5 3 20" xfId="35936"/>
    <cellStyle name="Calculation 4 3 5 3 21" xfId="36875"/>
    <cellStyle name="Calculation 4 3 5 3 3" xfId="16339"/>
    <cellStyle name="Calculation 4 3 5 3 4" xfId="17317"/>
    <cellStyle name="Calculation 4 3 5 3 5" xfId="18345"/>
    <cellStyle name="Calculation 4 3 5 3 6" xfId="19377"/>
    <cellStyle name="Calculation 4 3 5 3 7" xfId="20399"/>
    <cellStyle name="Calculation 4 3 5 3 8" xfId="21408"/>
    <cellStyle name="Calculation 4 3 5 3 9" xfId="22382"/>
    <cellStyle name="Calculation 4 3 5 4" xfId="1101"/>
    <cellStyle name="Calculation 4 3 5 4 10" xfId="23389"/>
    <cellStyle name="Calculation 4 3 5 4 11" xfId="24361"/>
    <cellStyle name="Calculation 4 3 5 4 12" xfId="25360"/>
    <cellStyle name="Calculation 4 3 5 4 13" xfId="28305"/>
    <cellStyle name="Calculation 4 3 5 4 14" xfId="29274"/>
    <cellStyle name="Calculation 4 3 5 4 15" xfId="30313"/>
    <cellStyle name="Calculation 4 3 5 4 16" xfId="31306"/>
    <cellStyle name="Calculation 4 3 5 4 17" xfId="32315"/>
    <cellStyle name="Calculation 4 3 5 4 18" xfId="33318"/>
    <cellStyle name="Calculation 4 3 5 4 19" xfId="34317"/>
    <cellStyle name="Calculation 4 3 5 4 2" xfId="1102"/>
    <cellStyle name="Calculation 4 3 5 4 2 10" xfId="24362"/>
    <cellStyle name="Calculation 4 3 5 4 2 11" xfId="25361"/>
    <cellStyle name="Calculation 4 3 5 4 2 12" xfId="28306"/>
    <cellStyle name="Calculation 4 3 5 4 2 13" xfId="29275"/>
    <cellStyle name="Calculation 4 3 5 4 2 14" xfId="30314"/>
    <cellStyle name="Calculation 4 3 5 4 2 15" xfId="31307"/>
    <cellStyle name="Calculation 4 3 5 4 2 16" xfId="32316"/>
    <cellStyle name="Calculation 4 3 5 4 2 17" xfId="33319"/>
    <cellStyle name="Calculation 4 3 5 4 2 18" xfId="34318"/>
    <cellStyle name="Calculation 4 3 5 4 2 19" xfId="35939"/>
    <cellStyle name="Calculation 4 3 5 4 2 2" xfId="16342"/>
    <cellStyle name="Calculation 4 3 5 4 2 20" xfId="36878"/>
    <cellStyle name="Calculation 4 3 5 4 2 3" xfId="17320"/>
    <cellStyle name="Calculation 4 3 5 4 2 4" xfId="18348"/>
    <cellStyle name="Calculation 4 3 5 4 2 5" xfId="19380"/>
    <cellStyle name="Calculation 4 3 5 4 2 6" xfId="20402"/>
    <cellStyle name="Calculation 4 3 5 4 2 7" xfId="21411"/>
    <cellStyle name="Calculation 4 3 5 4 2 8" xfId="22385"/>
    <cellStyle name="Calculation 4 3 5 4 2 9" xfId="23390"/>
    <cellStyle name="Calculation 4 3 5 4 20" xfId="35938"/>
    <cellStyle name="Calculation 4 3 5 4 21" xfId="36877"/>
    <cellStyle name="Calculation 4 3 5 4 3" xfId="16341"/>
    <cellStyle name="Calculation 4 3 5 4 4" xfId="17319"/>
    <cellStyle name="Calculation 4 3 5 4 5" xfId="18347"/>
    <cellStyle name="Calculation 4 3 5 4 6" xfId="19379"/>
    <cellStyle name="Calculation 4 3 5 4 7" xfId="20401"/>
    <cellStyle name="Calculation 4 3 5 4 8" xfId="21410"/>
    <cellStyle name="Calculation 4 3 5 4 9" xfId="22384"/>
    <cellStyle name="Calculation 4 3 5 5" xfId="1103"/>
    <cellStyle name="Calculation 4 3 5 5 10" xfId="24363"/>
    <cellStyle name="Calculation 4 3 5 5 11" xfId="25362"/>
    <cellStyle name="Calculation 4 3 5 5 12" xfId="28307"/>
    <cellStyle name="Calculation 4 3 5 5 13" xfId="29276"/>
    <cellStyle name="Calculation 4 3 5 5 14" xfId="30315"/>
    <cellStyle name="Calculation 4 3 5 5 15" xfId="31308"/>
    <cellStyle name="Calculation 4 3 5 5 16" xfId="32317"/>
    <cellStyle name="Calculation 4 3 5 5 17" xfId="33320"/>
    <cellStyle name="Calculation 4 3 5 5 18" xfId="34319"/>
    <cellStyle name="Calculation 4 3 5 5 19" xfId="35940"/>
    <cellStyle name="Calculation 4 3 5 5 2" xfId="16343"/>
    <cellStyle name="Calculation 4 3 5 5 20" xfId="36879"/>
    <cellStyle name="Calculation 4 3 5 5 3" xfId="17321"/>
    <cellStyle name="Calculation 4 3 5 5 4" xfId="18349"/>
    <cellStyle name="Calculation 4 3 5 5 5" xfId="19381"/>
    <cellStyle name="Calculation 4 3 5 5 6" xfId="20403"/>
    <cellStyle name="Calculation 4 3 5 5 7" xfId="21412"/>
    <cellStyle name="Calculation 4 3 5 5 8" xfId="22386"/>
    <cellStyle name="Calculation 4 3 5 5 9" xfId="23391"/>
    <cellStyle name="Calculation 4 3 5 6" xfId="15416"/>
    <cellStyle name="Calculation 4 3 5 7" xfId="14390"/>
    <cellStyle name="Calculation 4 3 5 8" xfId="14215"/>
    <cellStyle name="Calculation 4 3 5 9" xfId="14336"/>
    <cellStyle name="Calculation 4 3 6" xfId="1104"/>
    <cellStyle name="Calculation 4 3 6 10" xfId="23392"/>
    <cellStyle name="Calculation 4 3 6 11" xfId="24364"/>
    <cellStyle name="Calculation 4 3 6 12" xfId="25363"/>
    <cellStyle name="Calculation 4 3 6 13" xfId="28308"/>
    <cellStyle name="Calculation 4 3 6 14" xfId="29277"/>
    <cellStyle name="Calculation 4 3 6 15" xfId="30316"/>
    <cellStyle name="Calculation 4 3 6 16" xfId="31309"/>
    <cellStyle name="Calculation 4 3 6 17" xfId="32318"/>
    <cellStyle name="Calculation 4 3 6 18" xfId="33321"/>
    <cellStyle name="Calculation 4 3 6 19" xfId="34320"/>
    <cellStyle name="Calculation 4 3 6 2" xfId="1105"/>
    <cellStyle name="Calculation 4 3 6 2 10" xfId="24365"/>
    <cellStyle name="Calculation 4 3 6 2 11" xfId="25364"/>
    <cellStyle name="Calculation 4 3 6 2 12" xfId="28309"/>
    <cellStyle name="Calculation 4 3 6 2 13" xfId="29278"/>
    <cellStyle name="Calculation 4 3 6 2 14" xfId="30317"/>
    <cellStyle name="Calculation 4 3 6 2 15" xfId="31310"/>
    <cellStyle name="Calculation 4 3 6 2 16" xfId="32319"/>
    <cellStyle name="Calculation 4 3 6 2 17" xfId="33322"/>
    <cellStyle name="Calculation 4 3 6 2 18" xfId="34321"/>
    <cellStyle name="Calculation 4 3 6 2 19" xfId="35942"/>
    <cellStyle name="Calculation 4 3 6 2 2" xfId="16345"/>
    <cellStyle name="Calculation 4 3 6 2 20" xfId="36881"/>
    <cellStyle name="Calculation 4 3 6 2 3" xfId="17323"/>
    <cellStyle name="Calculation 4 3 6 2 4" xfId="18351"/>
    <cellStyle name="Calculation 4 3 6 2 5" xfId="19383"/>
    <cellStyle name="Calculation 4 3 6 2 6" xfId="20405"/>
    <cellStyle name="Calculation 4 3 6 2 7" xfId="21414"/>
    <cellStyle name="Calculation 4 3 6 2 8" xfId="22388"/>
    <cellStyle name="Calculation 4 3 6 2 9" xfId="23393"/>
    <cellStyle name="Calculation 4 3 6 20" xfId="35941"/>
    <cellStyle name="Calculation 4 3 6 21" xfId="36880"/>
    <cellStyle name="Calculation 4 3 6 3" xfId="16344"/>
    <cellStyle name="Calculation 4 3 6 4" xfId="17322"/>
    <cellStyle name="Calculation 4 3 6 5" xfId="18350"/>
    <cellStyle name="Calculation 4 3 6 6" xfId="19382"/>
    <cellStyle name="Calculation 4 3 6 7" xfId="20404"/>
    <cellStyle name="Calculation 4 3 6 8" xfId="21413"/>
    <cellStyle name="Calculation 4 3 6 9" xfId="22387"/>
    <cellStyle name="Calculation 4 3 7" xfId="1106"/>
    <cellStyle name="Calculation 4 3 7 10" xfId="23394"/>
    <cellStyle name="Calculation 4 3 7 11" xfId="24366"/>
    <cellStyle name="Calculation 4 3 7 12" xfId="25365"/>
    <cellStyle name="Calculation 4 3 7 13" xfId="28310"/>
    <cellStyle name="Calculation 4 3 7 14" xfId="29279"/>
    <cellStyle name="Calculation 4 3 7 15" xfId="30318"/>
    <cellStyle name="Calculation 4 3 7 16" xfId="31311"/>
    <cellStyle name="Calculation 4 3 7 17" xfId="32320"/>
    <cellStyle name="Calculation 4 3 7 18" xfId="33323"/>
    <cellStyle name="Calculation 4 3 7 19" xfId="34322"/>
    <cellStyle name="Calculation 4 3 7 2" xfId="1107"/>
    <cellStyle name="Calculation 4 3 7 2 10" xfId="24367"/>
    <cellStyle name="Calculation 4 3 7 2 11" xfId="25366"/>
    <cellStyle name="Calculation 4 3 7 2 12" xfId="28311"/>
    <cellStyle name="Calculation 4 3 7 2 13" xfId="29280"/>
    <cellStyle name="Calculation 4 3 7 2 14" xfId="30319"/>
    <cellStyle name="Calculation 4 3 7 2 15" xfId="31312"/>
    <cellStyle name="Calculation 4 3 7 2 16" xfId="32321"/>
    <cellStyle name="Calculation 4 3 7 2 17" xfId="33324"/>
    <cellStyle name="Calculation 4 3 7 2 18" xfId="34323"/>
    <cellStyle name="Calculation 4 3 7 2 19" xfId="35944"/>
    <cellStyle name="Calculation 4 3 7 2 2" xfId="16347"/>
    <cellStyle name="Calculation 4 3 7 2 20" xfId="36883"/>
    <cellStyle name="Calculation 4 3 7 2 3" xfId="17325"/>
    <cellStyle name="Calculation 4 3 7 2 4" xfId="18353"/>
    <cellStyle name="Calculation 4 3 7 2 5" xfId="19385"/>
    <cellStyle name="Calculation 4 3 7 2 6" xfId="20407"/>
    <cellStyle name="Calculation 4 3 7 2 7" xfId="21416"/>
    <cellStyle name="Calculation 4 3 7 2 8" xfId="22390"/>
    <cellStyle name="Calculation 4 3 7 2 9" xfId="23395"/>
    <cellStyle name="Calculation 4 3 7 20" xfId="35943"/>
    <cellStyle name="Calculation 4 3 7 21" xfId="36882"/>
    <cellStyle name="Calculation 4 3 7 3" xfId="16346"/>
    <cellStyle name="Calculation 4 3 7 4" xfId="17324"/>
    <cellStyle name="Calculation 4 3 7 5" xfId="18352"/>
    <cellStyle name="Calculation 4 3 7 6" xfId="19384"/>
    <cellStyle name="Calculation 4 3 7 7" xfId="20406"/>
    <cellStyle name="Calculation 4 3 7 8" xfId="21415"/>
    <cellStyle name="Calculation 4 3 7 9" xfId="22389"/>
    <cellStyle name="Calculation 4 3 8" xfId="1108"/>
    <cellStyle name="Calculation 4 3 8 10" xfId="23396"/>
    <cellStyle name="Calculation 4 3 8 11" xfId="24368"/>
    <cellStyle name="Calculation 4 3 8 12" xfId="25367"/>
    <cellStyle name="Calculation 4 3 8 13" xfId="28312"/>
    <cellStyle name="Calculation 4 3 8 14" xfId="29281"/>
    <cellStyle name="Calculation 4 3 8 15" xfId="30320"/>
    <cellStyle name="Calculation 4 3 8 16" xfId="31313"/>
    <cellStyle name="Calculation 4 3 8 17" xfId="32322"/>
    <cellStyle name="Calculation 4 3 8 18" xfId="33325"/>
    <cellStyle name="Calculation 4 3 8 19" xfId="34324"/>
    <cellStyle name="Calculation 4 3 8 2" xfId="1109"/>
    <cellStyle name="Calculation 4 3 8 2 10" xfId="24369"/>
    <cellStyle name="Calculation 4 3 8 2 11" xfId="25368"/>
    <cellStyle name="Calculation 4 3 8 2 12" xfId="28313"/>
    <cellStyle name="Calculation 4 3 8 2 13" xfId="29282"/>
    <cellStyle name="Calculation 4 3 8 2 14" xfId="30321"/>
    <cellStyle name="Calculation 4 3 8 2 15" xfId="31314"/>
    <cellStyle name="Calculation 4 3 8 2 16" xfId="32323"/>
    <cellStyle name="Calculation 4 3 8 2 17" xfId="33326"/>
    <cellStyle name="Calculation 4 3 8 2 18" xfId="34325"/>
    <cellStyle name="Calculation 4 3 8 2 19" xfId="35946"/>
    <cellStyle name="Calculation 4 3 8 2 2" xfId="16349"/>
    <cellStyle name="Calculation 4 3 8 2 20" xfId="36885"/>
    <cellStyle name="Calculation 4 3 8 2 3" xfId="17327"/>
    <cellStyle name="Calculation 4 3 8 2 4" xfId="18355"/>
    <cellStyle name="Calculation 4 3 8 2 5" xfId="19387"/>
    <cellStyle name="Calculation 4 3 8 2 6" xfId="20409"/>
    <cellStyle name="Calculation 4 3 8 2 7" xfId="21418"/>
    <cellStyle name="Calculation 4 3 8 2 8" xfId="22392"/>
    <cellStyle name="Calculation 4 3 8 2 9" xfId="23397"/>
    <cellStyle name="Calculation 4 3 8 20" xfId="35945"/>
    <cellStyle name="Calculation 4 3 8 21" xfId="36884"/>
    <cellStyle name="Calculation 4 3 8 3" xfId="16348"/>
    <cellStyle name="Calculation 4 3 8 4" xfId="17326"/>
    <cellStyle name="Calculation 4 3 8 5" xfId="18354"/>
    <cellStyle name="Calculation 4 3 8 6" xfId="19386"/>
    <cellStyle name="Calculation 4 3 8 7" xfId="20408"/>
    <cellStyle name="Calculation 4 3 8 8" xfId="21417"/>
    <cellStyle name="Calculation 4 3 8 9" xfId="22391"/>
    <cellStyle name="Calculation 4 3 9" xfId="1110"/>
    <cellStyle name="Calculation 4 3 9 10" xfId="24370"/>
    <cellStyle name="Calculation 4 3 9 11" xfId="25369"/>
    <cellStyle name="Calculation 4 3 9 12" xfId="28314"/>
    <cellStyle name="Calculation 4 3 9 13" xfId="29283"/>
    <cellStyle name="Calculation 4 3 9 14" xfId="30322"/>
    <cellStyle name="Calculation 4 3 9 15" xfId="31315"/>
    <cellStyle name="Calculation 4 3 9 16" xfId="32324"/>
    <cellStyle name="Calculation 4 3 9 17" xfId="33327"/>
    <cellStyle name="Calculation 4 3 9 18" xfId="34326"/>
    <cellStyle name="Calculation 4 3 9 19" xfId="35947"/>
    <cellStyle name="Calculation 4 3 9 2" xfId="16350"/>
    <cellStyle name="Calculation 4 3 9 20" xfId="36886"/>
    <cellStyle name="Calculation 4 3 9 3" xfId="17328"/>
    <cellStyle name="Calculation 4 3 9 4" xfId="18356"/>
    <cellStyle name="Calculation 4 3 9 5" xfId="19388"/>
    <cellStyle name="Calculation 4 3 9 6" xfId="20410"/>
    <cellStyle name="Calculation 4 3 9 7" xfId="21419"/>
    <cellStyle name="Calculation 4 3 9 8" xfId="22393"/>
    <cellStyle name="Calculation 4 3 9 9" xfId="23398"/>
    <cellStyle name="Calculation 4 4" xfId="1111"/>
    <cellStyle name="Calculation 4 4 10" xfId="14398"/>
    <cellStyle name="Calculation 4 4 11" xfId="14225"/>
    <cellStyle name="Calculation 4 4 12" xfId="14770"/>
    <cellStyle name="Calculation 4 4 13" xfId="13412"/>
    <cellStyle name="Calculation 4 4 14" xfId="14711"/>
    <cellStyle name="Calculation 4 4 15" xfId="18925"/>
    <cellStyle name="Calculation 4 4 16" xfId="26511"/>
    <cellStyle name="Calculation 4 4 17" xfId="27049"/>
    <cellStyle name="Calculation 4 4 18" xfId="26580"/>
    <cellStyle name="Calculation 4 4 19" xfId="26227"/>
    <cellStyle name="Calculation 4 4 2" xfId="1112"/>
    <cellStyle name="Calculation 4 4 2 10" xfId="23399"/>
    <cellStyle name="Calculation 4 4 2 11" xfId="24371"/>
    <cellStyle name="Calculation 4 4 2 12" xfId="25370"/>
    <cellStyle name="Calculation 4 4 2 13" xfId="28315"/>
    <cellStyle name="Calculation 4 4 2 14" xfId="29284"/>
    <cellStyle name="Calculation 4 4 2 15" xfId="30323"/>
    <cellStyle name="Calculation 4 4 2 16" xfId="31316"/>
    <cellStyle name="Calculation 4 4 2 17" xfId="32325"/>
    <cellStyle name="Calculation 4 4 2 18" xfId="33328"/>
    <cellStyle name="Calculation 4 4 2 19" xfId="34327"/>
    <cellStyle name="Calculation 4 4 2 2" xfId="1113"/>
    <cellStyle name="Calculation 4 4 2 2 10" xfId="24372"/>
    <cellStyle name="Calculation 4 4 2 2 11" xfId="25371"/>
    <cellStyle name="Calculation 4 4 2 2 12" xfId="28316"/>
    <cellStyle name="Calculation 4 4 2 2 13" xfId="29285"/>
    <cellStyle name="Calculation 4 4 2 2 14" xfId="30324"/>
    <cellStyle name="Calculation 4 4 2 2 15" xfId="31317"/>
    <cellStyle name="Calculation 4 4 2 2 16" xfId="32326"/>
    <cellStyle name="Calculation 4 4 2 2 17" xfId="33329"/>
    <cellStyle name="Calculation 4 4 2 2 18" xfId="34328"/>
    <cellStyle name="Calculation 4 4 2 2 19" xfId="35949"/>
    <cellStyle name="Calculation 4 4 2 2 2" xfId="16352"/>
    <cellStyle name="Calculation 4 4 2 2 20" xfId="36888"/>
    <cellStyle name="Calculation 4 4 2 2 3" xfId="17330"/>
    <cellStyle name="Calculation 4 4 2 2 4" xfId="18358"/>
    <cellStyle name="Calculation 4 4 2 2 5" xfId="19390"/>
    <cellStyle name="Calculation 4 4 2 2 6" xfId="20412"/>
    <cellStyle name="Calculation 4 4 2 2 7" xfId="21421"/>
    <cellStyle name="Calculation 4 4 2 2 8" xfId="22395"/>
    <cellStyle name="Calculation 4 4 2 2 9" xfId="23400"/>
    <cellStyle name="Calculation 4 4 2 20" xfId="35948"/>
    <cellStyle name="Calculation 4 4 2 21" xfId="36887"/>
    <cellStyle name="Calculation 4 4 2 3" xfId="16351"/>
    <cellStyle name="Calculation 4 4 2 4" xfId="17329"/>
    <cellStyle name="Calculation 4 4 2 5" xfId="18357"/>
    <cellStyle name="Calculation 4 4 2 6" xfId="19389"/>
    <cellStyle name="Calculation 4 4 2 7" xfId="20411"/>
    <cellStyle name="Calculation 4 4 2 8" xfId="21420"/>
    <cellStyle name="Calculation 4 4 2 9" xfId="22394"/>
    <cellStyle name="Calculation 4 4 20" xfId="27823"/>
    <cellStyle name="Calculation 4 4 21" xfId="26958"/>
    <cellStyle name="Calculation 4 4 22" xfId="27394"/>
    <cellStyle name="Calculation 4 4 23" xfId="35182"/>
    <cellStyle name="Calculation 4 4 24" xfId="35387"/>
    <cellStyle name="Calculation 4 4 3" xfId="1114"/>
    <cellStyle name="Calculation 4 4 3 10" xfId="23401"/>
    <cellStyle name="Calculation 4 4 3 11" xfId="24373"/>
    <cellStyle name="Calculation 4 4 3 12" xfId="25372"/>
    <cellStyle name="Calculation 4 4 3 13" xfId="28317"/>
    <cellStyle name="Calculation 4 4 3 14" xfId="29286"/>
    <cellStyle name="Calculation 4 4 3 15" xfId="30325"/>
    <cellStyle name="Calculation 4 4 3 16" xfId="31318"/>
    <cellStyle name="Calculation 4 4 3 17" xfId="32327"/>
    <cellStyle name="Calculation 4 4 3 18" xfId="33330"/>
    <cellStyle name="Calculation 4 4 3 19" xfId="34329"/>
    <cellStyle name="Calculation 4 4 3 2" xfId="1115"/>
    <cellStyle name="Calculation 4 4 3 2 10" xfId="24374"/>
    <cellStyle name="Calculation 4 4 3 2 11" xfId="25373"/>
    <cellStyle name="Calculation 4 4 3 2 12" xfId="28318"/>
    <cellStyle name="Calculation 4 4 3 2 13" xfId="29287"/>
    <cellStyle name="Calculation 4 4 3 2 14" xfId="30326"/>
    <cellStyle name="Calculation 4 4 3 2 15" xfId="31319"/>
    <cellStyle name="Calculation 4 4 3 2 16" xfId="32328"/>
    <cellStyle name="Calculation 4 4 3 2 17" xfId="33331"/>
    <cellStyle name="Calculation 4 4 3 2 18" xfId="34330"/>
    <cellStyle name="Calculation 4 4 3 2 19" xfId="35951"/>
    <cellStyle name="Calculation 4 4 3 2 2" xfId="16354"/>
    <cellStyle name="Calculation 4 4 3 2 20" xfId="36890"/>
    <cellStyle name="Calculation 4 4 3 2 3" xfId="17332"/>
    <cellStyle name="Calculation 4 4 3 2 4" xfId="18360"/>
    <cellStyle name="Calculation 4 4 3 2 5" xfId="19392"/>
    <cellStyle name="Calculation 4 4 3 2 6" xfId="20414"/>
    <cellStyle name="Calculation 4 4 3 2 7" xfId="21423"/>
    <cellStyle name="Calculation 4 4 3 2 8" xfId="22397"/>
    <cellStyle name="Calculation 4 4 3 2 9" xfId="23402"/>
    <cellStyle name="Calculation 4 4 3 20" xfId="35950"/>
    <cellStyle name="Calculation 4 4 3 21" xfId="36889"/>
    <cellStyle name="Calculation 4 4 3 3" xfId="16353"/>
    <cellStyle name="Calculation 4 4 3 4" xfId="17331"/>
    <cellStyle name="Calculation 4 4 3 5" xfId="18359"/>
    <cellStyle name="Calculation 4 4 3 6" xfId="19391"/>
    <cellStyle name="Calculation 4 4 3 7" xfId="20413"/>
    <cellStyle name="Calculation 4 4 3 8" xfId="21422"/>
    <cellStyle name="Calculation 4 4 3 9" xfId="22396"/>
    <cellStyle name="Calculation 4 4 4" xfId="1116"/>
    <cellStyle name="Calculation 4 4 4 10" xfId="23403"/>
    <cellStyle name="Calculation 4 4 4 11" xfId="24375"/>
    <cellStyle name="Calculation 4 4 4 12" xfId="25374"/>
    <cellStyle name="Calculation 4 4 4 13" xfId="28319"/>
    <cellStyle name="Calculation 4 4 4 14" xfId="29288"/>
    <cellStyle name="Calculation 4 4 4 15" xfId="30327"/>
    <cellStyle name="Calculation 4 4 4 16" xfId="31320"/>
    <cellStyle name="Calculation 4 4 4 17" xfId="32329"/>
    <cellStyle name="Calculation 4 4 4 18" xfId="33332"/>
    <cellStyle name="Calculation 4 4 4 19" xfId="34331"/>
    <cellStyle name="Calculation 4 4 4 2" xfId="1117"/>
    <cellStyle name="Calculation 4 4 4 2 10" xfId="24376"/>
    <cellStyle name="Calculation 4 4 4 2 11" xfId="25375"/>
    <cellStyle name="Calculation 4 4 4 2 12" xfId="28320"/>
    <cellStyle name="Calculation 4 4 4 2 13" xfId="29289"/>
    <cellStyle name="Calculation 4 4 4 2 14" xfId="30328"/>
    <cellStyle name="Calculation 4 4 4 2 15" xfId="31321"/>
    <cellStyle name="Calculation 4 4 4 2 16" xfId="32330"/>
    <cellStyle name="Calculation 4 4 4 2 17" xfId="33333"/>
    <cellStyle name="Calculation 4 4 4 2 18" xfId="34332"/>
    <cellStyle name="Calculation 4 4 4 2 19" xfId="35953"/>
    <cellStyle name="Calculation 4 4 4 2 2" xfId="16356"/>
    <cellStyle name="Calculation 4 4 4 2 20" xfId="36892"/>
    <cellStyle name="Calculation 4 4 4 2 3" xfId="17334"/>
    <cellStyle name="Calculation 4 4 4 2 4" xfId="18362"/>
    <cellStyle name="Calculation 4 4 4 2 5" xfId="19394"/>
    <cellStyle name="Calculation 4 4 4 2 6" xfId="20416"/>
    <cellStyle name="Calculation 4 4 4 2 7" xfId="21425"/>
    <cellStyle name="Calculation 4 4 4 2 8" xfId="22399"/>
    <cellStyle name="Calculation 4 4 4 2 9" xfId="23404"/>
    <cellStyle name="Calculation 4 4 4 20" xfId="35952"/>
    <cellStyle name="Calculation 4 4 4 21" xfId="36891"/>
    <cellStyle name="Calculation 4 4 4 3" xfId="16355"/>
    <cellStyle name="Calculation 4 4 4 4" xfId="17333"/>
    <cellStyle name="Calculation 4 4 4 5" xfId="18361"/>
    <cellStyle name="Calculation 4 4 4 6" xfId="19393"/>
    <cellStyle name="Calculation 4 4 4 7" xfId="20415"/>
    <cellStyle name="Calculation 4 4 4 8" xfId="21424"/>
    <cellStyle name="Calculation 4 4 4 9" xfId="22398"/>
    <cellStyle name="Calculation 4 4 5" xfId="1118"/>
    <cellStyle name="Calculation 4 4 5 10" xfId="24377"/>
    <cellStyle name="Calculation 4 4 5 11" xfId="25376"/>
    <cellStyle name="Calculation 4 4 5 12" xfId="28321"/>
    <cellStyle name="Calculation 4 4 5 13" xfId="29290"/>
    <cellStyle name="Calculation 4 4 5 14" xfId="30329"/>
    <cellStyle name="Calculation 4 4 5 15" xfId="31322"/>
    <cellStyle name="Calculation 4 4 5 16" xfId="32331"/>
    <cellStyle name="Calculation 4 4 5 17" xfId="33334"/>
    <cellStyle name="Calculation 4 4 5 18" xfId="34333"/>
    <cellStyle name="Calculation 4 4 5 19" xfId="35954"/>
    <cellStyle name="Calculation 4 4 5 2" xfId="16357"/>
    <cellStyle name="Calculation 4 4 5 20" xfId="36893"/>
    <cellStyle name="Calculation 4 4 5 3" xfId="17335"/>
    <cellStyle name="Calculation 4 4 5 4" xfId="18363"/>
    <cellStyle name="Calculation 4 4 5 5" xfId="19395"/>
    <cellStyle name="Calculation 4 4 5 6" xfId="20417"/>
    <cellStyle name="Calculation 4 4 5 7" xfId="21426"/>
    <cellStyle name="Calculation 4 4 5 8" xfId="22400"/>
    <cellStyle name="Calculation 4 4 5 9" xfId="23405"/>
    <cellStyle name="Calculation 4 4 6" xfId="13950"/>
    <cellStyle name="Calculation 4 4 7" xfId="15647"/>
    <cellStyle name="Calculation 4 4 8" xfId="15424"/>
    <cellStyle name="Calculation 4 4 9" xfId="15003"/>
    <cellStyle name="Calculation 4 5" xfId="1119"/>
    <cellStyle name="Calculation 4 5 10" xfId="23406"/>
    <cellStyle name="Calculation 4 5 11" xfId="24378"/>
    <cellStyle name="Calculation 4 5 12" xfId="25377"/>
    <cellStyle name="Calculation 4 5 13" xfId="28322"/>
    <cellStyle name="Calculation 4 5 14" xfId="29291"/>
    <cellStyle name="Calculation 4 5 15" xfId="30330"/>
    <cellStyle name="Calculation 4 5 16" xfId="31323"/>
    <cellStyle name="Calculation 4 5 17" xfId="32332"/>
    <cellStyle name="Calculation 4 5 18" xfId="33335"/>
    <cellStyle name="Calculation 4 5 19" xfId="34334"/>
    <cellStyle name="Calculation 4 5 2" xfId="1120"/>
    <cellStyle name="Calculation 4 5 2 10" xfId="24379"/>
    <cellStyle name="Calculation 4 5 2 11" xfId="25378"/>
    <cellStyle name="Calculation 4 5 2 12" xfId="28323"/>
    <cellStyle name="Calculation 4 5 2 13" xfId="29292"/>
    <cellStyle name="Calculation 4 5 2 14" xfId="30331"/>
    <cellStyle name="Calculation 4 5 2 15" xfId="31324"/>
    <cellStyle name="Calculation 4 5 2 16" xfId="32333"/>
    <cellStyle name="Calculation 4 5 2 17" xfId="33336"/>
    <cellStyle name="Calculation 4 5 2 18" xfId="34335"/>
    <cellStyle name="Calculation 4 5 2 19" xfId="35956"/>
    <cellStyle name="Calculation 4 5 2 2" xfId="16359"/>
    <cellStyle name="Calculation 4 5 2 20" xfId="36895"/>
    <cellStyle name="Calculation 4 5 2 3" xfId="17337"/>
    <cellStyle name="Calculation 4 5 2 4" xfId="18365"/>
    <cellStyle name="Calculation 4 5 2 5" xfId="19397"/>
    <cellStyle name="Calculation 4 5 2 6" xfId="20419"/>
    <cellStyle name="Calculation 4 5 2 7" xfId="21428"/>
    <cellStyle name="Calculation 4 5 2 8" xfId="22402"/>
    <cellStyle name="Calculation 4 5 2 9" xfId="23407"/>
    <cellStyle name="Calculation 4 5 20" xfId="35955"/>
    <cellStyle name="Calculation 4 5 21" xfId="36894"/>
    <cellStyle name="Calculation 4 5 3" xfId="16358"/>
    <cellStyle name="Calculation 4 5 4" xfId="17336"/>
    <cellStyle name="Calculation 4 5 5" xfId="18364"/>
    <cellStyle name="Calculation 4 5 6" xfId="19396"/>
    <cellStyle name="Calculation 4 5 7" xfId="20418"/>
    <cellStyle name="Calculation 4 5 8" xfId="21427"/>
    <cellStyle name="Calculation 4 5 9" xfId="22401"/>
    <cellStyle name="Calculation 4 6" xfId="1121"/>
    <cellStyle name="Calculation 4 6 10" xfId="23408"/>
    <cellStyle name="Calculation 4 6 11" xfId="24380"/>
    <cellStyle name="Calculation 4 6 12" xfId="25379"/>
    <cellStyle name="Calculation 4 6 13" xfId="28324"/>
    <cellStyle name="Calculation 4 6 14" xfId="29293"/>
    <cellStyle name="Calculation 4 6 15" xfId="30332"/>
    <cellStyle name="Calculation 4 6 16" xfId="31325"/>
    <cellStyle name="Calculation 4 6 17" xfId="32334"/>
    <cellStyle name="Calculation 4 6 18" xfId="33337"/>
    <cellStyle name="Calculation 4 6 19" xfId="34336"/>
    <cellStyle name="Calculation 4 6 2" xfId="1122"/>
    <cellStyle name="Calculation 4 6 2 10" xfId="24381"/>
    <cellStyle name="Calculation 4 6 2 11" xfId="25380"/>
    <cellStyle name="Calculation 4 6 2 12" xfId="28325"/>
    <cellStyle name="Calculation 4 6 2 13" xfId="29294"/>
    <cellStyle name="Calculation 4 6 2 14" xfId="30333"/>
    <cellStyle name="Calculation 4 6 2 15" xfId="31326"/>
    <cellStyle name="Calculation 4 6 2 16" xfId="32335"/>
    <cellStyle name="Calculation 4 6 2 17" xfId="33338"/>
    <cellStyle name="Calculation 4 6 2 18" xfId="34337"/>
    <cellStyle name="Calculation 4 6 2 19" xfId="35958"/>
    <cellStyle name="Calculation 4 6 2 2" xfId="16361"/>
    <cellStyle name="Calculation 4 6 2 20" xfId="36897"/>
    <cellStyle name="Calculation 4 6 2 3" xfId="17339"/>
    <cellStyle name="Calculation 4 6 2 4" xfId="18367"/>
    <cellStyle name="Calculation 4 6 2 5" xfId="19399"/>
    <cellStyle name="Calculation 4 6 2 6" xfId="20421"/>
    <cellStyle name="Calculation 4 6 2 7" xfId="21430"/>
    <cellStyle name="Calculation 4 6 2 8" xfId="22404"/>
    <cellStyle name="Calculation 4 6 2 9" xfId="23409"/>
    <cellStyle name="Calculation 4 6 20" xfId="35957"/>
    <cellStyle name="Calculation 4 6 21" xfId="36896"/>
    <cellStyle name="Calculation 4 6 3" xfId="16360"/>
    <cellStyle name="Calculation 4 6 4" xfId="17338"/>
    <cellStyle name="Calculation 4 6 5" xfId="18366"/>
    <cellStyle name="Calculation 4 6 6" xfId="19398"/>
    <cellStyle name="Calculation 4 6 7" xfId="20420"/>
    <cellStyle name="Calculation 4 6 8" xfId="21429"/>
    <cellStyle name="Calculation 4 6 9" xfId="22403"/>
    <cellStyle name="Calculation 4 7" xfId="1123"/>
    <cellStyle name="Calculation 4 7 10" xfId="23410"/>
    <cellStyle name="Calculation 4 7 11" xfId="24382"/>
    <cellStyle name="Calculation 4 7 12" xfId="25381"/>
    <cellStyle name="Calculation 4 7 13" xfId="28326"/>
    <cellStyle name="Calculation 4 7 14" xfId="29295"/>
    <cellStyle name="Calculation 4 7 15" xfId="30334"/>
    <cellStyle name="Calculation 4 7 16" xfId="31327"/>
    <cellStyle name="Calculation 4 7 17" xfId="32336"/>
    <cellStyle name="Calculation 4 7 18" xfId="33339"/>
    <cellStyle name="Calculation 4 7 19" xfId="34338"/>
    <cellStyle name="Calculation 4 7 2" xfId="1124"/>
    <cellStyle name="Calculation 4 7 2 10" xfId="24383"/>
    <cellStyle name="Calculation 4 7 2 11" xfId="25382"/>
    <cellStyle name="Calculation 4 7 2 12" xfId="28327"/>
    <cellStyle name="Calculation 4 7 2 13" xfId="29296"/>
    <cellStyle name="Calculation 4 7 2 14" xfId="30335"/>
    <cellStyle name="Calculation 4 7 2 15" xfId="31328"/>
    <cellStyle name="Calculation 4 7 2 16" xfId="32337"/>
    <cellStyle name="Calculation 4 7 2 17" xfId="33340"/>
    <cellStyle name="Calculation 4 7 2 18" xfId="34339"/>
    <cellStyle name="Calculation 4 7 2 19" xfId="35960"/>
    <cellStyle name="Calculation 4 7 2 2" xfId="16363"/>
    <cellStyle name="Calculation 4 7 2 20" xfId="36899"/>
    <cellStyle name="Calculation 4 7 2 3" xfId="17341"/>
    <cellStyle name="Calculation 4 7 2 4" xfId="18369"/>
    <cellStyle name="Calculation 4 7 2 5" xfId="19401"/>
    <cellStyle name="Calculation 4 7 2 6" xfId="20423"/>
    <cellStyle name="Calculation 4 7 2 7" xfId="21432"/>
    <cellStyle name="Calculation 4 7 2 8" xfId="22406"/>
    <cellStyle name="Calculation 4 7 2 9" xfId="23411"/>
    <cellStyle name="Calculation 4 7 20" xfId="35959"/>
    <cellStyle name="Calculation 4 7 21" xfId="36898"/>
    <cellStyle name="Calculation 4 7 3" xfId="16362"/>
    <cellStyle name="Calculation 4 7 4" xfId="17340"/>
    <cellStyle name="Calculation 4 7 5" xfId="18368"/>
    <cellStyle name="Calculation 4 7 6" xfId="19400"/>
    <cellStyle name="Calculation 4 7 7" xfId="20422"/>
    <cellStyle name="Calculation 4 7 8" xfId="21431"/>
    <cellStyle name="Calculation 4 7 9" xfId="22405"/>
    <cellStyle name="Calculation 4 8" xfId="1125"/>
    <cellStyle name="Calculation 4 8 10" xfId="24384"/>
    <cellStyle name="Calculation 4 8 11" xfId="25383"/>
    <cellStyle name="Calculation 4 8 12" xfId="28328"/>
    <cellStyle name="Calculation 4 8 13" xfId="29297"/>
    <cellStyle name="Calculation 4 8 14" xfId="30336"/>
    <cellStyle name="Calculation 4 8 15" xfId="31329"/>
    <cellStyle name="Calculation 4 8 16" xfId="32338"/>
    <cellStyle name="Calculation 4 8 17" xfId="33341"/>
    <cellStyle name="Calculation 4 8 18" xfId="34340"/>
    <cellStyle name="Calculation 4 8 19" xfId="35961"/>
    <cellStyle name="Calculation 4 8 2" xfId="16364"/>
    <cellStyle name="Calculation 4 8 20" xfId="36900"/>
    <cellStyle name="Calculation 4 8 3" xfId="17342"/>
    <cellStyle name="Calculation 4 8 4" xfId="18370"/>
    <cellStyle name="Calculation 4 8 5" xfId="19402"/>
    <cellStyle name="Calculation 4 8 6" xfId="20424"/>
    <cellStyle name="Calculation 4 8 7" xfId="21433"/>
    <cellStyle name="Calculation 4 8 8" xfId="22407"/>
    <cellStyle name="Calculation 4 8 9" xfId="23412"/>
    <cellStyle name="Calculation 4 9" xfId="13405"/>
    <cellStyle name="Check Cell" xfId="13360" builtinId="23" customBuiltin="1"/>
    <cellStyle name="Check Cell 2" xfId="100"/>
    <cellStyle name="Check Cell 2 2" xfId="1126"/>
    <cellStyle name="Check Cell 2 2 2" xfId="1127"/>
    <cellStyle name="Check Cell 2 2 3" xfId="37420"/>
    <cellStyle name="Check Cell 2 3" xfId="1128"/>
    <cellStyle name="Check Cell 2 4" xfId="1129"/>
    <cellStyle name="Check Cell 3" xfId="99"/>
    <cellStyle name="Check Cell 4" xfId="1130"/>
    <cellStyle name="Color" xfId="1131"/>
    <cellStyle name="combo" xfId="101"/>
    <cellStyle name="Comma" xfId="1" builtinId="3"/>
    <cellStyle name="Comma 10" xfId="103"/>
    <cellStyle name="Comma 10 2" xfId="1132"/>
    <cellStyle name="Comma 11" xfId="104"/>
    <cellStyle name="Comma 11 2" xfId="1133"/>
    <cellStyle name="Comma 11 2 2" xfId="1134"/>
    <cellStyle name="Comma 11 2 2 2" xfId="1135"/>
    <cellStyle name="Comma 11 2 2 2 2" xfId="1136"/>
    <cellStyle name="Comma 11 2 2 2 2 2" xfId="1137"/>
    <cellStyle name="Comma 11 2 2 2 2 2 2" xfId="1138"/>
    <cellStyle name="Comma 11 2 2 2 2 2 3" xfId="1139"/>
    <cellStyle name="Comma 11 2 2 2 2 3" xfId="1140"/>
    <cellStyle name="Comma 11 2 2 2 2 3 2" xfId="1141"/>
    <cellStyle name="Comma 11 2 2 2 2 3 3" xfId="1142"/>
    <cellStyle name="Comma 11 2 2 2 2 4" xfId="1143"/>
    <cellStyle name="Comma 11 2 2 2 2 5" xfId="1144"/>
    <cellStyle name="Comma 11 2 2 2 3" xfId="1145"/>
    <cellStyle name="Comma 11 2 2 2 3 2" xfId="1146"/>
    <cellStyle name="Comma 11 2 2 2 3 3" xfId="1147"/>
    <cellStyle name="Comma 11 2 2 2 4" xfId="1148"/>
    <cellStyle name="Comma 11 2 2 2 4 2" xfId="1149"/>
    <cellStyle name="Comma 11 2 2 2 4 3" xfId="1150"/>
    <cellStyle name="Comma 11 2 2 2 5" xfId="1151"/>
    <cellStyle name="Comma 11 2 2 2 6" xfId="1152"/>
    <cellStyle name="Comma 11 2 2 3" xfId="1153"/>
    <cellStyle name="Comma 11 2 2 3 2" xfId="1154"/>
    <cellStyle name="Comma 11 2 2 3 2 2" xfId="1155"/>
    <cellStyle name="Comma 11 2 2 3 2 3" xfId="1156"/>
    <cellStyle name="Comma 11 2 2 3 3" xfId="1157"/>
    <cellStyle name="Comma 11 2 2 3 3 2" xfId="1158"/>
    <cellStyle name="Comma 11 2 2 3 3 3" xfId="1159"/>
    <cellStyle name="Comma 11 2 2 3 4" xfId="1160"/>
    <cellStyle name="Comma 11 2 2 3 5" xfId="1161"/>
    <cellStyle name="Comma 11 2 2 4" xfId="1162"/>
    <cellStyle name="Comma 11 2 2 4 2" xfId="1163"/>
    <cellStyle name="Comma 11 2 2 4 3" xfId="1164"/>
    <cellStyle name="Comma 11 2 2 5" xfId="1165"/>
    <cellStyle name="Comma 11 2 2 5 2" xfId="1166"/>
    <cellStyle name="Comma 11 2 2 5 3" xfId="1167"/>
    <cellStyle name="Comma 11 2 2 6" xfId="1168"/>
    <cellStyle name="Comma 11 2 2 7" xfId="1169"/>
    <cellStyle name="Comma 11 2 3" xfId="1170"/>
    <cellStyle name="Comma 11 2 3 2" xfId="1171"/>
    <cellStyle name="Comma 11 2 3 2 2" xfId="1172"/>
    <cellStyle name="Comma 11 2 3 2 2 2" xfId="1173"/>
    <cellStyle name="Comma 11 2 3 2 2 3" xfId="1174"/>
    <cellStyle name="Comma 11 2 3 2 3" xfId="1175"/>
    <cellStyle name="Comma 11 2 3 2 3 2" xfId="1176"/>
    <cellStyle name="Comma 11 2 3 2 3 3" xfId="1177"/>
    <cellStyle name="Comma 11 2 3 2 4" xfId="1178"/>
    <cellStyle name="Comma 11 2 3 2 5" xfId="1179"/>
    <cellStyle name="Comma 11 2 3 3" xfId="1180"/>
    <cellStyle name="Comma 11 2 3 3 2" xfId="1181"/>
    <cellStyle name="Comma 11 2 3 3 3" xfId="1182"/>
    <cellStyle name="Comma 11 2 3 4" xfId="1183"/>
    <cellStyle name="Comma 11 2 3 4 2" xfId="1184"/>
    <cellStyle name="Comma 11 2 3 4 3" xfId="1185"/>
    <cellStyle name="Comma 11 2 3 5" xfId="1186"/>
    <cellStyle name="Comma 11 2 3 6" xfId="1187"/>
    <cellStyle name="Comma 11 2 4" xfId="1188"/>
    <cellStyle name="Comma 11 2 4 2" xfId="1189"/>
    <cellStyle name="Comma 11 2 4 2 2" xfId="1190"/>
    <cellStyle name="Comma 11 2 4 2 3" xfId="1191"/>
    <cellStyle name="Comma 11 2 4 3" xfId="1192"/>
    <cellStyle name="Comma 11 2 4 3 2" xfId="1193"/>
    <cellStyle name="Comma 11 2 4 3 3" xfId="1194"/>
    <cellStyle name="Comma 11 2 4 4" xfId="1195"/>
    <cellStyle name="Comma 11 2 4 5" xfId="1196"/>
    <cellStyle name="Comma 11 2 5" xfId="1197"/>
    <cellStyle name="Comma 11 2 5 2" xfId="1198"/>
    <cellStyle name="Comma 11 2 5 3" xfId="1199"/>
    <cellStyle name="Comma 11 2 6" xfId="1200"/>
    <cellStyle name="Comma 11 2 6 2" xfId="1201"/>
    <cellStyle name="Comma 11 2 6 3" xfId="1202"/>
    <cellStyle name="Comma 11 2 7" xfId="1203"/>
    <cellStyle name="Comma 11 2 8" xfId="1204"/>
    <cellStyle name="Comma 11 3" xfId="1205"/>
    <cellStyle name="Comma 11 3 2" xfId="1206"/>
    <cellStyle name="Comma 11 3 2 2" xfId="1207"/>
    <cellStyle name="Comma 11 3 2 2 2" xfId="1208"/>
    <cellStyle name="Comma 11 3 2 2 2 2" xfId="1209"/>
    <cellStyle name="Comma 11 3 2 2 2 3" xfId="1210"/>
    <cellStyle name="Comma 11 3 2 2 3" xfId="1211"/>
    <cellStyle name="Comma 11 3 2 2 3 2" xfId="1212"/>
    <cellStyle name="Comma 11 3 2 2 3 3" xfId="1213"/>
    <cellStyle name="Comma 11 3 2 2 4" xfId="1214"/>
    <cellStyle name="Comma 11 3 2 2 5" xfId="1215"/>
    <cellStyle name="Comma 11 3 2 3" xfId="1216"/>
    <cellStyle name="Comma 11 3 2 3 2" xfId="1217"/>
    <cellStyle name="Comma 11 3 2 3 3" xfId="1218"/>
    <cellStyle name="Comma 11 3 2 4" xfId="1219"/>
    <cellStyle name="Comma 11 3 2 4 2" xfId="1220"/>
    <cellStyle name="Comma 11 3 2 4 3" xfId="1221"/>
    <cellStyle name="Comma 11 3 2 5" xfId="1222"/>
    <cellStyle name="Comma 11 3 2 6" xfId="1223"/>
    <cellStyle name="Comma 11 3 3" xfId="1224"/>
    <cellStyle name="Comma 11 3 3 2" xfId="1225"/>
    <cellStyle name="Comma 11 3 3 2 2" xfId="1226"/>
    <cellStyle name="Comma 11 3 3 2 3" xfId="1227"/>
    <cellStyle name="Comma 11 3 3 3" xfId="1228"/>
    <cellStyle name="Comma 11 3 3 3 2" xfId="1229"/>
    <cellStyle name="Comma 11 3 3 3 3" xfId="1230"/>
    <cellStyle name="Comma 11 3 3 4" xfId="1231"/>
    <cellStyle name="Comma 11 3 3 5" xfId="1232"/>
    <cellStyle name="Comma 11 3 4" xfId="1233"/>
    <cellStyle name="Comma 11 3 4 2" xfId="1234"/>
    <cellStyle name="Comma 11 3 4 3" xfId="1235"/>
    <cellStyle name="Comma 11 3 5" xfId="1236"/>
    <cellStyle name="Comma 11 3 5 2" xfId="1237"/>
    <cellStyle name="Comma 11 3 5 3" xfId="1238"/>
    <cellStyle name="Comma 11 3 6" xfId="1239"/>
    <cellStyle name="Comma 11 3 7" xfId="1240"/>
    <cellStyle name="Comma 11 4" xfId="1241"/>
    <cellStyle name="Comma 11 4 2" xfId="1242"/>
    <cellStyle name="Comma 11 4 2 2" xfId="1243"/>
    <cellStyle name="Comma 11 4 2 2 2" xfId="1244"/>
    <cellStyle name="Comma 11 4 2 2 3" xfId="1245"/>
    <cellStyle name="Comma 11 4 2 3" xfId="1246"/>
    <cellStyle name="Comma 11 4 2 3 2" xfId="1247"/>
    <cellStyle name="Comma 11 4 2 3 3" xfId="1248"/>
    <cellStyle name="Comma 11 4 2 4" xfId="1249"/>
    <cellStyle name="Comma 11 4 2 5" xfId="1250"/>
    <cellStyle name="Comma 11 4 3" xfId="1251"/>
    <cellStyle name="Comma 11 4 3 2" xfId="1252"/>
    <cellStyle name="Comma 11 4 3 3" xfId="1253"/>
    <cellStyle name="Comma 11 4 4" xfId="1254"/>
    <cellStyle name="Comma 11 4 4 2" xfId="1255"/>
    <cellStyle name="Comma 11 4 4 3" xfId="1256"/>
    <cellStyle name="Comma 11 4 5" xfId="1257"/>
    <cellStyle name="Comma 11 4 6" xfId="1258"/>
    <cellStyle name="Comma 11 5" xfId="1259"/>
    <cellStyle name="Comma 11 5 2" xfId="1260"/>
    <cellStyle name="Comma 11 5 2 2" xfId="1261"/>
    <cellStyle name="Comma 11 5 2 3" xfId="1262"/>
    <cellStyle name="Comma 11 5 3" xfId="1263"/>
    <cellStyle name="Comma 11 5 3 2" xfId="1264"/>
    <cellStyle name="Comma 11 5 3 3" xfId="1265"/>
    <cellStyle name="Comma 11 5 4" xfId="1266"/>
    <cellStyle name="Comma 11 5 5" xfId="1267"/>
    <cellStyle name="Comma 11 6" xfId="1268"/>
    <cellStyle name="Comma 11 6 2" xfId="1269"/>
    <cellStyle name="Comma 11 6 3" xfId="1270"/>
    <cellStyle name="Comma 11 7" xfId="1271"/>
    <cellStyle name="Comma 11 7 2" xfId="1272"/>
    <cellStyle name="Comma 11 7 3" xfId="1273"/>
    <cellStyle name="Comma 11 8" xfId="1274"/>
    <cellStyle name="Comma 11 9" xfId="1275"/>
    <cellStyle name="Comma 12" xfId="102"/>
    <cellStyle name="Comma 12 2" xfId="274"/>
    <cellStyle name="Comma 12 2 2" xfId="1276"/>
    <cellStyle name="Comma 12 2 2 2" xfId="1277"/>
    <cellStyle name="Comma 12 2 2 2 2" xfId="1278"/>
    <cellStyle name="Comma 12 2 2 2 2 2" xfId="1279"/>
    <cellStyle name="Comma 12 2 2 2 2 3" xfId="1280"/>
    <cellStyle name="Comma 12 2 2 2 3" xfId="1281"/>
    <cellStyle name="Comma 12 2 2 2 3 2" xfId="1282"/>
    <cellStyle name="Comma 12 2 2 2 3 3" xfId="1283"/>
    <cellStyle name="Comma 12 2 2 2 4" xfId="1284"/>
    <cellStyle name="Comma 12 2 2 2 5" xfId="1285"/>
    <cellStyle name="Comma 12 2 2 3" xfId="1286"/>
    <cellStyle name="Comma 12 2 2 3 2" xfId="1287"/>
    <cellStyle name="Comma 12 2 2 3 3" xfId="1288"/>
    <cellStyle name="Comma 12 2 2 4" xfId="1289"/>
    <cellStyle name="Comma 12 2 2 4 2" xfId="1290"/>
    <cellStyle name="Comma 12 2 2 4 3" xfId="1291"/>
    <cellStyle name="Comma 12 2 2 5" xfId="1292"/>
    <cellStyle name="Comma 12 2 2 6" xfId="1293"/>
    <cellStyle name="Comma 12 2 3" xfId="1294"/>
    <cellStyle name="Comma 12 2 3 2" xfId="1295"/>
    <cellStyle name="Comma 12 2 3 2 2" xfId="1296"/>
    <cellStyle name="Comma 12 2 3 2 3" xfId="1297"/>
    <cellStyle name="Comma 12 2 3 3" xfId="1298"/>
    <cellStyle name="Comma 12 2 3 3 2" xfId="1299"/>
    <cellStyle name="Comma 12 2 3 3 3" xfId="1300"/>
    <cellStyle name="Comma 12 2 3 4" xfId="1301"/>
    <cellStyle name="Comma 12 2 3 5" xfId="1302"/>
    <cellStyle name="Comma 12 2 4" xfId="1303"/>
    <cellStyle name="Comma 12 2 4 2" xfId="1304"/>
    <cellStyle name="Comma 12 2 4 3" xfId="1305"/>
    <cellStyle name="Comma 12 2 5" xfId="1306"/>
    <cellStyle name="Comma 12 2 5 2" xfId="1307"/>
    <cellStyle name="Comma 12 2 5 3" xfId="1308"/>
    <cellStyle name="Comma 12 2 6" xfId="1309"/>
    <cellStyle name="Comma 12 2 7" xfId="1310"/>
    <cellStyle name="Comma 12 3" xfId="279"/>
    <cellStyle name="Comma 12 4" xfId="1311"/>
    <cellStyle name="Comma 12 5" xfId="1312"/>
    <cellStyle name="Comma 12 6" xfId="1313"/>
    <cellStyle name="Comma 13" xfId="280"/>
    <cellStyle name="Comma 13 2" xfId="1314"/>
    <cellStyle name="Comma 13 2 2" xfId="1315"/>
    <cellStyle name="Comma 13 2 2 2" xfId="1316"/>
    <cellStyle name="Comma 13 2 2 2 2" xfId="1317"/>
    <cellStyle name="Comma 13 2 2 2 2 2" xfId="1318"/>
    <cellStyle name="Comma 13 2 2 2 2 3" xfId="1319"/>
    <cellStyle name="Comma 13 2 2 2 3" xfId="1320"/>
    <cellStyle name="Comma 13 2 2 2 3 2" xfId="1321"/>
    <cellStyle name="Comma 13 2 2 2 3 3" xfId="1322"/>
    <cellStyle name="Comma 13 2 2 2 4" xfId="1323"/>
    <cellStyle name="Comma 13 2 2 2 5" xfId="1324"/>
    <cellStyle name="Comma 13 2 2 3" xfId="1325"/>
    <cellStyle name="Comma 13 2 2 3 2" xfId="1326"/>
    <cellStyle name="Comma 13 2 2 3 3" xfId="1327"/>
    <cellStyle name="Comma 13 2 2 4" xfId="1328"/>
    <cellStyle name="Comma 13 2 2 4 2" xfId="1329"/>
    <cellStyle name="Comma 13 2 2 4 3" xfId="1330"/>
    <cellStyle name="Comma 13 2 2 5" xfId="1331"/>
    <cellStyle name="Comma 13 2 2 6" xfId="1332"/>
    <cellStyle name="Comma 13 2 3" xfId="1333"/>
    <cellStyle name="Comma 13 2 3 2" xfId="1334"/>
    <cellStyle name="Comma 13 2 3 2 2" xfId="1335"/>
    <cellStyle name="Comma 13 2 3 2 3" xfId="1336"/>
    <cellStyle name="Comma 13 2 3 3" xfId="1337"/>
    <cellStyle name="Comma 13 2 3 3 2" xfId="1338"/>
    <cellStyle name="Comma 13 2 3 3 3" xfId="1339"/>
    <cellStyle name="Comma 13 2 3 4" xfId="1340"/>
    <cellStyle name="Comma 13 2 3 5" xfId="1341"/>
    <cellStyle name="Comma 13 2 4" xfId="1342"/>
    <cellStyle name="Comma 13 2 4 2" xfId="1343"/>
    <cellStyle name="Comma 13 2 4 3" xfId="1344"/>
    <cellStyle name="Comma 13 2 5" xfId="1345"/>
    <cellStyle name="Comma 13 2 5 2" xfId="1346"/>
    <cellStyle name="Comma 13 2 5 3" xfId="1347"/>
    <cellStyle name="Comma 13 2 6" xfId="1348"/>
    <cellStyle name="Comma 13 2 7" xfId="1349"/>
    <cellStyle name="Comma 13 3" xfId="1350"/>
    <cellStyle name="Comma 13 3 2" xfId="1351"/>
    <cellStyle name="Comma 13 3 2 2" xfId="1352"/>
    <cellStyle name="Comma 13 3 2 2 2" xfId="1353"/>
    <cellStyle name="Comma 13 3 2 2 3" xfId="1354"/>
    <cellStyle name="Comma 13 3 2 3" xfId="1355"/>
    <cellStyle name="Comma 13 3 2 3 2" xfId="1356"/>
    <cellStyle name="Comma 13 3 2 3 3" xfId="1357"/>
    <cellStyle name="Comma 13 3 2 4" xfId="1358"/>
    <cellStyle name="Comma 13 3 2 5" xfId="1359"/>
    <cellStyle name="Comma 13 3 3" xfId="1360"/>
    <cellStyle name="Comma 13 3 3 2" xfId="1361"/>
    <cellStyle name="Comma 13 3 3 3" xfId="1362"/>
    <cellStyle name="Comma 13 3 4" xfId="1363"/>
    <cellStyle name="Comma 13 3 4 2" xfId="1364"/>
    <cellStyle name="Comma 13 3 4 3" xfId="1365"/>
    <cellStyle name="Comma 13 3 5" xfId="1366"/>
    <cellStyle name="Comma 13 3 6" xfId="1367"/>
    <cellStyle name="Comma 13 4" xfId="1368"/>
    <cellStyle name="Comma 13 4 2" xfId="1369"/>
    <cellStyle name="Comma 13 4 2 2" xfId="1370"/>
    <cellStyle name="Comma 13 4 2 3" xfId="1371"/>
    <cellStyle name="Comma 13 4 3" xfId="1372"/>
    <cellStyle name="Comma 13 4 3 2" xfId="1373"/>
    <cellStyle name="Comma 13 4 3 3" xfId="1374"/>
    <cellStyle name="Comma 13 4 4" xfId="1375"/>
    <cellStyle name="Comma 13 4 5" xfId="1376"/>
    <cellStyle name="Comma 13 5" xfId="1377"/>
    <cellStyle name="Comma 13 5 2" xfId="1378"/>
    <cellStyle name="Comma 13 5 3" xfId="1379"/>
    <cellStyle name="Comma 13 6" xfId="1380"/>
    <cellStyle name="Comma 13 6 2" xfId="1381"/>
    <cellStyle name="Comma 13 6 3" xfId="1382"/>
    <cellStyle name="Comma 13 7" xfId="1383"/>
    <cellStyle name="Comma 13 8" xfId="1384"/>
    <cellStyle name="Comma 14" xfId="281"/>
    <cellStyle name="Comma 14 2" xfId="1385"/>
    <cellStyle name="Comma 15" xfId="282"/>
    <cellStyle name="Comma 15 2" xfId="1386"/>
    <cellStyle name="Comma 15 2 2" xfId="1387"/>
    <cellStyle name="Comma 15 3" xfId="1388"/>
    <cellStyle name="Comma 15 4" xfId="1389"/>
    <cellStyle name="Comma 16" xfId="283"/>
    <cellStyle name="Comma 16 2" xfId="1390"/>
    <cellStyle name="Comma 16 2 2" xfId="1391"/>
    <cellStyle name="Comma 16 2 2 2" xfId="1392"/>
    <cellStyle name="Comma 16 2 2 3" xfId="1393"/>
    <cellStyle name="Comma 16 2 3" xfId="1394"/>
    <cellStyle name="Comma 16 2 3 2" xfId="1395"/>
    <cellStyle name="Comma 16 2 3 3" xfId="1396"/>
    <cellStyle name="Comma 16 2 4" xfId="1397"/>
    <cellStyle name="Comma 16 2 5" xfId="1398"/>
    <cellStyle name="Comma 16 3" xfId="1399"/>
    <cellStyle name="Comma 16 3 2" xfId="1400"/>
    <cellStyle name="Comma 16 3 3" xfId="1401"/>
    <cellStyle name="Comma 16 4" xfId="1402"/>
    <cellStyle name="Comma 16 4 2" xfId="1403"/>
    <cellStyle name="Comma 16 4 3" xfId="1404"/>
    <cellStyle name="Comma 16 5" xfId="1405"/>
    <cellStyle name="Comma 16 6" xfId="1406"/>
    <cellStyle name="Comma 17" xfId="315"/>
    <cellStyle name="Comma 17 2" xfId="1407"/>
    <cellStyle name="Comma 17 2 2" xfId="1408"/>
    <cellStyle name="Comma 17 3" xfId="1409"/>
    <cellStyle name="Comma 17 4" xfId="1410"/>
    <cellStyle name="Comma 17 5" xfId="1411"/>
    <cellStyle name="Comma 18" xfId="316"/>
    <cellStyle name="Comma 18 2" xfId="367"/>
    <cellStyle name="Comma 18 2 2" xfId="1412"/>
    <cellStyle name="Comma 18 3" xfId="1413"/>
    <cellStyle name="Comma 18 4" xfId="1414"/>
    <cellStyle name="Comma 18 5" xfId="1415"/>
    <cellStyle name="Comma 19" xfId="317"/>
    <cellStyle name="Comma 19 2" xfId="1416"/>
    <cellStyle name="Comma 19 3" xfId="1417"/>
    <cellStyle name="Comma 19 4" xfId="1418"/>
    <cellStyle name="Comma 19 5" xfId="1419"/>
    <cellStyle name="Comma 2" xfId="5"/>
    <cellStyle name="Comma 2 2" xfId="6"/>
    <cellStyle name="Comma 2 2 2" xfId="318"/>
    <cellStyle name="Comma 2 2 2 2" xfId="1420"/>
    <cellStyle name="Comma 2 2 2 2 2" xfId="1421"/>
    <cellStyle name="Comma 2 2 2 2 3" xfId="1422"/>
    <cellStyle name="Comma 2 2 3" xfId="1423"/>
    <cellStyle name="Comma 2 2 3 2" xfId="1424"/>
    <cellStyle name="Comma 2 2 3 3" xfId="1425"/>
    <cellStyle name="Comma 2 2 4" xfId="1426"/>
    <cellStyle name="Comma 2 3" xfId="105"/>
    <cellStyle name="Comma 2 3 2" xfId="1427"/>
    <cellStyle name="Comma 2 3 3" xfId="37405"/>
    <cellStyle name="Comma 2 4" xfId="319"/>
    <cellStyle name="Comma 2 4 2" xfId="1428"/>
    <cellStyle name="Comma 2 4 2 2" xfId="1429"/>
    <cellStyle name="Comma 2 4 2 2 2" xfId="34921"/>
    <cellStyle name="Comma 2 4 3" xfId="1430"/>
    <cellStyle name="Comma 2 4 4" xfId="1431"/>
    <cellStyle name="Comma 2 4 5" xfId="1432"/>
    <cellStyle name="Comma 2 4 6" xfId="1433"/>
    <cellStyle name="Comma 2 5" xfId="1434"/>
    <cellStyle name="Comma 2 5 2" xfId="1435"/>
    <cellStyle name="Comma 2 5 3" xfId="1436"/>
    <cellStyle name="Comma 2 5 4" xfId="37467"/>
    <cellStyle name="Comma 2 6" xfId="7"/>
    <cellStyle name="Comma 2 6 2" xfId="8"/>
    <cellStyle name="Comma 2 6 2 2" xfId="1437"/>
    <cellStyle name="Comma 2 6 3" xfId="1438"/>
    <cellStyle name="Comma 2 6 3 2" xfId="1439"/>
    <cellStyle name="Comma 2 6 4" xfId="1440"/>
    <cellStyle name="Comma 2 7" xfId="1441"/>
    <cellStyle name="Comma 2 7 2" xfId="1442"/>
    <cellStyle name="Comma 2 7 3" xfId="1443"/>
    <cellStyle name="Comma 2 7 4" xfId="1444"/>
    <cellStyle name="Comma 2 8" xfId="1445"/>
    <cellStyle name="Comma 2 8 2" xfId="34856"/>
    <cellStyle name="Comma 2 9" xfId="1446"/>
    <cellStyle name="Comma 20" xfId="370"/>
    <cellStyle name="Comma 20 2" xfId="1448"/>
    <cellStyle name="Comma 20 2 2" xfId="34857"/>
    <cellStyle name="Comma 20 3" xfId="1449"/>
    <cellStyle name="Comma 20 4" xfId="1447"/>
    <cellStyle name="Comma 21" xfId="1450"/>
    <cellStyle name="Comma 21 2" xfId="1451"/>
    <cellStyle name="Comma 21 3" xfId="1452"/>
    <cellStyle name="Comma 22" xfId="1453"/>
    <cellStyle name="Comma 22 2" xfId="1454"/>
    <cellStyle name="Comma 23" xfId="1455"/>
    <cellStyle name="Comma 24" xfId="1456"/>
    <cellStyle name="Comma 25" xfId="1457"/>
    <cellStyle name="Comma 25 2" xfId="1458"/>
    <cellStyle name="Comma 25 2 2" xfId="1459"/>
    <cellStyle name="Comma 26" xfId="1460"/>
    <cellStyle name="Comma 27" xfId="1461"/>
    <cellStyle name="Comma 28" xfId="1462"/>
    <cellStyle name="Comma 29" xfId="1463"/>
    <cellStyle name="Comma 29 2" xfId="1464"/>
    <cellStyle name="Comma 3" xfId="9"/>
    <cellStyle name="Comma 3 2" xfId="106"/>
    <cellStyle name="Comma 3 2 2" xfId="107"/>
    <cellStyle name="Comma 3 3" xfId="284"/>
    <cellStyle name="Comma 3 4" xfId="320"/>
    <cellStyle name="Comma 30" xfId="1465"/>
    <cellStyle name="Comma 31" xfId="1466"/>
    <cellStyle name="Comma 4" xfId="108"/>
    <cellStyle name="Comma 4 10" xfId="1467"/>
    <cellStyle name="Comma 4 11" xfId="1468"/>
    <cellStyle name="Comma 4 12" xfId="1469"/>
    <cellStyle name="Comma 4 2" xfId="109"/>
    <cellStyle name="Comma 4 2 10" xfId="1470"/>
    <cellStyle name="Comma 4 2 2" xfId="285"/>
    <cellStyle name="Comma 4 2 2 2" xfId="1471"/>
    <cellStyle name="Comma 4 2 2 2 2" xfId="1472"/>
    <cellStyle name="Comma 4 2 2 2 2 2" xfId="1473"/>
    <cellStyle name="Comma 4 2 2 2 2 2 2" xfId="1474"/>
    <cellStyle name="Comma 4 2 2 2 2 2 2 2" xfId="1475"/>
    <cellStyle name="Comma 4 2 2 2 2 2 2 3" xfId="1476"/>
    <cellStyle name="Comma 4 2 2 2 2 2 3" xfId="1477"/>
    <cellStyle name="Comma 4 2 2 2 2 2 3 2" xfId="1478"/>
    <cellStyle name="Comma 4 2 2 2 2 2 3 3" xfId="1479"/>
    <cellStyle name="Comma 4 2 2 2 2 2 4" xfId="1480"/>
    <cellStyle name="Comma 4 2 2 2 2 2 5" xfId="1481"/>
    <cellStyle name="Comma 4 2 2 2 2 3" xfId="1482"/>
    <cellStyle name="Comma 4 2 2 2 2 3 2" xfId="1483"/>
    <cellStyle name="Comma 4 2 2 2 2 3 3" xfId="1484"/>
    <cellStyle name="Comma 4 2 2 2 2 4" xfId="1485"/>
    <cellStyle name="Comma 4 2 2 2 2 4 2" xfId="1486"/>
    <cellStyle name="Comma 4 2 2 2 2 4 3" xfId="1487"/>
    <cellStyle name="Comma 4 2 2 2 2 5" xfId="1488"/>
    <cellStyle name="Comma 4 2 2 2 2 6" xfId="1489"/>
    <cellStyle name="Comma 4 2 2 2 3" xfId="1490"/>
    <cellStyle name="Comma 4 2 2 2 3 2" xfId="1491"/>
    <cellStyle name="Comma 4 2 2 2 3 2 2" xfId="1492"/>
    <cellStyle name="Comma 4 2 2 2 3 2 3" xfId="1493"/>
    <cellStyle name="Comma 4 2 2 2 3 3" xfId="1494"/>
    <cellStyle name="Comma 4 2 2 2 3 3 2" xfId="1495"/>
    <cellStyle name="Comma 4 2 2 2 3 3 3" xfId="1496"/>
    <cellStyle name="Comma 4 2 2 2 3 4" xfId="1497"/>
    <cellStyle name="Comma 4 2 2 2 3 5" xfId="1498"/>
    <cellStyle name="Comma 4 2 2 2 4" xfId="1499"/>
    <cellStyle name="Comma 4 2 2 2 4 2" xfId="1500"/>
    <cellStyle name="Comma 4 2 2 2 4 3" xfId="1501"/>
    <cellStyle name="Comma 4 2 2 2 5" xfId="1502"/>
    <cellStyle name="Comma 4 2 2 2 5 2" xfId="1503"/>
    <cellStyle name="Comma 4 2 2 2 5 3" xfId="1504"/>
    <cellStyle name="Comma 4 2 2 2 6" xfId="1505"/>
    <cellStyle name="Comma 4 2 2 2 7" xfId="1506"/>
    <cellStyle name="Comma 4 2 2 3" xfId="1507"/>
    <cellStyle name="Comma 4 2 2 3 2" xfId="1508"/>
    <cellStyle name="Comma 4 2 2 3 2 2" xfId="1509"/>
    <cellStyle name="Comma 4 2 2 3 2 2 2" xfId="1510"/>
    <cellStyle name="Comma 4 2 2 3 2 2 2 2" xfId="1511"/>
    <cellStyle name="Comma 4 2 2 3 2 2 2 3" xfId="1512"/>
    <cellStyle name="Comma 4 2 2 3 2 2 3" xfId="1513"/>
    <cellStyle name="Comma 4 2 2 3 2 2 3 2" xfId="1514"/>
    <cellStyle name="Comma 4 2 2 3 2 2 3 3" xfId="1515"/>
    <cellStyle name="Comma 4 2 2 3 2 2 4" xfId="1516"/>
    <cellStyle name="Comma 4 2 2 3 2 2 5" xfId="1517"/>
    <cellStyle name="Comma 4 2 2 3 2 3" xfId="1518"/>
    <cellStyle name="Comma 4 2 2 3 2 3 2" xfId="1519"/>
    <cellStyle name="Comma 4 2 2 3 2 3 3" xfId="1520"/>
    <cellStyle name="Comma 4 2 2 3 2 4" xfId="1521"/>
    <cellStyle name="Comma 4 2 2 3 2 4 2" xfId="1522"/>
    <cellStyle name="Comma 4 2 2 3 2 4 3" xfId="1523"/>
    <cellStyle name="Comma 4 2 2 3 2 5" xfId="1524"/>
    <cellStyle name="Comma 4 2 2 3 2 6" xfId="1525"/>
    <cellStyle name="Comma 4 2 2 3 3" xfId="1526"/>
    <cellStyle name="Comma 4 2 2 3 3 2" xfId="1527"/>
    <cellStyle name="Comma 4 2 2 3 3 2 2" xfId="1528"/>
    <cellStyle name="Comma 4 2 2 3 3 2 3" xfId="1529"/>
    <cellStyle name="Comma 4 2 2 3 3 3" xfId="1530"/>
    <cellStyle name="Comma 4 2 2 3 3 3 2" xfId="1531"/>
    <cellStyle name="Comma 4 2 2 3 3 3 3" xfId="1532"/>
    <cellStyle name="Comma 4 2 2 3 3 4" xfId="1533"/>
    <cellStyle name="Comma 4 2 2 3 3 5" xfId="1534"/>
    <cellStyle name="Comma 4 2 2 3 4" xfId="1535"/>
    <cellStyle name="Comma 4 2 2 3 4 2" xfId="1536"/>
    <cellStyle name="Comma 4 2 2 3 4 3" xfId="1537"/>
    <cellStyle name="Comma 4 2 2 3 5" xfId="1538"/>
    <cellStyle name="Comma 4 2 2 3 5 2" xfId="1539"/>
    <cellStyle name="Comma 4 2 2 3 5 3" xfId="1540"/>
    <cellStyle name="Comma 4 2 2 3 6" xfId="1541"/>
    <cellStyle name="Comma 4 2 2 3 7" xfId="1542"/>
    <cellStyle name="Comma 4 2 2 4" xfId="1543"/>
    <cellStyle name="Comma 4 2 2 4 2" xfId="1544"/>
    <cellStyle name="Comma 4 2 2 4 2 2" xfId="1545"/>
    <cellStyle name="Comma 4 2 2 4 2 2 2" xfId="1546"/>
    <cellStyle name="Comma 4 2 2 4 2 2 3" xfId="1547"/>
    <cellStyle name="Comma 4 2 2 4 2 3" xfId="1548"/>
    <cellStyle name="Comma 4 2 2 4 2 3 2" xfId="1549"/>
    <cellStyle name="Comma 4 2 2 4 2 3 3" xfId="1550"/>
    <cellStyle name="Comma 4 2 2 4 2 4" xfId="1551"/>
    <cellStyle name="Comma 4 2 2 4 2 5" xfId="1552"/>
    <cellStyle name="Comma 4 2 2 4 3" xfId="1553"/>
    <cellStyle name="Comma 4 2 2 4 3 2" xfId="1554"/>
    <cellStyle name="Comma 4 2 2 4 3 3" xfId="1555"/>
    <cellStyle name="Comma 4 2 2 4 4" xfId="1556"/>
    <cellStyle name="Comma 4 2 2 4 4 2" xfId="1557"/>
    <cellStyle name="Comma 4 2 2 4 4 3" xfId="1558"/>
    <cellStyle name="Comma 4 2 2 4 5" xfId="1559"/>
    <cellStyle name="Comma 4 2 2 4 6" xfId="1560"/>
    <cellStyle name="Comma 4 2 2 5" xfId="1561"/>
    <cellStyle name="Comma 4 2 2 5 2" xfId="1562"/>
    <cellStyle name="Comma 4 2 2 5 2 2" xfId="1563"/>
    <cellStyle name="Comma 4 2 2 5 2 3" xfId="1564"/>
    <cellStyle name="Comma 4 2 2 5 3" xfId="1565"/>
    <cellStyle name="Comma 4 2 2 5 3 2" xfId="1566"/>
    <cellStyle name="Comma 4 2 2 5 3 3" xfId="1567"/>
    <cellStyle name="Comma 4 2 2 5 4" xfId="1568"/>
    <cellStyle name="Comma 4 2 2 5 5" xfId="1569"/>
    <cellStyle name="Comma 4 2 2 6" xfId="1570"/>
    <cellStyle name="Comma 4 2 2 6 2" xfId="1571"/>
    <cellStyle name="Comma 4 2 2 6 3" xfId="1572"/>
    <cellStyle name="Comma 4 2 2 7" xfId="1573"/>
    <cellStyle name="Comma 4 2 2 7 2" xfId="1574"/>
    <cellStyle name="Comma 4 2 2 7 3" xfId="1575"/>
    <cellStyle name="Comma 4 2 2 8" xfId="1576"/>
    <cellStyle name="Comma 4 2 2 9" xfId="1577"/>
    <cellStyle name="Comma 4 2 3" xfId="1578"/>
    <cellStyle name="Comma 4 2 3 2" xfId="1579"/>
    <cellStyle name="Comma 4 2 3 2 2" xfId="1580"/>
    <cellStyle name="Comma 4 2 3 2 2 2" xfId="1581"/>
    <cellStyle name="Comma 4 2 3 2 2 2 2" xfId="1582"/>
    <cellStyle name="Comma 4 2 3 2 2 2 3" xfId="1583"/>
    <cellStyle name="Comma 4 2 3 2 2 3" xfId="1584"/>
    <cellStyle name="Comma 4 2 3 2 2 3 2" xfId="1585"/>
    <cellStyle name="Comma 4 2 3 2 2 3 3" xfId="1586"/>
    <cellStyle name="Comma 4 2 3 2 2 4" xfId="1587"/>
    <cellStyle name="Comma 4 2 3 2 2 5" xfId="1588"/>
    <cellStyle name="Comma 4 2 3 2 3" xfId="1589"/>
    <cellStyle name="Comma 4 2 3 2 3 2" xfId="1590"/>
    <cellStyle name="Comma 4 2 3 2 3 3" xfId="1591"/>
    <cellStyle name="Comma 4 2 3 2 4" xfId="1592"/>
    <cellStyle name="Comma 4 2 3 2 4 2" xfId="1593"/>
    <cellStyle name="Comma 4 2 3 2 4 3" xfId="1594"/>
    <cellStyle name="Comma 4 2 3 2 5" xfId="1595"/>
    <cellStyle name="Comma 4 2 3 2 6" xfId="1596"/>
    <cellStyle name="Comma 4 2 3 3" xfId="1597"/>
    <cellStyle name="Comma 4 2 3 3 2" xfId="1598"/>
    <cellStyle name="Comma 4 2 3 3 2 2" xfId="1599"/>
    <cellStyle name="Comma 4 2 3 3 2 3" xfId="1600"/>
    <cellStyle name="Comma 4 2 3 3 3" xfId="1601"/>
    <cellStyle name="Comma 4 2 3 3 3 2" xfId="1602"/>
    <cellStyle name="Comma 4 2 3 3 3 3" xfId="1603"/>
    <cellStyle name="Comma 4 2 3 3 4" xfId="1604"/>
    <cellStyle name="Comma 4 2 3 3 5" xfId="1605"/>
    <cellStyle name="Comma 4 2 3 4" xfId="1606"/>
    <cellStyle name="Comma 4 2 3 4 2" xfId="1607"/>
    <cellStyle name="Comma 4 2 3 4 3" xfId="1608"/>
    <cellStyle name="Comma 4 2 3 5" xfId="1609"/>
    <cellStyle name="Comma 4 2 3 5 2" xfId="1610"/>
    <cellStyle name="Comma 4 2 3 5 3" xfId="1611"/>
    <cellStyle name="Comma 4 2 3 6" xfId="1612"/>
    <cellStyle name="Comma 4 2 3 7" xfId="1613"/>
    <cellStyle name="Comma 4 2 4" xfId="1614"/>
    <cellStyle name="Comma 4 2 4 2" xfId="1615"/>
    <cellStyle name="Comma 4 2 4 2 2" xfId="1616"/>
    <cellStyle name="Comma 4 2 4 2 2 2" xfId="1617"/>
    <cellStyle name="Comma 4 2 4 2 2 2 2" xfId="1618"/>
    <cellStyle name="Comma 4 2 4 2 2 2 3" xfId="1619"/>
    <cellStyle name="Comma 4 2 4 2 2 3" xfId="1620"/>
    <cellStyle name="Comma 4 2 4 2 2 3 2" xfId="1621"/>
    <cellStyle name="Comma 4 2 4 2 2 3 3" xfId="1622"/>
    <cellStyle name="Comma 4 2 4 2 2 4" xfId="1623"/>
    <cellStyle name="Comma 4 2 4 2 2 5" xfId="1624"/>
    <cellStyle name="Comma 4 2 4 2 3" xfId="1625"/>
    <cellStyle name="Comma 4 2 4 2 3 2" xfId="1626"/>
    <cellStyle name="Comma 4 2 4 2 3 3" xfId="1627"/>
    <cellStyle name="Comma 4 2 4 2 4" xfId="1628"/>
    <cellStyle name="Comma 4 2 4 2 4 2" xfId="1629"/>
    <cellStyle name="Comma 4 2 4 2 4 3" xfId="1630"/>
    <cellStyle name="Comma 4 2 4 2 5" xfId="1631"/>
    <cellStyle name="Comma 4 2 4 2 6" xfId="1632"/>
    <cellStyle name="Comma 4 2 4 3" xfId="1633"/>
    <cellStyle name="Comma 4 2 4 3 2" xfId="1634"/>
    <cellStyle name="Comma 4 2 4 3 2 2" xfId="1635"/>
    <cellStyle name="Comma 4 2 4 3 2 3" xfId="1636"/>
    <cellStyle name="Comma 4 2 4 3 3" xfId="1637"/>
    <cellStyle name="Comma 4 2 4 3 3 2" xfId="1638"/>
    <cellStyle name="Comma 4 2 4 3 3 3" xfId="1639"/>
    <cellStyle name="Comma 4 2 4 3 4" xfId="1640"/>
    <cellStyle name="Comma 4 2 4 3 5" xfId="1641"/>
    <cellStyle name="Comma 4 2 4 4" xfId="1642"/>
    <cellStyle name="Comma 4 2 4 4 2" xfId="1643"/>
    <cellStyle name="Comma 4 2 4 4 3" xfId="1644"/>
    <cellStyle name="Comma 4 2 4 5" xfId="1645"/>
    <cellStyle name="Comma 4 2 4 5 2" xfId="1646"/>
    <cellStyle name="Comma 4 2 4 5 3" xfId="1647"/>
    <cellStyle name="Comma 4 2 4 6" xfId="1648"/>
    <cellStyle name="Comma 4 2 4 7" xfId="1649"/>
    <cellStyle name="Comma 4 2 5" xfId="1650"/>
    <cellStyle name="Comma 4 2 5 2" xfId="1651"/>
    <cellStyle name="Comma 4 2 5 2 2" xfId="1652"/>
    <cellStyle name="Comma 4 2 5 2 2 2" xfId="1653"/>
    <cellStyle name="Comma 4 2 5 2 2 3" xfId="1654"/>
    <cellStyle name="Comma 4 2 5 2 3" xfId="1655"/>
    <cellStyle name="Comma 4 2 5 2 3 2" xfId="1656"/>
    <cellStyle name="Comma 4 2 5 2 3 3" xfId="1657"/>
    <cellStyle name="Comma 4 2 5 2 4" xfId="1658"/>
    <cellStyle name="Comma 4 2 5 2 5" xfId="1659"/>
    <cellStyle name="Comma 4 2 5 3" xfId="1660"/>
    <cellStyle name="Comma 4 2 5 3 2" xfId="1661"/>
    <cellStyle name="Comma 4 2 5 3 3" xfId="1662"/>
    <cellStyle name="Comma 4 2 5 4" xfId="1663"/>
    <cellStyle name="Comma 4 2 5 4 2" xfId="1664"/>
    <cellStyle name="Comma 4 2 5 4 3" xfId="1665"/>
    <cellStyle name="Comma 4 2 5 5" xfId="1666"/>
    <cellStyle name="Comma 4 2 5 6" xfId="1667"/>
    <cellStyle name="Comma 4 2 6" xfId="1668"/>
    <cellStyle name="Comma 4 2 6 2" xfId="1669"/>
    <cellStyle name="Comma 4 2 6 2 2" xfId="1670"/>
    <cellStyle name="Comma 4 2 6 2 3" xfId="1671"/>
    <cellStyle name="Comma 4 2 6 3" xfId="1672"/>
    <cellStyle name="Comma 4 2 6 3 2" xfId="1673"/>
    <cellStyle name="Comma 4 2 6 3 3" xfId="1674"/>
    <cellStyle name="Comma 4 2 6 4" xfId="1675"/>
    <cellStyle name="Comma 4 2 6 5" xfId="1676"/>
    <cellStyle name="Comma 4 2 7" xfId="1677"/>
    <cellStyle name="Comma 4 2 7 2" xfId="1678"/>
    <cellStyle name="Comma 4 2 7 3" xfId="1679"/>
    <cellStyle name="Comma 4 2 8" xfId="1680"/>
    <cellStyle name="Comma 4 2 8 2" xfId="1681"/>
    <cellStyle name="Comma 4 2 8 3" xfId="1682"/>
    <cellStyle name="Comma 4 2 9" xfId="1683"/>
    <cellStyle name="Comma 4 3" xfId="110"/>
    <cellStyle name="Comma 4 3 10" xfId="1684"/>
    <cellStyle name="Comma 4 3 2" xfId="286"/>
    <cellStyle name="Comma 4 3 2 2" xfId="1685"/>
    <cellStyle name="Comma 4 3 2 2 2" xfId="1686"/>
    <cellStyle name="Comma 4 3 2 2 2 2" xfId="1687"/>
    <cellStyle name="Comma 4 3 2 2 2 2 2" xfId="1688"/>
    <cellStyle name="Comma 4 3 2 2 2 2 3" xfId="1689"/>
    <cellStyle name="Comma 4 3 2 2 2 3" xfId="1690"/>
    <cellStyle name="Comma 4 3 2 2 2 3 2" xfId="1691"/>
    <cellStyle name="Comma 4 3 2 2 2 3 3" xfId="1692"/>
    <cellStyle name="Comma 4 3 2 2 2 4" xfId="1693"/>
    <cellStyle name="Comma 4 3 2 2 2 5" xfId="1694"/>
    <cellStyle name="Comma 4 3 2 2 3" xfId="1695"/>
    <cellStyle name="Comma 4 3 2 2 3 2" xfId="1696"/>
    <cellStyle name="Comma 4 3 2 2 3 3" xfId="1697"/>
    <cellStyle name="Comma 4 3 2 2 4" xfId="1698"/>
    <cellStyle name="Comma 4 3 2 2 4 2" xfId="1699"/>
    <cellStyle name="Comma 4 3 2 2 4 3" xfId="1700"/>
    <cellStyle name="Comma 4 3 2 2 5" xfId="1701"/>
    <cellStyle name="Comma 4 3 2 2 6" xfId="1702"/>
    <cellStyle name="Comma 4 3 2 3" xfId="1703"/>
    <cellStyle name="Comma 4 3 2 3 2" xfId="1704"/>
    <cellStyle name="Comma 4 3 2 3 2 2" xfId="1705"/>
    <cellStyle name="Comma 4 3 2 3 2 3" xfId="1706"/>
    <cellStyle name="Comma 4 3 2 3 3" xfId="1707"/>
    <cellStyle name="Comma 4 3 2 3 3 2" xfId="1708"/>
    <cellStyle name="Comma 4 3 2 3 3 3" xfId="1709"/>
    <cellStyle name="Comma 4 3 2 3 4" xfId="1710"/>
    <cellStyle name="Comma 4 3 2 3 5" xfId="1711"/>
    <cellStyle name="Comma 4 3 2 4" xfId="1712"/>
    <cellStyle name="Comma 4 3 2 4 2" xfId="1713"/>
    <cellStyle name="Comma 4 3 2 4 3" xfId="1714"/>
    <cellStyle name="Comma 4 3 2 5" xfId="1715"/>
    <cellStyle name="Comma 4 3 2 5 2" xfId="1716"/>
    <cellStyle name="Comma 4 3 2 5 3" xfId="1717"/>
    <cellStyle name="Comma 4 3 2 6" xfId="1718"/>
    <cellStyle name="Comma 4 3 2 7" xfId="1719"/>
    <cellStyle name="Comma 4 3 3" xfId="1720"/>
    <cellStyle name="Comma 4 3 3 2" xfId="1721"/>
    <cellStyle name="Comma 4 3 3 2 2" xfId="1722"/>
    <cellStyle name="Comma 4 3 3 2 2 2" xfId="1723"/>
    <cellStyle name="Comma 4 3 3 2 2 2 2" xfId="1724"/>
    <cellStyle name="Comma 4 3 3 2 2 2 3" xfId="1725"/>
    <cellStyle name="Comma 4 3 3 2 2 3" xfId="1726"/>
    <cellStyle name="Comma 4 3 3 2 2 3 2" xfId="1727"/>
    <cellStyle name="Comma 4 3 3 2 2 3 3" xfId="1728"/>
    <cellStyle name="Comma 4 3 3 2 2 4" xfId="1729"/>
    <cellStyle name="Comma 4 3 3 2 2 5" xfId="1730"/>
    <cellStyle name="Comma 4 3 3 2 3" xfId="1731"/>
    <cellStyle name="Comma 4 3 3 2 3 2" xfId="1732"/>
    <cellStyle name="Comma 4 3 3 2 3 3" xfId="1733"/>
    <cellStyle name="Comma 4 3 3 2 4" xfId="1734"/>
    <cellStyle name="Comma 4 3 3 2 4 2" xfId="1735"/>
    <cellStyle name="Comma 4 3 3 2 4 3" xfId="1736"/>
    <cellStyle name="Comma 4 3 3 2 5" xfId="1737"/>
    <cellStyle name="Comma 4 3 3 2 6" xfId="1738"/>
    <cellStyle name="Comma 4 3 3 3" xfId="1739"/>
    <cellStyle name="Comma 4 3 3 3 2" xfId="1740"/>
    <cellStyle name="Comma 4 3 3 3 2 2" xfId="1741"/>
    <cellStyle name="Comma 4 3 3 3 2 3" xfId="1742"/>
    <cellStyle name="Comma 4 3 3 3 3" xfId="1743"/>
    <cellStyle name="Comma 4 3 3 3 3 2" xfId="1744"/>
    <cellStyle name="Comma 4 3 3 3 3 3" xfId="1745"/>
    <cellStyle name="Comma 4 3 3 3 4" xfId="1746"/>
    <cellStyle name="Comma 4 3 3 3 5" xfId="1747"/>
    <cellStyle name="Comma 4 3 3 4" xfId="1748"/>
    <cellStyle name="Comma 4 3 3 4 2" xfId="1749"/>
    <cellStyle name="Comma 4 3 3 4 3" xfId="1750"/>
    <cellStyle name="Comma 4 3 3 5" xfId="1751"/>
    <cellStyle name="Comma 4 3 3 5 2" xfId="1752"/>
    <cellStyle name="Comma 4 3 3 5 3" xfId="1753"/>
    <cellStyle name="Comma 4 3 3 6" xfId="1754"/>
    <cellStyle name="Comma 4 3 3 7" xfId="1755"/>
    <cellStyle name="Comma 4 3 4" xfId="1756"/>
    <cellStyle name="Comma 4 3 4 2" xfId="1757"/>
    <cellStyle name="Comma 4 3 4 2 2" xfId="1758"/>
    <cellStyle name="Comma 4 3 4 2 2 2" xfId="1759"/>
    <cellStyle name="Comma 4 3 4 2 2 3" xfId="1760"/>
    <cellStyle name="Comma 4 3 4 2 3" xfId="1761"/>
    <cellStyle name="Comma 4 3 4 2 3 2" xfId="1762"/>
    <cellStyle name="Comma 4 3 4 2 3 3" xfId="1763"/>
    <cellStyle name="Comma 4 3 4 2 4" xfId="1764"/>
    <cellStyle name="Comma 4 3 4 2 5" xfId="1765"/>
    <cellStyle name="Comma 4 3 4 3" xfId="1766"/>
    <cellStyle name="Comma 4 3 4 3 2" xfId="1767"/>
    <cellStyle name="Comma 4 3 4 3 3" xfId="1768"/>
    <cellStyle name="Comma 4 3 4 4" xfId="1769"/>
    <cellStyle name="Comma 4 3 4 4 2" xfId="1770"/>
    <cellStyle name="Comma 4 3 4 4 3" xfId="1771"/>
    <cellStyle name="Comma 4 3 4 5" xfId="1772"/>
    <cellStyle name="Comma 4 3 4 6" xfId="1773"/>
    <cellStyle name="Comma 4 3 5" xfId="1774"/>
    <cellStyle name="Comma 4 3 5 2" xfId="1775"/>
    <cellStyle name="Comma 4 3 5 2 2" xfId="1776"/>
    <cellStyle name="Comma 4 3 5 2 3" xfId="1777"/>
    <cellStyle name="Comma 4 3 5 3" xfId="1778"/>
    <cellStyle name="Comma 4 3 5 3 2" xfId="1779"/>
    <cellStyle name="Comma 4 3 5 3 3" xfId="1780"/>
    <cellStyle name="Comma 4 3 5 4" xfId="1781"/>
    <cellStyle name="Comma 4 3 5 5" xfId="1782"/>
    <cellStyle name="Comma 4 3 6" xfId="1783"/>
    <cellStyle name="Comma 4 3 6 2" xfId="1784"/>
    <cellStyle name="Comma 4 3 6 3" xfId="1785"/>
    <cellStyle name="Comma 4 3 7" xfId="1786"/>
    <cellStyle name="Comma 4 3 7 2" xfId="1787"/>
    <cellStyle name="Comma 4 3 7 3" xfId="1788"/>
    <cellStyle name="Comma 4 3 8" xfId="1789"/>
    <cellStyle name="Comma 4 3 9" xfId="1790"/>
    <cellStyle name="Comma 4 4" xfId="287"/>
    <cellStyle name="Comma 4 4 10" xfId="1791"/>
    <cellStyle name="Comma 4 4 2" xfId="1792"/>
    <cellStyle name="Comma 4 4 2 2" xfId="1793"/>
    <cellStyle name="Comma 4 4 2 2 2" xfId="1794"/>
    <cellStyle name="Comma 4 4 2 2 2 2" xfId="1795"/>
    <cellStyle name="Comma 4 4 2 2 2 2 2" xfId="1796"/>
    <cellStyle name="Comma 4 4 2 2 2 2 3" xfId="1797"/>
    <cellStyle name="Comma 4 4 2 2 2 3" xfId="1798"/>
    <cellStyle name="Comma 4 4 2 2 2 3 2" xfId="1799"/>
    <cellStyle name="Comma 4 4 2 2 2 3 3" xfId="1800"/>
    <cellStyle name="Comma 4 4 2 2 2 4" xfId="1801"/>
    <cellStyle name="Comma 4 4 2 2 2 5" xfId="1802"/>
    <cellStyle name="Comma 4 4 2 2 3" xfId="1803"/>
    <cellStyle name="Comma 4 4 2 2 3 2" xfId="1804"/>
    <cellStyle name="Comma 4 4 2 2 3 3" xfId="1805"/>
    <cellStyle name="Comma 4 4 2 2 4" xfId="1806"/>
    <cellStyle name="Comma 4 4 2 2 4 2" xfId="1807"/>
    <cellStyle name="Comma 4 4 2 2 4 3" xfId="1808"/>
    <cellStyle name="Comma 4 4 2 2 5" xfId="1809"/>
    <cellStyle name="Comma 4 4 2 2 6" xfId="1810"/>
    <cellStyle name="Comma 4 4 2 3" xfId="1811"/>
    <cellStyle name="Comma 4 4 2 3 2" xfId="1812"/>
    <cellStyle name="Comma 4 4 2 3 2 2" xfId="1813"/>
    <cellStyle name="Comma 4 4 2 3 2 3" xfId="1814"/>
    <cellStyle name="Comma 4 4 2 3 3" xfId="1815"/>
    <cellStyle name="Comma 4 4 2 3 3 2" xfId="1816"/>
    <cellStyle name="Comma 4 4 2 3 3 3" xfId="1817"/>
    <cellStyle name="Comma 4 4 2 3 4" xfId="1818"/>
    <cellStyle name="Comma 4 4 2 3 5" xfId="1819"/>
    <cellStyle name="Comma 4 4 2 4" xfId="1820"/>
    <cellStyle name="Comma 4 4 2 4 2" xfId="1821"/>
    <cellStyle name="Comma 4 4 2 4 3" xfId="1822"/>
    <cellStyle name="Comma 4 4 2 5" xfId="1823"/>
    <cellStyle name="Comma 4 4 2 5 2" xfId="1824"/>
    <cellStyle name="Comma 4 4 2 5 3" xfId="1825"/>
    <cellStyle name="Comma 4 4 2 6" xfId="1826"/>
    <cellStyle name="Comma 4 4 2 7" xfId="1827"/>
    <cellStyle name="Comma 4 4 3" xfId="1828"/>
    <cellStyle name="Comma 4 4 3 2" xfId="1829"/>
    <cellStyle name="Comma 4 4 3 2 2" xfId="1830"/>
    <cellStyle name="Comma 4 4 3 2 2 2" xfId="1831"/>
    <cellStyle name="Comma 4 4 3 2 2 3" xfId="1832"/>
    <cellStyle name="Comma 4 4 3 2 3" xfId="1833"/>
    <cellStyle name="Comma 4 4 3 2 3 2" xfId="1834"/>
    <cellStyle name="Comma 4 4 3 2 3 3" xfId="1835"/>
    <cellStyle name="Comma 4 4 3 2 4" xfId="1836"/>
    <cellStyle name="Comma 4 4 3 2 5" xfId="1837"/>
    <cellStyle name="Comma 4 4 3 3" xfId="1838"/>
    <cellStyle name="Comma 4 4 3 3 2" xfId="1839"/>
    <cellStyle name="Comma 4 4 3 3 3" xfId="1840"/>
    <cellStyle name="Comma 4 4 3 4" xfId="1841"/>
    <cellStyle name="Comma 4 4 3 4 2" xfId="1842"/>
    <cellStyle name="Comma 4 4 3 4 3" xfId="1843"/>
    <cellStyle name="Comma 4 4 3 5" xfId="1844"/>
    <cellStyle name="Comma 4 4 3 6" xfId="1845"/>
    <cellStyle name="Comma 4 4 4" xfId="1846"/>
    <cellStyle name="Comma 4 4 4 2" xfId="1847"/>
    <cellStyle name="Comma 4 4 4 2 2" xfId="1848"/>
    <cellStyle name="Comma 4 4 4 2 3" xfId="1849"/>
    <cellStyle name="Comma 4 4 4 3" xfId="1850"/>
    <cellStyle name="Comma 4 4 4 3 2" xfId="1851"/>
    <cellStyle name="Comma 4 4 4 3 3" xfId="1852"/>
    <cellStyle name="Comma 4 4 4 4" xfId="1853"/>
    <cellStyle name="Comma 4 4 4 5" xfId="1854"/>
    <cellStyle name="Comma 4 4 5" xfId="1855"/>
    <cellStyle name="Comma 4 4 5 2" xfId="1856"/>
    <cellStyle name="Comma 4 4 5 3" xfId="1857"/>
    <cellStyle name="Comma 4 4 6" xfId="1858"/>
    <cellStyle name="Comma 4 4 6 2" xfId="1859"/>
    <cellStyle name="Comma 4 4 6 3" xfId="1860"/>
    <cellStyle name="Comma 4 4 7" xfId="1861"/>
    <cellStyle name="Comma 4 4 8" xfId="1862"/>
    <cellStyle name="Comma 4 4 9" xfId="1863"/>
    <cellStyle name="Comma 4 5" xfId="111"/>
    <cellStyle name="Comma 4 5 2" xfId="1864"/>
    <cellStyle name="Comma 4 5 2 2" xfId="1865"/>
    <cellStyle name="Comma 4 5 2 2 2" xfId="1866"/>
    <cellStyle name="Comma 4 5 2 2 2 2" xfId="1867"/>
    <cellStyle name="Comma 4 5 2 2 2 3" xfId="1868"/>
    <cellStyle name="Comma 4 5 2 2 3" xfId="1869"/>
    <cellStyle name="Comma 4 5 2 2 3 2" xfId="1870"/>
    <cellStyle name="Comma 4 5 2 2 3 3" xfId="1871"/>
    <cellStyle name="Comma 4 5 2 2 4" xfId="1872"/>
    <cellStyle name="Comma 4 5 2 2 5" xfId="1873"/>
    <cellStyle name="Comma 4 5 2 3" xfId="1874"/>
    <cellStyle name="Comma 4 5 2 3 2" xfId="1875"/>
    <cellStyle name="Comma 4 5 2 3 3" xfId="1876"/>
    <cellStyle name="Comma 4 5 2 4" xfId="1877"/>
    <cellStyle name="Comma 4 5 2 4 2" xfId="1878"/>
    <cellStyle name="Comma 4 5 2 4 3" xfId="1879"/>
    <cellStyle name="Comma 4 5 2 5" xfId="1880"/>
    <cellStyle name="Comma 4 5 2 6" xfId="1881"/>
    <cellStyle name="Comma 4 5 3" xfId="1882"/>
    <cellStyle name="Comma 4 5 3 2" xfId="1883"/>
    <cellStyle name="Comma 4 5 3 2 2" xfId="1884"/>
    <cellStyle name="Comma 4 5 3 2 3" xfId="1885"/>
    <cellStyle name="Comma 4 5 3 3" xfId="1886"/>
    <cellStyle name="Comma 4 5 3 3 2" xfId="1887"/>
    <cellStyle name="Comma 4 5 3 3 3" xfId="1888"/>
    <cellStyle name="Comma 4 5 3 4" xfId="1889"/>
    <cellStyle name="Comma 4 5 3 5" xfId="1890"/>
    <cellStyle name="Comma 4 5 4" xfId="1891"/>
    <cellStyle name="Comma 4 5 4 2" xfId="1892"/>
    <cellStyle name="Comma 4 5 4 3" xfId="1893"/>
    <cellStyle name="Comma 4 5 5" xfId="1894"/>
    <cellStyle name="Comma 4 5 5 2" xfId="1895"/>
    <cellStyle name="Comma 4 5 5 3" xfId="1896"/>
    <cellStyle name="Comma 4 5 6" xfId="1897"/>
    <cellStyle name="Comma 4 5 7" xfId="1898"/>
    <cellStyle name="Comma 4 6" xfId="277"/>
    <cellStyle name="Comma 4 6 2" xfId="1899"/>
    <cellStyle name="Comma 4 6 2 2" xfId="1900"/>
    <cellStyle name="Comma 4 6 2 2 2" xfId="1901"/>
    <cellStyle name="Comma 4 6 2 2 3" xfId="1902"/>
    <cellStyle name="Comma 4 6 2 3" xfId="1903"/>
    <cellStyle name="Comma 4 6 2 3 2" xfId="1904"/>
    <cellStyle name="Comma 4 6 2 3 3" xfId="1905"/>
    <cellStyle name="Comma 4 6 2 4" xfId="1906"/>
    <cellStyle name="Comma 4 6 2 5" xfId="1907"/>
    <cellStyle name="Comma 4 6 3" xfId="1908"/>
    <cellStyle name="Comma 4 6 3 2" xfId="1909"/>
    <cellStyle name="Comma 4 6 3 3" xfId="1910"/>
    <cellStyle name="Comma 4 6 4" xfId="1911"/>
    <cellStyle name="Comma 4 6 4 2" xfId="1912"/>
    <cellStyle name="Comma 4 6 4 3" xfId="1913"/>
    <cellStyle name="Comma 4 6 5" xfId="1914"/>
    <cellStyle name="Comma 4 6 6" xfId="1915"/>
    <cellStyle name="Comma 4 6 7" xfId="37459"/>
    <cellStyle name="Comma 4 7" xfId="1916"/>
    <cellStyle name="Comma 4 7 2" xfId="1917"/>
    <cellStyle name="Comma 4 7 2 2" xfId="1918"/>
    <cellStyle name="Comma 4 7 2 3" xfId="1919"/>
    <cellStyle name="Comma 4 7 3" xfId="1920"/>
    <cellStyle name="Comma 4 7 3 2" xfId="1921"/>
    <cellStyle name="Comma 4 7 3 3" xfId="1922"/>
    <cellStyle name="Comma 4 7 4" xfId="1923"/>
    <cellStyle name="Comma 4 7 5" xfId="1924"/>
    <cellStyle name="Comma 4 8" xfId="1925"/>
    <cellStyle name="Comma 4 8 2" xfId="1926"/>
    <cellStyle name="Comma 4 8 3" xfId="1927"/>
    <cellStyle name="Comma 4 9" xfId="1928"/>
    <cellStyle name="Comma 4 9 2" xfId="1929"/>
    <cellStyle name="Comma 4 9 3" xfId="1930"/>
    <cellStyle name="Comma 5" xfId="112"/>
    <cellStyle name="Comma 5 10" xfId="1931"/>
    <cellStyle name="Comma 5 11" xfId="1932"/>
    <cellStyle name="Comma 5 2" xfId="1933"/>
    <cellStyle name="Comma 5 2 2" xfId="1934"/>
    <cellStyle name="Comma 5 2 2 2" xfId="1935"/>
    <cellStyle name="Comma 5 2 2 2 2" xfId="1936"/>
    <cellStyle name="Comma 5 2 2 2 2 2" xfId="1937"/>
    <cellStyle name="Comma 5 2 2 2 2 2 2" xfId="1938"/>
    <cellStyle name="Comma 5 2 2 2 2 2 2 2" xfId="1939"/>
    <cellStyle name="Comma 5 2 2 2 2 2 2 3" xfId="1940"/>
    <cellStyle name="Comma 5 2 2 2 2 2 3" xfId="1941"/>
    <cellStyle name="Comma 5 2 2 2 2 2 3 2" xfId="1942"/>
    <cellStyle name="Comma 5 2 2 2 2 2 3 3" xfId="1943"/>
    <cellStyle name="Comma 5 2 2 2 2 2 4" xfId="1944"/>
    <cellStyle name="Comma 5 2 2 2 2 2 5" xfId="1945"/>
    <cellStyle name="Comma 5 2 2 2 2 3" xfId="1946"/>
    <cellStyle name="Comma 5 2 2 2 2 3 2" xfId="1947"/>
    <cellStyle name="Comma 5 2 2 2 2 3 3" xfId="1948"/>
    <cellStyle name="Comma 5 2 2 2 2 4" xfId="1949"/>
    <cellStyle name="Comma 5 2 2 2 2 4 2" xfId="1950"/>
    <cellStyle name="Comma 5 2 2 2 2 4 3" xfId="1951"/>
    <cellStyle name="Comma 5 2 2 2 2 5" xfId="1952"/>
    <cellStyle name="Comma 5 2 2 2 2 6" xfId="1953"/>
    <cellStyle name="Comma 5 2 2 2 3" xfId="1954"/>
    <cellStyle name="Comma 5 2 2 2 3 2" xfId="1955"/>
    <cellStyle name="Comma 5 2 2 2 3 2 2" xfId="1956"/>
    <cellStyle name="Comma 5 2 2 2 3 2 3" xfId="1957"/>
    <cellStyle name="Comma 5 2 2 2 3 3" xfId="1958"/>
    <cellStyle name="Comma 5 2 2 2 3 3 2" xfId="1959"/>
    <cellStyle name="Comma 5 2 2 2 3 3 3" xfId="1960"/>
    <cellStyle name="Comma 5 2 2 2 3 4" xfId="1961"/>
    <cellStyle name="Comma 5 2 2 2 3 5" xfId="1962"/>
    <cellStyle name="Comma 5 2 2 2 4" xfId="1963"/>
    <cellStyle name="Comma 5 2 2 2 4 2" xfId="1964"/>
    <cellStyle name="Comma 5 2 2 2 4 3" xfId="1965"/>
    <cellStyle name="Comma 5 2 2 2 5" xfId="1966"/>
    <cellStyle name="Comma 5 2 2 2 5 2" xfId="1967"/>
    <cellStyle name="Comma 5 2 2 2 5 3" xfId="1968"/>
    <cellStyle name="Comma 5 2 2 2 6" xfId="1969"/>
    <cellStyle name="Comma 5 2 2 2 7" xfId="1970"/>
    <cellStyle name="Comma 5 2 2 3" xfId="1971"/>
    <cellStyle name="Comma 5 2 2 3 2" xfId="1972"/>
    <cellStyle name="Comma 5 2 2 3 2 2" xfId="1973"/>
    <cellStyle name="Comma 5 2 2 3 2 2 2" xfId="1974"/>
    <cellStyle name="Comma 5 2 2 3 2 2 3" xfId="1975"/>
    <cellStyle name="Comma 5 2 2 3 2 3" xfId="1976"/>
    <cellStyle name="Comma 5 2 2 3 2 3 2" xfId="1977"/>
    <cellStyle name="Comma 5 2 2 3 2 3 3" xfId="1978"/>
    <cellStyle name="Comma 5 2 2 3 2 4" xfId="1979"/>
    <cellStyle name="Comma 5 2 2 3 2 5" xfId="1980"/>
    <cellStyle name="Comma 5 2 2 3 3" xfId="1981"/>
    <cellStyle name="Comma 5 2 2 3 3 2" xfId="1982"/>
    <cellStyle name="Comma 5 2 2 3 3 3" xfId="1983"/>
    <cellStyle name="Comma 5 2 2 3 4" xfId="1984"/>
    <cellStyle name="Comma 5 2 2 3 4 2" xfId="1985"/>
    <cellStyle name="Comma 5 2 2 3 4 3" xfId="1986"/>
    <cellStyle name="Comma 5 2 2 3 5" xfId="1987"/>
    <cellStyle name="Comma 5 2 2 3 6" xfId="1988"/>
    <cellStyle name="Comma 5 2 2 4" xfId="1989"/>
    <cellStyle name="Comma 5 2 2 4 2" xfId="1990"/>
    <cellStyle name="Comma 5 2 2 4 2 2" xfId="1991"/>
    <cellStyle name="Comma 5 2 2 4 2 3" xfId="1992"/>
    <cellStyle name="Comma 5 2 2 4 3" xfId="1993"/>
    <cellStyle name="Comma 5 2 2 4 3 2" xfId="1994"/>
    <cellStyle name="Comma 5 2 2 4 3 3" xfId="1995"/>
    <cellStyle name="Comma 5 2 2 4 4" xfId="1996"/>
    <cellStyle name="Comma 5 2 2 4 5" xfId="1997"/>
    <cellStyle name="Comma 5 2 2 5" xfId="1998"/>
    <cellStyle name="Comma 5 2 2 5 2" xfId="1999"/>
    <cellStyle name="Comma 5 2 2 5 3" xfId="2000"/>
    <cellStyle name="Comma 5 2 2 6" xfId="2001"/>
    <cellStyle name="Comma 5 2 2 6 2" xfId="2002"/>
    <cellStyle name="Comma 5 2 2 6 3" xfId="2003"/>
    <cellStyle name="Comma 5 2 2 7" xfId="2004"/>
    <cellStyle name="Comma 5 2 2 8" xfId="2005"/>
    <cellStyle name="Comma 5 2 3" xfId="2006"/>
    <cellStyle name="Comma 5 2 3 2" xfId="2007"/>
    <cellStyle name="Comma 5 2 3 2 2" xfId="2008"/>
    <cellStyle name="Comma 5 2 3 2 2 2" xfId="2009"/>
    <cellStyle name="Comma 5 2 3 2 2 2 2" xfId="2010"/>
    <cellStyle name="Comma 5 2 3 2 2 2 3" xfId="2011"/>
    <cellStyle name="Comma 5 2 3 2 2 3" xfId="2012"/>
    <cellStyle name="Comma 5 2 3 2 2 3 2" xfId="2013"/>
    <cellStyle name="Comma 5 2 3 2 2 3 3" xfId="2014"/>
    <cellStyle name="Comma 5 2 3 2 2 4" xfId="2015"/>
    <cellStyle name="Comma 5 2 3 2 2 5" xfId="2016"/>
    <cellStyle name="Comma 5 2 3 2 3" xfId="2017"/>
    <cellStyle name="Comma 5 2 3 2 3 2" xfId="2018"/>
    <cellStyle name="Comma 5 2 3 2 3 3" xfId="2019"/>
    <cellStyle name="Comma 5 2 3 2 4" xfId="2020"/>
    <cellStyle name="Comma 5 2 3 2 4 2" xfId="2021"/>
    <cellStyle name="Comma 5 2 3 2 4 3" xfId="2022"/>
    <cellStyle name="Comma 5 2 3 2 5" xfId="2023"/>
    <cellStyle name="Comma 5 2 3 2 6" xfId="2024"/>
    <cellStyle name="Comma 5 2 3 3" xfId="2025"/>
    <cellStyle name="Comma 5 2 3 3 2" xfId="2026"/>
    <cellStyle name="Comma 5 2 3 3 2 2" xfId="2027"/>
    <cellStyle name="Comma 5 2 3 3 2 3" xfId="2028"/>
    <cellStyle name="Comma 5 2 3 3 3" xfId="2029"/>
    <cellStyle name="Comma 5 2 3 3 3 2" xfId="2030"/>
    <cellStyle name="Comma 5 2 3 3 3 3" xfId="2031"/>
    <cellStyle name="Comma 5 2 3 3 4" xfId="2032"/>
    <cellStyle name="Comma 5 2 3 3 5" xfId="2033"/>
    <cellStyle name="Comma 5 2 3 4" xfId="2034"/>
    <cellStyle name="Comma 5 2 3 4 2" xfId="2035"/>
    <cellStyle name="Comma 5 2 3 4 3" xfId="2036"/>
    <cellStyle name="Comma 5 2 3 5" xfId="2037"/>
    <cellStyle name="Comma 5 2 3 5 2" xfId="2038"/>
    <cellStyle name="Comma 5 2 3 5 3" xfId="2039"/>
    <cellStyle name="Comma 5 2 3 6" xfId="2040"/>
    <cellStyle name="Comma 5 2 3 7" xfId="2041"/>
    <cellStyle name="Comma 5 2 4" xfId="2042"/>
    <cellStyle name="Comma 5 2 4 2" xfId="2043"/>
    <cellStyle name="Comma 5 2 4 2 2" xfId="2044"/>
    <cellStyle name="Comma 5 2 4 2 2 2" xfId="2045"/>
    <cellStyle name="Comma 5 2 4 2 2 3" xfId="2046"/>
    <cellStyle name="Comma 5 2 4 2 3" xfId="2047"/>
    <cellStyle name="Comma 5 2 4 2 3 2" xfId="2048"/>
    <cellStyle name="Comma 5 2 4 2 3 3" xfId="2049"/>
    <cellStyle name="Comma 5 2 4 2 4" xfId="2050"/>
    <cellStyle name="Comma 5 2 4 2 5" xfId="2051"/>
    <cellStyle name="Comma 5 2 4 3" xfId="2052"/>
    <cellStyle name="Comma 5 2 4 3 2" xfId="2053"/>
    <cellStyle name="Comma 5 2 4 3 3" xfId="2054"/>
    <cellStyle name="Comma 5 2 4 4" xfId="2055"/>
    <cellStyle name="Comma 5 2 4 4 2" xfId="2056"/>
    <cellStyle name="Comma 5 2 4 4 3" xfId="2057"/>
    <cellStyle name="Comma 5 2 4 5" xfId="2058"/>
    <cellStyle name="Comma 5 2 4 6" xfId="2059"/>
    <cellStyle name="Comma 5 2 5" xfId="2060"/>
    <cellStyle name="Comma 5 2 5 2" xfId="2061"/>
    <cellStyle name="Comma 5 2 5 2 2" xfId="2062"/>
    <cellStyle name="Comma 5 2 5 2 3" xfId="2063"/>
    <cellStyle name="Comma 5 2 5 3" xfId="2064"/>
    <cellStyle name="Comma 5 2 5 3 2" xfId="2065"/>
    <cellStyle name="Comma 5 2 5 3 3" xfId="2066"/>
    <cellStyle name="Comma 5 2 5 4" xfId="2067"/>
    <cellStyle name="Comma 5 2 5 5" xfId="2068"/>
    <cellStyle name="Comma 5 2 6" xfId="2069"/>
    <cellStyle name="Comma 5 2 6 2" xfId="2070"/>
    <cellStyle name="Comma 5 2 6 3" xfId="2071"/>
    <cellStyle name="Comma 5 2 7" xfId="2072"/>
    <cellStyle name="Comma 5 2 7 2" xfId="2073"/>
    <cellStyle name="Comma 5 2 7 3" xfId="2074"/>
    <cellStyle name="Comma 5 2 8" xfId="2075"/>
    <cellStyle name="Comma 5 2 9" xfId="2076"/>
    <cellStyle name="Comma 5 3" xfId="2077"/>
    <cellStyle name="Comma 5 3 2" xfId="2078"/>
    <cellStyle name="Comma 5 3 2 2" xfId="2079"/>
    <cellStyle name="Comma 5 3 2 2 2" xfId="2080"/>
    <cellStyle name="Comma 5 3 2 2 2 2" xfId="2081"/>
    <cellStyle name="Comma 5 3 2 2 2 2 2" xfId="2082"/>
    <cellStyle name="Comma 5 3 2 2 2 2 3" xfId="2083"/>
    <cellStyle name="Comma 5 3 2 2 2 3" xfId="2084"/>
    <cellStyle name="Comma 5 3 2 2 2 3 2" xfId="2085"/>
    <cellStyle name="Comma 5 3 2 2 2 3 3" xfId="2086"/>
    <cellStyle name="Comma 5 3 2 2 2 4" xfId="2087"/>
    <cellStyle name="Comma 5 3 2 2 2 5" xfId="2088"/>
    <cellStyle name="Comma 5 3 2 2 3" xfId="2089"/>
    <cellStyle name="Comma 5 3 2 2 3 2" xfId="2090"/>
    <cellStyle name="Comma 5 3 2 2 3 3" xfId="2091"/>
    <cellStyle name="Comma 5 3 2 2 4" xfId="2092"/>
    <cellStyle name="Comma 5 3 2 2 4 2" xfId="2093"/>
    <cellStyle name="Comma 5 3 2 2 4 3" xfId="2094"/>
    <cellStyle name="Comma 5 3 2 2 5" xfId="2095"/>
    <cellStyle name="Comma 5 3 2 2 6" xfId="2096"/>
    <cellStyle name="Comma 5 3 2 3" xfId="2097"/>
    <cellStyle name="Comma 5 3 2 3 2" xfId="2098"/>
    <cellStyle name="Comma 5 3 2 3 2 2" xfId="2099"/>
    <cellStyle name="Comma 5 3 2 3 2 3" xfId="2100"/>
    <cellStyle name="Comma 5 3 2 3 3" xfId="2101"/>
    <cellStyle name="Comma 5 3 2 3 3 2" xfId="2102"/>
    <cellStyle name="Comma 5 3 2 3 3 3" xfId="2103"/>
    <cellStyle name="Comma 5 3 2 3 4" xfId="2104"/>
    <cellStyle name="Comma 5 3 2 3 5" xfId="2105"/>
    <cellStyle name="Comma 5 3 2 4" xfId="2106"/>
    <cellStyle name="Comma 5 3 2 4 2" xfId="2107"/>
    <cellStyle name="Comma 5 3 2 4 3" xfId="2108"/>
    <cellStyle name="Comma 5 3 2 5" xfId="2109"/>
    <cellStyle name="Comma 5 3 2 5 2" xfId="2110"/>
    <cellStyle name="Comma 5 3 2 5 3" xfId="2111"/>
    <cellStyle name="Comma 5 3 2 6" xfId="2112"/>
    <cellStyle name="Comma 5 3 2 7" xfId="2113"/>
    <cellStyle name="Comma 5 3 3" xfId="2114"/>
    <cellStyle name="Comma 5 3 3 2" xfId="2115"/>
    <cellStyle name="Comma 5 3 3 2 2" xfId="2116"/>
    <cellStyle name="Comma 5 3 3 2 2 2" xfId="2117"/>
    <cellStyle name="Comma 5 3 3 2 2 3" xfId="2118"/>
    <cellStyle name="Comma 5 3 3 2 3" xfId="2119"/>
    <cellStyle name="Comma 5 3 3 2 3 2" xfId="2120"/>
    <cellStyle name="Comma 5 3 3 2 3 3" xfId="2121"/>
    <cellStyle name="Comma 5 3 3 2 4" xfId="2122"/>
    <cellStyle name="Comma 5 3 3 2 5" xfId="2123"/>
    <cellStyle name="Comma 5 3 3 3" xfId="2124"/>
    <cellStyle name="Comma 5 3 3 3 2" xfId="2125"/>
    <cellStyle name="Comma 5 3 3 3 3" xfId="2126"/>
    <cellStyle name="Comma 5 3 3 4" xfId="2127"/>
    <cellStyle name="Comma 5 3 3 4 2" xfId="2128"/>
    <cellStyle name="Comma 5 3 3 4 3" xfId="2129"/>
    <cellStyle name="Comma 5 3 3 5" xfId="2130"/>
    <cellStyle name="Comma 5 3 3 6" xfId="2131"/>
    <cellStyle name="Comma 5 3 4" xfId="2132"/>
    <cellStyle name="Comma 5 3 4 2" xfId="2133"/>
    <cellStyle name="Comma 5 3 4 2 2" xfId="2134"/>
    <cellStyle name="Comma 5 3 4 2 3" xfId="2135"/>
    <cellStyle name="Comma 5 3 4 3" xfId="2136"/>
    <cellStyle name="Comma 5 3 4 3 2" xfId="2137"/>
    <cellStyle name="Comma 5 3 4 3 3" xfId="2138"/>
    <cellStyle name="Comma 5 3 4 4" xfId="2139"/>
    <cellStyle name="Comma 5 3 4 5" xfId="2140"/>
    <cellStyle name="Comma 5 3 5" xfId="2141"/>
    <cellStyle name="Comma 5 3 5 2" xfId="2142"/>
    <cellStyle name="Comma 5 3 5 3" xfId="2143"/>
    <cellStyle name="Comma 5 3 6" xfId="2144"/>
    <cellStyle name="Comma 5 3 6 2" xfId="2145"/>
    <cellStyle name="Comma 5 3 6 3" xfId="2146"/>
    <cellStyle name="Comma 5 3 7" xfId="2147"/>
    <cellStyle name="Comma 5 3 8" xfId="2148"/>
    <cellStyle name="Comma 5 4" xfId="2149"/>
    <cellStyle name="Comma 5 4 2" xfId="2150"/>
    <cellStyle name="Comma 5 4 2 2" xfId="2151"/>
    <cellStyle name="Comma 5 4 2 2 2" xfId="2152"/>
    <cellStyle name="Comma 5 4 2 2 2 2" xfId="2153"/>
    <cellStyle name="Comma 5 4 2 2 2 2 2" xfId="2154"/>
    <cellStyle name="Comma 5 4 2 2 2 2 3" xfId="2155"/>
    <cellStyle name="Comma 5 4 2 2 2 3" xfId="2156"/>
    <cellStyle name="Comma 5 4 2 2 2 3 2" xfId="2157"/>
    <cellStyle name="Comma 5 4 2 2 2 3 3" xfId="2158"/>
    <cellStyle name="Comma 5 4 2 2 2 4" xfId="2159"/>
    <cellStyle name="Comma 5 4 2 2 2 5" xfId="2160"/>
    <cellStyle name="Comma 5 4 2 2 3" xfId="2161"/>
    <cellStyle name="Comma 5 4 2 2 3 2" xfId="2162"/>
    <cellStyle name="Comma 5 4 2 2 3 3" xfId="2163"/>
    <cellStyle name="Comma 5 4 2 2 4" xfId="2164"/>
    <cellStyle name="Comma 5 4 2 2 4 2" xfId="2165"/>
    <cellStyle name="Comma 5 4 2 2 4 3" xfId="2166"/>
    <cellStyle name="Comma 5 4 2 2 5" xfId="2167"/>
    <cellStyle name="Comma 5 4 2 2 6" xfId="2168"/>
    <cellStyle name="Comma 5 4 2 3" xfId="2169"/>
    <cellStyle name="Comma 5 4 2 3 2" xfId="2170"/>
    <cellStyle name="Comma 5 4 2 3 2 2" xfId="2171"/>
    <cellStyle name="Comma 5 4 2 3 2 3" xfId="2172"/>
    <cellStyle name="Comma 5 4 2 3 3" xfId="2173"/>
    <cellStyle name="Comma 5 4 2 3 3 2" xfId="2174"/>
    <cellStyle name="Comma 5 4 2 3 3 3" xfId="2175"/>
    <cellStyle name="Comma 5 4 2 3 4" xfId="2176"/>
    <cellStyle name="Comma 5 4 2 3 5" xfId="2177"/>
    <cellStyle name="Comma 5 4 2 4" xfId="2178"/>
    <cellStyle name="Comma 5 4 2 4 2" xfId="2179"/>
    <cellStyle name="Comma 5 4 2 4 3" xfId="2180"/>
    <cellStyle name="Comma 5 4 2 5" xfId="2181"/>
    <cellStyle name="Comma 5 4 2 5 2" xfId="2182"/>
    <cellStyle name="Comma 5 4 2 5 3" xfId="2183"/>
    <cellStyle name="Comma 5 4 2 6" xfId="2184"/>
    <cellStyle name="Comma 5 4 2 7" xfId="2185"/>
    <cellStyle name="Comma 5 4 3" xfId="2186"/>
    <cellStyle name="Comma 5 4 3 2" xfId="2187"/>
    <cellStyle name="Comma 5 4 3 2 2" xfId="2188"/>
    <cellStyle name="Comma 5 4 3 2 2 2" xfId="2189"/>
    <cellStyle name="Comma 5 4 3 2 2 3" xfId="2190"/>
    <cellStyle name="Comma 5 4 3 2 3" xfId="2191"/>
    <cellStyle name="Comma 5 4 3 2 3 2" xfId="2192"/>
    <cellStyle name="Comma 5 4 3 2 3 3" xfId="2193"/>
    <cellStyle name="Comma 5 4 3 2 4" xfId="2194"/>
    <cellStyle name="Comma 5 4 3 2 5" xfId="2195"/>
    <cellStyle name="Comma 5 4 3 3" xfId="2196"/>
    <cellStyle name="Comma 5 4 3 3 2" xfId="2197"/>
    <cellStyle name="Comma 5 4 3 3 3" xfId="2198"/>
    <cellStyle name="Comma 5 4 3 4" xfId="2199"/>
    <cellStyle name="Comma 5 4 3 4 2" xfId="2200"/>
    <cellStyle name="Comma 5 4 3 4 3" xfId="2201"/>
    <cellStyle name="Comma 5 4 3 5" xfId="2202"/>
    <cellStyle name="Comma 5 4 3 6" xfId="2203"/>
    <cellStyle name="Comma 5 4 4" xfId="2204"/>
    <cellStyle name="Comma 5 4 4 2" xfId="2205"/>
    <cellStyle name="Comma 5 4 4 2 2" xfId="2206"/>
    <cellStyle name="Comma 5 4 4 2 3" xfId="2207"/>
    <cellStyle name="Comma 5 4 4 3" xfId="2208"/>
    <cellStyle name="Comma 5 4 4 3 2" xfId="2209"/>
    <cellStyle name="Comma 5 4 4 3 3" xfId="2210"/>
    <cellStyle name="Comma 5 4 4 4" xfId="2211"/>
    <cellStyle name="Comma 5 4 4 5" xfId="2212"/>
    <cellStyle name="Comma 5 4 5" xfId="2213"/>
    <cellStyle name="Comma 5 4 5 2" xfId="2214"/>
    <cellStyle name="Comma 5 4 5 3" xfId="2215"/>
    <cellStyle name="Comma 5 4 6" xfId="2216"/>
    <cellStyle name="Comma 5 4 6 2" xfId="2217"/>
    <cellStyle name="Comma 5 4 6 3" xfId="2218"/>
    <cellStyle name="Comma 5 4 7" xfId="2219"/>
    <cellStyle name="Comma 5 4 8" xfId="2220"/>
    <cellStyle name="Comma 5 5" xfId="2221"/>
    <cellStyle name="Comma 5 5 2" xfId="2222"/>
    <cellStyle name="Comma 5 5 2 2" xfId="2223"/>
    <cellStyle name="Comma 5 5 2 2 2" xfId="2224"/>
    <cellStyle name="Comma 5 5 2 2 2 2" xfId="2225"/>
    <cellStyle name="Comma 5 5 2 2 2 3" xfId="2226"/>
    <cellStyle name="Comma 5 5 2 2 3" xfId="2227"/>
    <cellStyle name="Comma 5 5 2 2 3 2" xfId="2228"/>
    <cellStyle name="Comma 5 5 2 2 3 3" xfId="2229"/>
    <cellStyle name="Comma 5 5 2 2 4" xfId="2230"/>
    <cellStyle name="Comma 5 5 2 2 5" xfId="2231"/>
    <cellStyle name="Comma 5 5 2 3" xfId="2232"/>
    <cellStyle name="Comma 5 5 2 3 2" xfId="2233"/>
    <cellStyle name="Comma 5 5 2 3 3" xfId="2234"/>
    <cellStyle name="Comma 5 5 2 4" xfId="2235"/>
    <cellStyle name="Comma 5 5 2 4 2" xfId="2236"/>
    <cellStyle name="Comma 5 5 2 4 3" xfId="2237"/>
    <cellStyle name="Comma 5 5 2 5" xfId="2238"/>
    <cellStyle name="Comma 5 5 2 6" xfId="2239"/>
    <cellStyle name="Comma 5 5 3" xfId="2240"/>
    <cellStyle name="Comma 5 5 3 2" xfId="2241"/>
    <cellStyle name="Comma 5 5 3 2 2" xfId="2242"/>
    <cellStyle name="Comma 5 5 3 2 3" xfId="2243"/>
    <cellStyle name="Comma 5 5 3 3" xfId="2244"/>
    <cellStyle name="Comma 5 5 3 3 2" xfId="2245"/>
    <cellStyle name="Comma 5 5 3 3 3" xfId="2246"/>
    <cellStyle name="Comma 5 5 3 4" xfId="2247"/>
    <cellStyle name="Comma 5 5 3 5" xfId="2248"/>
    <cellStyle name="Comma 5 5 4" xfId="2249"/>
    <cellStyle name="Comma 5 5 4 2" xfId="2250"/>
    <cellStyle name="Comma 5 5 4 3" xfId="2251"/>
    <cellStyle name="Comma 5 5 5" xfId="2252"/>
    <cellStyle name="Comma 5 5 5 2" xfId="2253"/>
    <cellStyle name="Comma 5 5 5 3" xfId="2254"/>
    <cellStyle name="Comma 5 5 6" xfId="2255"/>
    <cellStyle name="Comma 5 5 7" xfId="2256"/>
    <cellStyle name="Comma 5 6" xfId="2257"/>
    <cellStyle name="Comma 5 6 2" xfId="2258"/>
    <cellStyle name="Comma 5 6 2 2" xfId="2259"/>
    <cellStyle name="Comma 5 6 2 2 2" xfId="2260"/>
    <cellStyle name="Comma 5 6 2 2 3" xfId="2261"/>
    <cellStyle name="Comma 5 6 2 3" xfId="2262"/>
    <cellStyle name="Comma 5 6 2 3 2" xfId="2263"/>
    <cellStyle name="Comma 5 6 2 3 3" xfId="2264"/>
    <cellStyle name="Comma 5 6 2 4" xfId="2265"/>
    <cellStyle name="Comma 5 6 2 5" xfId="2266"/>
    <cellStyle name="Comma 5 6 3" xfId="2267"/>
    <cellStyle name="Comma 5 6 3 2" xfId="2268"/>
    <cellStyle name="Comma 5 6 3 3" xfId="2269"/>
    <cellStyle name="Comma 5 6 4" xfId="2270"/>
    <cellStyle name="Comma 5 6 4 2" xfId="2271"/>
    <cellStyle name="Comma 5 6 4 3" xfId="2272"/>
    <cellStyle name="Comma 5 6 5" xfId="2273"/>
    <cellStyle name="Comma 5 6 6" xfId="2274"/>
    <cellStyle name="Comma 5 7" xfId="2275"/>
    <cellStyle name="Comma 5 7 2" xfId="2276"/>
    <cellStyle name="Comma 5 7 2 2" xfId="2277"/>
    <cellStyle name="Comma 5 7 2 3" xfId="2278"/>
    <cellStyle name="Comma 5 7 3" xfId="2279"/>
    <cellStyle name="Comma 5 7 3 2" xfId="2280"/>
    <cellStyle name="Comma 5 7 3 3" xfId="2281"/>
    <cellStyle name="Comma 5 7 4" xfId="2282"/>
    <cellStyle name="Comma 5 7 5" xfId="2283"/>
    <cellStyle name="Comma 5 8" xfId="2284"/>
    <cellStyle name="Comma 5 8 2" xfId="2285"/>
    <cellStyle name="Comma 5 8 3" xfId="2286"/>
    <cellStyle name="Comma 5 9" xfId="2287"/>
    <cellStyle name="Comma 5 9 2" xfId="2288"/>
    <cellStyle name="Comma 5 9 3" xfId="2289"/>
    <cellStyle name="Comma 6" xfId="113"/>
    <cellStyle name="Comma 6 10" xfId="2290"/>
    <cellStyle name="Comma 6 11" xfId="2291"/>
    <cellStyle name="Comma 6 2" xfId="321"/>
    <cellStyle name="Comma 6 2 2" xfId="2292"/>
    <cellStyle name="Comma 6 2 2 2" xfId="2293"/>
    <cellStyle name="Comma 6 2 2 2 2" xfId="2294"/>
    <cellStyle name="Comma 6 2 2 2 2 2" xfId="2295"/>
    <cellStyle name="Comma 6 2 2 2 2 2 2" xfId="2296"/>
    <cellStyle name="Comma 6 2 2 2 2 2 2 2" xfId="2297"/>
    <cellStyle name="Comma 6 2 2 2 2 2 2 3" xfId="2298"/>
    <cellStyle name="Comma 6 2 2 2 2 2 3" xfId="2299"/>
    <cellStyle name="Comma 6 2 2 2 2 2 3 2" xfId="2300"/>
    <cellStyle name="Comma 6 2 2 2 2 2 3 3" xfId="2301"/>
    <cellStyle name="Comma 6 2 2 2 2 2 4" xfId="2302"/>
    <cellStyle name="Comma 6 2 2 2 2 2 5" xfId="2303"/>
    <cellStyle name="Comma 6 2 2 2 2 3" xfId="2304"/>
    <cellStyle name="Comma 6 2 2 2 2 3 2" xfId="2305"/>
    <cellStyle name="Comma 6 2 2 2 2 3 3" xfId="2306"/>
    <cellStyle name="Comma 6 2 2 2 2 4" xfId="2307"/>
    <cellStyle name="Comma 6 2 2 2 2 4 2" xfId="2308"/>
    <cellStyle name="Comma 6 2 2 2 2 4 3" xfId="2309"/>
    <cellStyle name="Comma 6 2 2 2 2 5" xfId="2310"/>
    <cellStyle name="Comma 6 2 2 2 2 6" xfId="2311"/>
    <cellStyle name="Comma 6 2 2 2 3" xfId="2312"/>
    <cellStyle name="Comma 6 2 2 2 3 2" xfId="2313"/>
    <cellStyle name="Comma 6 2 2 2 3 2 2" xfId="2314"/>
    <cellStyle name="Comma 6 2 2 2 3 2 3" xfId="2315"/>
    <cellStyle name="Comma 6 2 2 2 3 3" xfId="2316"/>
    <cellStyle name="Comma 6 2 2 2 3 3 2" xfId="2317"/>
    <cellStyle name="Comma 6 2 2 2 3 3 3" xfId="2318"/>
    <cellStyle name="Comma 6 2 2 2 3 4" xfId="2319"/>
    <cellStyle name="Comma 6 2 2 2 3 5" xfId="2320"/>
    <cellStyle name="Comma 6 2 2 2 4" xfId="2321"/>
    <cellStyle name="Comma 6 2 2 2 4 2" xfId="2322"/>
    <cellStyle name="Comma 6 2 2 2 4 3" xfId="2323"/>
    <cellStyle name="Comma 6 2 2 2 5" xfId="2324"/>
    <cellStyle name="Comma 6 2 2 2 5 2" xfId="2325"/>
    <cellStyle name="Comma 6 2 2 2 5 3" xfId="2326"/>
    <cellStyle name="Comma 6 2 2 2 6" xfId="2327"/>
    <cellStyle name="Comma 6 2 2 2 7" xfId="2328"/>
    <cellStyle name="Comma 6 2 2 3" xfId="2329"/>
    <cellStyle name="Comma 6 2 2 3 2" xfId="2330"/>
    <cellStyle name="Comma 6 2 2 3 2 2" xfId="2331"/>
    <cellStyle name="Comma 6 2 2 3 2 2 2" xfId="2332"/>
    <cellStyle name="Comma 6 2 2 3 2 2 3" xfId="2333"/>
    <cellStyle name="Comma 6 2 2 3 2 3" xfId="2334"/>
    <cellStyle name="Comma 6 2 2 3 2 3 2" xfId="2335"/>
    <cellStyle name="Comma 6 2 2 3 2 3 3" xfId="2336"/>
    <cellStyle name="Comma 6 2 2 3 2 4" xfId="2337"/>
    <cellStyle name="Comma 6 2 2 3 2 5" xfId="2338"/>
    <cellStyle name="Comma 6 2 2 3 3" xfId="2339"/>
    <cellStyle name="Comma 6 2 2 3 3 2" xfId="2340"/>
    <cellStyle name="Comma 6 2 2 3 3 3" xfId="2341"/>
    <cellStyle name="Comma 6 2 2 3 4" xfId="2342"/>
    <cellStyle name="Comma 6 2 2 3 4 2" xfId="2343"/>
    <cellStyle name="Comma 6 2 2 3 4 3" xfId="2344"/>
    <cellStyle name="Comma 6 2 2 3 5" xfId="2345"/>
    <cellStyle name="Comma 6 2 2 3 6" xfId="2346"/>
    <cellStyle name="Comma 6 2 2 4" xfId="2347"/>
    <cellStyle name="Comma 6 2 2 4 2" xfId="2348"/>
    <cellStyle name="Comma 6 2 2 4 2 2" xfId="2349"/>
    <cellStyle name="Comma 6 2 2 4 2 3" xfId="2350"/>
    <cellStyle name="Comma 6 2 2 4 3" xfId="2351"/>
    <cellStyle name="Comma 6 2 2 4 3 2" xfId="2352"/>
    <cellStyle name="Comma 6 2 2 4 3 3" xfId="2353"/>
    <cellStyle name="Comma 6 2 2 4 4" xfId="2354"/>
    <cellStyle name="Comma 6 2 2 4 5" xfId="2355"/>
    <cellStyle name="Comma 6 2 2 5" xfId="2356"/>
    <cellStyle name="Comma 6 2 2 5 2" xfId="2357"/>
    <cellStyle name="Comma 6 2 2 5 3" xfId="2358"/>
    <cellStyle name="Comma 6 2 2 6" xfId="2359"/>
    <cellStyle name="Comma 6 2 2 6 2" xfId="2360"/>
    <cellStyle name="Comma 6 2 2 6 3" xfId="2361"/>
    <cellStyle name="Comma 6 2 2 7" xfId="2362"/>
    <cellStyle name="Comma 6 2 2 8" xfId="2363"/>
    <cellStyle name="Comma 6 2 3" xfId="2364"/>
    <cellStyle name="Comma 6 2 3 2" xfId="2365"/>
    <cellStyle name="Comma 6 2 3 2 2" xfId="2366"/>
    <cellStyle name="Comma 6 2 3 2 2 2" xfId="2367"/>
    <cellStyle name="Comma 6 2 3 2 2 2 2" xfId="2368"/>
    <cellStyle name="Comma 6 2 3 2 2 2 3" xfId="2369"/>
    <cellStyle name="Comma 6 2 3 2 2 3" xfId="2370"/>
    <cellStyle name="Comma 6 2 3 2 2 3 2" xfId="2371"/>
    <cellStyle name="Comma 6 2 3 2 2 3 3" xfId="2372"/>
    <cellStyle name="Comma 6 2 3 2 2 4" xfId="2373"/>
    <cellStyle name="Comma 6 2 3 2 2 5" xfId="2374"/>
    <cellStyle name="Comma 6 2 3 2 3" xfId="2375"/>
    <cellStyle name="Comma 6 2 3 2 3 2" xfId="2376"/>
    <cellStyle name="Comma 6 2 3 2 3 3" xfId="2377"/>
    <cellStyle name="Comma 6 2 3 2 4" xfId="2378"/>
    <cellStyle name="Comma 6 2 3 2 4 2" xfId="2379"/>
    <cellStyle name="Comma 6 2 3 2 4 3" xfId="2380"/>
    <cellStyle name="Comma 6 2 3 2 5" xfId="2381"/>
    <cellStyle name="Comma 6 2 3 2 6" xfId="2382"/>
    <cellStyle name="Comma 6 2 3 3" xfId="2383"/>
    <cellStyle name="Comma 6 2 3 3 2" xfId="2384"/>
    <cellStyle name="Comma 6 2 3 3 2 2" xfId="2385"/>
    <cellStyle name="Comma 6 2 3 3 2 3" xfId="2386"/>
    <cellStyle name="Comma 6 2 3 3 3" xfId="2387"/>
    <cellStyle name="Comma 6 2 3 3 3 2" xfId="2388"/>
    <cellStyle name="Comma 6 2 3 3 3 3" xfId="2389"/>
    <cellStyle name="Comma 6 2 3 3 4" xfId="2390"/>
    <cellStyle name="Comma 6 2 3 3 5" xfId="2391"/>
    <cellStyle name="Comma 6 2 3 4" xfId="2392"/>
    <cellStyle name="Comma 6 2 3 4 2" xfId="2393"/>
    <cellStyle name="Comma 6 2 3 4 3" xfId="2394"/>
    <cellStyle name="Comma 6 2 3 5" xfId="2395"/>
    <cellStyle name="Comma 6 2 3 5 2" xfId="2396"/>
    <cellStyle name="Comma 6 2 3 5 3" xfId="2397"/>
    <cellStyle name="Comma 6 2 3 6" xfId="2398"/>
    <cellStyle name="Comma 6 2 3 7" xfId="2399"/>
    <cellStyle name="Comma 6 2 4" xfId="2400"/>
    <cellStyle name="Comma 6 2 4 2" xfId="2401"/>
    <cellStyle name="Comma 6 2 4 2 2" xfId="2402"/>
    <cellStyle name="Comma 6 2 4 2 2 2" xfId="2403"/>
    <cellStyle name="Comma 6 2 4 2 2 3" xfId="2404"/>
    <cellStyle name="Comma 6 2 4 2 3" xfId="2405"/>
    <cellStyle name="Comma 6 2 4 2 3 2" xfId="2406"/>
    <cellStyle name="Comma 6 2 4 2 3 3" xfId="2407"/>
    <cellStyle name="Comma 6 2 4 2 4" xfId="2408"/>
    <cellStyle name="Comma 6 2 4 2 5" xfId="2409"/>
    <cellStyle name="Comma 6 2 4 3" xfId="2410"/>
    <cellStyle name="Comma 6 2 4 3 2" xfId="2411"/>
    <cellStyle name="Comma 6 2 4 3 3" xfId="2412"/>
    <cellStyle name="Comma 6 2 4 4" xfId="2413"/>
    <cellStyle name="Comma 6 2 4 4 2" xfId="2414"/>
    <cellStyle name="Comma 6 2 4 4 3" xfId="2415"/>
    <cellStyle name="Comma 6 2 4 5" xfId="2416"/>
    <cellStyle name="Comma 6 2 4 6" xfId="2417"/>
    <cellStyle name="Comma 6 2 5" xfId="2418"/>
    <cellStyle name="Comma 6 2 5 2" xfId="2419"/>
    <cellStyle name="Comma 6 2 5 2 2" xfId="2420"/>
    <cellStyle name="Comma 6 2 5 2 3" xfId="2421"/>
    <cellStyle name="Comma 6 2 5 3" xfId="2422"/>
    <cellStyle name="Comma 6 2 5 3 2" xfId="2423"/>
    <cellStyle name="Comma 6 2 5 3 3" xfId="2424"/>
    <cellStyle name="Comma 6 2 5 4" xfId="2425"/>
    <cellStyle name="Comma 6 2 5 5" xfId="2426"/>
    <cellStyle name="Comma 6 2 6" xfId="2427"/>
    <cellStyle name="Comma 6 2 6 2" xfId="2428"/>
    <cellStyle name="Comma 6 2 6 3" xfId="2429"/>
    <cellStyle name="Comma 6 2 7" xfId="2430"/>
    <cellStyle name="Comma 6 2 7 2" xfId="2431"/>
    <cellStyle name="Comma 6 2 7 3" xfId="2432"/>
    <cellStyle name="Comma 6 2 8" xfId="2433"/>
    <cellStyle name="Comma 6 2 9" xfId="2434"/>
    <cellStyle name="Comma 6 3" xfId="2435"/>
    <cellStyle name="Comma 6 3 2" xfId="2436"/>
    <cellStyle name="Comma 6 3 2 2" xfId="2437"/>
    <cellStyle name="Comma 6 3 2 2 2" xfId="2438"/>
    <cellStyle name="Comma 6 3 2 2 2 2" xfId="2439"/>
    <cellStyle name="Comma 6 3 2 2 2 2 2" xfId="2440"/>
    <cellStyle name="Comma 6 3 2 2 2 2 3" xfId="2441"/>
    <cellStyle name="Comma 6 3 2 2 2 3" xfId="2442"/>
    <cellStyle name="Comma 6 3 2 2 2 3 2" xfId="2443"/>
    <cellStyle name="Comma 6 3 2 2 2 3 3" xfId="2444"/>
    <cellStyle name="Comma 6 3 2 2 2 4" xfId="2445"/>
    <cellStyle name="Comma 6 3 2 2 2 5" xfId="2446"/>
    <cellStyle name="Comma 6 3 2 2 3" xfId="2447"/>
    <cellStyle name="Comma 6 3 2 2 3 2" xfId="2448"/>
    <cellStyle name="Comma 6 3 2 2 3 3" xfId="2449"/>
    <cellStyle name="Comma 6 3 2 2 4" xfId="2450"/>
    <cellStyle name="Comma 6 3 2 2 4 2" xfId="2451"/>
    <cellStyle name="Comma 6 3 2 2 4 3" xfId="2452"/>
    <cellStyle name="Comma 6 3 2 2 5" xfId="2453"/>
    <cellStyle name="Comma 6 3 2 2 6" xfId="2454"/>
    <cellStyle name="Comma 6 3 2 3" xfId="2455"/>
    <cellStyle name="Comma 6 3 2 3 2" xfId="2456"/>
    <cellStyle name="Comma 6 3 2 3 2 2" xfId="2457"/>
    <cellStyle name="Comma 6 3 2 3 2 3" xfId="2458"/>
    <cellStyle name="Comma 6 3 2 3 3" xfId="2459"/>
    <cellStyle name="Comma 6 3 2 3 3 2" xfId="2460"/>
    <cellStyle name="Comma 6 3 2 3 3 3" xfId="2461"/>
    <cellStyle name="Comma 6 3 2 3 4" xfId="2462"/>
    <cellStyle name="Comma 6 3 2 3 5" xfId="2463"/>
    <cellStyle name="Comma 6 3 2 3 6" xfId="34858"/>
    <cellStyle name="Comma 6 3 2 4" xfId="2464"/>
    <cellStyle name="Comma 6 3 2 4 2" xfId="2465"/>
    <cellStyle name="Comma 6 3 2 4 3" xfId="2466"/>
    <cellStyle name="Comma 6 3 2 5" xfId="2467"/>
    <cellStyle name="Comma 6 3 2 5 2" xfId="2468"/>
    <cellStyle name="Comma 6 3 2 5 3" xfId="2469"/>
    <cellStyle name="Comma 6 3 2 6" xfId="2470"/>
    <cellStyle name="Comma 6 3 2 7" xfId="2471"/>
    <cellStyle name="Comma 6 3 3" xfId="2472"/>
    <cellStyle name="Comma 6 3 3 2" xfId="2473"/>
    <cellStyle name="Comma 6 3 3 2 2" xfId="2474"/>
    <cellStyle name="Comma 6 3 3 2 2 2" xfId="2475"/>
    <cellStyle name="Comma 6 3 3 2 2 3" xfId="2476"/>
    <cellStyle name="Comma 6 3 3 2 3" xfId="2477"/>
    <cellStyle name="Comma 6 3 3 2 3 2" xfId="2478"/>
    <cellStyle name="Comma 6 3 3 2 3 3" xfId="2479"/>
    <cellStyle name="Comma 6 3 3 2 4" xfId="2480"/>
    <cellStyle name="Comma 6 3 3 2 5" xfId="2481"/>
    <cellStyle name="Comma 6 3 3 3" xfId="2482"/>
    <cellStyle name="Comma 6 3 3 3 2" xfId="2483"/>
    <cellStyle name="Comma 6 3 3 3 3" xfId="2484"/>
    <cellStyle name="Comma 6 3 3 4" xfId="2485"/>
    <cellStyle name="Comma 6 3 3 4 2" xfId="2486"/>
    <cellStyle name="Comma 6 3 3 4 3" xfId="2487"/>
    <cellStyle name="Comma 6 3 3 5" xfId="2488"/>
    <cellStyle name="Comma 6 3 3 6" xfId="2489"/>
    <cellStyle name="Comma 6 3 4" xfId="2490"/>
    <cellStyle name="Comma 6 3 4 2" xfId="2491"/>
    <cellStyle name="Comma 6 3 4 2 2" xfId="2492"/>
    <cellStyle name="Comma 6 3 4 2 3" xfId="2493"/>
    <cellStyle name="Comma 6 3 4 3" xfId="2494"/>
    <cellStyle name="Comma 6 3 4 3 2" xfId="2495"/>
    <cellStyle name="Comma 6 3 4 3 3" xfId="2496"/>
    <cellStyle name="Comma 6 3 4 4" xfId="2497"/>
    <cellStyle name="Comma 6 3 4 5" xfId="2498"/>
    <cellStyle name="Comma 6 3 5" xfId="2499"/>
    <cellStyle name="Comma 6 3 5 2" xfId="2500"/>
    <cellStyle name="Comma 6 3 5 3" xfId="2501"/>
    <cellStyle name="Comma 6 3 6" xfId="2502"/>
    <cellStyle name="Comma 6 3 6 2" xfId="2503"/>
    <cellStyle name="Comma 6 3 6 3" xfId="2504"/>
    <cellStyle name="Comma 6 3 7" xfId="2505"/>
    <cellStyle name="Comma 6 3 8" xfId="2506"/>
    <cellStyle name="Comma 6 4" xfId="2507"/>
    <cellStyle name="Comma 6 4 2" xfId="2508"/>
    <cellStyle name="Comma 6 4 2 2" xfId="2509"/>
    <cellStyle name="Comma 6 4 2 2 2" xfId="2510"/>
    <cellStyle name="Comma 6 4 2 2 2 2" xfId="2511"/>
    <cellStyle name="Comma 6 4 2 2 2 2 2" xfId="2512"/>
    <cellStyle name="Comma 6 4 2 2 2 2 3" xfId="2513"/>
    <cellStyle name="Comma 6 4 2 2 2 3" xfId="2514"/>
    <cellStyle name="Comma 6 4 2 2 2 3 2" xfId="2515"/>
    <cellStyle name="Comma 6 4 2 2 2 3 3" xfId="2516"/>
    <cellStyle name="Comma 6 4 2 2 2 4" xfId="2517"/>
    <cellStyle name="Comma 6 4 2 2 2 5" xfId="2518"/>
    <cellStyle name="Comma 6 4 2 2 3" xfId="2519"/>
    <cellStyle name="Comma 6 4 2 2 3 2" xfId="2520"/>
    <cellStyle name="Comma 6 4 2 2 3 3" xfId="2521"/>
    <cellStyle name="Comma 6 4 2 2 4" xfId="2522"/>
    <cellStyle name="Comma 6 4 2 2 4 2" xfId="2523"/>
    <cellStyle name="Comma 6 4 2 2 4 3" xfId="2524"/>
    <cellStyle name="Comma 6 4 2 2 5" xfId="2525"/>
    <cellStyle name="Comma 6 4 2 2 6" xfId="2526"/>
    <cellStyle name="Comma 6 4 2 3" xfId="2527"/>
    <cellStyle name="Comma 6 4 2 3 2" xfId="2528"/>
    <cellStyle name="Comma 6 4 2 3 2 2" xfId="2529"/>
    <cellStyle name="Comma 6 4 2 3 2 3" xfId="2530"/>
    <cellStyle name="Comma 6 4 2 3 3" xfId="2531"/>
    <cellStyle name="Comma 6 4 2 3 3 2" xfId="2532"/>
    <cellStyle name="Comma 6 4 2 3 3 3" xfId="2533"/>
    <cellStyle name="Comma 6 4 2 3 4" xfId="2534"/>
    <cellStyle name="Comma 6 4 2 3 5" xfId="2535"/>
    <cellStyle name="Comma 6 4 2 4" xfId="2536"/>
    <cellStyle name="Comma 6 4 2 4 2" xfId="2537"/>
    <cellStyle name="Comma 6 4 2 4 3" xfId="2538"/>
    <cellStyle name="Comma 6 4 2 5" xfId="2539"/>
    <cellStyle name="Comma 6 4 2 5 2" xfId="2540"/>
    <cellStyle name="Comma 6 4 2 5 3" xfId="2541"/>
    <cellStyle name="Comma 6 4 2 6" xfId="2542"/>
    <cellStyle name="Comma 6 4 2 7" xfId="2543"/>
    <cellStyle name="Comma 6 4 3" xfId="2544"/>
    <cellStyle name="Comma 6 4 3 2" xfId="2545"/>
    <cellStyle name="Comma 6 4 3 2 2" xfId="2546"/>
    <cellStyle name="Comma 6 4 3 2 2 2" xfId="2547"/>
    <cellStyle name="Comma 6 4 3 2 2 3" xfId="2548"/>
    <cellStyle name="Comma 6 4 3 2 3" xfId="2549"/>
    <cellStyle name="Comma 6 4 3 2 3 2" xfId="2550"/>
    <cellStyle name="Comma 6 4 3 2 3 3" xfId="2551"/>
    <cellStyle name="Comma 6 4 3 2 4" xfId="2552"/>
    <cellStyle name="Comma 6 4 3 2 5" xfId="2553"/>
    <cellStyle name="Comma 6 4 3 3" xfId="2554"/>
    <cellStyle name="Comma 6 4 3 3 2" xfId="2555"/>
    <cellStyle name="Comma 6 4 3 3 3" xfId="2556"/>
    <cellStyle name="Comma 6 4 3 4" xfId="2557"/>
    <cellStyle name="Comma 6 4 3 4 2" xfId="2558"/>
    <cellStyle name="Comma 6 4 3 4 3" xfId="2559"/>
    <cellStyle name="Comma 6 4 3 5" xfId="2560"/>
    <cellStyle name="Comma 6 4 3 6" xfId="2561"/>
    <cellStyle name="Comma 6 4 4" xfId="2562"/>
    <cellStyle name="Comma 6 4 4 2" xfId="2563"/>
    <cellStyle name="Comma 6 4 4 2 2" xfId="2564"/>
    <cellStyle name="Comma 6 4 4 2 3" xfId="2565"/>
    <cellStyle name="Comma 6 4 4 3" xfId="2566"/>
    <cellStyle name="Comma 6 4 4 3 2" xfId="2567"/>
    <cellStyle name="Comma 6 4 4 3 3" xfId="2568"/>
    <cellStyle name="Comma 6 4 4 4" xfId="2569"/>
    <cellStyle name="Comma 6 4 4 5" xfId="2570"/>
    <cellStyle name="Comma 6 4 5" xfId="2571"/>
    <cellStyle name="Comma 6 4 5 2" xfId="2572"/>
    <cellStyle name="Comma 6 4 5 3" xfId="2573"/>
    <cellStyle name="Comma 6 4 6" xfId="2574"/>
    <cellStyle name="Comma 6 4 6 2" xfId="2575"/>
    <cellStyle name="Comma 6 4 6 3" xfId="2576"/>
    <cellStyle name="Comma 6 4 7" xfId="2577"/>
    <cellStyle name="Comma 6 4 8" xfId="2578"/>
    <cellStyle name="Comma 6 5" xfId="2579"/>
    <cellStyle name="Comma 6 5 2" xfId="2580"/>
    <cellStyle name="Comma 6 5 2 2" xfId="2581"/>
    <cellStyle name="Comma 6 5 2 2 2" xfId="2582"/>
    <cellStyle name="Comma 6 5 2 2 2 2" xfId="2583"/>
    <cellStyle name="Comma 6 5 2 2 2 3" xfId="2584"/>
    <cellStyle name="Comma 6 5 2 2 3" xfId="2585"/>
    <cellStyle name="Comma 6 5 2 2 3 2" xfId="2586"/>
    <cellStyle name="Comma 6 5 2 2 3 3" xfId="2587"/>
    <cellStyle name="Comma 6 5 2 2 4" xfId="2588"/>
    <cellStyle name="Comma 6 5 2 2 5" xfId="2589"/>
    <cellStyle name="Comma 6 5 2 3" xfId="2590"/>
    <cellStyle name="Comma 6 5 2 3 2" xfId="2591"/>
    <cellStyle name="Comma 6 5 2 3 3" xfId="2592"/>
    <cellStyle name="Comma 6 5 2 4" xfId="2593"/>
    <cellStyle name="Comma 6 5 2 4 2" xfId="2594"/>
    <cellStyle name="Comma 6 5 2 4 3" xfId="2595"/>
    <cellStyle name="Comma 6 5 2 5" xfId="2596"/>
    <cellStyle name="Comma 6 5 2 6" xfId="2597"/>
    <cellStyle name="Comma 6 5 3" xfId="2598"/>
    <cellStyle name="Comma 6 5 3 2" xfId="2599"/>
    <cellStyle name="Comma 6 5 3 2 2" xfId="2600"/>
    <cellStyle name="Comma 6 5 3 2 3" xfId="2601"/>
    <cellStyle name="Comma 6 5 3 3" xfId="2602"/>
    <cellStyle name="Comma 6 5 3 3 2" xfId="2603"/>
    <cellStyle name="Comma 6 5 3 3 3" xfId="2604"/>
    <cellStyle name="Comma 6 5 3 4" xfId="2605"/>
    <cellStyle name="Comma 6 5 3 5" xfId="2606"/>
    <cellStyle name="Comma 6 5 4" xfId="2607"/>
    <cellStyle name="Comma 6 5 4 2" xfId="2608"/>
    <cellStyle name="Comma 6 5 4 3" xfId="2609"/>
    <cellStyle name="Comma 6 5 5" xfId="2610"/>
    <cellStyle name="Comma 6 5 5 2" xfId="2611"/>
    <cellStyle name="Comma 6 5 5 3" xfId="2612"/>
    <cellStyle name="Comma 6 5 6" xfId="2613"/>
    <cellStyle name="Comma 6 5 7" xfId="2614"/>
    <cellStyle name="Comma 6 6" xfId="2615"/>
    <cellStyle name="Comma 6 6 2" xfId="2616"/>
    <cellStyle name="Comma 6 6 2 2" xfId="2617"/>
    <cellStyle name="Comma 6 6 2 2 2" xfId="2618"/>
    <cellStyle name="Comma 6 6 2 2 3" xfId="2619"/>
    <cellStyle name="Comma 6 6 2 3" xfId="2620"/>
    <cellStyle name="Comma 6 6 2 3 2" xfId="2621"/>
    <cellStyle name="Comma 6 6 2 3 3" xfId="2622"/>
    <cellStyle name="Comma 6 6 2 4" xfId="2623"/>
    <cellStyle name="Comma 6 6 2 5" xfId="2624"/>
    <cellStyle name="Comma 6 6 3" xfId="2625"/>
    <cellStyle name="Comma 6 6 3 2" xfId="2626"/>
    <cellStyle name="Comma 6 6 3 3" xfId="2627"/>
    <cellStyle name="Comma 6 6 4" xfId="2628"/>
    <cellStyle name="Comma 6 6 4 2" xfId="2629"/>
    <cellStyle name="Comma 6 6 4 3" xfId="2630"/>
    <cellStyle name="Comma 6 6 5" xfId="2631"/>
    <cellStyle name="Comma 6 6 6" xfId="2632"/>
    <cellStyle name="Comma 6 7" xfId="2633"/>
    <cellStyle name="Comma 6 7 2" xfId="2634"/>
    <cellStyle name="Comma 6 7 2 2" xfId="2635"/>
    <cellStyle name="Comma 6 7 2 3" xfId="2636"/>
    <cellStyle name="Comma 6 7 3" xfId="2637"/>
    <cellStyle name="Comma 6 7 3 2" xfId="2638"/>
    <cellStyle name="Comma 6 7 3 3" xfId="2639"/>
    <cellStyle name="Comma 6 7 4" xfId="2640"/>
    <cellStyle name="Comma 6 7 5" xfId="2641"/>
    <cellStyle name="Comma 6 8" xfId="2642"/>
    <cellStyle name="Comma 6 8 2" xfId="2643"/>
    <cellStyle name="Comma 6 8 3" xfId="2644"/>
    <cellStyle name="Comma 6 9" xfId="2645"/>
    <cellStyle name="Comma 6 9 2" xfId="2646"/>
    <cellStyle name="Comma 6 9 3" xfId="2647"/>
    <cellStyle name="Comma 7" xfId="114"/>
    <cellStyle name="Comma 7 10" xfId="2648"/>
    <cellStyle name="Comma 7 11" xfId="2649"/>
    <cellStyle name="Comma 7 2" xfId="2650"/>
    <cellStyle name="Comma 7 2 2" xfId="2651"/>
    <cellStyle name="Comma 7 2 2 2" xfId="2652"/>
    <cellStyle name="Comma 7 2 2 2 2" xfId="2653"/>
    <cellStyle name="Comma 7 2 2 2 2 2" xfId="2654"/>
    <cellStyle name="Comma 7 2 2 2 2 2 2" xfId="2655"/>
    <cellStyle name="Comma 7 2 2 2 2 2 2 2" xfId="2656"/>
    <cellStyle name="Comma 7 2 2 2 2 2 2 3" xfId="2657"/>
    <cellStyle name="Comma 7 2 2 2 2 2 3" xfId="2658"/>
    <cellStyle name="Comma 7 2 2 2 2 2 3 2" xfId="2659"/>
    <cellStyle name="Comma 7 2 2 2 2 2 3 3" xfId="2660"/>
    <cellStyle name="Comma 7 2 2 2 2 2 4" xfId="2661"/>
    <cellStyle name="Comma 7 2 2 2 2 2 5" xfId="2662"/>
    <cellStyle name="Comma 7 2 2 2 2 3" xfId="2663"/>
    <cellStyle name="Comma 7 2 2 2 2 3 2" xfId="2664"/>
    <cellStyle name="Comma 7 2 2 2 2 3 3" xfId="2665"/>
    <cellStyle name="Comma 7 2 2 2 2 4" xfId="2666"/>
    <cellStyle name="Comma 7 2 2 2 2 4 2" xfId="2667"/>
    <cellStyle name="Comma 7 2 2 2 2 4 3" xfId="2668"/>
    <cellStyle name="Comma 7 2 2 2 2 5" xfId="2669"/>
    <cellStyle name="Comma 7 2 2 2 2 6" xfId="2670"/>
    <cellStyle name="Comma 7 2 2 2 3" xfId="2671"/>
    <cellStyle name="Comma 7 2 2 2 3 2" xfId="2672"/>
    <cellStyle name="Comma 7 2 2 2 3 2 2" xfId="2673"/>
    <cellStyle name="Comma 7 2 2 2 3 2 3" xfId="2674"/>
    <cellStyle name="Comma 7 2 2 2 3 3" xfId="2675"/>
    <cellStyle name="Comma 7 2 2 2 3 3 2" xfId="2676"/>
    <cellStyle name="Comma 7 2 2 2 3 3 3" xfId="2677"/>
    <cellStyle name="Comma 7 2 2 2 3 4" xfId="2678"/>
    <cellStyle name="Comma 7 2 2 2 3 5" xfId="2679"/>
    <cellStyle name="Comma 7 2 2 2 4" xfId="2680"/>
    <cellStyle name="Comma 7 2 2 2 4 2" xfId="2681"/>
    <cellStyle name="Comma 7 2 2 2 4 3" xfId="2682"/>
    <cellStyle name="Comma 7 2 2 2 5" xfId="2683"/>
    <cellStyle name="Comma 7 2 2 2 5 2" xfId="2684"/>
    <cellStyle name="Comma 7 2 2 2 5 3" xfId="2685"/>
    <cellStyle name="Comma 7 2 2 2 6" xfId="2686"/>
    <cellStyle name="Comma 7 2 2 2 7" xfId="2687"/>
    <cellStyle name="Comma 7 2 2 3" xfId="2688"/>
    <cellStyle name="Comma 7 2 2 3 2" xfId="2689"/>
    <cellStyle name="Comma 7 2 2 3 2 2" xfId="2690"/>
    <cellStyle name="Comma 7 2 2 3 2 2 2" xfId="2691"/>
    <cellStyle name="Comma 7 2 2 3 2 2 3" xfId="2692"/>
    <cellStyle name="Comma 7 2 2 3 2 3" xfId="2693"/>
    <cellStyle name="Comma 7 2 2 3 2 3 2" xfId="2694"/>
    <cellStyle name="Comma 7 2 2 3 2 3 3" xfId="2695"/>
    <cellStyle name="Comma 7 2 2 3 2 4" xfId="2696"/>
    <cellStyle name="Comma 7 2 2 3 2 5" xfId="2697"/>
    <cellStyle name="Comma 7 2 2 3 3" xfId="2698"/>
    <cellStyle name="Comma 7 2 2 3 3 2" xfId="2699"/>
    <cellStyle name="Comma 7 2 2 3 3 3" xfId="2700"/>
    <cellStyle name="Comma 7 2 2 3 4" xfId="2701"/>
    <cellStyle name="Comma 7 2 2 3 4 2" xfId="2702"/>
    <cellStyle name="Comma 7 2 2 3 4 3" xfId="2703"/>
    <cellStyle name="Comma 7 2 2 3 5" xfId="2704"/>
    <cellStyle name="Comma 7 2 2 3 6" xfId="2705"/>
    <cellStyle name="Comma 7 2 2 4" xfId="2706"/>
    <cellStyle name="Comma 7 2 2 4 2" xfId="2707"/>
    <cellStyle name="Comma 7 2 2 4 2 2" xfId="2708"/>
    <cellStyle name="Comma 7 2 2 4 2 3" xfId="2709"/>
    <cellStyle name="Comma 7 2 2 4 3" xfId="2710"/>
    <cellStyle name="Comma 7 2 2 4 3 2" xfId="2711"/>
    <cellStyle name="Comma 7 2 2 4 3 3" xfId="2712"/>
    <cellStyle name="Comma 7 2 2 4 4" xfId="2713"/>
    <cellStyle name="Comma 7 2 2 4 5" xfId="2714"/>
    <cellStyle name="Comma 7 2 2 5" xfId="2715"/>
    <cellStyle name="Comma 7 2 2 5 2" xfId="2716"/>
    <cellStyle name="Comma 7 2 2 5 3" xfId="2717"/>
    <cellStyle name="Comma 7 2 2 6" xfId="2718"/>
    <cellStyle name="Comma 7 2 2 6 2" xfId="2719"/>
    <cellStyle name="Comma 7 2 2 6 3" xfId="2720"/>
    <cellStyle name="Comma 7 2 2 7" xfId="2721"/>
    <cellStyle name="Comma 7 2 2 8" xfId="2722"/>
    <cellStyle name="Comma 7 2 3" xfId="2723"/>
    <cellStyle name="Comma 7 2 3 2" xfId="2724"/>
    <cellStyle name="Comma 7 2 3 2 2" xfId="2725"/>
    <cellStyle name="Comma 7 2 3 2 2 2" xfId="2726"/>
    <cellStyle name="Comma 7 2 3 2 2 2 2" xfId="2727"/>
    <cellStyle name="Comma 7 2 3 2 2 2 3" xfId="2728"/>
    <cellStyle name="Comma 7 2 3 2 2 3" xfId="2729"/>
    <cellStyle name="Comma 7 2 3 2 2 3 2" xfId="2730"/>
    <cellStyle name="Comma 7 2 3 2 2 3 3" xfId="2731"/>
    <cellStyle name="Comma 7 2 3 2 2 4" xfId="2732"/>
    <cellStyle name="Comma 7 2 3 2 2 5" xfId="2733"/>
    <cellStyle name="Comma 7 2 3 2 3" xfId="2734"/>
    <cellStyle name="Comma 7 2 3 2 3 2" xfId="2735"/>
    <cellStyle name="Comma 7 2 3 2 3 3" xfId="2736"/>
    <cellStyle name="Comma 7 2 3 2 4" xfId="2737"/>
    <cellStyle name="Comma 7 2 3 2 4 2" xfId="2738"/>
    <cellStyle name="Comma 7 2 3 2 4 3" xfId="2739"/>
    <cellStyle name="Comma 7 2 3 2 5" xfId="2740"/>
    <cellStyle name="Comma 7 2 3 2 6" xfId="2741"/>
    <cellStyle name="Comma 7 2 3 3" xfId="2742"/>
    <cellStyle name="Comma 7 2 3 3 2" xfId="2743"/>
    <cellStyle name="Comma 7 2 3 3 2 2" xfId="2744"/>
    <cellStyle name="Comma 7 2 3 3 2 3" xfId="2745"/>
    <cellStyle name="Comma 7 2 3 3 3" xfId="2746"/>
    <cellStyle name="Comma 7 2 3 3 3 2" xfId="2747"/>
    <cellStyle name="Comma 7 2 3 3 3 3" xfId="2748"/>
    <cellStyle name="Comma 7 2 3 3 4" xfId="2749"/>
    <cellStyle name="Comma 7 2 3 3 5" xfId="2750"/>
    <cellStyle name="Comma 7 2 3 4" xfId="2751"/>
    <cellStyle name="Comma 7 2 3 4 2" xfId="2752"/>
    <cellStyle name="Comma 7 2 3 4 3" xfId="2753"/>
    <cellStyle name="Comma 7 2 3 5" xfId="2754"/>
    <cellStyle name="Comma 7 2 3 5 2" xfId="2755"/>
    <cellStyle name="Comma 7 2 3 5 3" xfId="2756"/>
    <cellStyle name="Comma 7 2 3 6" xfId="2757"/>
    <cellStyle name="Comma 7 2 3 7" xfId="2758"/>
    <cellStyle name="Comma 7 2 4" xfId="2759"/>
    <cellStyle name="Comma 7 2 4 2" xfId="2760"/>
    <cellStyle name="Comma 7 2 4 2 2" xfId="2761"/>
    <cellStyle name="Comma 7 2 4 2 2 2" xfId="2762"/>
    <cellStyle name="Comma 7 2 4 2 2 3" xfId="2763"/>
    <cellStyle name="Comma 7 2 4 2 3" xfId="2764"/>
    <cellStyle name="Comma 7 2 4 2 3 2" xfId="2765"/>
    <cellStyle name="Comma 7 2 4 2 3 3" xfId="2766"/>
    <cellStyle name="Comma 7 2 4 2 4" xfId="2767"/>
    <cellStyle name="Comma 7 2 4 2 5" xfId="2768"/>
    <cellStyle name="Comma 7 2 4 3" xfId="2769"/>
    <cellStyle name="Comma 7 2 4 3 2" xfId="2770"/>
    <cellStyle name="Comma 7 2 4 3 3" xfId="2771"/>
    <cellStyle name="Comma 7 2 4 4" xfId="2772"/>
    <cellStyle name="Comma 7 2 4 4 2" xfId="2773"/>
    <cellStyle name="Comma 7 2 4 4 3" xfId="2774"/>
    <cellStyle name="Comma 7 2 4 5" xfId="2775"/>
    <cellStyle name="Comma 7 2 4 6" xfId="2776"/>
    <cellStyle name="Comma 7 2 5" xfId="2777"/>
    <cellStyle name="Comma 7 2 5 2" xfId="2778"/>
    <cellStyle name="Comma 7 2 5 2 2" xfId="2779"/>
    <cellStyle name="Comma 7 2 5 2 3" xfId="2780"/>
    <cellStyle name="Comma 7 2 5 3" xfId="2781"/>
    <cellStyle name="Comma 7 2 5 3 2" xfId="2782"/>
    <cellStyle name="Comma 7 2 5 3 3" xfId="2783"/>
    <cellStyle name="Comma 7 2 5 4" xfId="2784"/>
    <cellStyle name="Comma 7 2 5 5" xfId="2785"/>
    <cellStyle name="Comma 7 2 6" xfId="2786"/>
    <cellStyle name="Comma 7 2 6 2" xfId="2787"/>
    <cellStyle name="Comma 7 2 6 3" xfId="2788"/>
    <cellStyle name="Comma 7 2 7" xfId="2789"/>
    <cellStyle name="Comma 7 2 7 2" xfId="2790"/>
    <cellStyle name="Comma 7 2 7 3" xfId="2791"/>
    <cellStyle name="Comma 7 2 8" xfId="2792"/>
    <cellStyle name="Comma 7 2 9" xfId="2793"/>
    <cellStyle name="Comma 7 3" xfId="2794"/>
    <cellStyle name="Comma 7 3 2" xfId="2795"/>
    <cellStyle name="Comma 7 3 2 2" xfId="2796"/>
    <cellStyle name="Comma 7 3 2 2 2" xfId="2797"/>
    <cellStyle name="Comma 7 3 2 2 2 2" xfId="2798"/>
    <cellStyle name="Comma 7 3 2 2 2 2 2" xfId="2799"/>
    <cellStyle name="Comma 7 3 2 2 2 2 3" xfId="2800"/>
    <cellStyle name="Comma 7 3 2 2 2 3" xfId="2801"/>
    <cellStyle name="Comma 7 3 2 2 2 3 2" xfId="2802"/>
    <cellStyle name="Comma 7 3 2 2 2 3 3" xfId="2803"/>
    <cellStyle name="Comma 7 3 2 2 2 4" xfId="2804"/>
    <cellStyle name="Comma 7 3 2 2 2 5" xfId="2805"/>
    <cellStyle name="Comma 7 3 2 2 3" xfId="2806"/>
    <cellStyle name="Comma 7 3 2 2 3 2" xfId="2807"/>
    <cellStyle name="Comma 7 3 2 2 3 3" xfId="2808"/>
    <cellStyle name="Comma 7 3 2 2 4" xfId="2809"/>
    <cellStyle name="Comma 7 3 2 2 4 2" xfId="2810"/>
    <cellStyle name="Comma 7 3 2 2 4 3" xfId="2811"/>
    <cellStyle name="Comma 7 3 2 2 5" xfId="2812"/>
    <cellStyle name="Comma 7 3 2 2 6" xfId="2813"/>
    <cellStyle name="Comma 7 3 2 3" xfId="2814"/>
    <cellStyle name="Comma 7 3 2 3 2" xfId="2815"/>
    <cellStyle name="Comma 7 3 2 3 2 2" xfId="2816"/>
    <cellStyle name="Comma 7 3 2 3 2 3" xfId="2817"/>
    <cellStyle name="Comma 7 3 2 3 3" xfId="2818"/>
    <cellStyle name="Comma 7 3 2 3 3 2" xfId="2819"/>
    <cellStyle name="Comma 7 3 2 3 3 3" xfId="2820"/>
    <cellStyle name="Comma 7 3 2 3 4" xfId="2821"/>
    <cellStyle name="Comma 7 3 2 3 5" xfId="2822"/>
    <cellStyle name="Comma 7 3 2 4" xfId="2823"/>
    <cellStyle name="Comma 7 3 2 4 2" xfId="2824"/>
    <cellStyle name="Comma 7 3 2 4 3" xfId="2825"/>
    <cellStyle name="Comma 7 3 2 5" xfId="2826"/>
    <cellStyle name="Comma 7 3 2 5 2" xfId="2827"/>
    <cellStyle name="Comma 7 3 2 5 3" xfId="2828"/>
    <cellStyle name="Comma 7 3 2 6" xfId="2829"/>
    <cellStyle name="Comma 7 3 2 7" xfId="2830"/>
    <cellStyle name="Comma 7 3 3" xfId="2831"/>
    <cellStyle name="Comma 7 3 3 2" xfId="2832"/>
    <cellStyle name="Comma 7 3 3 2 2" xfId="2833"/>
    <cellStyle name="Comma 7 3 3 2 2 2" xfId="2834"/>
    <cellStyle name="Comma 7 3 3 2 2 3" xfId="2835"/>
    <cellStyle name="Comma 7 3 3 2 3" xfId="2836"/>
    <cellStyle name="Comma 7 3 3 2 3 2" xfId="2837"/>
    <cellStyle name="Comma 7 3 3 2 3 3" xfId="2838"/>
    <cellStyle name="Comma 7 3 3 2 4" xfId="2839"/>
    <cellStyle name="Comma 7 3 3 2 5" xfId="2840"/>
    <cellStyle name="Comma 7 3 3 3" xfId="2841"/>
    <cellStyle name="Comma 7 3 3 3 2" xfId="2842"/>
    <cellStyle name="Comma 7 3 3 3 3" xfId="2843"/>
    <cellStyle name="Comma 7 3 3 4" xfId="2844"/>
    <cellStyle name="Comma 7 3 3 4 2" xfId="2845"/>
    <cellStyle name="Comma 7 3 3 4 3" xfId="2846"/>
    <cellStyle name="Comma 7 3 3 5" xfId="2847"/>
    <cellStyle name="Comma 7 3 3 6" xfId="2848"/>
    <cellStyle name="Comma 7 3 4" xfId="2849"/>
    <cellStyle name="Comma 7 3 4 2" xfId="2850"/>
    <cellStyle name="Comma 7 3 4 2 2" xfId="2851"/>
    <cellStyle name="Comma 7 3 4 2 3" xfId="2852"/>
    <cellStyle name="Comma 7 3 4 3" xfId="2853"/>
    <cellStyle name="Comma 7 3 4 3 2" xfId="2854"/>
    <cellStyle name="Comma 7 3 4 3 3" xfId="2855"/>
    <cellStyle name="Comma 7 3 4 4" xfId="2856"/>
    <cellStyle name="Comma 7 3 4 5" xfId="2857"/>
    <cellStyle name="Comma 7 3 5" xfId="2858"/>
    <cellStyle name="Comma 7 3 5 2" xfId="2859"/>
    <cellStyle name="Comma 7 3 5 3" xfId="2860"/>
    <cellStyle name="Comma 7 3 6" xfId="2861"/>
    <cellStyle name="Comma 7 3 6 2" xfId="2862"/>
    <cellStyle name="Comma 7 3 6 3" xfId="2863"/>
    <cellStyle name="Comma 7 3 7" xfId="2864"/>
    <cellStyle name="Comma 7 3 8" xfId="2865"/>
    <cellStyle name="Comma 7 4" xfId="2866"/>
    <cellStyle name="Comma 7 4 2" xfId="2867"/>
    <cellStyle name="Comma 7 4 2 2" xfId="2868"/>
    <cellStyle name="Comma 7 4 2 2 2" xfId="2869"/>
    <cellStyle name="Comma 7 4 2 2 2 2" xfId="2870"/>
    <cellStyle name="Comma 7 4 2 2 2 2 2" xfId="2871"/>
    <cellStyle name="Comma 7 4 2 2 2 2 3" xfId="2872"/>
    <cellStyle name="Comma 7 4 2 2 2 3" xfId="2873"/>
    <cellStyle name="Comma 7 4 2 2 2 3 2" xfId="2874"/>
    <cellStyle name="Comma 7 4 2 2 2 3 3" xfId="2875"/>
    <cellStyle name="Comma 7 4 2 2 2 4" xfId="2876"/>
    <cellStyle name="Comma 7 4 2 2 2 5" xfId="2877"/>
    <cellStyle name="Comma 7 4 2 2 3" xfId="2878"/>
    <cellStyle name="Comma 7 4 2 2 3 2" xfId="2879"/>
    <cellStyle name="Comma 7 4 2 2 3 3" xfId="2880"/>
    <cellStyle name="Comma 7 4 2 2 4" xfId="2881"/>
    <cellStyle name="Comma 7 4 2 2 4 2" xfId="2882"/>
    <cellStyle name="Comma 7 4 2 2 4 3" xfId="2883"/>
    <cellStyle name="Comma 7 4 2 2 5" xfId="2884"/>
    <cellStyle name="Comma 7 4 2 2 6" xfId="2885"/>
    <cellStyle name="Comma 7 4 2 3" xfId="2886"/>
    <cellStyle name="Comma 7 4 2 3 2" xfId="2887"/>
    <cellStyle name="Comma 7 4 2 3 2 2" xfId="2888"/>
    <cellStyle name="Comma 7 4 2 3 2 3" xfId="2889"/>
    <cellStyle name="Comma 7 4 2 3 3" xfId="2890"/>
    <cellStyle name="Comma 7 4 2 3 3 2" xfId="2891"/>
    <cellStyle name="Comma 7 4 2 3 3 3" xfId="2892"/>
    <cellStyle name="Comma 7 4 2 3 4" xfId="2893"/>
    <cellStyle name="Comma 7 4 2 3 5" xfId="2894"/>
    <cellStyle name="Comma 7 4 2 4" xfId="2895"/>
    <cellStyle name="Comma 7 4 2 4 2" xfId="2896"/>
    <cellStyle name="Comma 7 4 2 4 3" xfId="2897"/>
    <cellStyle name="Comma 7 4 2 5" xfId="2898"/>
    <cellStyle name="Comma 7 4 2 5 2" xfId="2899"/>
    <cellStyle name="Comma 7 4 2 5 3" xfId="2900"/>
    <cellStyle name="Comma 7 4 2 6" xfId="2901"/>
    <cellStyle name="Comma 7 4 2 7" xfId="2902"/>
    <cellStyle name="Comma 7 4 3" xfId="2903"/>
    <cellStyle name="Comma 7 4 3 2" xfId="2904"/>
    <cellStyle name="Comma 7 4 3 2 2" xfId="2905"/>
    <cellStyle name="Comma 7 4 3 2 2 2" xfId="2906"/>
    <cellStyle name="Comma 7 4 3 2 2 3" xfId="2907"/>
    <cellStyle name="Comma 7 4 3 2 3" xfId="2908"/>
    <cellStyle name="Comma 7 4 3 2 3 2" xfId="2909"/>
    <cellStyle name="Comma 7 4 3 2 3 3" xfId="2910"/>
    <cellStyle name="Comma 7 4 3 2 4" xfId="2911"/>
    <cellStyle name="Comma 7 4 3 2 5" xfId="2912"/>
    <cellStyle name="Comma 7 4 3 3" xfId="2913"/>
    <cellStyle name="Comma 7 4 3 3 2" xfId="2914"/>
    <cellStyle name="Comma 7 4 3 3 3" xfId="2915"/>
    <cellStyle name="Comma 7 4 3 4" xfId="2916"/>
    <cellStyle name="Comma 7 4 3 4 2" xfId="2917"/>
    <cellStyle name="Comma 7 4 3 4 3" xfId="2918"/>
    <cellStyle name="Comma 7 4 3 5" xfId="2919"/>
    <cellStyle name="Comma 7 4 3 6" xfId="2920"/>
    <cellStyle name="Comma 7 4 4" xfId="2921"/>
    <cellStyle name="Comma 7 4 4 2" xfId="2922"/>
    <cellStyle name="Comma 7 4 4 2 2" xfId="2923"/>
    <cellStyle name="Comma 7 4 4 2 3" xfId="2924"/>
    <cellStyle name="Comma 7 4 4 3" xfId="2925"/>
    <cellStyle name="Comma 7 4 4 3 2" xfId="2926"/>
    <cellStyle name="Comma 7 4 4 3 3" xfId="2927"/>
    <cellStyle name="Comma 7 4 4 4" xfId="2928"/>
    <cellStyle name="Comma 7 4 4 5" xfId="2929"/>
    <cellStyle name="Comma 7 4 5" xfId="2930"/>
    <cellStyle name="Comma 7 4 5 2" xfId="2931"/>
    <cellStyle name="Comma 7 4 5 3" xfId="2932"/>
    <cellStyle name="Comma 7 4 6" xfId="2933"/>
    <cellStyle name="Comma 7 4 6 2" xfId="2934"/>
    <cellStyle name="Comma 7 4 6 3" xfId="2935"/>
    <cellStyle name="Comma 7 4 7" xfId="2936"/>
    <cellStyle name="Comma 7 4 8" xfId="2937"/>
    <cellStyle name="Comma 7 5" xfId="2938"/>
    <cellStyle name="Comma 7 5 2" xfId="2939"/>
    <cellStyle name="Comma 7 5 2 2" xfId="2940"/>
    <cellStyle name="Comma 7 5 2 2 2" xfId="2941"/>
    <cellStyle name="Comma 7 5 2 2 2 2" xfId="2942"/>
    <cellStyle name="Comma 7 5 2 2 2 3" xfId="2943"/>
    <cellStyle name="Comma 7 5 2 2 3" xfId="2944"/>
    <cellStyle name="Comma 7 5 2 2 3 2" xfId="2945"/>
    <cellStyle name="Comma 7 5 2 2 3 3" xfId="2946"/>
    <cellStyle name="Comma 7 5 2 2 4" xfId="2947"/>
    <cellStyle name="Comma 7 5 2 2 5" xfId="2948"/>
    <cellStyle name="Comma 7 5 2 3" xfId="2949"/>
    <cellStyle name="Comma 7 5 2 3 2" xfId="2950"/>
    <cellStyle name="Comma 7 5 2 3 3" xfId="2951"/>
    <cellStyle name="Comma 7 5 2 4" xfId="2952"/>
    <cellStyle name="Comma 7 5 2 4 2" xfId="2953"/>
    <cellStyle name="Comma 7 5 2 4 3" xfId="2954"/>
    <cellStyle name="Comma 7 5 2 5" xfId="2955"/>
    <cellStyle name="Comma 7 5 2 6" xfId="2956"/>
    <cellStyle name="Comma 7 5 3" xfId="2957"/>
    <cellStyle name="Comma 7 5 3 2" xfId="2958"/>
    <cellStyle name="Comma 7 5 3 2 2" xfId="2959"/>
    <cellStyle name="Comma 7 5 3 2 3" xfId="2960"/>
    <cellStyle name="Comma 7 5 3 3" xfId="2961"/>
    <cellStyle name="Comma 7 5 3 3 2" xfId="2962"/>
    <cellStyle name="Comma 7 5 3 3 3" xfId="2963"/>
    <cellStyle name="Comma 7 5 3 4" xfId="2964"/>
    <cellStyle name="Comma 7 5 3 5" xfId="2965"/>
    <cellStyle name="Comma 7 5 4" xfId="2966"/>
    <cellStyle name="Comma 7 5 4 2" xfId="2967"/>
    <cellStyle name="Comma 7 5 4 3" xfId="2968"/>
    <cellStyle name="Comma 7 5 5" xfId="2969"/>
    <cellStyle name="Comma 7 5 5 2" xfId="2970"/>
    <cellStyle name="Comma 7 5 5 3" xfId="2971"/>
    <cellStyle name="Comma 7 5 6" xfId="2972"/>
    <cellStyle name="Comma 7 5 7" xfId="2973"/>
    <cellStyle name="Comma 7 6" xfId="2974"/>
    <cellStyle name="Comma 7 6 2" xfId="2975"/>
    <cellStyle name="Comma 7 6 2 2" xfId="2976"/>
    <cellStyle name="Comma 7 6 2 2 2" xfId="2977"/>
    <cellStyle name="Comma 7 6 2 2 3" xfId="2978"/>
    <cellStyle name="Comma 7 6 2 3" xfId="2979"/>
    <cellStyle name="Comma 7 6 2 3 2" xfId="2980"/>
    <cellStyle name="Comma 7 6 2 3 3" xfId="2981"/>
    <cellStyle name="Comma 7 6 2 4" xfId="2982"/>
    <cellStyle name="Comma 7 6 2 5" xfId="2983"/>
    <cellStyle name="Comma 7 6 3" xfId="2984"/>
    <cellStyle name="Comma 7 6 3 2" xfId="2985"/>
    <cellStyle name="Comma 7 6 3 3" xfId="2986"/>
    <cellStyle name="Comma 7 6 4" xfId="2987"/>
    <cellStyle name="Comma 7 6 4 2" xfId="2988"/>
    <cellStyle name="Comma 7 6 4 3" xfId="2989"/>
    <cellStyle name="Comma 7 6 5" xfId="2990"/>
    <cellStyle name="Comma 7 6 6" xfId="2991"/>
    <cellStyle name="Comma 7 7" xfId="2992"/>
    <cellStyle name="Comma 7 7 2" xfId="2993"/>
    <cellStyle name="Comma 7 7 2 2" xfId="2994"/>
    <cellStyle name="Comma 7 7 2 3" xfId="2995"/>
    <cellStyle name="Comma 7 7 3" xfId="2996"/>
    <cellStyle name="Comma 7 7 3 2" xfId="2997"/>
    <cellStyle name="Comma 7 7 3 3" xfId="2998"/>
    <cellStyle name="Comma 7 7 4" xfId="2999"/>
    <cellStyle name="Comma 7 7 5" xfId="3000"/>
    <cellStyle name="Comma 7 8" xfId="3001"/>
    <cellStyle name="Comma 7 8 2" xfId="3002"/>
    <cellStyle name="Comma 7 8 3" xfId="3003"/>
    <cellStyle name="Comma 7 9" xfId="3004"/>
    <cellStyle name="Comma 7 9 2" xfId="3005"/>
    <cellStyle name="Comma 7 9 3" xfId="3006"/>
    <cellStyle name="Comma 8" xfId="115"/>
    <cellStyle name="Comma 8 10" xfId="3007"/>
    <cellStyle name="Comma 8 2" xfId="3008"/>
    <cellStyle name="Comma 8 2 2" xfId="3009"/>
    <cellStyle name="Comma 8 2 2 2" xfId="3010"/>
    <cellStyle name="Comma 8 2 2 2 2" xfId="3011"/>
    <cellStyle name="Comma 8 2 2 2 2 2" xfId="3012"/>
    <cellStyle name="Comma 8 2 2 2 2 2 2" xfId="3013"/>
    <cellStyle name="Comma 8 2 2 2 2 2 3" xfId="3014"/>
    <cellStyle name="Comma 8 2 2 2 2 3" xfId="3015"/>
    <cellStyle name="Comma 8 2 2 2 2 3 2" xfId="3016"/>
    <cellStyle name="Comma 8 2 2 2 2 3 3" xfId="3017"/>
    <cellStyle name="Comma 8 2 2 2 2 4" xfId="3018"/>
    <cellStyle name="Comma 8 2 2 2 2 5" xfId="3019"/>
    <cellStyle name="Comma 8 2 2 2 3" xfId="3020"/>
    <cellStyle name="Comma 8 2 2 2 3 2" xfId="3021"/>
    <cellStyle name="Comma 8 2 2 2 3 3" xfId="3022"/>
    <cellStyle name="Comma 8 2 2 2 4" xfId="3023"/>
    <cellStyle name="Comma 8 2 2 2 4 2" xfId="3024"/>
    <cellStyle name="Comma 8 2 2 2 4 3" xfId="3025"/>
    <cellStyle name="Comma 8 2 2 2 5" xfId="3026"/>
    <cellStyle name="Comma 8 2 2 2 6" xfId="3027"/>
    <cellStyle name="Comma 8 2 2 3" xfId="3028"/>
    <cellStyle name="Comma 8 2 2 3 2" xfId="3029"/>
    <cellStyle name="Comma 8 2 2 3 2 2" xfId="3030"/>
    <cellStyle name="Comma 8 2 2 3 2 3" xfId="3031"/>
    <cellStyle name="Comma 8 2 2 3 3" xfId="3032"/>
    <cellStyle name="Comma 8 2 2 3 3 2" xfId="3033"/>
    <cellStyle name="Comma 8 2 2 3 3 3" xfId="3034"/>
    <cellStyle name="Comma 8 2 2 3 4" xfId="3035"/>
    <cellStyle name="Comma 8 2 2 3 5" xfId="3036"/>
    <cellStyle name="Comma 8 2 2 4" xfId="3037"/>
    <cellStyle name="Comma 8 2 2 4 2" xfId="3038"/>
    <cellStyle name="Comma 8 2 2 4 3" xfId="3039"/>
    <cellStyle name="Comma 8 2 2 5" xfId="3040"/>
    <cellStyle name="Comma 8 2 2 5 2" xfId="3041"/>
    <cellStyle name="Comma 8 2 2 5 3" xfId="3042"/>
    <cellStyle name="Comma 8 2 2 6" xfId="3043"/>
    <cellStyle name="Comma 8 2 2 7" xfId="3044"/>
    <cellStyle name="Comma 8 2 3" xfId="3045"/>
    <cellStyle name="Comma 8 2 3 2" xfId="3046"/>
    <cellStyle name="Comma 8 2 3 2 2" xfId="3047"/>
    <cellStyle name="Comma 8 2 3 2 2 2" xfId="3048"/>
    <cellStyle name="Comma 8 2 3 2 2 3" xfId="3049"/>
    <cellStyle name="Comma 8 2 3 2 3" xfId="3050"/>
    <cellStyle name="Comma 8 2 3 2 3 2" xfId="3051"/>
    <cellStyle name="Comma 8 2 3 2 3 3" xfId="3052"/>
    <cellStyle name="Comma 8 2 3 2 4" xfId="3053"/>
    <cellStyle name="Comma 8 2 3 2 5" xfId="3054"/>
    <cellStyle name="Comma 8 2 3 3" xfId="3055"/>
    <cellStyle name="Comma 8 2 3 3 2" xfId="3056"/>
    <cellStyle name="Comma 8 2 3 3 3" xfId="3057"/>
    <cellStyle name="Comma 8 2 3 4" xfId="3058"/>
    <cellStyle name="Comma 8 2 3 4 2" xfId="3059"/>
    <cellStyle name="Comma 8 2 3 4 3" xfId="3060"/>
    <cellStyle name="Comma 8 2 3 5" xfId="3061"/>
    <cellStyle name="Comma 8 2 3 6" xfId="3062"/>
    <cellStyle name="Comma 8 2 4" xfId="3063"/>
    <cellStyle name="Comma 8 2 4 2" xfId="3064"/>
    <cellStyle name="Comma 8 2 4 2 2" xfId="3065"/>
    <cellStyle name="Comma 8 2 4 2 3" xfId="3066"/>
    <cellStyle name="Comma 8 2 4 3" xfId="3067"/>
    <cellStyle name="Comma 8 2 4 3 2" xfId="3068"/>
    <cellStyle name="Comma 8 2 4 3 3" xfId="3069"/>
    <cellStyle name="Comma 8 2 4 4" xfId="3070"/>
    <cellStyle name="Comma 8 2 4 5" xfId="3071"/>
    <cellStyle name="Comma 8 2 5" xfId="3072"/>
    <cellStyle name="Comma 8 2 5 2" xfId="3073"/>
    <cellStyle name="Comma 8 2 5 3" xfId="3074"/>
    <cellStyle name="Comma 8 2 6" xfId="3075"/>
    <cellStyle name="Comma 8 2 6 2" xfId="3076"/>
    <cellStyle name="Comma 8 2 6 3" xfId="3077"/>
    <cellStyle name="Comma 8 2 7" xfId="3078"/>
    <cellStyle name="Comma 8 2 8" xfId="3079"/>
    <cellStyle name="Comma 8 3" xfId="3080"/>
    <cellStyle name="Comma 8 3 2" xfId="3081"/>
    <cellStyle name="Comma 8 3 2 2" xfId="3082"/>
    <cellStyle name="Comma 8 3 2 2 2" xfId="3083"/>
    <cellStyle name="Comma 8 3 2 2 2 2" xfId="3084"/>
    <cellStyle name="Comma 8 3 2 2 2 2 2" xfId="3085"/>
    <cellStyle name="Comma 8 3 2 2 2 2 3" xfId="3086"/>
    <cellStyle name="Comma 8 3 2 2 2 3" xfId="3087"/>
    <cellStyle name="Comma 8 3 2 2 2 3 2" xfId="3088"/>
    <cellStyle name="Comma 8 3 2 2 2 3 3" xfId="3089"/>
    <cellStyle name="Comma 8 3 2 2 2 4" xfId="3090"/>
    <cellStyle name="Comma 8 3 2 2 2 5" xfId="3091"/>
    <cellStyle name="Comma 8 3 2 2 3" xfId="3092"/>
    <cellStyle name="Comma 8 3 2 2 3 2" xfId="3093"/>
    <cellStyle name="Comma 8 3 2 2 3 3" xfId="3094"/>
    <cellStyle name="Comma 8 3 2 2 4" xfId="3095"/>
    <cellStyle name="Comma 8 3 2 2 4 2" xfId="3096"/>
    <cellStyle name="Comma 8 3 2 2 4 3" xfId="3097"/>
    <cellStyle name="Comma 8 3 2 2 5" xfId="3098"/>
    <cellStyle name="Comma 8 3 2 2 6" xfId="3099"/>
    <cellStyle name="Comma 8 3 2 3" xfId="3100"/>
    <cellStyle name="Comma 8 3 2 3 2" xfId="3101"/>
    <cellStyle name="Comma 8 3 2 3 2 2" xfId="3102"/>
    <cellStyle name="Comma 8 3 2 3 2 3" xfId="3103"/>
    <cellStyle name="Comma 8 3 2 3 3" xfId="3104"/>
    <cellStyle name="Comma 8 3 2 3 3 2" xfId="3105"/>
    <cellStyle name="Comma 8 3 2 3 3 3" xfId="3106"/>
    <cellStyle name="Comma 8 3 2 3 4" xfId="3107"/>
    <cellStyle name="Comma 8 3 2 3 5" xfId="3108"/>
    <cellStyle name="Comma 8 3 2 4" xfId="3109"/>
    <cellStyle name="Comma 8 3 2 4 2" xfId="3110"/>
    <cellStyle name="Comma 8 3 2 4 3" xfId="3111"/>
    <cellStyle name="Comma 8 3 2 5" xfId="3112"/>
    <cellStyle name="Comma 8 3 2 5 2" xfId="3113"/>
    <cellStyle name="Comma 8 3 2 5 3" xfId="3114"/>
    <cellStyle name="Comma 8 3 2 6" xfId="3115"/>
    <cellStyle name="Comma 8 3 2 7" xfId="3116"/>
    <cellStyle name="Comma 8 3 3" xfId="3117"/>
    <cellStyle name="Comma 8 3 3 2" xfId="3118"/>
    <cellStyle name="Comma 8 3 3 2 2" xfId="3119"/>
    <cellStyle name="Comma 8 3 3 2 2 2" xfId="3120"/>
    <cellStyle name="Comma 8 3 3 2 2 3" xfId="3121"/>
    <cellStyle name="Comma 8 3 3 2 3" xfId="3122"/>
    <cellStyle name="Comma 8 3 3 2 3 2" xfId="3123"/>
    <cellStyle name="Comma 8 3 3 2 3 3" xfId="3124"/>
    <cellStyle name="Comma 8 3 3 2 4" xfId="3125"/>
    <cellStyle name="Comma 8 3 3 2 5" xfId="3126"/>
    <cellStyle name="Comma 8 3 3 3" xfId="3127"/>
    <cellStyle name="Comma 8 3 3 3 2" xfId="3128"/>
    <cellStyle name="Comma 8 3 3 3 3" xfId="3129"/>
    <cellStyle name="Comma 8 3 3 4" xfId="3130"/>
    <cellStyle name="Comma 8 3 3 4 2" xfId="3131"/>
    <cellStyle name="Comma 8 3 3 4 3" xfId="3132"/>
    <cellStyle name="Comma 8 3 3 5" xfId="3133"/>
    <cellStyle name="Comma 8 3 3 6" xfId="3134"/>
    <cellStyle name="Comma 8 3 4" xfId="3135"/>
    <cellStyle name="Comma 8 3 4 2" xfId="3136"/>
    <cellStyle name="Comma 8 3 4 2 2" xfId="3137"/>
    <cellStyle name="Comma 8 3 4 2 3" xfId="3138"/>
    <cellStyle name="Comma 8 3 4 3" xfId="3139"/>
    <cellStyle name="Comma 8 3 4 3 2" xfId="3140"/>
    <cellStyle name="Comma 8 3 4 3 3" xfId="3141"/>
    <cellStyle name="Comma 8 3 4 4" xfId="3142"/>
    <cellStyle name="Comma 8 3 4 5" xfId="3143"/>
    <cellStyle name="Comma 8 3 5" xfId="3144"/>
    <cellStyle name="Comma 8 3 5 2" xfId="3145"/>
    <cellStyle name="Comma 8 3 5 3" xfId="3146"/>
    <cellStyle name="Comma 8 3 6" xfId="3147"/>
    <cellStyle name="Comma 8 3 6 2" xfId="3148"/>
    <cellStyle name="Comma 8 3 6 3" xfId="3149"/>
    <cellStyle name="Comma 8 3 7" xfId="3150"/>
    <cellStyle name="Comma 8 3 8" xfId="3151"/>
    <cellStyle name="Comma 8 4" xfId="3152"/>
    <cellStyle name="Comma 8 4 2" xfId="3153"/>
    <cellStyle name="Comma 8 4 2 2" xfId="3154"/>
    <cellStyle name="Comma 8 4 2 2 2" xfId="3155"/>
    <cellStyle name="Comma 8 4 2 2 2 2" xfId="3156"/>
    <cellStyle name="Comma 8 4 2 2 2 3" xfId="3157"/>
    <cellStyle name="Comma 8 4 2 2 3" xfId="3158"/>
    <cellStyle name="Comma 8 4 2 2 3 2" xfId="3159"/>
    <cellStyle name="Comma 8 4 2 2 3 3" xfId="3160"/>
    <cellStyle name="Comma 8 4 2 2 4" xfId="3161"/>
    <cellStyle name="Comma 8 4 2 2 5" xfId="3162"/>
    <cellStyle name="Comma 8 4 2 3" xfId="3163"/>
    <cellStyle name="Comma 8 4 2 3 2" xfId="3164"/>
    <cellStyle name="Comma 8 4 2 3 3" xfId="3165"/>
    <cellStyle name="Comma 8 4 2 4" xfId="3166"/>
    <cellStyle name="Comma 8 4 2 4 2" xfId="3167"/>
    <cellStyle name="Comma 8 4 2 4 3" xfId="3168"/>
    <cellStyle name="Comma 8 4 2 5" xfId="3169"/>
    <cellStyle name="Comma 8 4 2 6" xfId="3170"/>
    <cellStyle name="Comma 8 4 3" xfId="3171"/>
    <cellStyle name="Comma 8 4 3 2" xfId="3172"/>
    <cellStyle name="Comma 8 4 3 2 2" xfId="3173"/>
    <cellStyle name="Comma 8 4 3 2 3" xfId="3174"/>
    <cellStyle name="Comma 8 4 3 3" xfId="3175"/>
    <cellStyle name="Comma 8 4 3 3 2" xfId="3176"/>
    <cellStyle name="Comma 8 4 3 3 3" xfId="3177"/>
    <cellStyle name="Comma 8 4 3 4" xfId="3178"/>
    <cellStyle name="Comma 8 4 3 5" xfId="3179"/>
    <cellStyle name="Comma 8 4 4" xfId="3180"/>
    <cellStyle name="Comma 8 4 4 2" xfId="3181"/>
    <cellStyle name="Comma 8 4 4 3" xfId="3182"/>
    <cellStyle name="Comma 8 4 5" xfId="3183"/>
    <cellStyle name="Comma 8 4 5 2" xfId="3184"/>
    <cellStyle name="Comma 8 4 5 3" xfId="3185"/>
    <cellStyle name="Comma 8 4 6" xfId="3186"/>
    <cellStyle name="Comma 8 4 7" xfId="3187"/>
    <cellStyle name="Comma 8 5" xfId="3188"/>
    <cellStyle name="Comma 8 5 2" xfId="3189"/>
    <cellStyle name="Comma 8 5 2 2" xfId="3190"/>
    <cellStyle name="Comma 8 5 2 2 2" xfId="3191"/>
    <cellStyle name="Comma 8 5 2 2 3" xfId="3192"/>
    <cellStyle name="Comma 8 5 2 3" xfId="3193"/>
    <cellStyle name="Comma 8 5 2 3 2" xfId="3194"/>
    <cellStyle name="Comma 8 5 2 3 3" xfId="3195"/>
    <cellStyle name="Comma 8 5 2 4" xfId="3196"/>
    <cellStyle name="Comma 8 5 2 5" xfId="3197"/>
    <cellStyle name="Comma 8 5 3" xfId="3198"/>
    <cellStyle name="Comma 8 5 3 2" xfId="3199"/>
    <cellStyle name="Comma 8 5 3 3" xfId="3200"/>
    <cellStyle name="Comma 8 5 4" xfId="3201"/>
    <cellStyle name="Comma 8 5 4 2" xfId="3202"/>
    <cellStyle name="Comma 8 5 4 3" xfId="3203"/>
    <cellStyle name="Comma 8 5 5" xfId="3204"/>
    <cellStyle name="Comma 8 5 6" xfId="3205"/>
    <cellStyle name="Comma 8 6" xfId="3206"/>
    <cellStyle name="Comma 8 6 2" xfId="3207"/>
    <cellStyle name="Comma 8 6 2 2" xfId="3208"/>
    <cellStyle name="Comma 8 6 2 3" xfId="3209"/>
    <cellStyle name="Comma 8 6 3" xfId="3210"/>
    <cellStyle name="Comma 8 6 3 2" xfId="3211"/>
    <cellStyle name="Comma 8 6 3 3" xfId="3212"/>
    <cellStyle name="Comma 8 6 4" xfId="3213"/>
    <cellStyle name="Comma 8 6 5" xfId="3214"/>
    <cellStyle name="Comma 8 7" xfId="3215"/>
    <cellStyle name="Comma 8 7 2" xfId="3216"/>
    <cellStyle name="Comma 8 7 3" xfId="3217"/>
    <cellStyle name="Comma 8 8" xfId="3218"/>
    <cellStyle name="Comma 8 8 2" xfId="3219"/>
    <cellStyle name="Comma 8 8 3" xfId="3220"/>
    <cellStyle name="Comma 8 9" xfId="3221"/>
    <cellStyle name="Comma 9" xfId="116"/>
    <cellStyle name="Comma 9 2" xfId="3222"/>
    <cellStyle name="Comma(2)" xfId="117"/>
    <cellStyle name="Comma0" xfId="3223"/>
    <cellStyle name="Comma0 - Style2" xfId="118"/>
    <cellStyle name="Comma1 - Style1" xfId="119"/>
    <cellStyle name="Comments" xfId="120"/>
    <cellStyle name="Currency" xfId="2" builtinId="4"/>
    <cellStyle name="Currency 10" xfId="322"/>
    <cellStyle name="Currency 10 2" xfId="3224"/>
    <cellStyle name="Currency 10 2 2" xfId="3225"/>
    <cellStyle name="Currency 10 2 2 2" xfId="3226"/>
    <cellStyle name="Currency 10 2 2 2 2" xfId="3227"/>
    <cellStyle name="Currency 10 2 2 2 2 2" xfId="3228"/>
    <cellStyle name="Currency 10 2 2 2 2 3" xfId="3229"/>
    <cellStyle name="Currency 10 2 2 2 3" xfId="3230"/>
    <cellStyle name="Currency 10 2 2 2 3 2" xfId="3231"/>
    <cellStyle name="Currency 10 2 2 2 3 3" xfId="3232"/>
    <cellStyle name="Currency 10 2 2 2 4" xfId="3233"/>
    <cellStyle name="Currency 10 2 2 2 5" xfId="3234"/>
    <cellStyle name="Currency 10 2 2 3" xfId="3235"/>
    <cellStyle name="Currency 10 2 2 3 2" xfId="3236"/>
    <cellStyle name="Currency 10 2 2 3 3" xfId="3237"/>
    <cellStyle name="Currency 10 2 2 4" xfId="3238"/>
    <cellStyle name="Currency 10 2 2 4 2" xfId="3239"/>
    <cellStyle name="Currency 10 2 2 4 3" xfId="3240"/>
    <cellStyle name="Currency 10 2 2 5" xfId="3241"/>
    <cellStyle name="Currency 10 2 2 6" xfId="3242"/>
    <cellStyle name="Currency 10 2 3" xfId="3243"/>
    <cellStyle name="Currency 10 2 3 2" xfId="3244"/>
    <cellStyle name="Currency 10 2 3 2 2" xfId="3245"/>
    <cellStyle name="Currency 10 2 3 2 3" xfId="3246"/>
    <cellStyle name="Currency 10 2 3 3" xfId="3247"/>
    <cellStyle name="Currency 10 2 3 3 2" xfId="3248"/>
    <cellStyle name="Currency 10 2 3 3 3" xfId="3249"/>
    <cellStyle name="Currency 10 2 3 4" xfId="3250"/>
    <cellStyle name="Currency 10 2 3 5" xfId="3251"/>
    <cellStyle name="Currency 10 2 4" xfId="3252"/>
    <cellStyle name="Currency 10 2 4 2" xfId="3253"/>
    <cellStyle name="Currency 10 2 4 3" xfId="3254"/>
    <cellStyle name="Currency 10 2 5" xfId="3255"/>
    <cellStyle name="Currency 10 2 5 2" xfId="3256"/>
    <cellStyle name="Currency 10 2 5 3" xfId="3257"/>
    <cellStyle name="Currency 10 2 6" xfId="3258"/>
    <cellStyle name="Currency 10 2 7" xfId="3259"/>
    <cellStyle name="Currency 10 3" xfId="3260"/>
    <cellStyle name="Currency 10 4" xfId="3261"/>
    <cellStyle name="Currency 10 5" xfId="37565"/>
    <cellStyle name="Currency 11" xfId="3262"/>
    <cellStyle name="Currency 11 2" xfId="3263"/>
    <cellStyle name="Currency 11 2 2" xfId="3264"/>
    <cellStyle name="Currency 11 3" xfId="3265"/>
    <cellStyle name="Currency 11 4" xfId="3266"/>
    <cellStyle name="Currency 11 5" xfId="3267"/>
    <cellStyle name="Currency 12" xfId="3268"/>
    <cellStyle name="Currency 12 2" xfId="3269"/>
    <cellStyle name="Currency 12 2 2" xfId="3270"/>
    <cellStyle name="Currency 12 3" xfId="3271"/>
    <cellStyle name="Currency 13" xfId="3272"/>
    <cellStyle name="Currency 14" xfId="3273"/>
    <cellStyle name="Currency 14 2" xfId="3274"/>
    <cellStyle name="Currency 15" xfId="3275"/>
    <cellStyle name="Currency 16" xfId="3276"/>
    <cellStyle name="Currency 17" xfId="3277"/>
    <cellStyle name="Currency 18" xfId="3278"/>
    <cellStyle name="Currency 19" xfId="3279"/>
    <cellStyle name="Currency 2" xfId="10"/>
    <cellStyle name="Currency 2 2" xfId="11"/>
    <cellStyle name="Currency 2 2 2" xfId="123"/>
    <cellStyle name="Currency 2 2 2 2" xfId="3280"/>
    <cellStyle name="Currency 2 2 2 3" xfId="3281"/>
    <cellStyle name="Currency 2 2 2 4" xfId="3282"/>
    <cellStyle name="Currency 2 2 2 5" xfId="3283"/>
    <cellStyle name="Currency 2 2 2 6" xfId="3284"/>
    <cellStyle name="Currency 2 2 2 7" xfId="37458"/>
    <cellStyle name="Currency 2 2 3" xfId="3285"/>
    <cellStyle name="Currency 2 2 3 2" xfId="3286"/>
    <cellStyle name="Currency 2 2 3 3" xfId="3287"/>
    <cellStyle name="Currency 2 2 4" xfId="3288"/>
    <cellStyle name="Currency 2 2 4 2" xfId="3289"/>
    <cellStyle name="Currency 2 2 4 3" xfId="3290"/>
    <cellStyle name="Currency 2 2 5" xfId="3291"/>
    <cellStyle name="Currency 2 2 6" xfId="3292"/>
    <cellStyle name="Currency 2 2 7" xfId="3293"/>
    <cellStyle name="Currency 2 2 8" xfId="3294"/>
    <cellStyle name="Currency 2 3" xfId="122"/>
    <cellStyle name="Currency 2 3 2" xfId="323"/>
    <cellStyle name="Currency 2 3 2 2" xfId="3295"/>
    <cellStyle name="Currency 2 3 2 3" xfId="3296"/>
    <cellStyle name="Currency 2 3 2 4" xfId="3297"/>
    <cellStyle name="Currency 2 3 2 5" xfId="3298"/>
    <cellStyle name="Currency 2 3 2 6" xfId="3299"/>
    <cellStyle name="Currency 2 3 2 7" xfId="37422"/>
    <cellStyle name="Currency 2 3 3" xfId="3300"/>
    <cellStyle name="Currency 2 3 3 2" xfId="3301"/>
    <cellStyle name="Currency 2 3 3 3" xfId="3302"/>
    <cellStyle name="Currency 2 3 3 4" xfId="3303"/>
    <cellStyle name="Currency 2 3 3 5" xfId="3304"/>
    <cellStyle name="Currency 2 3 4" xfId="3305"/>
    <cellStyle name="Currency 2 3 4 2" xfId="3306"/>
    <cellStyle name="Currency 2 3 4 3" xfId="3307"/>
    <cellStyle name="Currency 2 3 5" xfId="3308"/>
    <cellStyle name="Currency 2 3 6" xfId="3309"/>
    <cellStyle name="Currency 2 3 7" xfId="3310"/>
    <cellStyle name="Currency 2 3 8" xfId="3311"/>
    <cellStyle name="Currency 2 4" xfId="3312"/>
    <cellStyle name="Currency 2 4 2" xfId="3313"/>
    <cellStyle name="Currency 2 4 2 2" xfId="3314"/>
    <cellStyle name="Currency 2 4 2 3" xfId="3315"/>
    <cellStyle name="Currency 2 4 2 4" xfId="3316"/>
    <cellStyle name="Currency 2 4 2 5" xfId="3317"/>
    <cellStyle name="Currency 2 4 3" xfId="3318"/>
    <cellStyle name="Currency 2 4 3 2" xfId="3319"/>
    <cellStyle name="Currency 2 4 3 3" xfId="3320"/>
    <cellStyle name="Currency 2 4 4" xfId="3321"/>
    <cellStyle name="Currency 2 4 4 2" xfId="3322"/>
    <cellStyle name="Currency 2 4 4 3" xfId="3323"/>
    <cellStyle name="Currency 2 4 5" xfId="3324"/>
    <cellStyle name="Currency 2 4 6" xfId="3325"/>
    <cellStyle name="Currency 2 4 7" xfId="3326"/>
    <cellStyle name="Currency 2 4 8" xfId="3327"/>
    <cellStyle name="Currency 2 5" xfId="3328"/>
    <cellStyle name="Currency 2 5 2" xfId="3329"/>
    <cellStyle name="Currency 2 5 3" xfId="3330"/>
    <cellStyle name="Currency 2 5 3 2" xfId="34922"/>
    <cellStyle name="Currency 2 6" xfId="12"/>
    <cellStyle name="Currency 2 6 2" xfId="13"/>
    <cellStyle name="Currency 2 6 2 2" xfId="369"/>
    <cellStyle name="Currency 2 6 3" xfId="3331"/>
    <cellStyle name="Currency 2 7" xfId="3332"/>
    <cellStyle name="Currency 3" xfId="14"/>
    <cellStyle name="Currency 3 10" xfId="3333"/>
    <cellStyle name="Currency 3 11" xfId="3334"/>
    <cellStyle name="Currency 3 2" xfId="125"/>
    <cellStyle name="Currency 3 2 2" xfId="3335"/>
    <cellStyle name="Currency 3 2 2 2" xfId="3336"/>
    <cellStyle name="Currency 3 2 2 2 2" xfId="3337"/>
    <cellStyle name="Currency 3 2 2 2 2 2" xfId="3338"/>
    <cellStyle name="Currency 3 2 2 2 2 2 2" xfId="3339"/>
    <cellStyle name="Currency 3 2 2 2 2 2 2 2" xfId="3340"/>
    <cellStyle name="Currency 3 2 2 2 2 2 2 3" xfId="3341"/>
    <cellStyle name="Currency 3 2 2 2 2 2 3" xfId="3342"/>
    <cellStyle name="Currency 3 2 2 2 2 2 3 2" xfId="3343"/>
    <cellStyle name="Currency 3 2 2 2 2 2 3 3" xfId="3344"/>
    <cellStyle name="Currency 3 2 2 2 2 2 4" xfId="3345"/>
    <cellStyle name="Currency 3 2 2 2 2 2 5" xfId="3346"/>
    <cellStyle name="Currency 3 2 2 2 2 3" xfId="3347"/>
    <cellStyle name="Currency 3 2 2 2 2 3 2" xfId="3348"/>
    <cellStyle name="Currency 3 2 2 2 2 3 3" xfId="3349"/>
    <cellStyle name="Currency 3 2 2 2 2 4" xfId="3350"/>
    <cellStyle name="Currency 3 2 2 2 2 4 2" xfId="3351"/>
    <cellStyle name="Currency 3 2 2 2 2 4 3" xfId="3352"/>
    <cellStyle name="Currency 3 2 2 2 2 5" xfId="3353"/>
    <cellStyle name="Currency 3 2 2 2 2 6" xfId="3354"/>
    <cellStyle name="Currency 3 2 2 2 3" xfId="3355"/>
    <cellStyle name="Currency 3 2 2 2 3 2" xfId="3356"/>
    <cellStyle name="Currency 3 2 2 2 3 2 2" xfId="3357"/>
    <cellStyle name="Currency 3 2 2 2 3 2 3" xfId="3358"/>
    <cellStyle name="Currency 3 2 2 2 3 3" xfId="3359"/>
    <cellStyle name="Currency 3 2 2 2 3 3 2" xfId="3360"/>
    <cellStyle name="Currency 3 2 2 2 3 3 3" xfId="3361"/>
    <cellStyle name="Currency 3 2 2 2 3 4" xfId="3362"/>
    <cellStyle name="Currency 3 2 2 2 3 5" xfId="3363"/>
    <cellStyle name="Currency 3 2 2 2 4" xfId="3364"/>
    <cellStyle name="Currency 3 2 2 2 4 2" xfId="3365"/>
    <cellStyle name="Currency 3 2 2 2 4 3" xfId="3366"/>
    <cellStyle name="Currency 3 2 2 2 5" xfId="3367"/>
    <cellStyle name="Currency 3 2 2 2 5 2" xfId="3368"/>
    <cellStyle name="Currency 3 2 2 2 5 3" xfId="3369"/>
    <cellStyle name="Currency 3 2 2 2 6" xfId="3370"/>
    <cellStyle name="Currency 3 2 2 2 7" xfId="3371"/>
    <cellStyle name="Currency 3 2 2 3" xfId="3372"/>
    <cellStyle name="Currency 3 2 2 3 2" xfId="3373"/>
    <cellStyle name="Currency 3 2 2 3 2 2" xfId="3374"/>
    <cellStyle name="Currency 3 2 2 3 2 2 2" xfId="3375"/>
    <cellStyle name="Currency 3 2 2 3 2 2 3" xfId="3376"/>
    <cellStyle name="Currency 3 2 2 3 2 3" xfId="3377"/>
    <cellStyle name="Currency 3 2 2 3 2 3 2" xfId="3378"/>
    <cellStyle name="Currency 3 2 2 3 2 3 3" xfId="3379"/>
    <cellStyle name="Currency 3 2 2 3 2 4" xfId="3380"/>
    <cellStyle name="Currency 3 2 2 3 2 5" xfId="3381"/>
    <cellStyle name="Currency 3 2 2 3 3" xfId="3382"/>
    <cellStyle name="Currency 3 2 2 3 3 2" xfId="3383"/>
    <cellStyle name="Currency 3 2 2 3 3 3" xfId="3384"/>
    <cellStyle name="Currency 3 2 2 3 4" xfId="3385"/>
    <cellStyle name="Currency 3 2 2 3 4 2" xfId="3386"/>
    <cellStyle name="Currency 3 2 2 3 4 3" xfId="3387"/>
    <cellStyle name="Currency 3 2 2 3 5" xfId="3388"/>
    <cellStyle name="Currency 3 2 2 3 6" xfId="3389"/>
    <cellStyle name="Currency 3 2 2 4" xfId="3390"/>
    <cellStyle name="Currency 3 2 2 4 2" xfId="3391"/>
    <cellStyle name="Currency 3 2 2 4 2 2" xfId="3392"/>
    <cellStyle name="Currency 3 2 2 4 2 3" xfId="3393"/>
    <cellStyle name="Currency 3 2 2 4 3" xfId="3394"/>
    <cellStyle name="Currency 3 2 2 4 3 2" xfId="3395"/>
    <cellStyle name="Currency 3 2 2 4 3 3" xfId="3396"/>
    <cellStyle name="Currency 3 2 2 4 4" xfId="3397"/>
    <cellStyle name="Currency 3 2 2 4 5" xfId="3398"/>
    <cellStyle name="Currency 3 2 2 5" xfId="3399"/>
    <cellStyle name="Currency 3 2 2 5 2" xfId="3400"/>
    <cellStyle name="Currency 3 2 2 5 3" xfId="3401"/>
    <cellStyle name="Currency 3 2 2 6" xfId="3402"/>
    <cellStyle name="Currency 3 2 2 6 2" xfId="3403"/>
    <cellStyle name="Currency 3 2 2 6 3" xfId="3404"/>
    <cellStyle name="Currency 3 2 2 7" xfId="3405"/>
    <cellStyle name="Currency 3 2 2 8" xfId="3406"/>
    <cellStyle name="Currency 3 2 3" xfId="3407"/>
    <cellStyle name="Currency 3 2 3 2" xfId="3408"/>
    <cellStyle name="Currency 3 2 3 2 2" xfId="3409"/>
    <cellStyle name="Currency 3 2 3 2 2 2" xfId="3410"/>
    <cellStyle name="Currency 3 2 3 2 2 2 2" xfId="3411"/>
    <cellStyle name="Currency 3 2 3 2 2 2 3" xfId="3412"/>
    <cellStyle name="Currency 3 2 3 2 2 3" xfId="3413"/>
    <cellStyle name="Currency 3 2 3 2 2 3 2" xfId="3414"/>
    <cellStyle name="Currency 3 2 3 2 2 3 3" xfId="3415"/>
    <cellStyle name="Currency 3 2 3 2 2 4" xfId="3416"/>
    <cellStyle name="Currency 3 2 3 2 2 5" xfId="3417"/>
    <cellStyle name="Currency 3 2 3 2 3" xfId="3418"/>
    <cellStyle name="Currency 3 2 3 2 3 2" xfId="3419"/>
    <cellStyle name="Currency 3 2 3 2 3 3" xfId="3420"/>
    <cellStyle name="Currency 3 2 3 2 4" xfId="3421"/>
    <cellStyle name="Currency 3 2 3 2 4 2" xfId="3422"/>
    <cellStyle name="Currency 3 2 3 2 4 3" xfId="3423"/>
    <cellStyle name="Currency 3 2 3 2 5" xfId="3424"/>
    <cellStyle name="Currency 3 2 3 2 6" xfId="3425"/>
    <cellStyle name="Currency 3 2 3 3" xfId="3426"/>
    <cellStyle name="Currency 3 2 3 3 2" xfId="3427"/>
    <cellStyle name="Currency 3 2 3 3 2 2" xfId="3428"/>
    <cellStyle name="Currency 3 2 3 3 2 3" xfId="3429"/>
    <cellStyle name="Currency 3 2 3 3 3" xfId="3430"/>
    <cellStyle name="Currency 3 2 3 3 3 2" xfId="3431"/>
    <cellStyle name="Currency 3 2 3 3 3 3" xfId="3432"/>
    <cellStyle name="Currency 3 2 3 3 4" xfId="3433"/>
    <cellStyle name="Currency 3 2 3 3 5" xfId="3434"/>
    <cellStyle name="Currency 3 2 3 4" xfId="3435"/>
    <cellStyle name="Currency 3 2 3 4 2" xfId="3436"/>
    <cellStyle name="Currency 3 2 3 4 3" xfId="3437"/>
    <cellStyle name="Currency 3 2 3 5" xfId="3438"/>
    <cellStyle name="Currency 3 2 3 5 2" xfId="3439"/>
    <cellStyle name="Currency 3 2 3 5 3" xfId="3440"/>
    <cellStyle name="Currency 3 2 3 6" xfId="3441"/>
    <cellStyle name="Currency 3 2 3 7" xfId="3442"/>
    <cellStyle name="Currency 3 2 4" xfId="3443"/>
    <cellStyle name="Currency 3 2 4 2" xfId="3444"/>
    <cellStyle name="Currency 3 2 4 2 2" xfId="3445"/>
    <cellStyle name="Currency 3 2 4 2 2 2" xfId="3446"/>
    <cellStyle name="Currency 3 2 4 2 2 3" xfId="3447"/>
    <cellStyle name="Currency 3 2 4 2 3" xfId="3448"/>
    <cellStyle name="Currency 3 2 4 2 3 2" xfId="3449"/>
    <cellStyle name="Currency 3 2 4 2 3 3" xfId="3450"/>
    <cellStyle name="Currency 3 2 4 2 4" xfId="3451"/>
    <cellStyle name="Currency 3 2 4 2 5" xfId="3452"/>
    <cellStyle name="Currency 3 2 4 3" xfId="3453"/>
    <cellStyle name="Currency 3 2 4 3 2" xfId="3454"/>
    <cellStyle name="Currency 3 2 4 3 3" xfId="3455"/>
    <cellStyle name="Currency 3 2 4 4" xfId="3456"/>
    <cellStyle name="Currency 3 2 4 4 2" xfId="3457"/>
    <cellStyle name="Currency 3 2 4 4 3" xfId="3458"/>
    <cellStyle name="Currency 3 2 4 5" xfId="3459"/>
    <cellStyle name="Currency 3 2 4 6" xfId="3460"/>
    <cellStyle name="Currency 3 2 5" xfId="3461"/>
    <cellStyle name="Currency 3 2 5 2" xfId="3462"/>
    <cellStyle name="Currency 3 2 5 2 2" xfId="3463"/>
    <cellStyle name="Currency 3 2 5 2 3" xfId="3464"/>
    <cellStyle name="Currency 3 2 5 3" xfId="3465"/>
    <cellStyle name="Currency 3 2 5 3 2" xfId="3466"/>
    <cellStyle name="Currency 3 2 5 3 3" xfId="3467"/>
    <cellStyle name="Currency 3 2 5 4" xfId="3468"/>
    <cellStyle name="Currency 3 2 5 5" xfId="3469"/>
    <cellStyle name="Currency 3 2 6" xfId="3470"/>
    <cellStyle name="Currency 3 2 6 2" xfId="3471"/>
    <cellStyle name="Currency 3 2 6 3" xfId="3472"/>
    <cellStyle name="Currency 3 2 7" xfId="3473"/>
    <cellStyle name="Currency 3 2 7 2" xfId="3474"/>
    <cellStyle name="Currency 3 2 7 3" xfId="3475"/>
    <cellStyle name="Currency 3 2 8" xfId="3476"/>
    <cellStyle name="Currency 3 2 9" xfId="3477"/>
    <cellStyle name="Currency 3 3" xfId="124"/>
    <cellStyle name="Currency 3 3 2" xfId="3479"/>
    <cellStyle name="Currency 3 3 2 2" xfId="3480"/>
    <cellStyle name="Currency 3 3 2 2 2" xfId="3481"/>
    <cellStyle name="Currency 3 3 2 2 2 2" xfId="3482"/>
    <cellStyle name="Currency 3 3 2 2 2 2 2" xfId="3483"/>
    <cellStyle name="Currency 3 3 2 2 2 2 3" xfId="3484"/>
    <cellStyle name="Currency 3 3 2 2 2 3" xfId="3485"/>
    <cellStyle name="Currency 3 3 2 2 2 3 2" xfId="3486"/>
    <cellStyle name="Currency 3 3 2 2 2 3 3" xfId="3487"/>
    <cellStyle name="Currency 3 3 2 2 2 4" xfId="3488"/>
    <cellStyle name="Currency 3 3 2 2 2 5" xfId="3489"/>
    <cellStyle name="Currency 3 3 2 2 3" xfId="3490"/>
    <cellStyle name="Currency 3 3 2 2 3 2" xfId="3491"/>
    <cellStyle name="Currency 3 3 2 2 3 3" xfId="3492"/>
    <cellStyle name="Currency 3 3 2 2 4" xfId="3493"/>
    <cellStyle name="Currency 3 3 2 2 4 2" xfId="3494"/>
    <cellStyle name="Currency 3 3 2 2 4 3" xfId="3495"/>
    <cellStyle name="Currency 3 3 2 2 5" xfId="3496"/>
    <cellStyle name="Currency 3 3 2 2 6" xfId="3497"/>
    <cellStyle name="Currency 3 3 2 3" xfId="3498"/>
    <cellStyle name="Currency 3 3 2 3 2" xfId="3499"/>
    <cellStyle name="Currency 3 3 2 3 2 2" xfId="3500"/>
    <cellStyle name="Currency 3 3 2 3 2 3" xfId="3501"/>
    <cellStyle name="Currency 3 3 2 3 3" xfId="3502"/>
    <cellStyle name="Currency 3 3 2 3 3 2" xfId="3503"/>
    <cellStyle name="Currency 3 3 2 3 3 3" xfId="3504"/>
    <cellStyle name="Currency 3 3 2 3 4" xfId="3505"/>
    <cellStyle name="Currency 3 3 2 3 5" xfId="3506"/>
    <cellStyle name="Currency 3 3 2 4" xfId="3507"/>
    <cellStyle name="Currency 3 3 2 4 2" xfId="3508"/>
    <cellStyle name="Currency 3 3 2 4 3" xfId="3509"/>
    <cellStyle name="Currency 3 3 2 5" xfId="3510"/>
    <cellStyle name="Currency 3 3 2 5 2" xfId="3511"/>
    <cellStyle name="Currency 3 3 2 5 3" xfId="3512"/>
    <cellStyle name="Currency 3 3 2 6" xfId="3513"/>
    <cellStyle name="Currency 3 3 2 7" xfId="3514"/>
    <cellStyle name="Currency 3 3 3" xfId="3515"/>
    <cellStyle name="Currency 3 3 3 2" xfId="3516"/>
    <cellStyle name="Currency 3 3 3 2 2" xfId="3517"/>
    <cellStyle name="Currency 3 3 3 2 2 2" xfId="3518"/>
    <cellStyle name="Currency 3 3 3 2 2 3" xfId="3519"/>
    <cellStyle name="Currency 3 3 3 2 3" xfId="3520"/>
    <cellStyle name="Currency 3 3 3 2 3 2" xfId="3521"/>
    <cellStyle name="Currency 3 3 3 2 3 3" xfId="3522"/>
    <cellStyle name="Currency 3 3 3 2 4" xfId="3523"/>
    <cellStyle name="Currency 3 3 3 2 5" xfId="3524"/>
    <cellStyle name="Currency 3 3 3 2 6" xfId="34919"/>
    <cellStyle name="Currency 3 3 3 3" xfId="3525"/>
    <cellStyle name="Currency 3 3 3 3 2" xfId="3526"/>
    <cellStyle name="Currency 3 3 3 3 3" xfId="3527"/>
    <cellStyle name="Currency 3 3 3 4" xfId="3528"/>
    <cellStyle name="Currency 3 3 3 4 2" xfId="3529"/>
    <cellStyle name="Currency 3 3 3 4 3" xfId="3530"/>
    <cellStyle name="Currency 3 3 3 5" xfId="3531"/>
    <cellStyle name="Currency 3 3 3 6" xfId="3532"/>
    <cellStyle name="Currency 3 3 4" xfId="3533"/>
    <cellStyle name="Currency 3 3 4 2" xfId="3534"/>
    <cellStyle name="Currency 3 3 4 2 2" xfId="3535"/>
    <cellStyle name="Currency 3 3 4 2 3" xfId="3536"/>
    <cellStyle name="Currency 3 3 4 3" xfId="3537"/>
    <cellStyle name="Currency 3 3 4 3 2" xfId="3538"/>
    <cellStyle name="Currency 3 3 4 3 3" xfId="3539"/>
    <cellStyle name="Currency 3 3 4 4" xfId="3540"/>
    <cellStyle name="Currency 3 3 4 5" xfId="3541"/>
    <cellStyle name="Currency 3 3 5" xfId="3542"/>
    <cellStyle name="Currency 3 3 5 2" xfId="3543"/>
    <cellStyle name="Currency 3 3 5 3" xfId="3544"/>
    <cellStyle name="Currency 3 3 6" xfId="3545"/>
    <cellStyle name="Currency 3 3 6 2" xfId="3546"/>
    <cellStyle name="Currency 3 3 6 3" xfId="3547"/>
    <cellStyle name="Currency 3 3 7" xfId="3548"/>
    <cellStyle name="Currency 3 3 8" xfId="3549"/>
    <cellStyle name="Currency 3 3 9" xfId="3478"/>
    <cellStyle name="Currency 3 4" xfId="288"/>
    <cellStyle name="Currency 3 4 2" xfId="3550"/>
    <cellStyle name="Currency 3 4 2 2" xfId="3551"/>
    <cellStyle name="Currency 3 4 2 2 2" xfId="3552"/>
    <cellStyle name="Currency 3 4 2 2 2 2" xfId="3553"/>
    <cellStyle name="Currency 3 4 2 2 2 2 2" xfId="3554"/>
    <cellStyle name="Currency 3 4 2 2 2 2 3" xfId="3555"/>
    <cellStyle name="Currency 3 4 2 2 2 3" xfId="3556"/>
    <cellStyle name="Currency 3 4 2 2 2 3 2" xfId="3557"/>
    <cellStyle name="Currency 3 4 2 2 2 3 3" xfId="3558"/>
    <cellStyle name="Currency 3 4 2 2 2 4" xfId="3559"/>
    <cellStyle name="Currency 3 4 2 2 2 5" xfId="3560"/>
    <cellStyle name="Currency 3 4 2 2 3" xfId="3561"/>
    <cellStyle name="Currency 3 4 2 2 3 2" xfId="3562"/>
    <cellStyle name="Currency 3 4 2 2 3 3" xfId="3563"/>
    <cellStyle name="Currency 3 4 2 2 4" xfId="3564"/>
    <cellStyle name="Currency 3 4 2 2 4 2" xfId="3565"/>
    <cellStyle name="Currency 3 4 2 2 4 3" xfId="3566"/>
    <cellStyle name="Currency 3 4 2 2 5" xfId="3567"/>
    <cellStyle name="Currency 3 4 2 2 6" xfId="3568"/>
    <cellStyle name="Currency 3 4 2 3" xfId="3569"/>
    <cellStyle name="Currency 3 4 2 3 2" xfId="3570"/>
    <cellStyle name="Currency 3 4 2 3 2 2" xfId="3571"/>
    <cellStyle name="Currency 3 4 2 3 2 3" xfId="3572"/>
    <cellStyle name="Currency 3 4 2 3 3" xfId="3573"/>
    <cellStyle name="Currency 3 4 2 3 3 2" xfId="3574"/>
    <cellStyle name="Currency 3 4 2 3 3 3" xfId="3575"/>
    <cellStyle name="Currency 3 4 2 3 4" xfId="3576"/>
    <cellStyle name="Currency 3 4 2 3 5" xfId="3577"/>
    <cellStyle name="Currency 3 4 2 4" xfId="3578"/>
    <cellStyle name="Currency 3 4 2 4 2" xfId="3579"/>
    <cellStyle name="Currency 3 4 2 4 3" xfId="3580"/>
    <cellStyle name="Currency 3 4 2 5" xfId="3581"/>
    <cellStyle name="Currency 3 4 2 5 2" xfId="3582"/>
    <cellStyle name="Currency 3 4 2 5 3" xfId="3583"/>
    <cellStyle name="Currency 3 4 2 6" xfId="3584"/>
    <cellStyle name="Currency 3 4 2 7" xfId="3585"/>
    <cellStyle name="Currency 3 4 3" xfId="3586"/>
    <cellStyle name="Currency 3 4 3 2" xfId="3587"/>
    <cellStyle name="Currency 3 4 3 2 2" xfId="3588"/>
    <cellStyle name="Currency 3 4 3 2 2 2" xfId="3589"/>
    <cellStyle name="Currency 3 4 3 2 2 3" xfId="3590"/>
    <cellStyle name="Currency 3 4 3 2 3" xfId="3591"/>
    <cellStyle name="Currency 3 4 3 2 3 2" xfId="3592"/>
    <cellStyle name="Currency 3 4 3 2 3 3" xfId="3593"/>
    <cellStyle name="Currency 3 4 3 2 4" xfId="3594"/>
    <cellStyle name="Currency 3 4 3 2 5" xfId="3595"/>
    <cellStyle name="Currency 3 4 3 3" xfId="3596"/>
    <cellStyle name="Currency 3 4 3 3 2" xfId="3597"/>
    <cellStyle name="Currency 3 4 3 3 3" xfId="3598"/>
    <cellStyle name="Currency 3 4 3 4" xfId="3599"/>
    <cellStyle name="Currency 3 4 3 4 2" xfId="3600"/>
    <cellStyle name="Currency 3 4 3 4 3" xfId="3601"/>
    <cellStyle name="Currency 3 4 3 5" xfId="3602"/>
    <cellStyle name="Currency 3 4 3 6" xfId="3603"/>
    <cellStyle name="Currency 3 4 4" xfId="3604"/>
    <cellStyle name="Currency 3 4 4 2" xfId="3605"/>
    <cellStyle name="Currency 3 4 4 2 2" xfId="3606"/>
    <cellStyle name="Currency 3 4 4 2 3" xfId="3607"/>
    <cellStyle name="Currency 3 4 4 3" xfId="3608"/>
    <cellStyle name="Currency 3 4 4 3 2" xfId="3609"/>
    <cellStyle name="Currency 3 4 4 3 3" xfId="3610"/>
    <cellStyle name="Currency 3 4 4 4" xfId="3611"/>
    <cellStyle name="Currency 3 4 4 5" xfId="3612"/>
    <cellStyle name="Currency 3 4 5" xfId="3613"/>
    <cellStyle name="Currency 3 4 5 2" xfId="3614"/>
    <cellStyle name="Currency 3 4 5 3" xfId="3615"/>
    <cellStyle name="Currency 3 4 6" xfId="3616"/>
    <cellStyle name="Currency 3 4 6 2" xfId="3617"/>
    <cellStyle name="Currency 3 4 6 3" xfId="3618"/>
    <cellStyle name="Currency 3 4 7" xfId="3619"/>
    <cellStyle name="Currency 3 4 8" xfId="3620"/>
    <cellStyle name="Currency 3 5" xfId="3621"/>
    <cellStyle name="Currency 3 5 2" xfId="3622"/>
    <cellStyle name="Currency 3 5 2 2" xfId="3623"/>
    <cellStyle name="Currency 3 5 2 2 2" xfId="3624"/>
    <cellStyle name="Currency 3 5 2 2 2 2" xfId="3625"/>
    <cellStyle name="Currency 3 5 2 2 2 3" xfId="3626"/>
    <cellStyle name="Currency 3 5 2 2 3" xfId="3627"/>
    <cellStyle name="Currency 3 5 2 2 3 2" xfId="3628"/>
    <cellStyle name="Currency 3 5 2 2 3 3" xfId="3629"/>
    <cellStyle name="Currency 3 5 2 2 4" xfId="3630"/>
    <cellStyle name="Currency 3 5 2 2 5" xfId="3631"/>
    <cellStyle name="Currency 3 5 2 3" xfId="3632"/>
    <cellStyle name="Currency 3 5 2 3 2" xfId="3633"/>
    <cellStyle name="Currency 3 5 2 3 3" xfId="3634"/>
    <cellStyle name="Currency 3 5 2 4" xfId="3635"/>
    <cellStyle name="Currency 3 5 2 4 2" xfId="3636"/>
    <cellStyle name="Currency 3 5 2 4 3" xfId="3637"/>
    <cellStyle name="Currency 3 5 2 5" xfId="3638"/>
    <cellStyle name="Currency 3 5 2 6" xfId="3639"/>
    <cellStyle name="Currency 3 5 3" xfId="3640"/>
    <cellStyle name="Currency 3 5 3 2" xfId="3641"/>
    <cellStyle name="Currency 3 5 3 2 2" xfId="3642"/>
    <cellStyle name="Currency 3 5 3 2 3" xfId="3643"/>
    <cellStyle name="Currency 3 5 3 3" xfId="3644"/>
    <cellStyle name="Currency 3 5 3 3 2" xfId="3645"/>
    <cellStyle name="Currency 3 5 3 3 3" xfId="3646"/>
    <cellStyle name="Currency 3 5 3 4" xfId="3647"/>
    <cellStyle name="Currency 3 5 3 5" xfId="3648"/>
    <cellStyle name="Currency 3 5 4" xfId="3649"/>
    <cellStyle name="Currency 3 5 4 2" xfId="3650"/>
    <cellStyle name="Currency 3 5 4 3" xfId="3651"/>
    <cellStyle name="Currency 3 5 5" xfId="3652"/>
    <cellStyle name="Currency 3 5 5 2" xfId="3653"/>
    <cellStyle name="Currency 3 5 5 3" xfId="3654"/>
    <cellStyle name="Currency 3 5 6" xfId="3655"/>
    <cellStyle name="Currency 3 5 7" xfId="3656"/>
    <cellStyle name="Currency 3 6" xfId="3657"/>
    <cellStyle name="Currency 3 6 2" xfId="3658"/>
    <cellStyle name="Currency 3 6 2 2" xfId="3659"/>
    <cellStyle name="Currency 3 6 2 2 2" xfId="3660"/>
    <cellStyle name="Currency 3 6 2 2 3" xfId="3661"/>
    <cellStyle name="Currency 3 6 2 3" xfId="3662"/>
    <cellStyle name="Currency 3 6 2 3 2" xfId="3663"/>
    <cellStyle name="Currency 3 6 2 3 3" xfId="3664"/>
    <cellStyle name="Currency 3 6 2 4" xfId="3665"/>
    <cellStyle name="Currency 3 6 2 5" xfId="3666"/>
    <cellStyle name="Currency 3 6 3" xfId="3667"/>
    <cellStyle name="Currency 3 6 3 2" xfId="3668"/>
    <cellStyle name="Currency 3 6 3 3" xfId="3669"/>
    <cellStyle name="Currency 3 6 4" xfId="3670"/>
    <cellStyle name="Currency 3 6 4 2" xfId="3671"/>
    <cellStyle name="Currency 3 6 4 3" xfId="3672"/>
    <cellStyle name="Currency 3 6 5" xfId="3673"/>
    <cellStyle name="Currency 3 6 6" xfId="3674"/>
    <cellStyle name="Currency 3 7" xfId="3675"/>
    <cellStyle name="Currency 3 7 2" xfId="3676"/>
    <cellStyle name="Currency 3 7 2 2" xfId="3677"/>
    <cellStyle name="Currency 3 7 2 3" xfId="3678"/>
    <cellStyle name="Currency 3 7 3" xfId="3679"/>
    <cellStyle name="Currency 3 7 3 2" xfId="3680"/>
    <cellStyle name="Currency 3 7 3 3" xfId="3681"/>
    <cellStyle name="Currency 3 7 4" xfId="3682"/>
    <cellStyle name="Currency 3 7 5" xfId="3683"/>
    <cellStyle name="Currency 3 8" xfId="3684"/>
    <cellStyle name="Currency 3 8 2" xfId="3685"/>
    <cellStyle name="Currency 3 8 3" xfId="3686"/>
    <cellStyle name="Currency 3 9" xfId="3687"/>
    <cellStyle name="Currency 3 9 2" xfId="3688"/>
    <cellStyle name="Currency 3 9 3" xfId="3689"/>
    <cellStyle name="Currency 4" xfId="15"/>
    <cellStyle name="Currency 4 10" xfId="3690"/>
    <cellStyle name="Currency 4 11" xfId="3691"/>
    <cellStyle name="Currency 4 2" xfId="16"/>
    <cellStyle name="Currency 4 2 10" xfId="37456"/>
    <cellStyle name="Currency 4 2 2" xfId="3692"/>
    <cellStyle name="Currency 4 2 2 2" xfId="3693"/>
    <cellStyle name="Currency 4 2 2 2 2" xfId="3694"/>
    <cellStyle name="Currency 4 2 2 2 2 2" xfId="3695"/>
    <cellStyle name="Currency 4 2 2 2 2 2 2" xfId="3696"/>
    <cellStyle name="Currency 4 2 2 2 2 2 2 2" xfId="3697"/>
    <cellStyle name="Currency 4 2 2 2 2 2 2 3" xfId="3698"/>
    <cellStyle name="Currency 4 2 2 2 2 2 3" xfId="3699"/>
    <cellStyle name="Currency 4 2 2 2 2 2 3 2" xfId="3700"/>
    <cellStyle name="Currency 4 2 2 2 2 2 3 3" xfId="3701"/>
    <cellStyle name="Currency 4 2 2 2 2 2 4" xfId="3702"/>
    <cellStyle name="Currency 4 2 2 2 2 2 5" xfId="3703"/>
    <cellStyle name="Currency 4 2 2 2 2 3" xfId="3704"/>
    <cellStyle name="Currency 4 2 2 2 2 3 2" xfId="3705"/>
    <cellStyle name="Currency 4 2 2 2 2 3 3" xfId="3706"/>
    <cellStyle name="Currency 4 2 2 2 2 4" xfId="3707"/>
    <cellStyle name="Currency 4 2 2 2 2 4 2" xfId="3708"/>
    <cellStyle name="Currency 4 2 2 2 2 4 3" xfId="3709"/>
    <cellStyle name="Currency 4 2 2 2 2 5" xfId="3710"/>
    <cellStyle name="Currency 4 2 2 2 2 6" xfId="3711"/>
    <cellStyle name="Currency 4 2 2 2 3" xfId="3712"/>
    <cellStyle name="Currency 4 2 2 2 3 2" xfId="3713"/>
    <cellStyle name="Currency 4 2 2 2 3 2 2" xfId="3714"/>
    <cellStyle name="Currency 4 2 2 2 3 2 3" xfId="3715"/>
    <cellStyle name="Currency 4 2 2 2 3 3" xfId="3716"/>
    <cellStyle name="Currency 4 2 2 2 3 3 2" xfId="3717"/>
    <cellStyle name="Currency 4 2 2 2 3 3 3" xfId="3718"/>
    <cellStyle name="Currency 4 2 2 2 3 4" xfId="3719"/>
    <cellStyle name="Currency 4 2 2 2 3 5" xfId="3720"/>
    <cellStyle name="Currency 4 2 2 2 4" xfId="3721"/>
    <cellStyle name="Currency 4 2 2 2 4 2" xfId="3722"/>
    <cellStyle name="Currency 4 2 2 2 4 3" xfId="3723"/>
    <cellStyle name="Currency 4 2 2 2 5" xfId="3724"/>
    <cellStyle name="Currency 4 2 2 2 5 2" xfId="3725"/>
    <cellStyle name="Currency 4 2 2 2 5 3" xfId="3726"/>
    <cellStyle name="Currency 4 2 2 2 6" xfId="3727"/>
    <cellStyle name="Currency 4 2 2 2 7" xfId="3728"/>
    <cellStyle name="Currency 4 2 2 3" xfId="3729"/>
    <cellStyle name="Currency 4 2 2 3 2" xfId="3730"/>
    <cellStyle name="Currency 4 2 2 3 2 2" xfId="3731"/>
    <cellStyle name="Currency 4 2 2 3 2 2 2" xfId="3732"/>
    <cellStyle name="Currency 4 2 2 3 2 2 3" xfId="3733"/>
    <cellStyle name="Currency 4 2 2 3 2 3" xfId="3734"/>
    <cellStyle name="Currency 4 2 2 3 2 3 2" xfId="3735"/>
    <cellStyle name="Currency 4 2 2 3 2 3 3" xfId="3736"/>
    <cellStyle name="Currency 4 2 2 3 2 4" xfId="3737"/>
    <cellStyle name="Currency 4 2 2 3 2 5" xfId="3738"/>
    <cellStyle name="Currency 4 2 2 3 3" xfId="3739"/>
    <cellStyle name="Currency 4 2 2 3 3 2" xfId="3740"/>
    <cellStyle name="Currency 4 2 2 3 3 3" xfId="3741"/>
    <cellStyle name="Currency 4 2 2 3 4" xfId="3742"/>
    <cellStyle name="Currency 4 2 2 3 4 2" xfId="3743"/>
    <cellStyle name="Currency 4 2 2 3 4 3" xfId="3744"/>
    <cellStyle name="Currency 4 2 2 3 5" xfId="3745"/>
    <cellStyle name="Currency 4 2 2 3 6" xfId="3746"/>
    <cellStyle name="Currency 4 2 2 4" xfId="3747"/>
    <cellStyle name="Currency 4 2 2 4 2" xfId="3748"/>
    <cellStyle name="Currency 4 2 2 4 2 2" xfId="3749"/>
    <cellStyle name="Currency 4 2 2 4 2 3" xfId="3750"/>
    <cellStyle name="Currency 4 2 2 4 3" xfId="3751"/>
    <cellStyle name="Currency 4 2 2 4 3 2" xfId="3752"/>
    <cellStyle name="Currency 4 2 2 4 3 3" xfId="3753"/>
    <cellStyle name="Currency 4 2 2 4 4" xfId="3754"/>
    <cellStyle name="Currency 4 2 2 4 5" xfId="3755"/>
    <cellStyle name="Currency 4 2 2 5" xfId="3756"/>
    <cellStyle name="Currency 4 2 2 5 2" xfId="3757"/>
    <cellStyle name="Currency 4 2 2 5 3" xfId="3758"/>
    <cellStyle name="Currency 4 2 2 6" xfId="3759"/>
    <cellStyle name="Currency 4 2 2 6 2" xfId="3760"/>
    <cellStyle name="Currency 4 2 2 6 3" xfId="3761"/>
    <cellStyle name="Currency 4 2 2 7" xfId="3762"/>
    <cellStyle name="Currency 4 2 2 8" xfId="3763"/>
    <cellStyle name="Currency 4 2 3" xfId="3764"/>
    <cellStyle name="Currency 4 2 3 2" xfId="3765"/>
    <cellStyle name="Currency 4 2 3 2 2" xfId="3766"/>
    <cellStyle name="Currency 4 2 3 2 2 2" xfId="3767"/>
    <cellStyle name="Currency 4 2 3 2 2 2 2" xfId="3768"/>
    <cellStyle name="Currency 4 2 3 2 2 2 3" xfId="3769"/>
    <cellStyle name="Currency 4 2 3 2 2 3" xfId="3770"/>
    <cellStyle name="Currency 4 2 3 2 2 3 2" xfId="3771"/>
    <cellStyle name="Currency 4 2 3 2 2 3 3" xfId="3772"/>
    <cellStyle name="Currency 4 2 3 2 2 4" xfId="3773"/>
    <cellStyle name="Currency 4 2 3 2 2 5" xfId="3774"/>
    <cellStyle name="Currency 4 2 3 2 3" xfId="3775"/>
    <cellStyle name="Currency 4 2 3 2 3 2" xfId="3776"/>
    <cellStyle name="Currency 4 2 3 2 3 3" xfId="3777"/>
    <cellStyle name="Currency 4 2 3 2 4" xfId="3778"/>
    <cellStyle name="Currency 4 2 3 2 4 2" xfId="3779"/>
    <cellStyle name="Currency 4 2 3 2 4 3" xfId="3780"/>
    <cellStyle name="Currency 4 2 3 2 5" xfId="3781"/>
    <cellStyle name="Currency 4 2 3 2 6" xfId="3782"/>
    <cellStyle name="Currency 4 2 3 3" xfId="3783"/>
    <cellStyle name="Currency 4 2 3 3 2" xfId="3784"/>
    <cellStyle name="Currency 4 2 3 3 2 2" xfId="3785"/>
    <cellStyle name="Currency 4 2 3 3 2 3" xfId="3786"/>
    <cellStyle name="Currency 4 2 3 3 3" xfId="3787"/>
    <cellStyle name="Currency 4 2 3 3 3 2" xfId="3788"/>
    <cellStyle name="Currency 4 2 3 3 3 3" xfId="3789"/>
    <cellStyle name="Currency 4 2 3 3 4" xfId="3790"/>
    <cellStyle name="Currency 4 2 3 3 5" xfId="3791"/>
    <cellStyle name="Currency 4 2 3 4" xfId="3792"/>
    <cellStyle name="Currency 4 2 3 4 2" xfId="3793"/>
    <cellStyle name="Currency 4 2 3 4 3" xfId="3794"/>
    <cellStyle name="Currency 4 2 3 5" xfId="3795"/>
    <cellStyle name="Currency 4 2 3 5 2" xfId="3796"/>
    <cellStyle name="Currency 4 2 3 5 3" xfId="3797"/>
    <cellStyle name="Currency 4 2 3 6" xfId="3798"/>
    <cellStyle name="Currency 4 2 3 7" xfId="3799"/>
    <cellStyle name="Currency 4 2 4" xfId="3800"/>
    <cellStyle name="Currency 4 2 4 2" xfId="3801"/>
    <cellStyle name="Currency 4 2 4 2 2" xfId="3802"/>
    <cellStyle name="Currency 4 2 4 2 2 2" xfId="3803"/>
    <cellStyle name="Currency 4 2 4 2 2 3" xfId="3804"/>
    <cellStyle name="Currency 4 2 4 2 3" xfId="3805"/>
    <cellStyle name="Currency 4 2 4 2 3 2" xfId="3806"/>
    <cellStyle name="Currency 4 2 4 2 3 3" xfId="3807"/>
    <cellStyle name="Currency 4 2 4 2 4" xfId="3808"/>
    <cellStyle name="Currency 4 2 4 2 5" xfId="3809"/>
    <cellStyle name="Currency 4 2 4 3" xfId="3810"/>
    <cellStyle name="Currency 4 2 4 3 2" xfId="3811"/>
    <cellStyle name="Currency 4 2 4 3 3" xfId="3812"/>
    <cellStyle name="Currency 4 2 4 4" xfId="3813"/>
    <cellStyle name="Currency 4 2 4 4 2" xfId="3814"/>
    <cellStyle name="Currency 4 2 4 4 3" xfId="3815"/>
    <cellStyle name="Currency 4 2 4 5" xfId="3816"/>
    <cellStyle name="Currency 4 2 4 6" xfId="3817"/>
    <cellStyle name="Currency 4 2 5" xfId="3818"/>
    <cellStyle name="Currency 4 2 5 2" xfId="3819"/>
    <cellStyle name="Currency 4 2 5 2 2" xfId="3820"/>
    <cellStyle name="Currency 4 2 5 2 3" xfId="3821"/>
    <cellStyle name="Currency 4 2 5 3" xfId="3822"/>
    <cellStyle name="Currency 4 2 5 3 2" xfId="3823"/>
    <cellStyle name="Currency 4 2 5 3 3" xfId="3824"/>
    <cellStyle name="Currency 4 2 5 4" xfId="3825"/>
    <cellStyle name="Currency 4 2 5 5" xfId="3826"/>
    <cellStyle name="Currency 4 2 6" xfId="3827"/>
    <cellStyle name="Currency 4 2 6 2" xfId="3828"/>
    <cellStyle name="Currency 4 2 6 3" xfId="3829"/>
    <cellStyle name="Currency 4 2 7" xfId="3830"/>
    <cellStyle name="Currency 4 2 7 2" xfId="3831"/>
    <cellStyle name="Currency 4 2 7 3" xfId="3832"/>
    <cellStyle name="Currency 4 2 8" xfId="3833"/>
    <cellStyle name="Currency 4 2 9" xfId="3834"/>
    <cellStyle name="Currency 4 3" xfId="3835"/>
    <cellStyle name="Currency 4 3 2" xfId="3836"/>
    <cellStyle name="Currency 4 3 2 2" xfId="3837"/>
    <cellStyle name="Currency 4 3 2 2 2" xfId="3838"/>
    <cellStyle name="Currency 4 3 2 2 2 2" xfId="3839"/>
    <cellStyle name="Currency 4 3 2 2 2 2 2" xfId="3840"/>
    <cellStyle name="Currency 4 3 2 2 2 2 3" xfId="3841"/>
    <cellStyle name="Currency 4 3 2 2 2 3" xfId="3842"/>
    <cellStyle name="Currency 4 3 2 2 2 3 2" xfId="3843"/>
    <cellStyle name="Currency 4 3 2 2 2 3 3" xfId="3844"/>
    <cellStyle name="Currency 4 3 2 2 2 4" xfId="3845"/>
    <cellStyle name="Currency 4 3 2 2 2 5" xfId="3846"/>
    <cellStyle name="Currency 4 3 2 2 3" xfId="3847"/>
    <cellStyle name="Currency 4 3 2 2 3 2" xfId="3848"/>
    <cellStyle name="Currency 4 3 2 2 3 3" xfId="3849"/>
    <cellStyle name="Currency 4 3 2 2 4" xfId="3850"/>
    <cellStyle name="Currency 4 3 2 2 4 2" xfId="3851"/>
    <cellStyle name="Currency 4 3 2 2 4 3" xfId="3852"/>
    <cellStyle name="Currency 4 3 2 2 5" xfId="3853"/>
    <cellStyle name="Currency 4 3 2 2 6" xfId="3854"/>
    <cellStyle name="Currency 4 3 2 3" xfId="3855"/>
    <cellStyle name="Currency 4 3 2 3 2" xfId="3856"/>
    <cellStyle name="Currency 4 3 2 3 2 2" xfId="3857"/>
    <cellStyle name="Currency 4 3 2 3 2 3" xfId="3858"/>
    <cellStyle name="Currency 4 3 2 3 3" xfId="3859"/>
    <cellStyle name="Currency 4 3 2 3 3 2" xfId="3860"/>
    <cellStyle name="Currency 4 3 2 3 3 3" xfId="3861"/>
    <cellStyle name="Currency 4 3 2 3 4" xfId="3862"/>
    <cellStyle name="Currency 4 3 2 3 5" xfId="3863"/>
    <cellStyle name="Currency 4 3 2 4" xfId="3864"/>
    <cellStyle name="Currency 4 3 2 4 2" xfId="3865"/>
    <cellStyle name="Currency 4 3 2 4 3" xfId="3866"/>
    <cellStyle name="Currency 4 3 2 5" xfId="3867"/>
    <cellStyle name="Currency 4 3 2 5 2" xfId="3868"/>
    <cellStyle name="Currency 4 3 2 5 3" xfId="3869"/>
    <cellStyle name="Currency 4 3 2 6" xfId="3870"/>
    <cellStyle name="Currency 4 3 2 7" xfId="3871"/>
    <cellStyle name="Currency 4 3 3" xfId="3872"/>
    <cellStyle name="Currency 4 3 3 2" xfId="3873"/>
    <cellStyle name="Currency 4 3 3 2 2" xfId="3874"/>
    <cellStyle name="Currency 4 3 3 2 2 2" xfId="3875"/>
    <cellStyle name="Currency 4 3 3 2 2 3" xfId="3876"/>
    <cellStyle name="Currency 4 3 3 2 3" xfId="3877"/>
    <cellStyle name="Currency 4 3 3 2 3 2" xfId="3878"/>
    <cellStyle name="Currency 4 3 3 2 3 3" xfId="3879"/>
    <cellStyle name="Currency 4 3 3 2 4" xfId="3880"/>
    <cellStyle name="Currency 4 3 3 2 5" xfId="3881"/>
    <cellStyle name="Currency 4 3 3 3" xfId="3882"/>
    <cellStyle name="Currency 4 3 3 3 2" xfId="3883"/>
    <cellStyle name="Currency 4 3 3 3 3" xfId="3884"/>
    <cellStyle name="Currency 4 3 3 4" xfId="3885"/>
    <cellStyle name="Currency 4 3 3 4 2" xfId="3886"/>
    <cellStyle name="Currency 4 3 3 4 3" xfId="3887"/>
    <cellStyle name="Currency 4 3 3 5" xfId="3888"/>
    <cellStyle name="Currency 4 3 3 6" xfId="3889"/>
    <cellStyle name="Currency 4 3 4" xfId="3890"/>
    <cellStyle name="Currency 4 3 4 2" xfId="3891"/>
    <cellStyle name="Currency 4 3 4 2 2" xfId="3892"/>
    <cellStyle name="Currency 4 3 4 2 3" xfId="3893"/>
    <cellStyle name="Currency 4 3 4 3" xfId="3894"/>
    <cellStyle name="Currency 4 3 4 3 2" xfId="3895"/>
    <cellStyle name="Currency 4 3 4 3 3" xfId="3896"/>
    <cellStyle name="Currency 4 3 4 4" xfId="3897"/>
    <cellStyle name="Currency 4 3 4 5" xfId="3898"/>
    <cellStyle name="Currency 4 3 5" xfId="3899"/>
    <cellStyle name="Currency 4 3 5 2" xfId="3900"/>
    <cellStyle name="Currency 4 3 5 3" xfId="3901"/>
    <cellStyle name="Currency 4 3 6" xfId="3902"/>
    <cellStyle name="Currency 4 3 6 2" xfId="3903"/>
    <cellStyle name="Currency 4 3 6 3" xfId="3904"/>
    <cellStyle name="Currency 4 3 7" xfId="3905"/>
    <cellStyle name="Currency 4 3 8" xfId="3906"/>
    <cellStyle name="Currency 4 4" xfId="3907"/>
    <cellStyle name="Currency 4 4 2" xfId="3908"/>
    <cellStyle name="Currency 4 4 2 2" xfId="3909"/>
    <cellStyle name="Currency 4 4 2 2 2" xfId="3910"/>
    <cellStyle name="Currency 4 4 2 2 2 2" xfId="3911"/>
    <cellStyle name="Currency 4 4 2 2 2 2 2" xfId="3912"/>
    <cellStyle name="Currency 4 4 2 2 2 2 3" xfId="3913"/>
    <cellStyle name="Currency 4 4 2 2 2 3" xfId="3914"/>
    <cellStyle name="Currency 4 4 2 2 2 3 2" xfId="3915"/>
    <cellStyle name="Currency 4 4 2 2 2 3 3" xfId="3916"/>
    <cellStyle name="Currency 4 4 2 2 2 4" xfId="3917"/>
    <cellStyle name="Currency 4 4 2 2 2 5" xfId="3918"/>
    <cellStyle name="Currency 4 4 2 2 3" xfId="3919"/>
    <cellStyle name="Currency 4 4 2 2 3 2" xfId="3920"/>
    <cellStyle name="Currency 4 4 2 2 3 3" xfId="3921"/>
    <cellStyle name="Currency 4 4 2 2 4" xfId="3922"/>
    <cellStyle name="Currency 4 4 2 2 4 2" xfId="3923"/>
    <cellStyle name="Currency 4 4 2 2 4 3" xfId="3924"/>
    <cellStyle name="Currency 4 4 2 2 5" xfId="3925"/>
    <cellStyle name="Currency 4 4 2 2 6" xfId="3926"/>
    <cellStyle name="Currency 4 4 2 3" xfId="3927"/>
    <cellStyle name="Currency 4 4 2 3 2" xfId="3928"/>
    <cellStyle name="Currency 4 4 2 3 2 2" xfId="3929"/>
    <cellStyle name="Currency 4 4 2 3 2 3" xfId="3930"/>
    <cellStyle name="Currency 4 4 2 3 3" xfId="3931"/>
    <cellStyle name="Currency 4 4 2 3 3 2" xfId="3932"/>
    <cellStyle name="Currency 4 4 2 3 3 3" xfId="3933"/>
    <cellStyle name="Currency 4 4 2 3 4" xfId="3934"/>
    <cellStyle name="Currency 4 4 2 3 5" xfId="3935"/>
    <cellStyle name="Currency 4 4 2 4" xfId="3936"/>
    <cellStyle name="Currency 4 4 2 4 2" xfId="3937"/>
    <cellStyle name="Currency 4 4 2 4 3" xfId="3938"/>
    <cellStyle name="Currency 4 4 2 5" xfId="3939"/>
    <cellStyle name="Currency 4 4 2 5 2" xfId="3940"/>
    <cellStyle name="Currency 4 4 2 5 3" xfId="3941"/>
    <cellStyle name="Currency 4 4 2 6" xfId="3942"/>
    <cellStyle name="Currency 4 4 2 7" xfId="3943"/>
    <cellStyle name="Currency 4 4 3" xfId="3944"/>
    <cellStyle name="Currency 4 4 3 2" xfId="3945"/>
    <cellStyle name="Currency 4 4 3 2 2" xfId="3946"/>
    <cellStyle name="Currency 4 4 3 2 2 2" xfId="3947"/>
    <cellStyle name="Currency 4 4 3 2 2 3" xfId="3948"/>
    <cellStyle name="Currency 4 4 3 2 3" xfId="3949"/>
    <cellStyle name="Currency 4 4 3 2 3 2" xfId="3950"/>
    <cellStyle name="Currency 4 4 3 2 3 3" xfId="3951"/>
    <cellStyle name="Currency 4 4 3 2 4" xfId="3952"/>
    <cellStyle name="Currency 4 4 3 2 5" xfId="3953"/>
    <cellStyle name="Currency 4 4 3 3" xfId="3954"/>
    <cellStyle name="Currency 4 4 3 3 2" xfId="3955"/>
    <cellStyle name="Currency 4 4 3 3 3" xfId="3956"/>
    <cellStyle name="Currency 4 4 3 4" xfId="3957"/>
    <cellStyle name="Currency 4 4 3 4 2" xfId="3958"/>
    <cellStyle name="Currency 4 4 3 4 3" xfId="3959"/>
    <cellStyle name="Currency 4 4 3 5" xfId="3960"/>
    <cellStyle name="Currency 4 4 3 6" xfId="3961"/>
    <cellStyle name="Currency 4 4 4" xfId="3962"/>
    <cellStyle name="Currency 4 4 4 2" xfId="3963"/>
    <cellStyle name="Currency 4 4 4 2 2" xfId="3964"/>
    <cellStyle name="Currency 4 4 4 2 3" xfId="3965"/>
    <cellStyle name="Currency 4 4 4 3" xfId="3966"/>
    <cellStyle name="Currency 4 4 4 3 2" xfId="3967"/>
    <cellStyle name="Currency 4 4 4 3 3" xfId="3968"/>
    <cellStyle name="Currency 4 4 4 4" xfId="3969"/>
    <cellStyle name="Currency 4 4 4 5" xfId="3970"/>
    <cellStyle name="Currency 4 4 5" xfId="3971"/>
    <cellStyle name="Currency 4 4 5 2" xfId="3972"/>
    <cellStyle name="Currency 4 4 5 3" xfId="3973"/>
    <cellStyle name="Currency 4 4 6" xfId="3974"/>
    <cellStyle name="Currency 4 4 6 2" xfId="3975"/>
    <cellStyle name="Currency 4 4 6 3" xfId="3976"/>
    <cellStyle name="Currency 4 4 7" xfId="3977"/>
    <cellStyle name="Currency 4 4 8" xfId="3978"/>
    <cellStyle name="Currency 4 5" xfId="3979"/>
    <cellStyle name="Currency 4 5 2" xfId="3980"/>
    <cellStyle name="Currency 4 5 2 2" xfId="3981"/>
    <cellStyle name="Currency 4 5 2 2 2" xfId="3982"/>
    <cellStyle name="Currency 4 5 2 2 2 2" xfId="3983"/>
    <cellStyle name="Currency 4 5 2 2 2 3" xfId="3984"/>
    <cellStyle name="Currency 4 5 2 2 3" xfId="3985"/>
    <cellStyle name="Currency 4 5 2 2 3 2" xfId="3986"/>
    <cellStyle name="Currency 4 5 2 2 3 3" xfId="3987"/>
    <cellStyle name="Currency 4 5 2 2 4" xfId="3988"/>
    <cellStyle name="Currency 4 5 2 2 5" xfId="3989"/>
    <cellStyle name="Currency 4 5 2 3" xfId="3990"/>
    <cellStyle name="Currency 4 5 2 3 2" xfId="3991"/>
    <cellStyle name="Currency 4 5 2 3 3" xfId="3992"/>
    <cellStyle name="Currency 4 5 2 4" xfId="3993"/>
    <cellStyle name="Currency 4 5 2 4 2" xfId="3994"/>
    <cellStyle name="Currency 4 5 2 4 3" xfId="3995"/>
    <cellStyle name="Currency 4 5 2 5" xfId="3996"/>
    <cellStyle name="Currency 4 5 2 6" xfId="3997"/>
    <cellStyle name="Currency 4 5 3" xfId="3998"/>
    <cellStyle name="Currency 4 5 3 2" xfId="3999"/>
    <cellStyle name="Currency 4 5 3 2 2" xfId="4000"/>
    <cellStyle name="Currency 4 5 3 2 3" xfId="4001"/>
    <cellStyle name="Currency 4 5 3 3" xfId="4002"/>
    <cellStyle name="Currency 4 5 3 3 2" xfId="4003"/>
    <cellStyle name="Currency 4 5 3 3 3" xfId="4004"/>
    <cellStyle name="Currency 4 5 3 4" xfId="4005"/>
    <cellStyle name="Currency 4 5 3 5" xfId="4006"/>
    <cellStyle name="Currency 4 5 4" xfId="4007"/>
    <cellStyle name="Currency 4 5 4 2" xfId="4008"/>
    <cellStyle name="Currency 4 5 4 3" xfId="4009"/>
    <cellStyle name="Currency 4 5 5" xfId="4010"/>
    <cellStyle name="Currency 4 5 5 2" xfId="4011"/>
    <cellStyle name="Currency 4 5 5 3" xfId="4012"/>
    <cellStyle name="Currency 4 5 6" xfId="4013"/>
    <cellStyle name="Currency 4 5 7" xfId="4014"/>
    <cellStyle name="Currency 4 6" xfId="4015"/>
    <cellStyle name="Currency 4 6 2" xfId="4016"/>
    <cellStyle name="Currency 4 6 2 2" xfId="4017"/>
    <cellStyle name="Currency 4 6 2 2 2" xfId="4018"/>
    <cellStyle name="Currency 4 6 2 2 3" xfId="4019"/>
    <cellStyle name="Currency 4 6 2 3" xfId="4020"/>
    <cellStyle name="Currency 4 6 2 3 2" xfId="4021"/>
    <cellStyle name="Currency 4 6 2 3 3" xfId="4022"/>
    <cellStyle name="Currency 4 6 2 4" xfId="4023"/>
    <cellStyle name="Currency 4 6 2 5" xfId="4024"/>
    <cellStyle name="Currency 4 6 3" xfId="4025"/>
    <cellStyle name="Currency 4 6 3 2" xfId="4026"/>
    <cellStyle name="Currency 4 6 3 3" xfId="4027"/>
    <cellStyle name="Currency 4 6 4" xfId="4028"/>
    <cellStyle name="Currency 4 6 4 2" xfId="4029"/>
    <cellStyle name="Currency 4 6 4 3" xfId="4030"/>
    <cellStyle name="Currency 4 6 5" xfId="4031"/>
    <cellStyle name="Currency 4 6 6" xfId="4032"/>
    <cellStyle name="Currency 4 7" xfId="4033"/>
    <cellStyle name="Currency 4 7 2" xfId="4034"/>
    <cellStyle name="Currency 4 7 2 2" xfId="4035"/>
    <cellStyle name="Currency 4 7 2 3" xfId="4036"/>
    <cellStyle name="Currency 4 7 3" xfId="4037"/>
    <cellStyle name="Currency 4 7 3 2" xfId="4038"/>
    <cellStyle name="Currency 4 7 3 3" xfId="4039"/>
    <cellStyle name="Currency 4 7 4" xfId="4040"/>
    <cellStyle name="Currency 4 7 5" xfId="4041"/>
    <cellStyle name="Currency 4 8" xfId="4042"/>
    <cellStyle name="Currency 4 8 2" xfId="4043"/>
    <cellStyle name="Currency 4 8 3" xfId="4044"/>
    <cellStyle name="Currency 4 9" xfId="4045"/>
    <cellStyle name="Currency 4 9 2" xfId="4046"/>
    <cellStyle name="Currency 4 9 3" xfId="4047"/>
    <cellStyle name="Currency 5" xfId="121"/>
    <cellStyle name="Currency 5 10" xfId="4048"/>
    <cellStyle name="Currency 5 2" xfId="273"/>
    <cellStyle name="Currency 5 2 2" xfId="4049"/>
    <cellStyle name="Currency 5 2 2 2" xfId="4050"/>
    <cellStyle name="Currency 5 2 2 2 2" xfId="4051"/>
    <cellStyle name="Currency 5 2 2 2 2 2" xfId="4052"/>
    <cellStyle name="Currency 5 2 2 2 2 2 2" xfId="4053"/>
    <cellStyle name="Currency 5 2 2 2 2 2 3" xfId="4054"/>
    <cellStyle name="Currency 5 2 2 2 2 3" xfId="4055"/>
    <cellStyle name="Currency 5 2 2 2 2 3 2" xfId="4056"/>
    <cellStyle name="Currency 5 2 2 2 2 3 3" xfId="4057"/>
    <cellStyle name="Currency 5 2 2 2 2 4" xfId="4058"/>
    <cellStyle name="Currency 5 2 2 2 2 5" xfId="4059"/>
    <cellStyle name="Currency 5 2 2 2 3" xfId="4060"/>
    <cellStyle name="Currency 5 2 2 2 3 2" xfId="4061"/>
    <cellStyle name="Currency 5 2 2 2 3 3" xfId="4062"/>
    <cellStyle name="Currency 5 2 2 2 4" xfId="4063"/>
    <cellStyle name="Currency 5 2 2 2 4 2" xfId="4064"/>
    <cellStyle name="Currency 5 2 2 2 4 3" xfId="4065"/>
    <cellStyle name="Currency 5 2 2 2 5" xfId="4066"/>
    <cellStyle name="Currency 5 2 2 2 6" xfId="4067"/>
    <cellStyle name="Currency 5 2 2 3" xfId="4068"/>
    <cellStyle name="Currency 5 2 2 3 2" xfId="4069"/>
    <cellStyle name="Currency 5 2 2 3 2 2" xfId="4070"/>
    <cellStyle name="Currency 5 2 2 3 2 3" xfId="4071"/>
    <cellStyle name="Currency 5 2 2 3 3" xfId="4072"/>
    <cellStyle name="Currency 5 2 2 3 3 2" xfId="4073"/>
    <cellStyle name="Currency 5 2 2 3 3 3" xfId="4074"/>
    <cellStyle name="Currency 5 2 2 3 4" xfId="4075"/>
    <cellStyle name="Currency 5 2 2 3 5" xfId="4076"/>
    <cellStyle name="Currency 5 2 2 4" xfId="4077"/>
    <cellStyle name="Currency 5 2 2 4 2" xfId="4078"/>
    <cellStyle name="Currency 5 2 2 4 3" xfId="4079"/>
    <cellStyle name="Currency 5 2 2 5" xfId="4080"/>
    <cellStyle name="Currency 5 2 2 5 2" xfId="4081"/>
    <cellStyle name="Currency 5 2 2 5 3" xfId="4082"/>
    <cellStyle name="Currency 5 2 2 6" xfId="4083"/>
    <cellStyle name="Currency 5 2 2 7" xfId="4084"/>
    <cellStyle name="Currency 5 2 3" xfId="4085"/>
    <cellStyle name="Currency 5 2 3 2" xfId="4086"/>
    <cellStyle name="Currency 5 2 3 2 2" xfId="4087"/>
    <cellStyle name="Currency 5 2 3 2 2 2" xfId="4088"/>
    <cellStyle name="Currency 5 2 3 2 2 3" xfId="4089"/>
    <cellStyle name="Currency 5 2 3 2 3" xfId="4090"/>
    <cellStyle name="Currency 5 2 3 2 3 2" xfId="4091"/>
    <cellStyle name="Currency 5 2 3 2 3 3" xfId="4092"/>
    <cellStyle name="Currency 5 2 3 2 4" xfId="4093"/>
    <cellStyle name="Currency 5 2 3 2 5" xfId="4094"/>
    <cellStyle name="Currency 5 2 3 3" xfId="4095"/>
    <cellStyle name="Currency 5 2 3 3 2" xfId="4096"/>
    <cellStyle name="Currency 5 2 3 3 3" xfId="4097"/>
    <cellStyle name="Currency 5 2 3 4" xfId="4098"/>
    <cellStyle name="Currency 5 2 3 4 2" xfId="4099"/>
    <cellStyle name="Currency 5 2 3 4 3" xfId="4100"/>
    <cellStyle name="Currency 5 2 3 5" xfId="4101"/>
    <cellStyle name="Currency 5 2 3 6" xfId="4102"/>
    <cellStyle name="Currency 5 2 4" xfId="4103"/>
    <cellStyle name="Currency 5 2 4 2" xfId="4104"/>
    <cellStyle name="Currency 5 2 4 2 2" xfId="4105"/>
    <cellStyle name="Currency 5 2 4 2 3" xfId="4106"/>
    <cellStyle name="Currency 5 2 4 3" xfId="4107"/>
    <cellStyle name="Currency 5 2 4 3 2" xfId="4108"/>
    <cellStyle name="Currency 5 2 4 3 3" xfId="4109"/>
    <cellStyle name="Currency 5 2 4 4" xfId="4110"/>
    <cellStyle name="Currency 5 2 4 5" xfId="4111"/>
    <cellStyle name="Currency 5 2 5" xfId="4112"/>
    <cellStyle name="Currency 5 2 5 2" xfId="4113"/>
    <cellStyle name="Currency 5 2 5 3" xfId="4114"/>
    <cellStyle name="Currency 5 2 6" xfId="4115"/>
    <cellStyle name="Currency 5 2 6 2" xfId="4116"/>
    <cellStyle name="Currency 5 2 6 3" xfId="4117"/>
    <cellStyle name="Currency 5 2 7" xfId="4118"/>
    <cellStyle name="Currency 5 2 8" xfId="4119"/>
    <cellStyle name="Currency 5 3" xfId="289"/>
    <cellStyle name="Currency 5 3 2" xfId="4120"/>
    <cellStyle name="Currency 5 3 2 2" xfId="4121"/>
    <cellStyle name="Currency 5 3 2 2 2" xfId="4122"/>
    <cellStyle name="Currency 5 3 2 2 2 2" xfId="4123"/>
    <cellStyle name="Currency 5 3 2 2 2 2 2" xfId="4124"/>
    <cellStyle name="Currency 5 3 2 2 2 2 3" xfId="4125"/>
    <cellStyle name="Currency 5 3 2 2 2 3" xfId="4126"/>
    <cellStyle name="Currency 5 3 2 2 2 3 2" xfId="4127"/>
    <cellStyle name="Currency 5 3 2 2 2 3 3" xfId="4128"/>
    <cellStyle name="Currency 5 3 2 2 2 4" xfId="4129"/>
    <cellStyle name="Currency 5 3 2 2 2 5" xfId="4130"/>
    <cellStyle name="Currency 5 3 2 2 3" xfId="4131"/>
    <cellStyle name="Currency 5 3 2 2 3 2" xfId="4132"/>
    <cellStyle name="Currency 5 3 2 2 3 3" xfId="4133"/>
    <cellStyle name="Currency 5 3 2 2 4" xfId="4134"/>
    <cellStyle name="Currency 5 3 2 2 4 2" xfId="4135"/>
    <cellStyle name="Currency 5 3 2 2 4 3" xfId="4136"/>
    <cellStyle name="Currency 5 3 2 2 5" xfId="4137"/>
    <cellStyle name="Currency 5 3 2 2 6" xfId="4138"/>
    <cellStyle name="Currency 5 3 2 3" xfId="4139"/>
    <cellStyle name="Currency 5 3 2 3 2" xfId="4140"/>
    <cellStyle name="Currency 5 3 2 3 2 2" xfId="4141"/>
    <cellStyle name="Currency 5 3 2 3 2 3" xfId="4142"/>
    <cellStyle name="Currency 5 3 2 3 3" xfId="4143"/>
    <cellStyle name="Currency 5 3 2 3 3 2" xfId="4144"/>
    <cellStyle name="Currency 5 3 2 3 3 3" xfId="4145"/>
    <cellStyle name="Currency 5 3 2 3 4" xfId="4146"/>
    <cellStyle name="Currency 5 3 2 3 5" xfId="4147"/>
    <cellStyle name="Currency 5 3 2 4" xfId="4148"/>
    <cellStyle name="Currency 5 3 2 4 2" xfId="4149"/>
    <cellStyle name="Currency 5 3 2 4 3" xfId="4150"/>
    <cellStyle name="Currency 5 3 2 5" xfId="4151"/>
    <cellStyle name="Currency 5 3 2 5 2" xfId="4152"/>
    <cellStyle name="Currency 5 3 2 5 3" xfId="4153"/>
    <cellStyle name="Currency 5 3 2 6" xfId="4154"/>
    <cellStyle name="Currency 5 3 2 7" xfId="4155"/>
    <cellStyle name="Currency 5 3 3" xfId="4156"/>
    <cellStyle name="Currency 5 3 3 2" xfId="4157"/>
    <cellStyle name="Currency 5 3 3 2 2" xfId="4158"/>
    <cellStyle name="Currency 5 3 3 2 2 2" xfId="4159"/>
    <cellStyle name="Currency 5 3 3 2 2 3" xfId="4160"/>
    <cellStyle name="Currency 5 3 3 2 3" xfId="4161"/>
    <cellStyle name="Currency 5 3 3 2 3 2" xfId="4162"/>
    <cellStyle name="Currency 5 3 3 2 3 3" xfId="4163"/>
    <cellStyle name="Currency 5 3 3 2 4" xfId="4164"/>
    <cellStyle name="Currency 5 3 3 2 5" xfId="4165"/>
    <cellStyle name="Currency 5 3 3 3" xfId="4166"/>
    <cellStyle name="Currency 5 3 3 3 2" xfId="4167"/>
    <cellStyle name="Currency 5 3 3 3 3" xfId="4168"/>
    <cellStyle name="Currency 5 3 3 4" xfId="4169"/>
    <cellStyle name="Currency 5 3 3 4 2" xfId="4170"/>
    <cellStyle name="Currency 5 3 3 4 3" xfId="4171"/>
    <cellStyle name="Currency 5 3 3 5" xfId="4172"/>
    <cellStyle name="Currency 5 3 3 6" xfId="4173"/>
    <cellStyle name="Currency 5 3 4" xfId="4174"/>
    <cellStyle name="Currency 5 3 4 2" xfId="4175"/>
    <cellStyle name="Currency 5 3 4 2 2" xfId="4176"/>
    <cellStyle name="Currency 5 3 4 2 3" xfId="4177"/>
    <cellStyle name="Currency 5 3 4 3" xfId="4178"/>
    <cellStyle name="Currency 5 3 4 3 2" xfId="4179"/>
    <cellStyle name="Currency 5 3 4 3 3" xfId="4180"/>
    <cellStyle name="Currency 5 3 4 4" xfId="4181"/>
    <cellStyle name="Currency 5 3 4 5" xfId="4182"/>
    <cellStyle name="Currency 5 3 5" xfId="4183"/>
    <cellStyle name="Currency 5 3 5 2" xfId="4184"/>
    <cellStyle name="Currency 5 3 5 3" xfId="4185"/>
    <cellStyle name="Currency 5 3 6" xfId="4186"/>
    <cellStyle name="Currency 5 3 6 2" xfId="4187"/>
    <cellStyle name="Currency 5 3 6 3" xfId="4188"/>
    <cellStyle name="Currency 5 3 7" xfId="4189"/>
    <cellStyle name="Currency 5 3 8" xfId="4190"/>
    <cellStyle name="Currency 5 4" xfId="4191"/>
    <cellStyle name="Currency 5 4 2" xfId="4192"/>
    <cellStyle name="Currency 5 4 2 2" xfId="4193"/>
    <cellStyle name="Currency 5 4 2 2 2" xfId="4194"/>
    <cellStyle name="Currency 5 4 2 2 2 2" xfId="4195"/>
    <cellStyle name="Currency 5 4 2 2 2 3" xfId="4196"/>
    <cellStyle name="Currency 5 4 2 2 3" xfId="4197"/>
    <cellStyle name="Currency 5 4 2 2 3 2" xfId="4198"/>
    <cellStyle name="Currency 5 4 2 2 3 3" xfId="4199"/>
    <cellStyle name="Currency 5 4 2 2 4" xfId="4200"/>
    <cellStyle name="Currency 5 4 2 2 5" xfId="4201"/>
    <cellStyle name="Currency 5 4 2 3" xfId="4202"/>
    <cellStyle name="Currency 5 4 2 3 2" xfId="4203"/>
    <cellStyle name="Currency 5 4 2 3 3" xfId="4204"/>
    <cellStyle name="Currency 5 4 2 4" xfId="4205"/>
    <cellStyle name="Currency 5 4 2 4 2" xfId="4206"/>
    <cellStyle name="Currency 5 4 2 4 3" xfId="4207"/>
    <cellStyle name="Currency 5 4 2 5" xfId="4208"/>
    <cellStyle name="Currency 5 4 2 6" xfId="4209"/>
    <cellStyle name="Currency 5 4 3" xfId="4210"/>
    <cellStyle name="Currency 5 4 3 2" xfId="4211"/>
    <cellStyle name="Currency 5 4 3 2 2" xfId="4212"/>
    <cellStyle name="Currency 5 4 3 2 3" xfId="4213"/>
    <cellStyle name="Currency 5 4 3 3" xfId="4214"/>
    <cellStyle name="Currency 5 4 3 3 2" xfId="4215"/>
    <cellStyle name="Currency 5 4 3 3 3" xfId="4216"/>
    <cellStyle name="Currency 5 4 3 4" xfId="4217"/>
    <cellStyle name="Currency 5 4 3 5" xfId="4218"/>
    <cellStyle name="Currency 5 4 4" xfId="4219"/>
    <cellStyle name="Currency 5 4 4 2" xfId="4220"/>
    <cellStyle name="Currency 5 4 4 3" xfId="4221"/>
    <cellStyle name="Currency 5 4 5" xfId="4222"/>
    <cellStyle name="Currency 5 4 5 2" xfId="4223"/>
    <cellStyle name="Currency 5 4 5 3" xfId="4224"/>
    <cellStyle name="Currency 5 4 6" xfId="4225"/>
    <cellStyle name="Currency 5 4 7" xfId="4226"/>
    <cellStyle name="Currency 5 5" xfId="4227"/>
    <cellStyle name="Currency 5 5 2" xfId="4228"/>
    <cellStyle name="Currency 5 5 2 2" xfId="4229"/>
    <cellStyle name="Currency 5 5 2 2 2" xfId="4230"/>
    <cellStyle name="Currency 5 5 2 2 3" xfId="4231"/>
    <cellStyle name="Currency 5 5 2 3" xfId="4232"/>
    <cellStyle name="Currency 5 5 2 3 2" xfId="4233"/>
    <cellStyle name="Currency 5 5 2 3 3" xfId="4234"/>
    <cellStyle name="Currency 5 5 2 4" xfId="4235"/>
    <cellStyle name="Currency 5 5 2 5" xfId="4236"/>
    <cellStyle name="Currency 5 5 3" xfId="4237"/>
    <cellStyle name="Currency 5 5 3 2" xfId="4238"/>
    <cellStyle name="Currency 5 5 3 3" xfId="4239"/>
    <cellStyle name="Currency 5 5 4" xfId="4240"/>
    <cellStyle name="Currency 5 5 4 2" xfId="4241"/>
    <cellStyle name="Currency 5 5 4 3" xfId="4242"/>
    <cellStyle name="Currency 5 5 5" xfId="4243"/>
    <cellStyle name="Currency 5 5 6" xfId="4244"/>
    <cellStyle name="Currency 5 6" xfId="4245"/>
    <cellStyle name="Currency 5 6 2" xfId="4246"/>
    <cellStyle name="Currency 5 6 2 2" xfId="4247"/>
    <cellStyle name="Currency 5 6 2 3" xfId="4248"/>
    <cellStyle name="Currency 5 6 3" xfId="4249"/>
    <cellStyle name="Currency 5 6 3 2" xfId="4250"/>
    <cellStyle name="Currency 5 6 3 3" xfId="4251"/>
    <cellStyle name="Currency 5 6 4" xfId="4252"/>
    <cellStyle name="Currency 5 6 5" xfId="4253"/>
    <cellStyle name="Currency 5 7" xfId="4254"/>
    <cellStyle name="Currency 5 7 2" xfId="4255"/>
    <cellStyle name="Currency 5 7 3" xfId="4256"/>
    <cellStyle name="Currency 5 8" xfId="4257"/>
    <cellStyle name="Currency 5 8 2" xfId="4258"/>
    <cellStyle name="Currency 5 8 3" xfId="4259"/>
    <cellStyle name="Currency 5 9" xfId="4260"/>
    <cellStyle name="Currency 6" xfId="290"/>
    <cellStyle name="Currency 6 2" xfId="4261"/>
    <cellStyle name="Currency 6 3" xfId="4262"/>
    <cellStyle name="Currency 6 4" xfId="4263"/>
    <cellStyle name="Currency 6 5" xfId="37455"/>
    <cellStyle name="Currency 7" xfId="291"/>
    <cellStyle name="Currency 7 2" xfId="4264"/>
    <cellStyle name="Currency 7 3" xfId="37466"/>
    <cellStyle name="Currency 8" xfId="324"/>
    <cellStyle name="Currency 8 2" xfId="4265"/>
    <cellStyle name="Currency 8 2 2" xfId="4266"/>
    <cellStyle name="Currency 8 2 2 2" xfId="4267"/>
    <cellStyle name="Currency 8 2 2 2 2" xfId="4268"/>
    <cellStyle name="Currency 8 2 2 2 2 2" xfId="4269"/>
    <cellStyle name="Currency 8 2 2 2 2 2 2" xfId="4270"/>
    <cellStyle name="Currency 8 2 2 2 2 2 3" xfId="4271"/>
    <cellStyle name="Currency 8 2 2 2 2 3" xfId="4272"/>
    <cellStyle name="Currency 8 2 2 2 2 3 2" xfId="4273"/>
    <cellStyle name="Currency 8 2 2 2 2 3 3" xfId="4274"/>
    <cellStyle name="Currency 8 2 2 2 2 4" xfId="4275"/>
    <cellStyle name="Currency 8 2 2 2 2 5" xfId="4276"/>
    <cellStyle name="Currency 8 2 2 2 3" xfId="4277"/>
    <cellStyle name="Currency 8 2 2 2 3 2" xfId="4278"/>
    <cellStyle name="Currency 8 2 2 2 3 3" xfId="4279"/>
    <cellStyle name="Currency 8 2 2 2 4" xfId="4280"/>
    <cellStyle name="Currency 8 2 2 2 4 2" xfId="4281"/>
    <cellStyle name="Currency 8 2 2 2 4 3" xfId="4282"/>
    <cellStyle name="Currency 8 2 2 2 5" xfId="4283"/>
    <cellStyle name="Currency 8 2 2 2 6" xfId="4284"/>
    <cellStyle name="Currency 8 2 2 3" xfId="4285"/>
    <cellStyle name="Currency 8 2 2 3 2" xfId="4286"/>
    <cellStyle name="Currency 8 2 2 3 2 2" xfId="4287"/>
    <cellStyle name="Currency 8 2 2 3 2 3" xfId="4288"/>
    <cellStyle name="Currency 8 2 2 3 3" xfId="4289"/>
    <cellStyle name="Currency 8 2 2 3 3 2" xfId="4290"/>
    <cellStyle name="Currency 8 2 2 3 3 3" xfId="4291"/>
    <cellStyle name="Currency 8 2 2 3 4" xfId="4292"/>
    <cellStyle name="Currency 8 2 2 3 5" xfId="4293"/>
    <cellStyle name="Currency 8 2 2 4" xfId="4294"/>
    <cellStyle name="Currency 8 2 2 4 2" xfId="4295"/>
    <cellStyle name="Currency 8 2 2 4 3" xfId="4296"/>
    <cellStyle name="Currency 8 2 2 5" xfId="4297"/>
    <cellStyle name="Currency 8 2 2 5 2" xfId="4298"/>
    <cellStyle name="Currency 8 2 2 5 3" xfId="4299"/>
    <cellStyle name="Currency 8 2 2 6" xfId="4300"/>
    <cellStyle name="Currency 8 2 2 7" xfId="4301"/>
    <cellStyle name="Currency 8 2 3" xfId="4302"/>
    <cellStyle name="Currency 8 2 3 2" xfId="4303"/>
    <cellStyle name="Currency 8 2 3 2 2" xfId="4304"/>
    <cellStyle name="Currency 8 2 3 2 2 2" xfId="4305"/>
    <cellStyle name="Currency 8 2 3 2 2 3" xfId="4306"/>
    <cellStyle name="Currency 8 2 3 2 3" xfId="4307"/>
    <cellStyle name="Currency 8 2 3 2 3 2" xfId="4308"/>
    <cellStyle name="Currency 8 2 3 2 3 3" xfId="4309"/>
    <cellStyle name="Currency 8 2 3 2 4" xfId="4310"/>
    <cellStyle name="Currency 8 2 3 2 5" xfId="4311"/>
    <cellStyle name="Currency 8 2 3 3" xfId="4312"/>
    <cellStyle name="Currency 8 2 3 3 2" xfId="4313"/>
    <cellStyle name="Currency 8 2 3 3 3" xfId="4314"/>
    <cellStyle name="Currency 8 2 3 4" xfId="4315"/>
    <cellStyle name="Currency 8 2 3 4 2" xfId="4316"/>
    <cellStyle name="Currency 8 2 3 4 3" xfId="4317"/>
    <cellStyle name="Currency 8 2 3 5" xfId="4318"/>
    <cellStyle name="Currency 8 2 3 6" xfId="4319"/>
    <cellStyle name="Currency 8 2 4" xfId="4320"/>
    <cellStyle name="Currency 8 2 4 2" xfId="4321"/>
    <cellStyle name="Currency 8 2 4 2 2" xfId="4322"/>
    <cellStyle name="Currency 8 2 4 2 3" xfId="4323"/>
    <cellStyle name="Currency 8 2 4 3" xfId="4324"/>
    <cellStyle name="Currency 8 2 4 3 2" xfId="4325"/>
    <cellStyle name="Currency 8 2 4 3 3" xfId="4326"/>
    <cellStyle name="Currency 8 2 4 4" xfId="4327"/>
    <cellStyle name="Currency 8 2 4 5" xfId="4328"/>
    <cellStyle name="Currency 8 2 5" xfId="4329"/>
    <cellStyle name="Currency 8 2 5 2" xfId="4330"/>
    <cellStyle name="Currency 8 2 5 3" xfId="4331"/>
    <cellStyle name="Currency 8 2 6" xfId="4332"/>
    <cellStyle name="Currency 8 2 6 2" xfId="4333"/>
    <cellStyle name="Currency 8 2 6 3" xfId="4334"/>
    <cellStyle name="Currency 8 2 7" xfId="4335"/>
    <cellStyle name="Currency 8 2 8" xfId="4336"/>
    <cellStyle name="Currency 8 3" xfId="4337"/>
    <cellStyle name="Currency 8 3 2" xfId="4338"/>
    <cellStyle name="Currency 8 3 2 2" xfId="4339"/>
    <cellStyle name="Currency 8 3 2 2 2" xfId="4340"/>
    <cellStyle name="Currency 8 3 2 2 2 2" xfId="4341"/>
    <cellStyle name="Currency 8 3 2 2 2 3" xfId="4342"/>
    <cellStyle name="Currency 8 3 2 2 3" xfId="4343"/>
    <cellStyle name="Currency 8 3 2 2 3 2" xfId="4344"/>
    <cellStyle name="Currency 8 3 2 2 3 3" xfId="4345"/>
    <cellStyle name="Currency 8 3 2 2 4" xfId="4346"/>
    <cellStyle name="Currency 8 3 2 2 5" xfId="4347"/>
    <cellStyle name="Currency 8 3 2 3" xfId="4348"/>
    <cellStyle name="Currency 8 3 2 3 2" xfId="4349"/>
    <cellStyle name="Currency 8 3 2 3 3" xfId="4350"/>
    <cellStyle name="Currency 8 3 2 4" xfId="4351"/>
    <cellStyle name="Currency 8 3 2 4 2" xfId="4352"/>
    <cellStyle name="Currency 8 3 2 4 3" xfId="4353"/>
    <cellStyle name="Currency 8 3 2 5" xfId="4354"/>
    <cellStyle name="Currency 8 3 2 6" xfId="4355"/>
    <cellStyle name="Currency 8 3 3" xfId="4356"/>
    <cellStyle name="Currency 8 3 3 2" xfId="4357"/>
    <cellStyle name="Currency 8 3 3 2 2" xfId="4358"/>
    <cellStyle name="Currency 8 3 3 2 3" xfId="4359"/>
    <cellStyle name="Currency 8 3 3 3" xfId="4360"/>
    <cellStyle name="Currency 8 3 3 3 2" xfId="4361"/>
    <cellStyle name="Currency 8 3 3 3 3" xfId="4362"/>
    <cellStyle name="Currency 8 3 3 4" xfId="4363"/>
    <cellStyle name="Currency 8 3 3 5" xfId="4364"/>
    <cellStyle name="Currency 8 3 4" xfId="4365"/>
    <cellStyle name="Currency 8 3 4 2" xfId="4366"/>
    <cellStyle name="Currency 8 3 4 3" xfId="4367"/>
    <cellStyle name="Currency 8 3 5" xfId="4368"/>
    <cellStyle name="Currency 8 3 5 2" xfId="4369"/>
    <cellStyle name="Currency 8 3 5 3" xfId="4370"/>
    <cellStyle name="Currency 8 3 6" xfId="4371"/>
    <cellStyle name="Currency 8 3 7" xfId="4372"/>
    <cellStyle name="Currency 8 4" xfId="4373"/>
    <cellStyle name="Currency 8 4 2" xfId="4374"/>
    <cellStyle name="Currency 8 4 2 2" xfId="4375"/>
    <cellStyle name="Currency 8 4 2 2 2" xfId="4376"/>
    <cellStyle name="Currency 8 4 2 2 3" xfId="4377"/>
    <cellStyle name="Currency 8 4 2 3" xfId="4378"/>
    <cellStyle name="Currency 8 4 2 3 2" xfId="4379"/>
    <cellStyle name="Currency 8 4 2 3 3" xfId="4380"/>
    <cellStyle name="Currency 8 4 2 4" xfId="4381"/>
    <cellStyle name="Currency 8 4 2 5" xfId="4382"/>
    <cellStyle name="Currency 8 4 3" xfId="4383"/>
    <cellStyle name="Currency 8 4 3 2" xfId="4384"/>
    <cellStyle name="Currency 8 4 3 3" xfId="4385"/>
    <cellStyle name="Currency 8 4 4" xfId="4386"/>
    <cellStyle name="Currency 8 4 4 2" xfId="4387"/>
    <cellStyle name="Currency 8 4 4 3" xfId="4388"/>
    <cellStyle name="Currency 8 4 5" xfId="4389"/>
    <cellStyle name="Currency 8 4 6" xfId="4390"/>
    <cellStyle name="Currency 8 5" xfId="4391"/>
    <cellStyle name="Currency 8 5 2" xfId="4392"/>
    <cellStyle name="Currency 8 5 2 2" xfId="4393"/>
    <cellStyle name="Currency 8 5 2 3" xfId="4394"/>
    <cellStyle name="Currency 8 5 3" xfId="4395"/>
    <cellStyle name="Currency 8 5 3 2" xfId="4396"/>
    <cellStyle name="Currency 8 5 3 3" xfId="4397"/>
    <cellStyle name="Currency 8 5 4" xfId="4398"/>
    <cellStyle name="Currency 8 5 5" xfId="4399"/>
    <cellStyle name="Currency 8 6" xfId="4400"/>
    <cellStyle name="Currency 8 6 2" xfId="4401"/>
    <cellStyle name="Currency 8 6 3" xfId="4402"/>
    <cellStyle name="Currency 8 7" xfId="4403"/>
    <cellStyle name="Currency 8 7 2" xfId="4404"/>
    <cellStyle name="Currency 8 7 3" xfId="4405"/>
    <cellStyle name="Currency 8 8" xfId="4406"/>
    <cellStyle name="Currency 8 9" xfId="4407"/>
    <cellStyle name="Currency 9" xfId="325"/>
    <cellStyle name="Currency 9 2" xfId="4408"/>
    <cellStyle name="Currency 9 2 2" xfId="4409"/>
    <cellStyle name="Currency 9 2 2 2" xfId="4410"/>
    <cellStyle name="Currency 9 2 2 2 2" xfId="4411"/>
    <cellStyle name="Currency 9 2 2 2 2 2" xfId="4412"/>
    <cellStyle name="Currency 9 2 2 2 2 3" xfId="4413"/>
    <cellStyle name="Currency 9 2 2 2 3" xfId="4414"/>
    <cellStyle name="Currency 9 2 2 2 3 2" xfId="4415"/>
    <cellStyle name="Currency 9 2 2 2 3 3" xfId="4416"/>
    <cellStyle name="Currency 9 2 2 2 4" xfId="4417"/>
    <cellStyle name="Currency 9 2 2 2 5" xfId="4418"/>
    <cellStyle name="Currency 9 2 2 3" xfId="4419"/>
    <cellStyle name="Currency 9 2 2 3 2" xfId="4420"/>
    <cellStyle name="Currency 9 2 2 3 3" xfId="4421"/>
    <cellStyle name="Currency 9 2 2 4" xfId="4422"/>
    <cellStyle name="Currency 9 2 2 4 2" xfId="4423"/>
    <cellStyle name="Currency 9 2 2 4 3" xfId="4424"/>
    <cellStyle name="Currency 9 2 2 5" xfId="4425"/>
    <cellStyle name="Currency 9 2 2 6" xfId="4426"/>
    <cellStyle name="Currency 9 2 3" xfId="4427"/>
    <cellStyle name="Currency 9 2 3 2" xfId="4428"/>
    <cellStyle name="Currency 9 2 3 2 2" xfId="4429"/>
    <cellStyle name="Currency 9 2 3 2 3" xfId="4430"/>
    <cellStyle name="Currency 9 2 3 3" xfId="4431"/>
    <cellStyle name="Currency 9 2 3 3 2" xfId="4432"/>
    <cellStyle name="Currency 9 2 3 3 3" xfId="4433"/>
    <cellStyle name="Currency 9 2 3 4" xfId="4434"/>
    <cellStyle name="Currency 9 2 3 5" xfId="4435"/>
    <cellStyle name="Currency 9 2 4" xfId="4436"/>
    <cellStyle name="Currency 9 2 4 2" xfId="4437"/>
    <cellStyle name="Currency 9 2 4 3" xfId="4438"/>
    <cellStyle name="Currency 9 2 5" xfId="4439"/>
    <cellStyle name="Currency 9 2 5 2" xfId="4440"/>
    <cellStyle name="Currency 9 2 5 3" xfId="4441"/>
    <cellStyle name="Currency 9 2 6" xfId="4442"/>
    <cellStyle name="Currency 9 2 7" xfId="4443"/>
    <cellStyle name="Currency 9 3" xfId="4444"/>
    <cellStyle name="Currency 9 3 2" xfId="4445"/>
    <cellStyle name="Currency 9 3 2 2" xfId="4446"/>
    <cellStyle name="Currency 9 3 2 2 2" xfId="4447"/>
    <cellStyle name="Currency 9 3 2 2 3" xfId="4448"/>
    <cellStyle name="Currency 9 3 2 3" xfId="4449"/>
    <cellStyle name="Currency 9 3 2 3 2" xfId="4450"/>
    <cellStyle name="Currency 9 3 2 3 3" xfId="4451"/>
    <cellStyle name="Currency 9 3 2 4" xfId="4452"/>
    <cellStyle name="Currency 9 3 2 5" xfId="4453"/>
    <cellStyle name="Currency 9 3 3" xfId="4454"/>
    <cellStyle name="Currency 9 3 3 2" xfId="4455"/>
    <cellStyle name="Currency 9 3 3 3" xfId="4456"/>
    <cellStyle name="Currency 9 3 4" xfId="4457"/>
    <cellStyle name="Currency 9 3 4 2" xfId="4458"/>
    <cellStyle name="Currency 9 3 4 3" xfId="4459"/>
    <cellStyle name="Currency 9 3 5" xfId="4460"/>
    <cellStyle name="Currency 9 3 6" xfId="4461"/>
    <cellStyle name="Currency 9 4" xfId="4462"/>
    <cellStyle name="Currency 9 4 2" xfId="4463"/>
    <cellStyle name="Currency 9 4 2 2" xfId="4464"/>
    <cellStyle name="Currency 9 4 2 3" xfId="4465"/>
    <cellStyle name="Currency 9 4 3" xfId="4466"/>
    <cellStyle name="Currency 9 4 3 2" xfId="4467"/>
    <cellStyle name="Currency 9 4 3 3" xfId="4468"/>
    <cellStyle name="Currency 9 4 4" xfId="4469"/>
    <cellStyle name="Currency 9 4 5" xfId="4470"/>
    <cellStyle name="Currency 9 5" xfId="4471"/>
    <cellStyle name="Currency 9 5 2" xfId="4472"/>
    <cellStyle name="Currency 9 5 3" xfId="4473"/>
    <cellStyle name="Currency 9 6" xfId="4474"/>
    <cellStyle name="Currency 9 6 2" xfId="4475"/>
    <cellStyle name="Currency 9 6 3" xfId="4476"/>
    <cellStyle name="Currency 9 7" xfId="4477"/>
    <cellStyle name="Currency 9 8" xfId="4478"/>
    <cellStyle name="Currency0" xfId="4479"/>
    <cellStyle name="Custom - Style1" xfId="4480"/>
    <cellStyle name="Custom - Style8" xfId="4481"/>
    <cellStyle name="Data   - Style2" xfId="4482"/>
    <cellStyle name="Data   - Style2 10" xfId="4483"/>
    <cellStyle name="Data   - Style2 10 10" xfId="24385"/>
    <cellStyle name="Data   - Style2 10 11" xfId="25384"/>
    <cellStyle name="Data   - Style2 10 12" xfId="28331"/>
    <cellStyle name="Data   - Style2 10 13" xfId="29298"/>
    <cellStyle name="Data   - Style2 10 14" xfId="30340"/>
    <cellStyle name="Data   - Style2 10 15" xfId="31331"/>
    <cellStyle name="Data   - Style2 10 16" xfId="32339"/>
    <cellStyle name="Data   - Style2 10 17" xfId="33342"/>
    <cellStyle name="Data   - Style2 10 18" xfId="34341"/>
    <cellStyle name="Data   - Style2 10 19" xfId="35962"/>
    <cellStyle name="Data   - Style2 10 2" xfId="16366"/>
    <cellStyle name="Data   - Style2 10 20" xfId="36901"/>
    <cellStyle name="Data   - Style2 10 3" xfId="17345"/>
    <cellStyle name="Data   - Style2 10 4" xfId="18371"/>
    <cellStyle name="Data   - Style2 10 5" xfId="19404"/>
    <cellStyle name="Data   - Style2 10 6" xfId="20426"/>
    <cellStyle name="Data   - Style2 10 7" xfId="21437"/>
    <cellStyle name="Data   - Style2 10 8" xfId="22408"/>
    <cellStyle name="Data   - Style2 10 9" xfId="23413"/>
    <cellStyle name="Data   - Style2 11" xfId="14001"/>
    <cellStyle name="Data   - Style2 12" xfId="14581"/>
    <cellStyle name="Data   - Style2 13" xfId="13784"/>
    <cellStyle name="Data   - Style2 14" xfId="14235"/>
    <cellStyle name="Data   - Style2 15" xfId="27431"/>
    <cellStyle name="Data   - Style2 16" xfId="26201"/>
    <cellStyle name="Data   - Style2 17" xfId="28758"/>
    <cellStyle name="Data   - Style2 18" xfId="37477"/>
    <cellStyle name="Data   - Style2 2" xfId="4484"/>
    <cellStyle name="Data   - Style2 2 10" xfId="14577"/>
    <cellStyle name="Data   - Style2 2 11" xfId="26539"/>
    <cellStyle name="Data   - Style2 2 12" xfId="27765"/>
    <cellStyle name="Data   - Style2 2 13" xfId="29803"/>
    <cellStyle name="Data   - Style2 2 2" xfId="4485"/>
    <cellStyle name="Data   - Style2 2 2 10" xfId="23414"/>
    <cellStyle name="Data   - Style2 2 2 11" xfId="24386"/>
    <cellStyle name="Data   - Style2 2 2 12" xfId="25385"/>
    <cellStyle name="Data   - Style2 2 2 13" xfId="28332"/>
    <cellStyle name="Data   - Style2 2 2 14" xfId="29299"/>
    <cellStyle name="Data   - Style2 2 2 15" xfId="30341"/>
    <cellStyle name="Data   - Style2 2 2 16" xfId="31332"/>
    <cellStyle name="Data   - Style2 2 2 17" xfId="32340"/>
    <cellStyle name="Data   - Style2 2 2 18" xfId="33343"/>
    <cellStyle name="Data   - Style2 2 2 19" xfId="34342"/>
    <cellStyle name="Data   - Style2 2 2 2" xfId="4486"/>
    <cellStyle name="Data   - Style2 2 2 2 10" xfId="24387"/>
    <cellStyle name="Data   - Style2 2 2 2 11" xfId="25386"/>
    <cellStyle name="Data   - Style2 2 2 2 12" xfId="28333"/>
    <cellStyle name="Data   - Style2 2 2 2 13" xfId="29300"/>
    <cellStyle name="Data   - Style2 2 2 2 14" xfId="30342"/>
    <cellStyle name="Data   - Style2 2 2 2 15" xfId="31333"/>
    <cellStyle name="Data   - Style2 2 2 2 16" xfId="32341"/>
    <cellStyle name="Data   - Style2 2 2 2 17" xfId="33344"/>
    <cellStyle name="Data   - Style2 2 2 2 18" xfId="34343"/>
    <cellStyle name="Data   - Style2 2 2 2 19" xfId="35964"/>
    <cellStyle name="Data   - Style2 2 2 2 2" xfId="16368"/>
    <cellStyle name="Data   - Style2 2 2 2 20" xfId="36903"/>
    <cellStyle name="Data   - Style2 2 2 2 3" xfId="17347"/>
    <cellStyle name="Data   - Style2 2 2 2 4" xfId="18373"/>
    <cellStyle name="Data   - Style2 2 2 2 5" xfId="19406"/>
    <cellStyle name="Data   - Style2 2 2 2 6" xfId="20428"/>
    <cellStyle name="Data   - Style2 2 2 2 7" xfId="21439"/>
    <cellStyle name="Data   - Style2 2 2 2 8" xfId="22410"/>
    <cellStyle name="Data   - Style2 2 2 2 9" xfId="23415"/>
    <cellStyle name="Data   - Style2 2 2 20" xfId="35963"/>
    <cellStyle name="Data   - Style2 2 2 21" xfId="36902"/>
    <cellStyle name="Data   - Style2 2 2 3" xfId="16367"/>
    <cellStyle name="Data   - Style2 2 2 4" xfId="17346"/>
    <cellStyle name="Data   - Style2 2 2 5" xfId="18372"/>
    <cellStyle name="Data   - Style2 2 2 6" xfId="19405"/>
    <cellStyle name="Data   - Style2 2 2 7" xfId="20427"/>
    <cellStyle name="Data   - Style2 2 2 8" xfId="21438"/>
    <cellStyle name="Data   - Style2 2 2 9" xfId="22409"/>
    <cellStyle name="Data   - Style2 2 3" xfId="4487"/>
    <cellStyle name="Data   - Style2 2 3 10" xfId="23416"/>
    <cellStyle name="Data   - Style2 2 3 11" xfId="24388"/>
    <cellStyle name="Data   - Style2 2 3 12" xfId="25387"/>
    <cellStyle name="Data   - Style2 2 3 13" xfId="28334"/>
    <cellStyle name="Data   - Style2 2 3 14" xfId="29301"/>
    <cellStyle name="Data   - Style2 2 3 15" xfId="30343"/>
    <cellStyle name="Data   - Style2 2 3 16" xfId="31334"/>
    <cellStyle name="Data   - Style2 2 3 17" xfId="32342"/>
    <cellStyle name="Data   - Style2 2 3 18" xfId="33345"/>
    <cellStyle name="Data   - Style2 2 3 19" xfId="34344"/>
    <cellStyle name="Data   - Style2 2 3 2" xfId="4488"/>
    <cellStyle name="Data   - Style2 2 3 2 10" xfId="24389"/>
    <cellStyle name="Data   - Style2 2 3 2 11" xfId="25388"/>
    <cellStyle name="Data   - Style2 2 3 2 12" xfId="28335"/>
    <cellStyle name="Data   - Style2 2 3 2 13" xfId="29302"/>
    <cellStyle name="Data   - Style2 2 3 2 14" xfId="30344"/>
    <cellStyle name="Data   - Style2 2 3 2 15" xfId="31335"/>
    <cellStyle name="Data   - Style2 2 3 2 16" xfId="32343"/>
    <cellStyle name="Data   - Style2 2 3 2 17" xfId="33346"/>
    <cellStyle name="Data   - Style2 2 3 2 18" xfId="34345"/>
    <cellStyle name="Data   - Style2 2 3 2 19" xfId="35966"/>
    <cellStyle name="Data   - Style2 2 3 2 2" xfId="16370"/>
    <cellStyle name="Data   - Style2 2 3 2 20" xfId="36905"/>
    <cellStyle name="Data   - Style2 2 3 2 3" xfId="17349"/>
    <cellStyle name="Data   - Style2 2 3 2 4" xfId="18375"/>
    <cellStyle name="Data   - Style2 2 3 2 5" xfId="19408"/>
    <cellStyle name="Data   - Style2 2 3 2 6" xfId="20430"/>
    <cellStyle name="Data   - Style2 2 3 2 7" xfId="21441"/>
    <cellStyle name="Data   - Style2 2 3 2 8" xfId="22412"/>
    <cellStyle name="Data   - Style2 2 3 2 9" xfId="23417"/>
    <cellStyle name="Data   - Style2 2 3 20" xfId="35965"/>
    <cellStyle name="Data   - Style2 2 3 21" xfId="36904"/>
    <cellStyle name="Data   - Style2 2 3 3" xfId="16369"/>
    <cellStyle name="Data   - Style2 2 3 4" xfId="17348"/>
    <cellStyle name="Data   - Style2 2 3 5" xfId="18374"/>
    <cellStyle name="Data   - Style2 2 3 6" xfId="19407"/>
    <cellStyle name="Data   - Style2 2 3 7" xfId="20429"/>
    <cellStyle name="Data   - Style2 2 3 8" xfId="21440"/>
    <cellStyle name="Data   - Style2 2 3 9" xfId="22411"/>
    <cellStyle name="Data   - Style2 2 4" xfId="4489"/>
    <cellStyle name="Data   - Style2 2 4 10" xfId="23418"/>
    <cellStyle name="Data   - Style2 2 4 11" xfId="24390"/>
    <cellStyle name="Data   - Style2 2 4 12" xfId="25389"/>
    <cellStyle name="Data   - Style2 2 4 13" xfId="28336"/>
    <cellStyle name="Data   - Style2 2 4 14" xfId="29303"/>
    <cellStyle name="Data   - Style2 2 4 15" xfId="30345"/>
    <cellStyle name="Data   - Style2 2 4 16" xfId="31336"/>
    <cellStyle name="Data   - Style2 2 4 17" xfId="32344"/>
    <cellStyle name="Data   - Style2 2 4 18" xfId="33347"/>
    <cellStyle name="Data   - Style2 2 4 19" xfId="34346"/>
    <cellStyle name="Data   - Style2 2 4 2" xfId="4490"/>
    <cellStyle name="Data   - Style2 2 4 2 10" xfId="24391"/>
    <cellStyle name="Data   - Style2 2 4 2 11" xfId="25390"/>
    <cellStyle name="Data   - Style2 2 4 2 12" xfId="28337"/>
    <cellStyle name="Data   - Style2 2 4 2 13" xfId="29304"/>
    <cellStyle name="Data   - Style2 2 4 2 14" xfId="30346"/>
    <cellStyle name="Data   - Style2 2 4 2 15" xfId="31337"/>
    <cellStyle name="Data   - Style2 2 4 2 16" xfId="32345"/>
    <cellStyle name="Data   - Style2 2 4 2 17" xfId="33348"/>
    <cellStyle name="Data   - Style2 2 4 2 18" xfId="34347"/>
    <cellStyle name="Data   - Style2 2 4 2 19" xfId="35968"/>
    <cellStyle name="Data   - Style2 2 4 2 2" xfId="16372"/>
    <cellStyle name="Data   - Style2 2 4 2 20" xfId="36907"/>
    <cellStyle name="Data   - Style2 2 4 2 3" xfId="17351"/>
    <cellStyle name="Data   - Style2 2 4 2 4" xfId="18377"/>
    <cellStyle name="Data   - Style2 2 4 2 5" xfId="19410"/>
    <cellStyle name="Data   - Style2 2 4 2 6" xfId="20432"/>
    <cellStyle name="Data   - Style2 2 4 2 7" xfId="21443"/>
    <cellStyle name="Data   - Style2 2 4 2 8" xfId="22414"/>
    <cellStyle name="Data   - Style2 2 4 2 9" xfId="23419"/>
    <cellStyle name="Data   - Style2 2 4 20" xfId="35967"/>
    <cellStyle name="Data   - Style2 2 4 21" xfId="36906"/>
    <cellStyle name="Data   - Style2 2 4 3" xfId="16371"/>
    <cellStyle name="Data   - Style2 2 4 4" xfId="17350"/>
    <cellStyle name="Data   - Style2 2 4 5" xfId="18376"/>
    <cellStyle name="Data   - Style2 2 4 6" xfId="19409"/>
    <cellStyle name="Data   - Style2 2 4 7" xfId="20431"/>
    <cellStyle name="Data   - Style2 2 4 8" xfId="21442"/>
    <cellStyle name="Data   - Style2 2 4 9" xfId="22413"/>
    <cellStyle name="Data   - Style2 2 5" xfId="4491"/>
    <cellStyle name="Data   - Style2 2 5 10" xfId="23420"/>
    <cellStyle name="Data   - Style2 2 5 11" xfId="24392"/>
    <cellStyle name="Data   - Style2 2 5 12" xfId="25391"/>
    <cellStyle name="Data   - Style2 2 5 13" xfId="28338"/>
    <cellStyle name="Data   - Style2 2 5 14" xfId="29305"/>
    <cellStyle name="Data   - Style2 2 5 15" xfId="30347"/>
    <cellStyle name="Data   - Style2 2 5 16" xfId="31338"/>
    <cellStyle name="Data   - Style2 2 5 17" xfId="32346"/>
    <cellStyle name="Data   - Style2 2 5 18" xfId="33349"/>
    <cellStyle name="Data   - Style2 2 5 19" xfId="34348"/>
    <cellStyle name="Data   - Style2 2 5 2" xfId="4492"/>
    <cellStyle name="Data   - Style2 2 5 2 10" xfId="24393"/>
    <cellStyle name="Data   - Style2 2 5 2 11" xfId="25392"/>
    <cellStyle name="Data   - Style2 2 5 2 12" xfId="28339"/>
    <cellStyle name="Data   - Style2 2 5 2 13" xfId="29306"/>
    <cellStyle name="Data   - Style2 2 5 2 14" xfId="30348"/>
    <cellStyle name="Data   - Style2 2 5 2 15" xfId="31339"/>
    <cellStyle name="Data   - Style2 2 5 2 16" xfId="32347"/>
    <cellStyle name="Data   - Style2 2 5 2 17" xfId="33350"/>
    <cellStyle name="Data   - Style2 2 5 2 18" xfId="34349"/>
    <cellStyle name="Data   - Style2 2 5 2 19" xfId="35970"/>
    <cellStyle name="Data   - Style2 2 5 2 2" xfId="16374"/>
    <cellStyle name="Data   - Style2 2 5 2 20" xfId="36909"/>
    <cellStyle name="Data   - Style2 2 5 2 3" xfId="17353"/>
    <cellStyle name="Data   - Style2 2 5 2 4" xfId="18379"/>
    <cellStyle name="Data   - Style2 2 5 2 5" xfId="19412"/>
    <cellStyle name="Data   - Style2 2 5 2 6" xfId="20434"/>
    <cellStyle name="Data   - Style2 2 5 2 7" xfId="21445"/>
    <cellStyle name="Data   - Style2 2 5 2 8" xfId="22416"/>
    <cellStyle name="Data   - Style2 2 5 2 9" xfId="23421"/>
    <cellStyle name="Data   - Style2 2 5 20" xfId="35969"/>
    <cellStyle name="Data   - Style2 2 5 21" xfId="36908"/>
    <cellStyle name="Data   - Style2 2 5 3" xfId="16373"/>
    <cellStyle name="Data   - Style2 2 5 4" xfId="17352"/>
    <cellStyle name="Data   - Style2 2 5 5" xfId="18378"/>
    <cellStyle name="Data   - Style2 2 5 6" xfId="19411"/>
    <cellStyle name="Data   - Style2 2 5 7" xfId="20433"/>
    <cellStyle name="Data   - Style2 2 5 8" xfId="21444"/>
    <cellStyle name="Data   - Style2 2 5 9" xfId="22415"/>
    <cellStyle name="Data   - Style2 2 6" xfId="4493"/>
    <cellStyle name="Data   - Style2 2 6 10" xfId="24394"/>
    <cellStyle name="Data   - Style2 2 6 11" xfId="25393"/>
    <cellStyle name="Data   - Style2 2 6 12" xfId="28340"/>
    <cellStyle name="Data   - Style2 2 6 13" xfId="29307"/>
    <cellStyle name="Data   - Style2 2 6 14" xfId="30349"/>
    <cellStyle name="Data   - Style2 2 6 15" xfId="31340"/>
    <cellStyle name="Data   - Style2 2 6 16" xfId="32348"/>
    <cellStyle name="Data   - Style2 2 6 17" xfId="33351"/>
    <cellStyle name="Data   - Style2 2 6 18" xfId="34350"/>
    <cellStyle name="Data   - Style2 2 6 19" xfId="35971"/>
    <cellStyle name="Data   - Style2 2 6 2" xfId="16375"/>
    <cellStyle name="Data   - Style2 2 6 20" xfId="36910"/>
    <cellStyle name="Data   - Style2 2 6 3" xfId="17354"/>
    <cellStyle name="Data   - Style2 2 6 4" xfId="18380"/>
    <cellStyle name="Data   - Style2 2 6 5" xfId="19413"/>
    <cellStyle name="Data   - Style2 2 6 6" xfId="20435"/>
    <cellStyle name="Data   - Style2 2 6 7" xfId="21446"/>
    <cellStyle name="Data   - Style2 2 6 8" xfId="22417"/>
    <cellStyle name="Data   - Style2 2 6 9" xfId="23422"/>
    <cellStyle name="Data   - Style2 2 7" xfId="13738"/>
    <cellStyle name="Data   - Style2 2 8" xfId="14798"/>
    <cellStyle name="Data   - Style2 2 9" xfId="13923"/>
    <cellStyle name="Data   - Style2 3" xfId="4494"/>
    <cellStyle name="Data   - Style2 3 10" xfId="15483"/>
    <cellStyle name="Data   - Style2 3 11" xfId="26780"/>
    <cellStyle name="Data   - Style2 3 12" xfId="26622"/>
    <cellStyle name="Data   - Style2 3 13" xfId="26266"/>
    <cellStyle name="Data   - Style2 3 2" xfId="4495"/>
    <cellStyle name="Data   - Style2 3 2 10" xfId="23423"/>
    <cellStyle name="Data   - Style2 3 2 11" xfId="24395"/>
    <cellStyle name="Data   - Style2 3 2 12" xfId="25394"/>
    <cellStyle name="Data   - Style2 3 2 13" xfId="28341"/>
    <cellStyle name="Data   - Style2 3 2 14" xfId="29308"/>
    <cellStyle name="Data   - Style2 3 2 15" xfId="30350"/>
    <cellStyle name="Data   - Style2 3 2 16" xfId="31341"/>
    <cellStyle name="Data   - Style2 3 2 17" xfId="32349"/>
    <cellStyle name="Data   - Style2 3 2 18" xfId="33352"/>
    <cellStyle name="Data   - Style2 3 2 19" xfId="34351"/>
    <cellStyle name="Data   - Style2 3 2 2" xfId="4496"/>
    <cellStyle name="Data   - Style2 3 2 2 10" xfId="24396"/>
    <cellStyle name="Data   - Style2 3 2 2 11" xfId="25395"/>
    <cellStyle name="Data   - Style2 3 2 2 12" xfId="28342"/>
    <cellStyle name="Data   - Style2 3 2 2 13" xfId="29309"/>
    <cellStyle name="Data   - Style2 3 2 2 14" xfId="30351"/>
    <cellStyle name="Data   - Style2 3 2 2 15" xfId="31342"/>
    <cellStyle name="Data   - Style2 3 2 2 16" xfId="32350"/>
    <cellStyle name="Data   - Style2 3 2 2 17" xfId="33353"/>
    <cellStyle name="Data   - Style2 3 2 2 18" xfId="34352"/>
    <cellStyle name="Data   - Style2 3 2 2 19" xfId="35973"/>
    <cellStyle name="Data   - Style2 3 2 2 2" xfId="16377"/>
    <cellStyle name="Data   - Style2 3 2 2 20" xfId="36912"/>
    <cellStyle name="Data   - Style2 3 2 2 3" xfId="17356"/>
    <cellStyle name="Data   - Style2 3 2 2 4" xfId="18382"/>
    <cellStyle name="Data   - Style2 3 2 2 5" xfId="19415"/>
    <cellStyle name="Data   - Style2 3 2 2 6" xfId="20437"/>
    <cellStyle name="Data   - Style2 3 2 2 7" xfId="21448"/>
    <cellStyle name="Data   - Style2 3 2 2 8" xfId="22419"/>
    <cellStyle name="Data   - Style2 3 2 2 9" xfId="23424"/>
    <cellStyle name="Data   - Style2 3 2 20" xfId="35972"/>
    <cellStyle name="Data   - Style2 3 2 21" xfId="36911"/>
    <cellStyle name="Data   - Style2 3 2 3" xfId="16376"/>
    <cellStyle name="Data   - Style2 3 2 4" xfId="17355"/>
    <cellStyle name="Data   - Style2 3 2 5" xfId="18381"/>
    <cellStyle name="Data   - Style2 3 2 6" xfId="19414"/>
    <cellStyle name="Data   - Style2 3 2 7" xfId="20436"/>
    <cellStyle name="Data   - Style2 3 2 8" xfId="21447"/>
    <cellStyle name="Data   - Style2 3 2 9" xfId="22418"/>
    <cellStyle name="Data   - Style2 3 3" xfId="4497"/>
    <cellStyle name="Data   - Style2 3 3 10" xfId="23425"/>
    <cellStyle name="Data   - Style2 3 3 11" xfId="24397"/>
    <cellStyle name="Data   - Style2 3 3 12" xfId="25396"/>
    <cellStyle name="Data   - Style2 3 3 13" xfId="28343"/>
    <cellStyle name="Data   - Style2 3 3 14" xfId="29310"/>
    <cellStyle name="Data   - Style2 3 3 15" xfId="30352"/>
    <cellStyle name="Data   - Style2 3 3 16" xfId="31343"/>
    <cellStyle name="Data   - Style2 3 3 17" xfId="32351"/>
    <cellStyle name="Data   - Style2 3 3 18" xfId="33354"/>
    <cellStyle name="Data   - Style2 3 3 19" xfId="34353"/>
    <cellStyle name="Data   - Style2 3 3 2" xfId="4498"/>
    <cellStyle name="Data   - Style2 3 3 2 10" xfId="24398"/>
    <cellStyle name="Data   - Style2 3 3 2 11" xfId="25397"/>
    <cellStyle name="Data   - Style2 3 3 2 12" xfId="28344"/>
    <cellStyle name="Data   - Style2 3 3 2 13" xfId="29311"/>
    <cellStyle name="Data   - Style2 3 3 2 14" xfId="30353"/>
    <cellStyle name="Data   - Style2 3 3 2 15" xfId="31344"/>
    <cellStyle name="Data   - Style2 3 3 2 16" xfId="32352"/>
    <cellStyle name="Data   - Style2 3 3 2 17" xfId="33355"/>
    <cellStyle name="Data   - Style2 3 3 2 18" xfId="34354"/>
    <cellStyle name="Data   - Style2 3 3 2 19" xfId="35975"/>
    <cellStyle name="Data   - Style2 3 3 2 2" xfId="16379"/>
    <cellStyle name="Data   - Style2 3 3 2 20" xfId="36914"/>
    <cellStyle name="Data   - Style2 3 3 2 3" xfId="17358"/>
    <cellStyle name="Data   - Style2 3 3 2 4" xfId="18384"/>
    <cellStyle name="Data   - Style2 3 3 2 5" xfId="19417"/>
    <cellStyle name="Data   - Style2 3 3 2 6" xfId="20439"/>
    <cellStyle name="Data   - Style2 3 3 2 7" xfId="21450"/>
    <cellStyle name="Data   - Style2 3 3 2 8" xfId="22421"/>
    <cellStyle name="Data   - Style2 3 3 2 9" xfId="23426"/>
    <cellStyle name="Data   - Style2 3 3 20" xfId="35974"/>
    <cellStyle name="Data   - Style2 3 3 21" xfId="36913"/>
    <cellStyle name="Data   - Style2 3 3 3" xfId="16378"/>
    <cellStyle name="Data   - Style2 3 3 4" xfId="17357"/>
    <cellStyle name="Data   - Style2 3 3 5" xfId="18383"/>
    <cellStyle name="Data   - Style2 3 3 6" xfId="19416"/>
    <cellStyle name="Data   - Style2 3 3 7" xfId="20438"/>
    <cellStyle name="Data   - Style2 3 3 8" xfId="21449"/>
    <cellStyle name="Data   - Style2 3 3 9" xfId="22420"/>
    <cellStyle name="Data   - Style2 3 4" xfId="4499"/>
    <cellStyle name="Data   - Style2 3 4 10" xfId="23427"/>
    <cellStyle name="Data   - Style2 3 4 11" xfId="24399"/>
    <cellStyle name="Data   - Style2 3 4 12" xfId="25398"/>
    <cellStyle name="Data   - Style2 3 4 13" xfId="28345"/>
    <cellStyle name="Data   - Style2 3 4 14" xfId="29312"/>
    <cellStyle name="Data   - Style2 3 4 15" xfId="30354"/>
    <cellStyle name="Data   - Style2 3 4 16" xfId="31345"/>
    <cellStyle name="Data   - Style2 3 4 17" xfId="32353"/>
    <cellStyle name="Data   - Style2 3 4 18" xfId="33356"/>
    <cellStyle name="Data   - Style2 3 4 19" xfId="34355"/>
    <cellStyle name="Data   - Style2 3 4 2" xfId="4500"/>
    <cellStyle name="Data   - Style2 3 4 2 10" xfId="24400"/>
    <cellStyle name="Data   - Style2 3 4 2 11" xfId="25399"/>
    <cellStyle name="Data   - Style2 3 4 2 12" xfId="28346"/>
    <cellStyle name="Data   - Style2 3 4 2 13" xfId="29313"/>
    <cellStyle name="Data   - Style2 3 4 2 14" xfId="30355"/>
    <cellStyle name="Data   - Style2 3 4 2 15" xfId="31346"/>
    <cellStyle name="Data   - Style2 3 4 2 16" xfId="32354"/>
    <cellStyle name="Data   - Style2 3 4 2 17" xfId="33357"/>
    <cellStyle name="Data   - Style2 3 4 2 18" xfId="34356"/>
    <cellStyle name="Data   - Style2 3 4 2 19" xfId="35977"/>
    <cellStyle name="Data   - Style2 3 4 2 2" xfId="16381"/>
    <cellStyle name="Data   - Style2 3 4 2 20" xfId="36916"/>
    <cellStyle name="Data   - Style2 3 4 2 3" xfId="17360"/>
    <cellStyle name="Data   - Style2 3 4 2 4" xfId="18386"/>
    <cellStyle name="Data   - Style2 3 4 2 5" xfId="19419"/>
    <cellStyle name="Data   - Style2 3 4 2 6" xfId="20441"/>
    <cellStyle name="Data   - Style2 3 4 2 7" xfId="21452"/>
    <cellStyle name="Data   - Style2 3 4 2 8" xfId="22423"/>
    <cellStyle name="Data   - Style2 3 4 2 9" xfId="23428"/>
    <cellStyle name="Data   - Style2 3 4 20" xfId="35976"/>
    <cellStyle name="Data   - Style2 3 4 21" xfId="36915"/>
    <cellStyle name="Data   - Style2 3 4 3" xfId="16380"/>
    <cellStyle name="Data   - Style2 3 4 4" xfId="17359"/>
    <cellStyle name="Data   - Style2 3 4 5" xfId="18385"/>
    <cellStyle name="Data   - Style2 3 4 6" xfId="19418"/>
    <cellStyle name="Data   - Style2 3 4 7" xfId="20440"/>
    <cellStyle name="Data   - Style2 3 4 8" xfId="21451"/>
    <cellStyle name="Data   - Style2 3 4 9" xfId="22422"/>
    <cellStyle name="Data   - Style2 3 5" xfId="4501"/>
    <cellStyle name="Data   - Style2 3 5 10" xfId="23429"/>
    <cellStyle name="Data   - Style2 3 5 11" xfId="24401"/>
    <cellStyle name="Data   - Style2 3 5 12" xfId="25400"/>
    <cellStyle name="Data   - Style2 3 5 13" xfId="28347"/>
    <cellStyle name="Data   - Style2 3 5 14" xfId="29314"/>
    <cellStyle name="Data   - Style2 3 5 15" xfId="30356"/>
    <cellStyle name="Data   - Style2 3 5 16" xfId="31347"/>
    <cellStyle name="Data   - Style2 3 5 17" xfId="32355"/>
    <cellStyle name="Data   - Style2 3 5 18" xfId="33358"/>
    <cellStyle name="Data   - Style2 3 5 19" xfId="34357"/>
    <cellStyle name="Data   - Style2 3 5 2" xfId="4502"/>
    <cellStyle name="Data   - Style2 3 5 2 10" xfId="24402"/>
    <cellStyle name="Data   - Style2 3 5 2 11" xfId="25401"/>
    <cellStyle name="Data   - Style2 3 5 2 12" xfId="28348"/>
    <cellStyle name="Data   - Style2 3 5 2 13" xfId="29315"/>
    <cellStyle name="Data   - Style2 3 5 2 14" xfId="30357"/>
    <cellStyle name="Data   - Style2 3 5 2 15" xfId="31348"/>
    <cellStyle name="Data   - Style2 3 5 2 16" xfId="32356"/>
    <cellStyle name="Data   - Style2 3 5 2 17" xfId="33359"/>
    <cellStyle name="Data   - Style2 3 5 2 18" xfId="34358"/>
    <cellStyle name="Data   - Style2 3 5 2 19" xfId="35979"/>
    <cellStyle name="Data   - Style2 3 5 2 2" xfId="16383"/>
    <cellStyle name="Data   - Style2 3 5 2 20" xfId="36918"/>
    <cellStyle name="Data   - Style2 3 5 2 3" xfId="17362"/>
    <cellStyle name="Data   - Style2 3 5 2 4" xfId="18388"/>
    <cellStyle name="Data   - Style2 3 5 2 5" xfId="19421"/>
    <cellStyle name="Data   - Style2 3 5 2 6" xfId="20443"/>
    <cellStyle name="Data   - Style2 3 5 2 7" xfId="21454"/>
    <cellStyle name="Data   - Style2 3 5 2 8" xfId="22425"/>
    <cellStyle name="Data   - Style2 3 5 2 9" xfId="23430"/>
    <cellStyle name="Data   - Style2 3 5 20" xfId="35978"/>
    <cellStyle name="Data   - Style2 3 5 21" xfId="36917"/>
    <cellStyle name="Data   - Style2 3 5 3" xfId="16382"/>
    <cellStyle name="Data   - Style2 3 5 4" xfId="17361"/>
    <cellStyle name="Data   - Style2 3 5 5" xfId="18387"/>
    <cellStyle name="Data   - Style2 3 5 6" xfId="19420"/>
    <cellStyle name="Data   - Style2 3 5 7" xfId="20442"/>
    <cellStyle name="Data   - Style2 3 5 8" xfId="21453"/>
    <cellStyle name="Data   - Style2 3 5 9" xfId="22424"/>
    <cellStyle name="Data   - Style2 3 6" xfId="4503"/>
    <cellStyle name="Data   - Style2 3 6 10" xfId="24403"/>
    <cellStyle name="Data   - Style2 3 6 11" xfId="25402"/>
    <cellStyle name="Data   - Style2 3 6 12" xfId="28349"/>
    <cellStyle name="Data   - Style2 3 6 13" xfId="29316"/>
    <cellStyle name="Data   - Style2 3 6 14" xfId="30358"/>
    <cellStyle name="Data   - Style2 3 6 15" xfId="31349"/>
    <cellStyle name="Data   - Style2 3 6 16" xfId="32357"/>
    <cellStyle name="Data   - Style2 3 6 17" xfId="33360"/>
    <cellStyle name="Data   - Style2 3 6 18" xfId="34359"/>
    <cellStyle name="Data   - Style2 3 6 19" xfId="35980"/>
    <cellStyle name="Data   - Style2 3 6 2" xfId="16384"/>
    <cellStyle name="Data   - Style2 3 6 20" xfId="36919"/>
    <cellStyle name="Data   - Style2 3 6 3" xfId="17363"/>
    <cellStyle name="Data   - Style2 3 6 4" xfId="18389"/>
    <cellStyle name="Data   - Style2 3 6 5" xfId="19422"/>
    <cellStyle name="Data   - Style2 3 6 6" xfId="20444"/>
    <cellStyle name="Data   - Style2 3 6 7" xfId="21455"/>
    <cellStyle name="Data   - Style2 3 6 8" xfId="22426"/>
    <cellStyle name="Data   - Style2 3 6 9" xfId="23431"/>
    <cellStyle name="Data   - Style2 3 7" xfId="13540"/>
    <cellStyle name="Data   - Style2 3 8" xfId="13921"/>
    <cellStyle name="Data   - Style2 3 9" xfId="15364"/>
    <cellStyle name="Data   - Style2 4" xfId="4504"/>
    <cellStyle name="Data   - Style2 4 10" xfId="13890"/>
    <cellStyle name="Data   - Style2 4 11" xfId="25967"/>
    <cellStyle name="Data   - Style2 4 12" xfId="26681"/>
    <cellStyle name="Data   - Style2 4 13" xfId="27441"/>
    <cellStyle name="Data   - Style2 4 2" xfId="4505"/>
    <cellStyle name="Data   - Style2 4 2 10" xfId="23432"/>
    <cellStyle name="Data   - Style2 4 2 11" xfId="24404"/>
    <cellStyle name="Data   - Style2 4 2 12" xfId="25403"/>
    <cellStyle name="Data   - Style2 4 2 13" xfId="28350"/>
    <cellStyle name="Data   - Style2 4 2 14" xfId="29317"/>
    <cellStyle name="Data   - Style2 4 2 15" xfId="30359"/>
    <cellStyle name="Data   - Style2 4 2 16" xfId="31350"/>
    <cellStyle name="Data   - Style2 4 2 17" xfId="32358"/>
    <cellStyle name="Data   - Style2 4 2 18" xfId="33361"/>
    <cellStyle name="Data   - Style2 4 2 19" xfId="34360"/>
    <cellStyle name="Data   - Style2 4 2 2" xfId="4506"/>
    <cellStyle name="Data   - Style2 4 2 2 10" xfId="24405"/>
    <cellStyle name="Data   - Style2 4 2 2 11" xfId="25404"/>
    <cellStyle name="Data   - Style2 4 2 2 12" xfId="28351"/>
    <cellStyle name="Data   - Style2 4 2 2 13" xfId="29318"/>
    <cellStyle name="Data   - Style2 4 2 2 14" xfId="30360"/>
    <cellStyle name="Data   - Style2 4 2 2 15" xfId="31351"/>
    <cellStyle name="Data   - Style2 4 2 2 16" xfId="32359"/>
    <cellStyle name="Data   - Style2 4 2 2 17" xfId="33362"/>
    <cellStyle name="Data   - Style2 4 2 2 18" xfId="34361"/>
    <cellStyle name="Data   - Style2 4 2 2 19" xfId="35982"/>
    <cellStyle name="Data   - Style2 4 2 2 2" xfId="16386"/>
    <cellStyle name="Data   - Style2 4 2 2 20" xfId="36921"/>
    <cellStyle name="Data   - Style2 4 2 2 3" xfId="17365"/>
    <cellStyle name="Data   - Style2 4 2 2 4" xfId="18391"/>
    <cellStyle name="Data   - Style2 4 2 2 5" xfId="19424"/>
    <cellStyle name="Data   - Style2 4 2 2 6" xfId="20446"/>
    <cellStyle name="Data   - Style2 4 2 2 7" xfId="21457"/>
    <cellStyle name="Data   - Style2 4 2 2 8" xfId="22428"/>
    <cellStyle name="Data   - Style2 4 2 2 9" xfId="23433"/>
    <cellStyle name="Data   - Style2 4 2 20" xfId="35981"/>
    <cellStyle name="Data   - Style2 4 2 21" xfId="36920"/>
    <cellStyle name="Data   - Style2 4 2 3" xfId="16385"/>
    <cellStyle name="Data   - Style2 4 2 4" xfId="17364"/>
    <cellStyle name="Data   - Style2 4 2 5" xfId="18390"/>
    <cellStyle name="Data   - Style2 4 2 6" xfId="19423"/>
    <cellStyle name="Data   - Style2 4 2 7" xfId="20445"/>
    <cellStyle name="Data   - Style2 4 2 8" xfId="21456"/>
    <cellStyle name="Data   - Style2 4 2 9" xfId="22427"/>
    <cellStyle name="Data   - Style2 4 3" xfId="4507"/>
    <cellStyle name="Data   - Style2 4 3 10" xfId="23434"/>
    <cellStyle name="Data   - Style2 4 3 11" xfId="24406"/>
    <cellStyle name="Data   - Style2 4 3 12" xfId="25405"/>
    <cellStyle name="Data   - Style2 4 3 13" xfId="28352"/>
    <cellStyle name="Data   - Style2 4 3 14" xfId="29319"/>
    <cellStyle name="Data   - Style2 4 3 15" xfId="30361"/>
    <cellStyle name="Data   - Style2 4 3 16" xfId="31352"/>
    <cellStyle name="Data   - Style2 4 3 17" xfId="32360"/>
    <cellStyle name="Data   - Style2 4 3 18" xfId="33363"/>
    <cellStyle name="Data   - Style2 4 3 19" xfId="34362"/>
    <cellStyle name="Data   - Style2 4 3 2" xfId="4508"/>
    <cellStyle name="Data   - Style2 4 3 2 10" xfId="24407"/>
    <cellStyle name="Data   - Style2 4 3 2 11" xfId="25406"/>
    <cellStyle name="Data   - Style2 4 3 2 12" xfId="28353"/>
    <cellStyle name="Data   - Style2 4 3 2 13" xfId="29320"/>
    <cellStyle name="Data   - Style2 4 3 2 14" xfId="30362"/>
    <cellStyle name="Data   - Style2 4 3 2 15" xfId="31353"/>
    <cellStyle name="Data   - Style2 4 3 2 16" xfId="32361"/>
    <cellStyle name="Data   - Style2 4 3 2 17" xfId="33364"/>
    <cellStyle name="Data   - Style2 4 3 2 18" xfId="34363"/>
    <cellStyle name="Data   - Style2 4 3 2 19" xfId="35984"/>
    <cellStyle name="Data   - Style2 4 3 2 2" xfId="16388"/>
    <cellStyle name="Data   - Style2 4 3 2 20" xfId="36923"/>
    <cellStyle name="Data   - Style2 4 3 2 3" xfId="17367"/>
    <cellStyle name="Data   - Style2 4 3 2 4" xfId="18393"/>
    <cellStyle name="Data   - Style2 4 3 2 5" xfId="19426"/>
    <cellStyle name="Data   - Style2 4 3 2 6" xfId="20448"/>
    <cellStyle name="Data   - Style2 4 3 2 7" xfId="21459"/>
    <cellStyle name="Data   - Style2 4 3 2 8" xfId="22430"/>
    <cellStyle name="Data   - Style2 4 3 2 9" xfId="23435"/>
    <cellStyle name="Data   - Style2 4 3 20" xfId="35983"/>
    <cellStyle name="Data   - Style2 4 3 21" xfId="36922"/>
    <cellStyle name="Data   - Style2 4 3 3" xfId="16387"/>
    <cellStyle name="Data   - Style2 4 3 4" xfId="17366"/>
    <cellStyle name="Data   - Style2 4 3 5" xfId="18392"/>
    <cellStyle name="Data   - Style2 4 3 6" xfId="19425"/>
    <cellStyle name="Data   - Style2 4 3 7" xfId="20447"/>
    <cellStyle name="Data   - Style2 4 3 8" xfId="21458"/>
    <cellStyle name="Data   - Style2 4 3 9" xfId="22429"/>
    <cellStyle name="Data   - Style2 4 4" xfId="4509"/>
    <cellStyle name="Data   - Style2 4 4 10" xfId="23436"/>
    <cellStyle name="Data   - Style2 4 4 11" xfId="24408"/>
    <cellStyle name="Data   - Style2 4 4 12" xfId="25407"/>
    <cellStyle name="Data   - Style2 4 4 13" xfId="28354"/>
    <cellStyle name="Data   - Style2 4 4 14" xfId="29321"/>
    <cellStyle name="Data   - Style2 4 4 15" xfId="30363"/>
    <cellStyle name="Data   - Style2 4 4 16" xfId="31354"/>
    <cellStyle name="Data   - Style2 4 4 17" xfId="32362"/>
    <cellStyle name="Data   - Style2 4 4 18" xfId="33365"/>
    <cellStyle name="Data   - Style2 4 4 19" xfId="34364"/>
    <cellStyle name="Data   - Style2 4 4 2" xfId="4510"/>
    <cellStyle name="Data   - Style2 4 4 2 10" xfId="24409"/>
    <cellStyle name="Data   - Style2 4 4 2 11" xfId="25408"/>
    <cellStyle name="Data   - Style2 4 4 2 12" xfId="28355"/>
    <cellStyle name="Data   - Style2 4 4 2 13" xfId="29322"/>
    <cellStyle name="Data   - Style2 4 4 2 14" xfId="30364"/>
    <cellStyle name="Data   - Style2 4 4 2 15" xfId="31355"/>
    <cellStyle name="Data   - Style2 4 4 2 16" xfId="32363"/>
    <cellStyle name="Data   - Style2 4 4 2 17" xfId="33366"/>
    <cellStyle name="Data   - Style2 4 4 2 18" xfId="34365"/>
    <cellStyle name="Data   - Style2 4 4 2 19" xfId="35986"/>
    <cellStyle name="Data   - Style2 4 4 2 2" xfId="16390"/>
    <cellStyle name="Data   - Style2 4 4 2 20" xfId="36925"/>
    <cellStyle name="Data   - Style2 4 4 2 3" xfId="17369"/>
    <cellStyle name="Data   - Style2 4 4 2 4" xfId="18395"/>
    <cellStyle name="Data   - Style2 4 4 2 5" xfId="19428"/>
    <cellStyle name="Data   - Style2 4 4 2 6" xfId="20450"/>
    <cellStyle name="Data   - Style2 4 4 2 7" xfId="21461"/>
    <cellStyle name="Data   - Style2 4 4 2 8" xfId="22432"/>
    <cellStyle name="Data   - Style2 4 4 2 9" xfId="23437"/>
    <cellStyle name="Data   - Style2 4 4 20" xfId="35985"/>
    <cellStyle name="Data   - Style2 4 4 21" xfId="36924"/>
    <cellStyle name="Data   - Style2 4 4 3" xfId="16389"/>
    <cellStyle name="Data   - Style2 4 4 4" xfId="17368"/>
    <cellStyle name="Data   - Style2 4 4 5" xfId="18394"/>
    <cellStyle name="Data   - Style2 4 4 6" xfId="19427"/>
    <cellStyle name="Data   - Style2 4 4 7" xfId="20449"/>
    <cellStyle name="Data   - Style2 4 4 8" xfId="21460"/>
    <cellStyle name="Data   - Style2 4 4 9" xfId="22431"/>
    <cellStyle name="Data   - Style2 4 5" xfId="4511"/>
    <cellStyle name="Data   - Style2 4 5 10" xfId="23438"/>
    <cellStyle name="Data   - Style2 4 5 11" xfId="24410"/>
    <cellStyle name="Data   - Style2 4 5 12" xfId="25409"/>
    <cellStyle name="Data   - Style2 4 5 13" xfId="28356"/>
    <cellStyle name="Data   - Style2 4 5 14" xfId="29323"/>
    <cellStyle name="Data   - Style2 4 5 15" xfId="30365"/>
    <cellStyle name="Data   - Style2 4 5 16" xfId="31356"/>
    <cellStyle name="Data   - Style2 4 5 17" xfId="32364"/>
    <cellStyle name="Data   - Style2 4 5 18" xfId="33367"/>
    <cellStyle name="Data   - Style2 4 5 19" xfId="34366"/>
    <cellStyle name="Data   - Style2 4 5 2" xfId="4512"/>
    <cellStyle name="Data   - Style2 4 5 2 10" xfId="24411"/>
    <cellStyle name="Data   - Style2 4 5 2 11" xfId="25410"/>
    <cellStyle name="Data   - Style2 4 5 2 12" xfId="28357"/>
    <cellStyle name="Data   - Style2 4 5 2 13" xfId="29324"/>
    <cellStyle name="Data   - Style2 4 5 2 14" xfId="30366"/>
    <cellStyle name="Data   - Style2 4 5 2 15" xfId="31357"/>
    <cellStyle name="Data   - Style2 4 5 2 16" xfId="32365"/>
    <cellStyle name="Data   - Style2 4 5 2 17" xfId="33368"/>
    <cellStyle name="Data   - Style2 4 5 2 18" xfId="34367"/>
    <cellStyle name="Data   - Style2 4 5 2 19" xfId="35988"/>
    <cellStyle name="Data   - Style2 4 5 2 2" xfId="16392"/>
    <cellStyle name="Data   - Style2 4 5 2 20" xfId="36927"/>
    <cellStyle name="Data   - Style2 4 5 2 3" xfId="17371"/>
    <cellStyle name="Data   - Style2 4 5 2 4" xfId="18397"/>
    <cellStyle name="Data   - Style2 4 5 2 5" xfId="19430"/>
    <cellStyle name="Data   - Style2 4 5 2 6" xfId="20452"/>
    <cellStyle name="Data   - Style2 4 5 2 7" xfId="21463"/>
    <cellStyle name="Data   - Style2 4 5 2 8" xfId="22434"/>
    <cellStyle name="Data   - Style2 4 5 2 9" xfId="23439"/>
    <cellStyle name="Data   - Style2 4 5 20" xfId="35987"/>
    <cellStyle name="Data   - Style2 4 5 21" xfId="36926"/>
    <cellStyle name="Data   - Style2 4 5 3" xfId="16391"/>
    <cellStyle name="Data   - Style2 4 5 4" xfId="17370"/>
    <cellStyle name="Data   - Style2 4 5 5" xfId="18396"/>
    <cellStyle name="Data   - Style2 4 5 6" xfId="19429"/>
    <cellStyle name="Data   - Style2 4 5 7" xfId="20451"/>
    <cellStyle name="Data   - Style2 4 5 8" xfId="21462"/>
    <cellStyle name="Data   - Style2 4 5 9" xfId="22433"/>
    <cellStyle name="Data   - Style2 4 6" xfId="4513"/>
    <cellStyle name="Data   - Style2 4 6 10" xfId="24412"/>
    <cellStyle name="Data   - Style2 4 6 11" xfId="25411"/>
    <cellStyle name="Data   - Style2 4 6 12" xfId="28358"/>
    <cellStyle name="Data   - Style2 4 6 13" xfId="29325"/>
    <cellStyle name="Data   - Style2 4 6 14" xfId="30367"/>
    <cellStyle name="Data   - Style2 4 6 15" xfId="31358"/>
    <cellStyle name="Data   - Style2 4 6 16" xfId="32366"/>
    <cellStyle name="Data   - Style2 4 6 17" xfId="33369"/>
    <cellStyle name="Data   - Style2 4 6 18" xfId="34368"/>
    <cellStyle name="Data   - Style2 4 6 19" xfId="35989"/>
    <cellStyle name="Data   - Style2 4 6 2" xfId="16393"/>
    <cellStyle name="Data   - Style2 4 6 20" xfId="36928"/>
    <cellStyle name="Data   - Style2 4 6 3" xfId="17372"/>
    <cellStyle name="Data   - Style2 4 6 4" xfId="18398"/>
    <cellStyle name="Data   - Style2 4 6 5" xfId="19431"/>
    <cellStyle name="Data   - Style2 4 6 6" xfId="20453"/>
    <cellStyle name="Data   - Style2 4 6 7" xfId="21464"/>
    <cellStyle name="Data   - Style2 4 6 8" xfId="22435"/>
    <cellStyle name="Data   - Style2 4 6 9" xfId="23440"/>
    <cellStyle name="Data   - Style2 4 7" xfId="15208"/>
    <cellStyle name="Data   - Style2 4 8" xfId="13823"/>
    <cellStyle name="Data   - Style2 4 9" xfId="14172"/>
    <cellStyle name="Data   - Style2 5" xfId="4514"/>
    <cellStyle name="Data   - Style2 5 10" xfId="15321"/>
    <cellStyle name="Data   - Style2 5 11" xfId="26197"/>
    <cellStyle name="Data   - Style2 5 12" xfId="27472"/>
    <cellStyle name="Data   - Style2 5 13" xfId="27748"/>
    <cellStyle name="Data   - Style2 5 2" xfId="4515"/>
    <cellStyle name="Data   - Style2 5 2 10" xfId="23441"/>
    <cellStyle name="Data   - Style2 5 2 11" xfId="24413"/>
    <cellStyle name="Data   - Style2 5 2 12" xfId="25412"/>
    <cellStyle name="Data   - Style2 5 2 13" xfId="28359"/>
    <cellStyle name="Data   - Style2 5 2 14" xfId="29326"/>
    <cellStyle name="Data   - Style2 5 2 15" xfId="30368"/>
    <cellStyle name="Data   - Style2 5 2 16" xfId="31359"/>
    <cellStyle name="Data   - Style2 5 2 17" xfId="32367"/>
    <cellStyle name="Data   - Style2 5 2 18" xfId="33370"/>
    <cellStyle name="Data   - Style2 5 2 19" xfId="34369"/>
    <cellStyle name="Data   - Style2 5 2 2" xfId="4516"/>
    <cellStyle name="Data   - Style2 5 2 2 10" xfId="24414"/>
    <cellStyle name="Data   - Style2 5 2 2 11" xfId="25413"/>
    <cellStyle name="Data   - Style2 5 2 2 12" xfId="28360"/>
    <cellStyle name="Data   - Style2 5 2 2 13" xfId="29327"/>
    <cellStyle name="Data   - Style2 5 2 2 14" xfId="30369"/>
    <cellStyle name="Data   - Style2 5 2 2 15" xfId="31360"/>
    <cellStyle name="Data   - Style2 5 2 2 16" xfId="32368"/>
    <cellStyle name="Data   - Style2 5 2 2 17" xfId="33371"/>
    <cellStyle name="Data   - Style2 5 2 2 18" xfId="34370"/>
    <cellStyle name="Data   - Style2 5 2 2 19" xfId="35991"/>
    <cellStyle name="Data   - Style2 5 2 2 2" xfId="16395"/>
    <cellStyle name="Data   - Style2 5 2 2 20" xfId="36930"/>
    <cellStyle name="Data   - Style2 5 2 2 3" xfId="17374"/>
    <cellStyle name="Data   - Style2 5 2 2 4" xfId="18400"/>
    <cellStyle name="Data   - Style2 5 2 2 5" xfId="19433"/>
    <cellStyle name="Data   - Style2 5 2 2 6" xfId="20455"/>
    <cellStyle name="Data   - Style2 5 2 2 7" xfId="21466"/>
    <cellStyle name="Data   - Style2 5 2 2 8" xfId="22437"/>
    <cellStyle name="Data   - Style2 5 2 2 9" xfId="23442"/>
    <cellStyle name="Data   - Style2 5 2 20" xfId="35990"/>
    <cellStyle name="Data   - Style2 5 2 21" xfId="36929"/>
    <cellStyle name="Data   - Style2 5 2 3" xfId="16394"/>
    <cellStyle name="Data   - Style2 5 2 4" xfId="17373"/>
    <cellStyle name="Data   - Style2 5 2 5" xfId="18399"/>
    <cellStyle name="Data   - Style2 5 2 6" xfId="19432"/>
    <cellStyle name="Data   - Style2 5 2 7" xfId="20454"/>
    <cellStyle name="Data   - Style2 5 2 8" xfId="21465"/>
    <cellStyle name="Data   - Style2 5 2 9" xfId="22436"/>
    <cellStyle name="Data   - Style2 5 3" xfId="4517"/>
    <cellStyle name="Data   - Style2 5 3 10" xfId="23443"/>
    <cellStyle name="Data   - Style2 5 3 11" xfId="24415"/>
    <cellStyle name="Data   - Style2 5 3 12" xfId="25414"/>
    <cellStyle name="Data   - Style2 5 3 13" xfId="28361"/>
    <cellStyle name="Data   - Style2 5 3 14" xfId="29328"/>
    <cellStyle name="Data   - Style2 5 3 15" xfId="30370"/>
    <cellStyle name="Data   - Style2 5 3 16" xfId="31361"/>
    <cellStyle name="Data   - Style2 5 3 17" xfId="32369"/>
    <cellStyle name="Data   - Style2 5 3 18" xfId="33372"/>
    <cellStyle name="Data   - Style2 5 3 19" xfId="34371"/>
    <cellStyle name="Data   - Style2 5 3 2" xfId="4518"/>
    <cellStyle name="Data   - Style2 5 3 2 10" xfId="24416"/>
    <cellStyle name="Data   - Style2 5 3 2 11" xfId="25415"/>
    <cellStyle name="Data   - Style2 5 3 2 12" xfId="28362"/>
    <cellStyle name="Data   - Style2 5 3 2 13" xfId="29329"/>
    <cellStyle name="Data   - Style2 5 3 2 14" xfId="30371"/>
    <cellStyle name="Data   - Style2 5 3 2 15" xfId="31362"/>
    <cellStyle name="Data   - Style2 5 3 2 16" xfId="32370"/>
    <cellStyle name="Data   - Style2 5 3 2 17" xfId="33373"/>
    <cellStyle name="Data   - Style2 5 3 2 18" xfId="34372"/>
    <cellStyle name="Data   - Style2 5 3 2 19" xfId="35993"/>
    <cellStyle name="Data   - Style2 5 3 2 2" xfId="16397"/>
    <cellStyle name="Data   - Style2 5 3 2 20" xfId="36932"/>
    <cellStyle name="Data   - Style2 5 3 2 3" xfId="17376"/>
    <cellStyle name="Data   - Style2 5 3 2 4" xfId="18402"/>
    <cellStyle name="Data   - Style2 5 3 2 5" xfId="19435"/>
    <cellStyle name="Data   - Style2 5 3 2 6" xfId="20457"/>
    <cellStyle name="Data   - Style2 5 3 2 7" xfId="21468"/>
    <cellStyle name="Data   - Style2 5 3 2 8" xfId="22439"/>
    <cellStyle name="Data   - Style2 5 3 2 9" xfId="23444"/>
    <cellStyle name="Data   - Style2 5 3 20" xfId="35992"/>
    <cellStyle name="Data   - Style2 5 3 21" xfId="36931"/>
    <cellStyle name="Data   - Style2 5 3 3" xfId="16396"/>
    <cellStyle name="Data   - Style2 5 3 4" xfId="17375"/>
    <cellStyle name="Data   - Style2 5 3 5" xfId="18401"/>
    <cellStyle name="Data   - Style2 5 3 6" xfId="19434"/>
    <cellStyle name="Data   - Style2 5 3 7" xfId="20456"/>
    <cellStyle name="Data   - Style2 5 3 8" xfId="21467"/>
    <cellStyle name="Data   - Style2 5 3 9" xfId="22438"/>
    <cellStyle name="Data   - Style2 5 4" xfId="4519"/>
    <cellStyle name="Data   - Style2 5 4 10" xfId="23445"/>
    <cellStyle name="Data   - Style2 5 4 11" xfId="24417"/>
    <cellStyle name="Data   - Style2 5 4 12" xfId="25416"/>
    <cellStyle name="Data   - Style2 5 4 13" xfId="28363"/>
    <cellStyle name="Data   - Style2 5 4 14" xfId="29330"/>
    <cellStyle name="Data   - Style2 5 4 15" xfId="30372"/>
    <cellStyle name="Data   - Style2 5 4 16" xfId="31363"/>
    <cellStyle name="Data   - Style2 5 4 17" xfId="32371"/>
    <cellStyle name="Data   - Style2 5 4 18" xfId="33374"/>
    <cellStyle name="Data   - Style2 5 4 19" xfId="34373"/>
    <cellStyle name="Data   - Style2 5 4 2" xfId="4520"/>
    <cellStyle name="Data   - Style2 5 4 2 10" xfId="24418"/>
    <cellStyle name="Data   - Style2 5 4 2 11" xfId="25417"/>
    <cellStyle name="Data   - Style2 5 4 2 12" xfId="28364"/>
    <cellStyle name="Data   - Style2 5 4 2 13" xfId="29331"/>
    <cellStyle name="Data   - Style2 5 4 2 14" xfId="30373"/>
    <cellStyle name="Data   - Style2 5 4 2 15" xfId="31364"/>
    <cellStyle name="Data   - Style2 5 4 2 16" xfId="32372"/>
    <cellStyle name="Data   - Style2 5 4 2 17" xfId="33375"/>
    <cellStyle name="Data   - Style2 5 4 2 18" xfId="34374"/>
    <cellStyle name="Data   - Style2 5 4 2 19" xfId="35995"/>
    <cellStyle name="Data   - Style2 5 4 2 2" xfId="16399"/>
    <cellStyle name="Data   - Style2 5 4 2 20" xfId="36934"/>
    <cellStyle name="Data   - Style2 5 4 2 3" xfId="17378"/>
    <cellStyle name="Data   - Style2 5 4 2 4" xfId="18404"/>
    <cellStyle name="Data   - Style2 5 4 2 5" xfId="19437"/>
    <cellStyle name="Data   - Style2 5 4 2 6" xfId="20459"/>
    <cellStyle name="Data   - Style2 5 4 2 7" xfId="21470"/>
    <cellStyle name="Data   - Style2 5 4 2 8" xfId="22441"/>
    <cellStyle name="Data   - Style2 5 4 2 9" xfId="23446"/>
    <cellStyle name="Data   - Style2 5 4 20" xfId="35994"/>
    <cellStyle name="Data   - Style2 5 4 21" xfId="36933"/>
    <cellStyle name="Data   - Style2 5 4 3" xfId="16398"/>
    <cellStyle name="Data   - Style2 5 4 4" xfId="17377"/>
    <cellStyle name="Data   - Style2 5 4 5" xfId="18403"/>
    <cellStyle name="Data   - Style2 5 4 6" xfId="19436"/>
    <cellStyle name="Data   - Style2 5 4 7" xfId="20458"/>
    <cellStyle name="Data   - Style2 5 4 8" xfId="21469"/>
    <cellStyle name="Data   - Style2 5 4 9" xfId="22440"/>
    <cellStyle name="Data   - Style2 5 5" xfId="4521"/>
    <cellStyle name="Data   - Style2 5 5 10" xfId="23447"/>
    <cellStyle name="Data   - Style2 5 5 11" xfId="24419"/>
    <cellStyle name="Data   - Style2 5 5 12" xfId="25418"/>
    <cellStyle name="Data   - Style2 5 5 13" xfId="28365"/>
    <cellStyle name="Data   - Style2 5 5 14" xfId="29332"/>
    <cellStyle name="Data   - Style2 5 5 15" xfId="30374"/>
    <cellStyle name="Data   - Style2 5 5 16" xfId="31365"/>
    <cellStyle name="Data   - Style2 5 5 17" xfId="32373"/>
    <cellStyle name="Data   - Style2 5 5 18" xfId="33376"/>
    <cellStyle name="Data   - Style2 5 5 19" xfId="34375"/>
    <cellStyle name="Data   - Style2 5 5 2" xfId="4522"/>
    <cellStyle name="Data   - Style2 5 5 2 10" xfId="24420"/>
    <cellStyle name="Data   - Style2 5 5 2 11" xfId="25419"/>
    <cellStyle name="Data   - Style2 5 5 2 12" xfId="28366"/>
    <cellStyle name="Data   - Style2 5 5 2 13" xfId="29333"/>
    <cellStyle name="Data   - Style2 5 5 2 14" xfId="30375"/>
    <cellStyle name="Data   - Style2 5 5 2 15" xfId="31366"/>
    <cellStyle name="Data   - Style2 5 5 2 16" xfId="32374"/>
    <cellStyle name="Data   - Style2 5 5 2 17" xfId="33377"/>
    <cellStyle name="Data   - Style2 5 5 2 18" xfId="34376"/>
    <cellStyle name="Data   - Style2 5 5 2 19" xfId="35997"/>
    <cellStyle name="Data   - Style2 5 5 2 2" xfId="16401"/>
    <cellStyle name="Data   - Style2 5 5 2 20" xfId="36936"/>
    <cellStyle name="Data   - Style2 5 5 2 3" xfId="17380"/>
    <cellStyle name="Data   - Style2 5 5 2 4" xfId="18406"/>
    <cellStyle name="Data   - Style2 5 5 2 5" xfId="19439"/>
    <cellStyle name="Data   - Style2 5 5 2 6" xfId="20461"/>
    <cellStyle name="Data   - Style2 5 5 2 7" xfId="21472"/>
    <cellStyle name="Data   - Style2 5 5 2 8" xfId="22443"/>
    <cellStyle name="Data   - Style2 5 5 2 9" xfId="23448"/>
    <cellStyle name="Data   - Style2 5 5 20" xfId="35996"/>
    <cellStyle name="Data   - Style2 5 5 21" xfId="36935"/>
    <cellStyle name="Data   - Style2 5 5 3" xfId="16400"/>
    <cellStyle name="Data   - Style2 5 5 4" xfId="17379"/>
    <cellStyle name="Data   - Style2 5 5 5" xfId="18405"/>
    <cellStyle name="Data   - Style2 5 5 6" xfId="19438"/>
    <cellStyle name="Data   - Style2 5 5 7" xfId="20460"/>
    <cellStyle name="Data   - Style2 5 5 8" xfId="21471"/>
    <cellStyle name="Data   - Style2 5 5 9" xfId="22442"/>
    <cellStyle name="Data   - Style2 5 6" xfId="4523"/>
    <cellStyle name="Data   - Style2 5 6 10" xfId="24421"/>
    <cellStyle name="Data   - Style2 5 6 11" xfId="25420"/>
    <cellStyle name="Data   - Style2 5 6 12" xfId="28367"/>
    <cellStyle name="Data   - Style2 5 6 13" xfId="29334"/>
    <cellStyle name="Data   - Style2 5 6 14" xfId="30376"/>
    <cellStyle name="Data   - Style2 5 6 15" xfId="31367"/>
    <cellStyle name="Data   - Style2 5 6 16" xfId="32375"/>
    <cellStyle name="Data   - Style2 5 6 17" xfId="33378"/>
    <cellStyle name="Data   - Style2 5 6 18" xfId="34377"/>
    <cellStyle name="Data   - Style2 5 6 19" xfId="35998"/>
    <cellStyle name="Data   - Style2 5 6 2" xfId="16402"/>
    <cellStyle name="Data   - Style2 5 6 20" xfId="36937"/>
    <cellStyle name="Data   - Style2 5 6 3" xfId="17381"/>
    <cellStyle name="Data   - Style2 5 6 4" xfId="18407"/>
    <cellStyle name="Data   - Style2 5 6 5" xfId="19440"/>
    <cellStyle name="Data   - Style2 5 6 6" xfId="20462"/>
    <cellStyle name="Data   - Style2 5 6 7" xfId="21473"/>
    <cellStyle name="Data   - Style2 5 6 8" xfId="22444"/>
    <cellStyle name="Data   - Style2 5 6 9" xfId="23449"/>
    <cellStyle name="Data   - Style2 5 7" xfId="15197"/>
    <cellStyle name="Data   - Style2 5 8" xfId="14502"/>
    <cellStyle name="Data   - Style2 5 9" xfId="13411"/>
    <cellStyle name="Data   - Style2 6" xfId="4524"/>
    <cellStyle name="Data   - Style2 6 10" xfId="23450"/>
    <cellStyle name="Data   - Style2 6 11" xfId="24422"/>
    <cellStyle name="Data   - Style2 6 12" xfId="25421"/>
    <cellStyle name="Data   - Style2 6 13" xfId="28368"/>
    <cellStyle name="Data   - Style2 6 14" xfId="29335"/>
    <cellStyle name="Data   - Style2 6 15" xfId="30377"/>
    <cellStyle name="Data   - Style2 6 16" xfId="31368"/>
    <cellStyle name="Data   - Style2 6 17" xfId="32376"/>
    <cellStyle name="Data   - Style2 6 18" xfId="33379"/>
    <cellStyle name="Data   - Style2 6 19" xfId="34378"/>
    <cellStyle name="Data   - Style2 6 2" xfId="4525"/>
    <cellStyle name="Data   - Style2 6 2 10" xfId="24423"/>
    <cellStyle name="Data   - Style2 6 2 11" xfId="25422"/>
    <cellStyle name="Data   - Style2 6 2 12" xfId="28369"/>
    <cellStyle name="Data   - Style2 6 2 13" xfId="29336"/>
    <cellStyle name="Data   - Style2 6 2 14" xfId="30378"/>
    <cellStyle name="Data   - Style2 6 2 15" xfId="31369"/>
    <cellStyle name="Data   - Style2 6 2 16" xfId="32377"/>
    <cellStyle name="Data   - Style2 6 2 17" xfId="33380"/>
    <cellStyle name="Data   - Style2 6 2 18" xfId="34379"/>
    <cellStyle name="Data   - Style2 6 2 19" xfId="36000"/>
    <cellStyle name="Data   - Style2 6 2 2" xfId="16404"/>
    <cellStyle name="Data   - Style2 6 2 20" xfId="36939"/>
    <cellStyle name="Data   - Style2 6 2 3" xfId="17383"/>
    <cellStyle name="Data   - Style2 6 2 4" xfId="18409"/>
    <cellStyle name="Data   - Style2 6 2 5" xfId="19442"/>
    <cellStyle name="Data   - Style2 6 2 6" xfId="20464"/>
    <cellStyle name="Data   - Style2 6 2 7" xfId="21475"/>
    <cellStyle name="Data   - Style2 6 2 8" xfId="22446"/>
    <cellStyle name="Data   - Style2 6 2 9" xfId="23451"/>
    <cellStyle name="Data   - Style2 6 20" xfId="35999"/>
    <cellStyle name="Data   - Style2 6 21" xfId="36938"/>
    <cellStyle name="Data   - Style2 6 3" xfId="16403"/>
    <cellStyle name="Data   - Style2 6 4" xfId="17382"/>
    <cellStyle name="Data   - Style2 6 5" xfId="18408"/>
    <cellStyle name="Data   - Style2 6 6" xfId="19441"/>
    <cellStyle name="Data   - Style2 6 7" xfId="20463"/>
    <cellStyle name="Data   - Style2 6 8" xfId="21474"/>
    <cellStyle name="Data   - Style2 6 9" xfId="22445"/>
    <cellStyle name="Data   - Style2 7" xfId="4526"/>
    <cellStyle name="Data   - Style2 7 10" xfId="23452"/>
    <cellStyle name="Data   - Style2 7 11" xfId="24424"/>
    <cellStyle name="Data   - Style2 7 12" xfId="25423"/>
    <cellStyle name="Data   - Style2 7 13" xfId="28370"/>
    <cellStyle name="Data   - Style2 7 14" xfId="29337"/>
    <cellStyle name="Data   - Style2 7 15" xfId="30379"/>
    <cellStyle name="Data   - Style2 7 16" xfId="31370"/>
    <cellStyle name="Data   - Style2 7 17" xfId="32378"/>
    <cellStyle name="Data   - Style2 7 18" xfId="33381"/>
    <cellStyle name="Data   - Style2 7 19" xfId="34380"/>
    <cellStyle name="Data   - Style2 7 2" xfId="4527"/>
    <cellStyle name="Data   - Style2 7 2 10" xfId="24425"/>
    <cellStyle name="Data   - Style2 7 2 11" xfId="25424"/>
    <cellStyle name="Data   - Style2 7 2 12" xfId="28371"/>
    <cellStyle name="Data   - Style2 7 2 13" xfId="29338"/>
    <cellStyle name="Data   - Style2 7 2 14" xfId="30380"/>
    <cellStyle name="Data   - Style2 7 2 15" xfId="31371"/>
    <cellStyle name="Data   - Style2 7 2 16" xfId="32379"/>
    <cellStyle name="Data   - Style2 7 2 17" xfId="33382"/>
    <cellStyle name="Data   - Style2 7 2 18" xfId="34381"/>
    <cellStyle name="Data   - Style2 7 2 19" xfId="36002"/>
    <cellStyle name="Data   - Style2 7 2 2" xfId="16406"/>
    <cellStyle name="Data   - Style2 7 2 20" xfId="36941"/>
    <cellStyle name="Data   - Style2 7 2 3" xfId="17385"/>
    <cellStyle name="Data   - Style2 7 2 4" xfId="18411"/>
    <cellStyle name="Data   - Style2 7 2 5" xfId="19444"/>
    <cellStyle name="Data   - Style2 7 2 6" xfId="20466"/>
    <cellStyle name="Data   - Style2 7 2 7" xfId="21477"/>
    <cellStyle name="Data   - Style2 7 2 8" xfId="22448"/>
    <cellStyle name="Data   - Style2 7 2 9" xfId="23453"/>
    <cellStyle name="Data   - Style2 7 20" xfId="36001"/>
    <cellStyle name="Data   - Style2 7 21" xfId="36940"/>
    <cellStyle name="Data   - Style2 7 3" xfId="16405"/>
    <cellStyle name="Data   - Style2 7 4" xfId="17384"/>
    <cellStyle name="Data   - Style2 7 5" xfId="18410"/>
    <cellStyle name="Data   - Style2 7 6" xfId="19443"/>
    <cellStyle name="Data   - Style2 7 7" xfId="20465"/>
    <cellStyle name="Data   - Style2 7 8" xfId="21476"/>
    <cellStyle name="Data   - Style2 7 9" xfId="22447"/>
    <cellStyle name="Data   - Style2 8" xfId="4528"/>
    <cellStyle name="Data   - Style2 8 10" xfId="23454"/>
    <cellStyle name="Data   - Style2 8 11" xfId="24426"/>
    <cellStyle name="Data   - Style2 8 12" xfId="25425"/>
    <cellStyle name="Data   - Style2 8 13" xfId="28372"/>
    <cellStyle name="Data   - Style2 8 14" xfId="29339"/>
    <cellStyle name="Data   - Style2 8 15" xfId="30381"/>
    <cellStyle name="Data   - Style2 8 16" xfId="31372"/>
    <cellStyle name="Data   - Style2 8 17" xfId="32380"/>
    <cellStyle name="Data   - Style2 8 18" xfId="33383"/>
    <cellStyle name="Data   - Style2 8 19" xfId="34382"/>
    <cellStyle name="Data   - Style2 8 2" xfId="4529"/>
    <cellStyle name="Data   - Style2 8 2 10" xfId="24427"/>
    <cellStyle name="Data   - Style2 8 2 11" xfId="25426"/>
    <cellStyle name="Data   - Style2 8 2 12" xfId="28373"/>
    <cellStyle name="Data   - Style2 8 2 13" xfId="29340"/>
    <cellStyle name="Data   - Style2 8 2 14" xfId="30382"/>
    <cellStyle name="Data   - Style2 8 2 15" xfId="31373"/>
    <cellStyle name="Data   - Style2 8 2 16" xfId="32381"/>
    <cellStyle name="Data   - Style2 8 2 17" xfId="33384"/>
    <cellStyle name="Data   - Style2 8 2 18" xfId="34383"/>
    <cellStyle name="Data   - Style2 8 2 19" xfId="36004"/>
    <cellStyle name="Data   - Style2 8 2 2" xfId="16408"/>
    <cellStyle name="Data   - Style2 8 2 20" xfId="36943"/>
    <cellStyle name="Data   - Style2 8 2 3" xfId="17387"/>
    <cellStyle name="Data   - Style2 8 2 4" xfId="18413"/>
    <cellStyle name="Data   - Style2 8 2 5" xfId="19446"/>
    <cellStyle name="Data   - Style2 8 2 6" xfId="20468"/>
    <cellStyle name="Data   - Style2 8 2 7" xfId="21479"/>
    <cellStyle name="Data   - Style2 8 2 8" xfId="22450"/>
    <cellStyle name="Data   - Style2 8 2 9" xfId="23455"/>
    <cellStyle name="Data   - Style2 8 20" xfId="36003"/>
    <cellStyle name="Data   - Style2 8 21" xfId="36942"/>
    <cellStyle name="Data   - Style2 8 3" xfId="16407"/>
    <cellStyle name="Data   - Style2 8 4" xfId="17386"/>
    <cellStyle name="Data   - Style2 8 5" xfId="18412"/>
    <cellStyle name="Data   - Style2 8 6" xfId="19445"/>
    <cellStyle name="Data   - Style2 8 7" xfId="20467"/>
    <cellStyle name="Data   - Style2 8 8" xfId="21478"/>
    <cellStyle name="Data   - Style2 8 9" xfId="22449"/>
    <cellStyle name="Data   - Style2 9" xfId="4530"/>
    <cellStyle name="Data   - Style2 9 10" xfId="23456"/>
    <cellStyle name="Data   - Style2 9 11" xfId="24428"/>
    <cellStyle name="Data   - Style2 9 12" xfId="25427"/>
    <cellStyle name="Data   - Style2 9 13" xfId="28374"/>
    <cellStyle name="Data   - Style2 9 14" xfId="29341"/>
    <cellStyle name="Data   - Style2 9 15" xfId="30383"/>
    <cellStyle name="Data   - Style2 9 16" xfId="31374"/>
    <cellStyle name="Data   - Style2 9 17" xfId="32382"/>
    <cellStyle name="Data   - Style2 9 18" xfId="33385"/>
    <cellStyle name="Data   - Style2 9 19" xfId="34384"/>
    <cellStyle name="Data   - Style2 9 2" xfId="4531"/>
    <cellStyle name="Data   - Style2 9 2 10" xfId="24429"/>
    <cellStyle name="Data   - Style2 9 2 11" xfId="25428"/>
    <cellStyle name="Data   - Style2 9 2 12" xfId="28375"/>
    <cellStyle name="Data   - Style2 9 2 13" xfId="29342"/>
    <cellStyle name="Data   - Style2 9 2 14" xfId="30384"/>
    <cellStyle name="Data   - Style2 9 2 15" xfId="31375"/>
    <cellStyle name="Data   - Style2 9 2 16" xfId="32383"/>
    <cellStyle name="Data   - Style2 9 2 17" xfId="33386"/>
    <cellStyle name="Data   - Style2 9 2 18" xfId="34385"/>
    <cellStyle name="Data   - Style2 9 2 19" xfId="36006"/>
    <cellStyle name="Data   - Style2 9 2 2" xfId="16410"/>
    <cellStyle name="Data   - Style2 9 2 20" xfId="36945"/>
    <cellStyle name="Data   - Style2 9 2 3" xfId="17389"/>
    <cellStyle name="Data   - Style2 9 2 4" xfId="18415"/>
    <cellStyle name="Data   - Style2 9 2 5" xfId="19448"/>
    <cellStyle name="Data   - Style2 9 2 6" xfId="20470"/>
    <cellStyle name="Data   - Style2 9 2 7" xfId="21481"/>
    <cellStyle name="Data   - Style2 9 2 8" xfId="22452"/>
    <cellStyle name="Data   - Style2 9 2 9" xfId="23457"/>
    <cellStyle name="Data   - Style2 9 20" xfId="36005"/>
    <cellStyle name="Data   - Style2 9 21" xfId="36944"/>
    <cellStyle name="Data   - Style2 9 3" xfId="16409"/>
    <cellStyle name="Data   - Style2 9 4" xfId="17388"/>
    <cellStyle name="Data   - Style2 9 5" xfId="18414"/>
    <cellStyle name="Data   - Style2 9 6" xfId="19447"/>
    <cellStyle name="Data   - Style2 9 7" xfId="20469"/>
    <cellStyle name="Data   - Style2 9 8" xfId="21480"/>
    <cellStyle name="Data   - Style2 9 9" xfId="22451"/>
    <cellStyle name="Data Enter" xfId="126"/>
    <cellStyle name="date" xfId="326"/>
    <cellStyle name="Euro" xfId="4532"/>
    <cellStyle name="Euro 2" xfId="4533"/>
    <cellStyle name="Explanatory Text" xfId="13363" builtinId="53" customBuiltin="1"/>
    <cellStyle name="Explanatory Text 2" xfId="128"/>
    <cellStyle name="Explanatory Text 3" xfId="127"/>
    <cellStyle name="Explanatory Text 4" xfId="4534"/>
    <cellStyle name="F9ReportControlStyle_ctpInquire" xfId="4535"/>
    <cellStyle name="FactSheet" xfId="129"/>
    <cellStyle name="fish" xfId="327"/>
    <cellStyle name="Good" xfId="13353" builtinId="26" customBuiltin="1"/>
    <cellStyle name="Good 2" xfId="131"/>
    <cellStyle name="Good 2 2" xfId="4536"/>
    <cellStyle name="Good 2 2 2" xfId="4537"/>
    <cellStyle name="Good 2 2 3" xfId="34864"/>
    <cellStyle name="Good 2 2 4" xfId="37404"/>
    <cellStyle name="Good 2 3" xfId="4538"/>
    <cellStyle name="Good 2 4" xfId="4539"/>
    <cellStyle name="Good 2 5" xfId="4540"/>
    <cellStyle name="Good 3" xfId="130"/>
    <cellStyle name="Good 3 2" xfId="4542"/>
    <cellStyle name="Good 3 3" xfId="4543"/>
    <cellStyle name="Good 3 4" xfId="4541"/>
    <cellStyle name="Good 4" xfId="4544"/>
    <cellStyle name="Good 5" xfId="4545"/>
    <cellStyle name="Heading 1" xfId="13349" builtinId="16" customBuiltin="1"/>
    <cellStyle name="Heading 1 2" xfId="133"/>
    <cellStyle name="Heading 1 2 2" xfId="328"/>
    <cellStyle name="Heading 1 2 2 2" xfId="4546"/>
    <cellStyle name="Heading 1 2 3" xfId="4547"/>
    <cellStyle name="Heading 1 2 4" xfId="4548"/>
    <cellStyle name="Heading 1 2_Rate Sheet" xfId="37423"/>
    <cellStyle name="Heading 1 3" xfId="132"/>
    <cellStyle name="Heading 1 3 2" xfId="329"/>
    <cellStyle name="Heading 1 3 3" xfId="4549"/>
    <cellStyle name="Heading 1 4" xfId="4550"/>
    <cellStyle name="Heading 1 4 2" xfId="4551"/>
    <cellStyle name="Heading 2" xfId="13350" builtinId="17" customBuiltin="1"/>
    <cellStyle name="Heading 2 2" xfId="135"/>
    <cellStyle name="Heading 2 2 2" xfId="330"/>
    <cellStyle name="Heading 2 2 3" xfId="4552"/>
    <cellStyle name="Heading 2 2 4" xfId="4553"/>
    <cellStyle name="Heading 2 2_Rate Sheet" xfId="37424"/>
    <cellStyle name="Heading 2 3" xfId="134"/>
    <cellStyle name="Heading 2 3 2" xfId="331"/>
    <cellStyle name="Heading 2 3 3" xfId="4554"/>
    <cellStyle name="Heading 2 4" xfId="4555"/>
    <cellStyle name="Heading 2 4 2" xfId="4556"/>
    <cellStyle name="Heading 3" xfId="13351" builtinId="18" customBuiltin="1"/>
    <cellStyle name="Heading 3 2" xfId="137"/>
    <cellStyle name="Heading 3 2 2" xfId="332"/>
    <cellStyle name="Heading 3 2 2 2" xfId="4557"/>
    <cellStyle name="Heading 3 2 3" xfId="4558"/>
    <cellStyle name="Heading 3 2 4" xfId="4559"/>
    <cellStyle name="Heading 3 2_Rate Sheet" xfId="37425"/>
    <cellStyle name="Heading 3 3" xfId="136"/>
    <cellStyle name="Heading 3 3 2" xfId="333"/>
    <cellStyle name="Heading 3 3 3" xfId="4560"/>
    <cellStyle name="Heading 3 4" xfId="4561"/>
    <cellStyle name="Heading 3 4 2" xfId="4562"/>
    <cellStyle name="Heading 4" xfId="13352" builtinId="19" customBuiltin="1"/>
    <cellStyle name="Heading 4 2" xfId="139"/>
    <cellStyle name="Heading 4 2 2" xfId="4563"/>
    <cellStyle name="Heading 4 2 2 2" xfId="4564"/>
    <cellStyle name="Heading 4 2 3" xfId="4565"/>
    <cellStyle name="Heading 4 3" xfId="138"/>
    <cellStyle name="Heading 4 3 2" xfId="4567"/>
    <cellStyle name="Heading 4 3 3" xfId="4566"/>
    <cellStyle name="Heading 4 4" xfId="4568"/>
    <cellStyle name="Hyperlink" xfId="37394" builtinId="8"/>
    <cellStyle name="Hyperlink 2" xfId="140"/>
    <cellStyle name="Hyperlink 2 2" xfId="4569"/>
    <cellStyle name="Hyperlink 2 2 2" xfId="4570"/>
    <cellStyle name="Hyperlink 2 2 3" xfId="4571"/>
    <cellStyle name="Hyperlink 2 2 4" xfId="4572"/>
    <cellStyle name="Hyperlink 2 2 5" xfId="4573"/>
    <cellStyle name="Hyperlink 2 2 6" xfId="4574"/>
    <cellStyle name="Hyperlink 2 3" xfId="4575"/>
    <cellStyle name="Hyperlink 2 3 2" xfId="4576"/>
    <cellStyle name="Hyperlink 2 4" xfId="4577"/>
    <cellStyle name="Hyperlink 3" xfId="141"/>
    <cellStyle name="Hyperlink 3 2" xfId="292"/>
    <cellStyle name="Hyperlink 3 2 2" xfId="4578"/>
    <cellStyle name="Hyperlink 3 3" xfId="4579"/>
    <cellStyle name="Hyperlink 4" xfId="4580"/>
    <cellStyle name="Hyperlink 4 2" xfId="4581"/>
    <cellStyle name="Hyperlink 5" xfId="4582"/>
    <cellStyle name="Input" xfId="13356" builtinId="20" customBuiltin="1"/>
    <cellStyle name="Input 2" xfId="143"/>
    <cellStyle name="Input 2 10" xfId="4583"/>
    <cellStyle name="Input 2 10 10" xfId="24864"/>
    <cellStyle name="Input 2 10 11" xfId="25863"/>
    <cellStyle name="Input 2 10 12" xfId="28769"/>
    <cellStyle name="Input 2 10 13" xfId="29786"/>
    <cellStyle name="Input 2 10 14" xfId="30819"/>
    <cellStyle name="Input 2 10 15" xfId="31814"/>
    <cellStyle name="Input 2 10 16" xfId="32818"/>
    <cellStyle name="Input 2 10 17" xfId="33821"/>
    <cellStyle name="Input 2 10 18" xfId="34820"/>
    <cellStyle name="Input 2 10 19" xfId="36381"/>
    <cellStyle name="Input 2 10 2" xfId="16853"/>
    <cellStyle name="Input 2 10 20" xfId="37380"/>
    <cellStyle name="Input 2 10 3" xfId="17833"/>
    <cellStyle name="Input 2 10 4" xfId="18858"/>
    <cellStyle name="Input 2 10 5" xfId="19892"/>
    <cellStyle name="Input 2 10 6" xfId="20917"/>
    <cellStyle name="Input 2 10 7" xfId="21877"/>
    <cellStyle name="Input 2 10 8" xfId="22889"/>
    <cellStyle name="Input 2 10 9" xfId="23892"/>
    <cellStyle name="Input 2 11" xfId="34903"/>
    <cellStyle name="Input 2 12" xfId="37426"/>
    <cellStyle name="Input 2 13" xfId="37556"/>
    <cellStyle name="Input 2 2" xfId="4584"/>
    <cellStyle name="Input 2 2 10" xfId="13677"/>
    <cellStyle name="Input 2 2 11" xfId="14314"/>
    <cellStyle name="Input 2 2 12" xfId="14096"/>
    <cellStyle name="Input 2 2 13" xfId="14987"/>
    <cellStyle name="Input 2 2 14" xfId="13649"/>
    <cellStyle name="Input 2 2 15" xfId="25988"/>
    <cellStyle name="Input 2 2 16" xfId="27807"/>
    <cellStyle name="Input 2 2 17" xfId="26422"/>
    <cellStyle name="Input 2 2 18" xfId="27459"/>
    <cellStyle name="Input 2 2 19" xfId="27569"/>
    <cellStyle name="Input 2 2 2" xfId="4585"/>
    <cellStyle name="Input 2 2 2 10" xfId="14239"/>
    <cellStyle name="Input 2 2 2 11" xfId="13783"/>
    <cellStyle name="Input 2 2 2 12" xfId="14170"/>
    <cellStyle name="Input 2 2 2 13" xfId="14524"/>
    <cellStyle name="Input 2 2 2 14" xfId="25989"/>
    <cellStyle name="Input 2 2 2 15" xfId="27292"/>
    <cellStyle name="Input 2 2 2 16" xfId="26431"/>
    <cellStyle name="Input 2 2 2 17" xfId="27745"/>
    <cellStyle name="Input 2 2 2 18" xfId="27621"/>
    <cellStyle name="Input 2 2 2 19" xfId="27204"/>
    <cellStyle name="Input 2 2 2 2" xfId="4586"/>
    <cellStyle name="Input 2 2 2 2 10" xfId="15376"/>
    <cellStyle name="Input 2 2 2 2 11" xfId="14329"/>
    <cellStyle name="Input 2 2 2 2 12" xfId="18919"/>
    <cellStyle name="Input 2 2 2 2 13" xfId="15341"/>
    <cellStyle name="Input 2 2 2 2 14" xfId="14163"/>
    <cellStyle name="Input 2 2 2 2 15" xfId="14166"/>
    <cellStyle name="Input 2 2 2 2 16" xfId="26094"/>
    <cellStyle name="Input 2 2 2 2 17" xfId="27259"/>
    <cellStyle name="Input 2 2 2 2 18" xfId="26112"/>
    <cellStyle name="Input 2 2 2 2 19" xfId="28790"/>
    <cellStyle name="Input 2 2 2 2 2" xfId="4587"/>
    <cellStyle name="Input 2 2 2 2 2 10" xfId="16842"/>
    <cellStyle name="Input 2 2 2 2 2 11" xfId="15520"/>
    <cellStyle name="Input 2 2 2 2 2 12" xfId="26315"/>
    <cellStyle name="Input 2 2 2 2 2 13" xfId="27171"/>
    <cellStyle name="Input 2 2 2 2 2 14" xfId="27518"/>
    <cellStyle name="Input 2 2 2 2 2 15" xfId="27479"/>
    <cellStyle name="Input 2 2 2 2 2 16" xfId="26683"/>
    <cellStyle name="Input 2 2 2 2 2 17" xfId="26959"/>
    <cellStyle name="Input 2 2 2 2 2 18" xfId="35011"/>
    <cellStyle name="Input 2 2 2 2 2 19" xfId="35325"/>
    <cellStyle name="Input 2 2 2 2 2 2" xfId="4588"/>
    <cellStyle name="Input 2 2 2 2 2 2 10" xfId="23458"/>
    <cellStyle name="Input 2 2 2 2 2 2 11" xfId="24430"/>
    <cellStyle name="Input 2 2 2 2 2 2 12" xfId="25429"/>
    <cellStyle name="Input 2 2 2 2 2 2 13" xfId="28376"/>
    <cellStyle name="Input 2 2 2 2 2 2 14" xfId="29343"/>
    <cellStyle name="Input 2 2 2 2 2 2 15" xfId="30385"/>
    <cellStyle name="Input 2 2 2 2 2 2 16" xfId="31376"/>
    <cellStyle name="Input 2 2 2 2 2 2 17" xfId="32384"/>
    <cellStyle name="Input 2 2 2 2 2 2 18" xfId="33387"/>
    <cellStyle name="Input 2 2 2 2 2 2 19" xfId="34386"/>
    <cellStyle name="Input 2 2 2 2 2 2 2" xfId="4589"/>
    <cellStyle name="Input 2 2 2 2 2 2 2 10" xfId="24431"/>
    <cellStyle name="Input 2 2 2 2 2 2 2 11" xfId="25430"/>
    <cellStyle name="Input 2 2 2 2 2 2 2 12" xfId="28377"/>
    <cellStyle name="Input 2 2 2 2 2 2 2 13" xfId="29344"/>
    <cellStyle name="Input 2 2 2 2 2 2 2 14" xfId="30386"/>
    <cellStyle name="Input 2 2 2 2 2 2 2 15" xfId="31377"/>
    <cellStyle name="Input 2 2 2 2 2 2 2 16" xfId="32385"/>
    <cellStyle name="Input 2 2 2 2 2 2 2 17" xfId="33388"/>
    <cellStyle name="Input 2 2 2 2 2 2 2 18" xfId="34387"/>
    <cellStyle name="Input 2 2 2 2 2 2 2 19" xfId="36008"/>
    <cellStyle name="Input 2 2 2 2 2 2 2 2" xfId="16412"/>
    <cellStyle name="Input 2 2 2 2 2 2 2 20" xfId="36947"/>
    <cellStyle name="Input 2 2 2 2 2 2 2 3" xfId="17391"/>
    <cellStyle name="Input 2 2 2 2 2 2 2 4" xfId="18418"/>
    <cellStyle name="Input 2 2 2 2 2 2 2 5" xfId="19450"/>
    <cellStyle name="Input 2 2 2 2 2 2 2 6" xfId="20472"/>
    <cellStyle name="Input 2 2 2 2 2 2 2 7" xfId="21483"/>
    <cellStyle name="Input 2 2 2 2 2 2 2 8" xfId="22454"/>
    <cellStyle name="Input 2 2 2 2 2 2 2 9" xfId="23459"/>
    <cellStyle name="Input 2 2 2 2 2 2 20" xfId="36007"/>
    <cellStyle name="Input 2 2 2 2 2 2 21" xfId="36946"/>
    <cellStyle name="Input 2 2 2 2 2 2 3" xfId="16411"/>
    <cellStyle name="Input 2 2 2 2 2 2 4" xfId="17390"/>
    <cellStyle name="Input 2 2 2 2 2 2 5" xfId="18417"/>
    <cellStyle name="Input 2 2 2 2 2 2 6" xfId="19449"/>
    <cellStyle name="Input 2 2 2 2 2 2 7" xfId="20471"/>
    <cellStyle name="Input 2 2 2 2 2 2 8" xfId="21482"/>
    <cellStyle name="Input 2 2 2 2 2 2 9" xfId="22453"/>
    <cellStyle name="Input 2 2 2 2 2 3" xfId="4590"/>
    <cellStyle name="Input 2 2 2 2 2 3 10" xfId="23460"/>
    <cellStyle name="Input 2 2 2 2 2 3 11" xfId="24432"/>
    <cellStyle name="Input 2 2 2 2 2 3 12" xfId="25431"/>
    <cellStyle name="Input 2 2 2 2 2 3 13" xfId="28378"/>
    <cellStyle name="Input 2 2 2 2 2 3 14" xfId="29345"/>
    <cellStyle name="Input 2 2 2 2 2 3 15" xfId="30387"/>
    <cellStyle name="Input 2 2 2 2 2 3 16" xfId="31378"/>
    <cellStyle name="Input 2 2 2 2 2 3 17" xfId="32386"/>
    <cellStyle name="Input 2 2 2 2 2 3 18" xfId="33389"/>
    <cellStyle name="Input 2 2 2 2 2 3 19" xfId="34388"/>
    <cellStyle name="Input 2 2 2 2 2 3 2" xfId="4591"/>
    <cellStyle name="Input 2 2 2 2 2 3 2 10" xfId="24433"/>
    <cellStyle name="Input 2 2 2 2 2 3 2 11" xfId="25432"/>
    <cellStyle name="Input 2 2 2 2 2 3 2 12" xfId="28379"/>
    <cellStyle name="Input 2 2 2 2 2 3 2 13" xfId="29346"/>
    <cellStyle name="Input 2 2 2 2 2 3 2 14" xfId="30388"/>
    <cellStyle name="Input 2 2 2 2 2 3 2 15" xfId="31379"/>
    <cellStyle name="Input 2 2 2 2 2 3 2 16" xfId="32387"/>
    <cellStyle name="Input 2 2 2 2 2 3 2 17" xfId="33390"/>
    <cellStyle name="Input 2 2 2 2 2 3 2 18" xfId="34389"/>
    <cellStyle name="Input 2 2 2 2 2 3 2 19" xfId="36010"/>
    <cellStyle name="Input 2 2 2 2 2 3 2 2" xfId="16414"/>
    <cellStyle name="Input 2 2 2 2 2 3 2 20" xfId="36949"/>
    <cellStyle name="Input 2 2 2 2 2 3 2 3" xfId="17393"/>
    <cellStyle name="Input 2 2 2 2 2 3 2 4" xfId="18420"/>
    <cellStyle name="Input 2 2 2 2 2 3 2 5" xfId="19452"/>
    <cellStyle name="Input 2 2 2 2 2 3 2 6" xfId="20474"/>
    <cellStyle name="Input 2 2 2 2 2 3 2 7" xfId="21485"/>
    <cellStyle name="Input 2 2 2 2 2 3 2 8" xfId="22456"/>
    <cellStyle name="Input 2 2 2 2 2 3 2 9" xfId="23461"/>
    <cellStyle name="Input 2 2 2 2 2 3 20" xfId="36009"/>
    <cellStyle name="Input 2 2 2 2 2 3 21" xfId="36948"/>
    <cellStyle name="Input 2 2 2 2 2 3 3" xfId="16413"/>
    <cellStyle name="Input 2 2 2 2 2 3 4" xfId="17392"/>
    <cellStyle name="Input 2 2 2 2 2 3 5" xfId="18419"/>
    <cellStyle name="Input 2 2 2 2 2 3 6" xfId="19451"/>
    <cellStyle name="Input 2 2 2 2 2 3 7" xfId="20473"/>
    <cellStyle name="Input 2 2 2 2 2 3 8" xfId="21484"/>
    <cellStyle name="Input 2 2 2 2 2 3 9" xfId="22455"/>
    <cellStyle name="Input 2 2 2 2 2 4" xfId="4592"/>
    <cellStyle name="Input 2 2 2 2 2 4 10" xfId="23462"/>
    <cellStyle name="Input 2 2 2 2 2 4 11" xfId="24434"/>
    <cellStyle name="Input 2 2 2 2 2 4 12" xfId="25433"/>
    <cellStyle name="Input 2 2 2 2 2 4 13" xfId="28380"/>
    <cellStyle name="Input 2 2 2 2 2 4 14" xfId="29347"/>
    <cellStyle name="Input 2 2 2 2 2 4 15" xfId="30389"/>
    <cellStyle name="Input 2 2 2 2 2 4 16" xfId="31380"/>
    <cellStyle name="Input 2 2 2 2 2 4 17" xfId="32388"/>
    <cellStyle name="Input 2 2 2 2 2 4 18" xfId="33391"/>
    <cellStyle name="Input 2 2 2 2 2 4 19" xfId="34390"/>
    <cellStyle name="Input 2 2 2 2 2 4 2" xfId="4593"/>
    <cellStyle name="Input 2 2 2 2 2 4 2 10" xfId="24435"/>
    <cellStyle name="Input 2 2 2 2 2 4 2 11" xfId="25434"/>
    <cellStyle name="Input 2 2 2 2 2 4 2 12" xfId="28381"/>
    <cellStyle name="Input 2 2 2 2 2 4 2 13" xfId="29348"/>
    <cellStyle name="Input 2 2 2 2 2 4 2 14" xfId="30390"/>
    <cellStyle name="Input 2 2 2 2 2 4 2 15" xfId="31381"/>
    <cellStyle name="Input 2 2 2 2 2 4 2 16" xfId="32389"/>
    <cellStyle name="Input 2 2 2 2 2 4 2 17" xfId="33392"/>
    <cellStyle name="Input 2 2 2 2 2 4 2 18" xfId="34391"/>
    <cellStyle name="Input 2 2 2 2 2 4 2 19" xfId="36012"/>
    <cellStyle name="Input 2 2 2 2 2 4 2 2" xfId="16416"/>
    <cellStyle name="Input 2 2 2 2 2 4 2 20" xfId="36951"/>
    <cellStyle name="Input 2 2 2 2 2 4 2 3" xfId="17395"/>
    <cellStyle name="Input 2 2 2 2 2 4 2 4" xfId="18422"/>
    <cellStyle name="Input 2 2 2 2 2 4 2 5" xfId="19454"/>
    <cellStyle name="Input 2 2 2 2 2 4 2 6" xfId="20476"/>
    <cellStyle name="Input 2 2 2 2 2 4 2 7" xfId="21487"/>
    <cellStyle name="Input 2 2 2 2 2 4 2 8" xfId="22458"/>
    <cellStyle name="Input 2 2 2 2 2 4 2 9" xfId="23463"/>
    <cellStyle name="Input 2 2 2 2 2 4 20" xfId="36011"/>
    <cellStyle name="Input 2 2 2 2 2 4 21" xfId="36950"/>
    <cellStyle name="Input 2 2 2 2 2 4 3" xfId="16415"/>
    <cellStyle name="Input 2 2 2 2 2 4 4" xfId="17394"/>
    <cellStyle name="Input 2 2 2 2 2 4 5" xfId="18421"/>
    <cellStyle name="Input 2 2 2 2 2 4 6" xfId="19453"/>
    <cellStyle name="Input 2 2 2 2 2 4 7" xfId="20475"/>
    <cellStyle name="Input 2 2 2 2 2 4 8" xfId="21486"/>
    <cellStyle name="Input 2 2 2 2 2 4 9" xfId="22457"/>
    <cellStyle name="Input 2 2 2 2 2 5" xfId="4594"/>
    <cellStyle name="Input 2 2 2 2 2 5 10" xfId="24436"/>
    <cellStyle name="Input 2 2 2 2 2 5 11" xfId="25435"/>
    <cellStyle name="Input 2 2 2 2 2 5 12" xfId="28382"/>
    <cellStyle name="Input 2 2 2 2 2 5 13" xfId="29349"/>
    <cellStyle name="Input 2 2 2 2 2 5 14" xfId="30391"/>
    <cellStyle name="Input 2 2 2 2 2 5 15" xfId="31382"/>
    <cellStyle name="Input 2 2 2 2 2 5 16" xfId="32390"/>
    <cellStyle name="Input 2 2 2 2 2 5 17" xfId="33393"/>
    <cellStyle name="Input 2 2 2 2 2 5 18" xfId="34392"/>
    <cellStyle name="Input 2 2 2 2 2 5 19" xfId="36013"/>
    <cellStyle name="Input 2 2 2 2 2 5 2" xfId="16417"/>
    <cellStyle name="Input 2 2 2 2 2 5 20" xfId="36952"/>
    <cellStyle name="Input 2 2 2 2 2 5 3" xfId="17396"/>
    <cellStyle name="Input 2 2 2 2 2 5 4" xfId="18423"/>
    <cellStyle name="Input 2 2 2 2 2 5 5" xfId="19455"/>
    <cellStyle name="Input 2 2 2 2 2 5 6" xfId="20477"/>
    <cellStyle name="Input 2 2 2 2 2 5 7" xfId="21488"/>
    <cellStyle name="Input 2 2 2 2 2 5 8" xfId="22459"/>
    <cellStyle name="Input 2 2 2 2 2 5 9" xfId="23464"/>
    <cellStyle name="Input 2 2 2 2 2 6" xfId="13727"/>
    <cellStyle name="Input 2 2 2 2 2 7" xfId="15065"/>
    <cellStyle name="Input 2 2 2 2 2 8" xfId="15455"/>
    <cellStyle name="Input 2 2 2 2 2 9" xfId="15087"/>
    <cellStyle name="Input 2 2 2 2 20" xfId="30848"/>
    <cellStyle name="Input 2 2 2 2 21" xfId="27429"/>
    <cellStyle name="Input 2 2 2 2 22" xfId="34954"/>
    <cellStyle name="Input 2 2 2 2 23" xfId="35365"/>
    <cellStyle name="Input 2 2 2 2 3" xfId="4595"/>
    <cellStyle name="Input 2 2 2 2 3 10" xfId="13930"/>
    <cellStyle name="Input 2 2 2 2 3 11" xfId="13484"/>
    <cellStyle name="Input 2 2 2 2 3 12" xfId="26395"/>
    <cellStyle name="Input 2 2 2 2 3 13" xfId="27119"/>
    <cellStyle name="Input 2 2 2 2 3 14" xfId="25939"/>
    <cellStyle name="Input 2 2 2 2 3 15" xfId="27368"/>
    <cellStyle name="Input 2 2 2 2 3 16" xfId="26846"/>
    <cellStyle name="Input 2 2 2 2 3 17" xfId="26261"/>
    <cellStyle name="Input 2 2 2 2 3 18" xfId="35086"/>
    <cellStyle name="Input 2 2 2 2 3 19" xfId="35425"/>
    <cellStyle name="Input 2 2 2 2 3 2" xfId="4596"/>
    <cellStyle name="Input 2 2 2 2 3 2 10" xfId="23465"/>
    <cellStyle name="Input 2 2 2 2 3 2 11" xfId="24437"/>
    <cellStyle name="Input 2 2 2 2 3 2 12" xfId="25436"/>
    <cellStyle name="Input 2 2 2 2 3 2 13" xfId="28383"/>
    <cellStyle name="Input 2 2 2 2 3 2 14" xfId="29350"/>
    <cellStyle name="Input 2 2 2 2 3 2 15" xfId="30392"/>
    <cellStyle name="Input 2 2 2 2 3 2 16" xfId="31383"/>
    <cellStyle name="Input 2 2 2 2 3 2 17" xfId="32391"/>
    <cellStyle name="Input 2 2 2 2 3 2 18" xfId="33394"/>
    <cellStyle name="Input 2 2 2 2 3 2 19" xfId="34393"/>
    <cellStyle name="Input 2 2 2 2 3 2 2" xfId="4597"/>
    <cellStyle name="Input 2 2 2 2 3 2 2 10" xfId="24438"/>
    <cellStyle name="Input 2 2 2 2 3 2 2 11" xfId="25437"/>
    <cellStyle name="Input 2 2 2 2 3 2 2 12" xfId="28384"/>
    <cellStyle name="Input 2 2 2 2 3 2 2 13" xfId="29351"/>
    <cellStyle name="Input 2 2 2 2 3 2 2 14" xfId="30393"/>
    <cellStyle name="Input 2 2 2 2 3 2 2 15" xfId="31384"/>
    <cellStyle name="Input 2 2 2 2 3 2 2 16" xfId="32392"/>
    <cellStyle name="Input 2 2 2 2 3 2 2 17" xfId="33395"/>
    <cellStyle name="Input 2 2 2 2 3 2 2 18" xfId="34394"/>
    <cellStyle name="Input 2 2 2 2 3 2 2 19" xfId="36015"/>
    <cellStyle name="Input 2 2 2 2 3 2 2 2" xfId="16419"/>
    <cellStyle name="Input 2 2 2 2 3 2 2 20" xfId="36954"/>
    <cellStyle name="Input 2 2 2 2 3 2 2 3" xfId="17398"/>
    <cellStyle name="Input 2 2 2 2 3 2 2 4" xfId="18425"/>
    <cellStyle name="Input 2 2 2 2 3 2 2 5" xfId="19457"/>
    <cellStyle name="Input 2 2 2 2 3 2 2 6" xfId="20479"/>
    <cellStyle name="Input 2 2 2 2 3 2 2 7" xfId="21490"/>
    <cellStyle name="Input 2 2 2 2 3 2 2 8" xfId="22461"/>
    <cellStyle name="Input 2 2 2 2 3 2 2 9" xfId="23466"/>
    <cellStyle name="Input 2 2 2 2 3 2 20" xfId="36014"/>
    <cellStyle name="Input 2 2 2 2 3 2 21" xfId="36953"/>
    <cellStyle name="Input 2 2 2 2 3 2 3" xfId="16418"/>
    <cellStyle name="Input 2 2 2 2 3 2 4" xfId="17397"/>
    <cellStyle name="Input 2 2 2 2 3 2 5" xfId="18424"/>
    <cellStyle name="Input 2 2 2 2 3 2 6" xfId="19456"/>
    <cellStyle name="Input 2 2 2 2 3 2 7" xfId="20478"/>
    <cellStyle name="Input 2 2 2 2 3 2 8" xfId="21489"/>
    <cellStyle name="Input 2 2 2 2 3 2 9" xfId="22460"/>
    <cellStyle name="Input 2 2 2 2 3 3" xfId="4598"/>
    <cellStyle name="Input 2 2 2 2 3 3 10" xfId="23467"/>
    <cellStyle name="Input 2 2 2 2 3 3 11" xfId="24439"/>
    <cellStyle name="Input 2 2 2 2 3 3 12" xfId="25438"/>
    <cellStyle name="Input 2 2 2 2 3 3 13" xfId="28385"/>
    <cellStyle name="Input 2 2 2 2 3 3 14" xfId="29352"/>
    <cellStyle name="Input 2 2 2 2 3 3 15" xfId="30394"/>
    <cellStyle name="Input 2 2 2 2 3 3 16" xfId="31385"/>
    <cellStyle name="Input 2 2 2 2 3 3 17" xfId="32393"/>
    <cellStyle name="Input 2 2 2 2 3 3 18" xfId="33396"/>
    <cellStyle name="Input 2 2 2 2 3 3 19" xfId="34395"/>
    <cellStyle name="Input 2 2 2 2 3 3 2" xfId="4599"/>
    <cellStyle name="Input 2 2 2 2 3 3 2 10" xfId="24440"/>
    <cellStyle name="Input 2 2 2 2 3 3 2 11" xfId="25439"/>
    <cellStyle name="Input 2 2 2 2 3 3 2 12" xfId="28386"/>
    <cellStyle name="Input 2 2 2 2 3 3 2 13" xfId="29353"/>
    <cellStyle name="Input 2 2 2 2 3 3 2 14" xfId="30395"/>
    <cellStyle name="Input 2 2 2 2 3 3 2 15" xfId="31386"/>
    <cellStyle name="Input 2 2 2 2 3 3 2 16" xfId="32394"/>
    <cellStyle name="Input 2 2 2 2 3 3 2 17" xfId="33397"/>
    <cellStyle name="Input 2 2 2 2 3 3 2 18" xfId="34396"/>
    <cellStyle name="Input 2 2 2 2 3 3 2 19" xfId="36017"/>
    <cellStyle name="Input 2 2 2 2 3 3 2 2" xfId="16421"/>
    <cellStyle name="Input 2 2 2 2 3 3 2 20" xfId="36956"/>
    <cellStyle name="Input 2 2 2 2 3 3 2 3" xfId="17400"/>
    <cellStyle name="Input 2 2 2 2 3 3 2 4" xfId="18427"/>
    <cellStyle name="Input 2 2 2 2 3 3 2 5" xfId="19459"/>
    <cellStyle name="Input 2 2 2 2 3 3 2 6" xfId="20481"/>
    <cellStyle name="Input 2 2 2 2 3 3 2 7" xfId="21492"/>
    <cellStyle name="Input 2 2 2 2 3 3 2 8" xfId="22463"/>
    <cellStyle name="Input 2 2 2 2 3 3 2 9" xfId="23468"/>
    <cellStyle name="Input 2 2 2 2 3 3 20" xfId="36016"/>
    <cellStyle name="Input 2 2 2 2 3 3 21" xfId="36955"/>
    <cellStyle name="Input 2 2 2 2 3 3 3" xfId="16420"/>
    <cellStyle name="Input 2 2 2 2 3 3 4" xfId="17399"/>
    <cellStyle name="Input 2 2 2 2 3 3 5" xfId="18426"/>
    <cellStyle name="Input 2 2 2 2 3 3 6" xfId="19458"/>
    <cellStyle name="Input 2 2 2 2 3 3 7" xfId="20480"/>
    <cellStyle name="Input 2 2 2 2 3 3 8" xfId="21491"/>
    <cellStyle name="Input 2 2 2 2 3 3 9" xfId="22462"/>
    <cellStyle name="Input 2 2 2 2 3 4" xfId="4600"/>
    <cellStyle name="Input 2 2 2 2 3 4 10" xfId="23469"/>
    <cellStyle name="Input 2 2 2 2 3 4 11" xfId="24441"/>
    <cellStyle name="Input 2 2 2 2 3 4 12" xfId="25440"/>
    <cellStyle name="Input 2 2 2 2 3 4 13" xfId="28387"/>
    <cellStyle name="Input 2 2 2 2 3 4 14" xfId="29354"/>
    <cellStyle name="Input 2 2 2 2 3 4 15" xfId="30396"/>
    <cellStyle name="Input 2 2 2 2 3 4 16" xfId="31387"/>
    <cellStyle name="Input 2 2 2 2 3 4 17" xfId="32395"/>
    <cellStyle name="Input 2 2 2 2 3 4 18" xfId="33398"/>
    <cellStyle name="Input 2 2 2 2 3 4 19" xfId="34397"/>
    <cellStyle name="Input 2 2 2 2 3 4 2" xfId="4601"/>
    <cellStyle name="Input 2 2 2 2 3 4 2 10" xfId="24442"/>
    <cellStyle name="Input 2 2 2 2 3 4 2 11" xfId="25441"/>
    <cellStyle name="Input 2 2 2 2 3 4 2 12" xfId="28388"/>
    <cellStyle name="Input 2 2 2 2 3 4 2 13" xfId="29355"/>
    <cellStyle name="Input 2 2 2 2 3 4 2 14" xfId="30397"/>
    <cellStyle name="Input 2 2 2 2 3 4 2 15" xfId="31388"/>
    <cellStyle name="Input 2 2 2 2 3 4 2 16" xfId="32396"/>
    <cellStyle name="Input 2 2 2 2 3 4 2 17" xfId="33399"/>
    <cellStyle name="Input 2 2 2 2 3 4 2 18" xfId="34398"/>
    <cellStyle name="Input 2 2 2 2 3 4 2 19" xfId="36019"/>
    <cellStyle name="Input 2 2 2 2 3 4 2 2" xfId="16423"/>
    <cellStyle name="Input 2 2 2 2 3 4 2 20" xfId="36958"/>
    <cellStyle name="Input 2 2 2 2 3 4 2 3" xfId="17402"/>
    <cellStyle name="Input 2 2 2 2 3 4 2 4" xfId="18429"/>
    <cellStyle name="Input 2 2 2 2 3 4 2 5" xfId="19461"/>
    <cellStyle name="Input 2 2 2 2 3 4 2 6" xfId="20483"/>
    <cellStyle name="Input 2 2 2 2 3 4 2 7" xfId="21494"/>
    <cellStyle name="Input 2 2 2 2 3 4 2 8" xfId="22465"/>
    <cellStyle name="Input 2 2 2 2 3 4 2 9" xfId="23470"/>
    <cellStyle name="Input 2 2 2 2 3 4 20" xfId="36018"/>
    <cellStyle name="Input 2 2 2 2 3 4 21" xfId="36957"/>
    <cellStyle name="Input 2 2 2 2 3 4 3" xfId="16422"/>
    <cellStyle name="Input 2 2 2 2 3 4 4" xfId="17401"/>
    <cellStyle name="Input 2 2 2 2 3 4 5" xfId="18428"/>
    <cellStyle name="Input 2 2 2 2 3 4 6" xfId="19460"/>
    <cellStyle name="Input 2 2 2 2 3 4 7" xfId="20482"/>
    <cellStyle name="Input 2 2 2 2 3 4 8" xfId="21493"/>
    <cellStyle name="Input 2 2 2 2 3 4 9" xfId="22464"/>
    <cellStyle name="Input 2 2 2 2 3 5" xfId="4602"/>
    <cellStyle name="Input 2 2 2 2 3 5 10" xfId="24443"/>
    <cellStyle name="Input 2 2 2 2 3 5 11" xfId="25442"/>
    <cellStyle name="Input 2 2 2 2 3 5 12" xfId="28389"/>
    <cellStyle name="Input 2 2 2 2 3 5 13" xfId="29356"/>
    <cellStyle name="Input 2 2 2 2 3 5 14" xfId="30398"/>
    <cellStyle name="Input 2 2 2 2 3 5 15" xfId="31389"/>
    <cellStyle name="Input 2 2 2 2 3 5 16" xfId="32397"/>
    <cellStyle name="Input 2 2 2 2 3 5 17" xfId="33400"/>
    <cellStyle name="Input 2 2 2 2 3 5 18" xfId="34399"/>
    <cellStyle name="Input 2 2 2 2 3 5 19" xfId="36020"/>
    <cellStyle name="Input 2 2 2 2 3 5 2" xfId="16424"/>
    <cellStyle name="Input 2 2 2 2 3 5 20" xfId="36959"/>
    <cellStyle name="Input 2 2 2 2 3 5 3" xfId="17403"/>
    <cellStyle name="Input 2 2 2 2 3 5 4" xfId="18430"/>
    <cellStyle name="Input 2 2 2 2 3 5 5" xfId="19462"/>
    <cellStyle name="Input 2 2 2 2 3 5 6" xfId="20484"/>
    <cellStyle name="Input 2 2 2 2 3 5 7" xfId="21495"/>
    <cellStyle name="Input 2 2 2 2 3 5 8" xfId="22466"/>
    <cellStyle name="Input 2 2 2 2 3 5 9" xfId="23471"/>
    <cellStyle name="Input 2 2 2 2 3 6" xfId="13772"/>
    <cellStyle name="Input 2 2 2 2 3 7" xfId="14555"/>
    <cellStyle name="Input 2 2 2 2 3 8" xfId="15574"/>
    <cellStyle name="Input 2 2 2 2 3 9" xfId="14754"/>
    <cellStyle name="Input 2 2 2 2 4" xfId="4603"/>
    <cellStyle name="Input 2 2 2 2 4 10" xfId="14745"/>
    <cellStyle name="Input 2 2 2 2 4 11" xfId="15320"/>
    <cellStyle name="Input 2 2 2 2 4 12" xfId="26411"/>
    <cellStyle name="Input 2 2 2 2 4 13" xfId="27695"/>
    <cellStyle name="Input 2 2 2 2 4 14" xfId="26150"/>
    <cellStyle name="Input 2 2 2 2 4 15" xfId="26777"/>
    <cellStyle name="Input 2 2 2 2 4 16" xfId="27320"/>
    <cellStyle name="Input 2 2 2 2 4 17" xfId="26680"/>
    <cellStyle name="Input 2 2 2 2 4 18" xfId="35101"/>
    <cellStyle name="Input 2 2 2 2 4 19" xfId="35262"/>
    <cellStyle name="Input 2 2 2 2 4 2" xfId="4604"/>
    <cellStyle name="Input 2 2 2 2 4 2 10" xfId="23472"/>
    <cellStyle name="Input 2 2 2 2 4 2 11" xfId="24444"/>
    <cellStyle name="Input 2 2 2 2 4 2 12" xfId="25443"/>
    <cellStyle name="Input 2 2 2 2 4 2 13" xfId="28390"/>
    <cellStyle name="Input 2 2 2 2 4 2 14" xfId="29357"/>
    <cellStyle name="Input 2 2 2 2 4 2 15" xfId="30399"/>
    <cellStyle name="Input 2 2 2 2 4 2 16" xfId="31390"/>
    <cellStyle name="Input 2 2 2 2 4 2 17" xfId="32398"/>
    <cellStyle name="Input 2 2 2 2 4 2 18" xfId="33401"/>
    <cellStyle name="Input 2 2 2 2 4 2 19" xfId="34400"/>
    <cellStyle name="Input 2 2 2 2 4 2 2" xfId="4605"/>
    <cellStyle name="Input 2 2 2 2 4 2 2 10" xfId="24445"/>
    <cellStyle name="Input 2 2 2 2 4 2 2 11" xfId="25444"/>
    <cellStyle name="Input 2 2 2 2 4 2 2 12" xfId="28391"/>
    <cellStyle name="Input 2 2 2 2 4 2 2 13" xfId="29358"/>
    <cellStyle name="Input 2 2 2 2 4 2 2 14" xfId="30400"/>
    <cellStyle name="Input 2 2 2 2 4 2 2 15" xfId="31391"/>
    <cellStyle name="Input 2 2 2 2 4 2 2 16" xfId="32399"/>
    <cellStyle name="Input 2 2 2 2 4 2 2 17" xfId="33402"/>
    <cellStyle name="Input 2 2 2 2 4 2 2 18" xfId="34401"/>
    <cellStyle name="Input 2 2 2 2 4 2 2 19" xfId="36022"/>
    <cellStyle name="Input 2 2 2 2 4 2 2 2" xfId="16426"/>
    <cellStyle name="Input 2 2 2 2 4 2 2 20" xfId="36961"/>
    <cellStyle name="Input 2 2 2 2 4 2 2 3" xfId="17405"/>
    <cellStyle name="Input 2 2 2 2 4 2 2 4" xfId="18432"/>
    <cellStyle name="Input 2 2 2 2 4 2 2 5" xfId="19464"/>
    <cellStyle name="Input 2 2 2 2 4 2 2 6" xfId="20486"/>
    <cellStyle name="Input 2 2 2 2 4 2 2 7" xfId="21497"/>
    <cellStyle name="Input 2 2 2 2 4 2 2 8" xfId="22468"/>
    <cellStyle name="Input 2 2 2 2 4 2 2 9" xfId="23473"/>
    <cellStyle name="Input 2 2 2 2 4 2 20" xfId="36021"/>
    <cellStyle name="Input 2 2 2 2 4 2 21" xfId="36960"/>
    <cellStyle name="Input 2 2 2 2 4 2 3" xfId="16425"/>
    <cellStyle name="Input 2 2 2 2 4 2 4" xfId="17404"/>
    <cellStyle name="Input 2 2 2 2 4 2 5" xfId="18431"/>
    <cellStyle name="Input 2 2 2 2 4 2 6" xfId="19463"/>
    <cellStyle name="Input 2 2 2 2 4 2 7" xfId="20485"/>
    <cellStyle name="Input 2 2 2 2 4 2 8" xfId="21496"/>
    <cellStyle name="Input 2 2 2 2 4 2 9" xfId="22467"/>
    <cellStyle name="Input 2 2 2 2 4 3" xfId="4606"/>
    <cellStyle name="Input 2 2 2 2 4 3 10" xfId="23474"/>
    <cellStyle name="Input 2 2 2 2 4 3 11" xfId="24446"/>
    <cellStyle name="Input 2 2 2 2 4 3 12" xfId="25445"/>
    <cellStyle name="Input 2 2 2 2 4 3 13" xfId="28392"/>
    <cellStyle name="Input 2 2 2 2 4 3 14" xfId="29359"/>
    <cellStyle name="Input 2 2 2 2 4 3 15" xfId="30401"/>
    <cellStyle name="Input 2 2 2 2 4 3 16" xfId="31392"/>
    <cellStyle name="Input 2 2 2 2 4 3 17" xfId="32400"/>
    <cellStyle name="Input 2 2 2 2 4 3 18" xfId="33403"/>
    <cellStyle name="Input 2 2 2 2 4 3 19" xfId="34402"/>
    <cellStyle name="Input 2 2 2 2 4 3 2" xfId="4607"/>
    <cellStyle name="Input 2 2 2 2 4 3 2 10" xfId="24447"/>
    <cellStyle name="Input 2 2 2 2 4 3 2 11" xfId="25446"/>
    <cellStyle name="Input 2 2 2 2 4 3 2 12" xfId="28393"/>
    <cellStyle name="Input 2 2 2 2 4 3 2 13" xfId="29360"/>
    <cellStyle name="Input 2 2 2 2 4 3 2 14" xfId="30402"/>
    <cellStyle name="Input 2 2 2 2 4 3 2 15" xfId="31393"/>
    <cellStyle name="Input 2 2 2 2 4 3 2 16" xfId="32401"/>
    <cellStyle name="Input 2 2 2 2 4 3 2 17" xfId="33404"/>
    <cellStyle name="Input 2 2 2 2 4 3 2 18" xfId="34403"/>
    <cellStyle name="Input 2 2 2 2 4 3 2 19" xfId="36024"/>
    <cellStyle name="Input 2 2 2 2 4 3 2 2" xfId="16428"/>
    <cellStyle name="Input 2 2 2 2 4 3 2 20" xfId="36963"/>
    <cellStyle name="Input 2 2 2 2 4 3 2 3" xfId="17407"/>
    <cellStyle name="Input 2 2 2 2 4 3 2 4" xfId="18434"/>
    <cellStyle name="Input 2 2 2 2 4 3 2 5" xfId="19466"/>
    <cellStyle name="Input 2 2 2 2 4 3 2 6" xfId="20488"/>
    <cellStyle name="Input 2 2 2 2 4 3 2 7" xfId="21499"/>
    <cellStyle name="Input 2 2 2 2 4 3 2 8" xfId="22470"/>
    <cellStyle name="Input 2 2 2 2 4 3 2 9" xfId="23475"/>
    <cellStyle name="Input 2 2 2 2 4 3 20" xfId="36023"/>
    <cellStyle name="Input 2 2 2 2 4 3 21" xfId="36962"/>
    <cellStyle name="Input 2 2 2 2 4 3 3" xfId="16427"/>
    <cellStyle name="Input 2 2 2 2 4 3 4" xfId="17406"/>
    <cellStyle name="Input 2 2 2 2 4 3 5" xfId="18433"/>
    <cellStyle name="Input 2 2 2 2 4 3 6" xfId="19465"/>
    <cellStyle name="Input 2 2 2 2 4 3 7" xfId="20487"/>
    <cellStyle name="Input 2 2 2 2 4 3 8" xfId="21498"/>
    <cellStyle name="Input 2 2 2 2 4 3 9" xfId="22469"/>
    <cellStyle name="Input 2 2 2 2 4 4" xfId="4608"/>
    <cellStyle name="Input 2 2 2 2 4 4 10" xfId="23476"/>
    <cellStyle name="Input 2 2 2 2 4 4 11" xfId="24448"/>
    <cellStyle name="Input 2 2 2 2 4 4 12" xfId="25447"/>
    <cellStyle name="Input 2 2 2 2 4 4 13" xfId="28394"/>
    <cellStyle name="Input 2 2 2 2 4 4 14" xfId="29361"/>
    <cellStyle name="Input 2 2 2 2 4 4 15" xfId="30403"/>
    <cellStyle name="Input 2 2 2 2 4 4 16" xfId="31394"/>
    <cellStyle name="Input 2 2 2 2 4 4 17" xfId="32402"/>
    <cellStyle name="Input 2 2 2 2 4 4 18" xfId="33405"/>
    <cellStyle name="Input 2 2 2 2 4 4 19" xfId="34404"/>
    <cellStyle name="Input 2 2 2 2 4 4 2" xfId="4609"/>
    <cellStyle name="Input 2 2 2 2 4 4 2 10" xfId="24449"/>
    <cellStyle name="Input 2 2 2 2 4 4 2 11" xfId="25448"/>
    <cellStyle name="Input 2 2 2 2 4 4 2 12" xfId="28395"/>
    <cellStyle name="Input 2 2 2 2 4 4 2 13" xfId="29362"/>
    <cellStyle name="Input 2 2 2 2 4 4 2 14" xfId="30404"/>
    <cellStyle name="Input 2 2 2 2 4 4 2 15" xfId="31395"/>
    <cellStyle name="Input 2 2 2 2 4 4 2 16" xfId="32403"/>
    <cellStyle name="Input 2 2 2 2 4 4 2 17" xfId="33406"/>
    <cellStyle name="Input 2 2 2 2 4 4 2 18" xfId="34405"/>
    <cellStyle name="Input 2 2 2 2 4 4 2 19" xfId="36026"/>
    <cellStyle name="Input 2 2 2 2 4 4 2 2" xfId="16430"/>
    <cellStyle name="Input 2 2 2 2 4 4 2 20" xfId="36965"/>
    <cellStyle name="Input 2 2 2 2 4 4 2 3" xfId="17409"/>
    <cellStyle name="Input 2 2 2 2 4 4 2 4" xfId="18436"/>
    <cellStyle name="Input 2 2 2 2 4 4 2 5" xfId="19468"/>
    <cellStyle name="Input 2 2 2 2 4 4 2 6" xfId="20490"/>
    <cellStyle name="Input 2 2 2 2 4 4 2 7" xfId="21501"/>
    <cellStyle name="Input 2 2 2 2 4 4 2 8" xfId="22472"/>
    <cellStyle name="Input 2 2 2 2 4 4 2 9" xfId="23477"/>
    <cellStyle name="Input 2 2 2 2 4 4 20" xfId="36025"/>
    <cellStyle name="Input 2 2 2 2 4 4 21" xfId="36964"/>
    <cellStyle name="Input 2 2 2 2 4 4 3" xfId="16429"/>
    <cellStyle name="Input 2 2 2 2 4 4 4" xfId="17408"/>
    <cellStyle name="Input 2 2 2 2 4 4 5" xfId="18435"/>
    <cellStyle name="Input 2 2 2 2 4 4 6" xfId="19467"/>
    <cellStyle name="Input 2 2 2 2 4 4 7" xfId="20489"/>
    <cellStyle name="Input 2 2 2 2 4 4 8" xfId="21500"/>
    <cellStyle name="Input 2 2 2 2 4 4 9" xfId="22471"/>
    <cellStyle name="Input 2 2 2 2 4 5" xfId="4610"/>
    <cellStyle name="Input 2 2 2 2 4 5 10" xfId="24450"/>
    <cellStyle name="Input 2 2 2 2 4 5 11" xfId="25449"/>
    <cellStyle name="Input 2 2 2 2 4 5 12" xfId="28396"/>
    <cellStyle name="Input 2 2 2 2 4 5 13" xfId="29363"/>
    <cellStyle name="Input 2 2 2 2 4 5 14" xfId="30405"/>
    <cellStyle name="Input 2 2 2 2 4 5 15" xfId="31396"/>
    <cellStyle name="Input 2 2 2 2 4 5 16" xfId="32404"/>
    <cellStyle name="Input 2 2 2 2 4 5 17" xfId="33407"/>
    <cellStyle name="Input 2 2 2 2 4 5 18" xfId="34406"/>
    <cellStyle name="Input 2 2 2 2 4 5 19" xfId="36027"/>
    <cellStyle name="Input 2 2 2 2 4 5 2" xfId="16431"/>
    <cellStyle name="Input 2 2 2 2 4 5 20" xfId="36966"/>
    <cellStyle name="Input 2 2 2 2 4 5 3" xfId="17410"/>
    <cellStyle name="Input 2 2 2 2 4 5 4" xfId="18437"/>
    <cellStyle name="Input 2 2 2 2 4 5 5" xfId="19469"/>
    <cellStyle name="Input 2 2 2 2 4 5 6" xfId="20491"/>
    <cellStyle name="Input 2 2 2 2 4 5 7" xfId="21502"/>
    <cellStyle name="Input 2 2 2 2 4 5 8" xfId="22473"/>
    <cellStyle name="Input 2 2 2 2 4 5 9" xfId="23478"/>
    <cellStyle name="Input 2 2 2 2 4 6" xfId="13777"/>
    <cellStyle name="Input 2 2 2 2 4 7" xfId="14557"/>
    <cellStyle name="Input 2 2 2 2 4 8" xfId="14663"/>
    <cellStyle name="Input 2 2 2 2 4 9" xfId="15124"/>
    <cellStyle name="Input 2 2 2 2 5" xfId="4611"/>
    <cellStyle name="Input 2 2 2 2 5 10" xfId="14093"/>
    <cellStyle name="Input 2 2 2 2 5 11" xfId="14456"/>
    <cellStyle name="Input 2 2 2 2 5 12" xfId="26438"/>
    <cellStyle name="Input 2 2 2 2 5 13" xfId="27092"/>
    <cellStyle name="Input 2 2 2 2 5 14" xfId="26159"/>
    <cellStyle name="Input 2 2 2 2 5 15" xfId="27833"/>
    <cellStyle name="Input 2 2 2 2 5 16" xfId="27598"/>
    <cellStyle name="Input 2 2 2 2 5 17" xfId="27803"/>
    <cellStyle name="Input 2 2 2 2 5 18" xfId="35122"/>
    <cellStyle name="Input 2 2 2 2 5 19" xfId="35247"/>
    <cellStyle name="Input 2 2 2 2 5 2" xfId="4612"/>
    <cellStyle name="Input 2 2 2 2 5 2 10" xfId="23479"/>
    <cellStyle name="Input 2 2 2 2 5 2 11" xfId="24451"/>
    <cellStyle name="Input 2 2 2 2 5 2 12" xfId="25450"/>
    <cellStyle name="Input 2 2 2 2 5 2 13" xfId="28397"/>
    <cellStyle name="Input 2 2 2 2 5 2 14" xfId="29364"/>
    <cellStyle name="Input 2 2 2 2 5 2 15" xfId="30406"/>
    <cellStyle name="Input 2 2 2 2 5 2 16" xfId="31397"/>
    <cellStyle name="Input 2 2 2 2 5 2 17" xfId="32405"/>
    <cellStyle name="Input 2 2 2 2 5 2 18" xfId="33408"/>
    <cellStyle name="Input 2 2 2 2 5 2 19" xfId="34407"/>
    <cellStyle name="Input 2 2 2 2 5 2 2" xfId="4613"/>
    <cellStyle name="Input 2 2 2 2 5 2 2 10" xfId="24452"/>
    <cellStyle name="Input 2 2 2 2 5 2 2 11" xfId="25451"/>
    <cellStyle name="Input 2 2 2 2 5 2 2 12" xfId="28398"/>
    <cellStyle name="Input 2 2 2 2 5 2 2 13" xfId="29365"/>
    <cellStyle name="Input 2 2 2 2 5 2 2 14" xfId="30407"/>
    <cellStyle name="Input 2 2 2 2 5 2 2 15" xfId="31398"/>
    <cellStyle name="Input 2 2 2 2 5 2 2 16" xfId="32406"/>
    <cellStyle name="Input 2 2 2 2 5 2 2 17" xfId="33409"/>
    <cellStyle name="Input 2 2 2 2 5 2 2 18" xfId="34408"/>
    <cellStyle name="Input 2 2 2 2 5 2 2 19" xfId="36029"/>
    <cellStyle name="Input 2 2 2 2 5 2 2 2" xfId="16433"/>
    <cellStyle name="Input 2 2 2 2 5 2 2 20" xfId="36968"/>
    <cellStyle name="Input 2 2 2 2 5 2 2 3" xfId="17412"/>
    <cellStyle name="Input 2 2 2 2 5 2 2 4" xfId="18439"/>
    <cellStyle name="Input 2 2 2 2 5 2 2 5" xfId="19471"/>
    <cellStyle name="Input 2 2 2 2 5 2 2 6" xfId="20493"/>
    <cellStyle name="Input 2 2 2 2 5 2 2 7" xfId="21504"/>
    <cellStyle name="Input 2 2 2 2 5 2 2 8" xfId="22475"/>
    <cellStyle name="Input 2 2 2 2 5 2 2 9" xfId="23480"/>
    <cellStyle name="Input 2 2 2 2 5 2 20" xfId="36028"/>
    <cellStyle name="Input 2 2 2 2 5 2 21" xfId="36967"/>
    <cellStyle name="Input 2 2 2 2 5 2 3" xfId="16432"/>
    <cellStyle name="Input 2 2 2 2 5 2 4" xfId="17411"/>
    <cellStyle name="Input 2 2 2 2 5 2 5" xfId="18438"/>
    <cellStyle name="Input 2 2 2 2 5 2 6" xfId="19470"/>
    <cellStyle name="Input 2 2 2 2 5 2 7" xfId="20492"/>
    <cellStyle name="Input 2 2 2 2 5 2 8" xfId="21503"/>
    <cellStyle name="Input 2 2 2 2 5 2 9" xfId="22474"/>
    <cellStyle name="Input 2 2 2 2 5 3" xfId="4614"/>
    <cellStyle name="Input 2 2 2 2 5 3 10" xfId="23481"/>
    <cellStyle name="Input 2 2 2 2 5 3 11" xfId="24453"/>
    <cellStyle name="Input 2 2 2 2 5 3 12" xfId="25452"/>
    <cellStyle name="Input 2 2 2 2 5 3 13" xfId="28399"/>
    <cellStyle name="Input 2 2 2 2 5 3 14" xfId="29366"/>
    <cellStyle name="Input 2 2 2 2 5 3 15" xfId="30408"/>
    <cellStyle name="Input 2 2 2 2 5 3 16" xfId="31399"/>
    <cellStyle name="Input 2 2 2 2 5 3 17" xfId="32407"/>
    <cellStyle name="Input 2 2 2 2 5 3 18" xfId="33410"/>
    <cellStyle name="Input 2 2 2 2 5 3 19" xfId="34409"/>
    <cellStyle name="Input 2 2 2 2 5 3 2" xfId="4615"/>
    <cellStyle name="Input 2 2 2 2 5 3 2 10" xfId="24454"/>
    <cellStyle name="Input 2 2 2 2 5 3 2 11" xfId="25453"/>
    <cellStyle name="Input 2 2 2 2 5 3 2 12" xfId="28400"/>
    <cellStyle name="Input 2 2 2 2 5 3 2 13" xfId="29367"/>
    <cellStyle name="Input 2 2 2 2 5 3 2 14" xfId="30409"/>
    <cellStyle name="Input 2 2 2 2 5 3 2 15" xfId="31400"/>
    <cellStyle name="Input 2 2 2 2 5 3 2 16" xfId="32408"/>
    <cellStyle name="Input 2 2 2 2 5 3 2 17" xfId="33411"/>
    <cellStyle name="Input 2 2 2 2 5 3 2 18" xfId="34410"/>
    <cellStyle name="Input 2 2 2 2 5 3 2 19" xfId="36031"/>
    <cellStyle name="Input 2 2 2 2 5 3 2 2" xfId="16435"/>
    <cellStyle name="Input 2 2 2 2 5 3 2 20" xfId="36970"/>
    <cellStyle name="Input 2 2 2 2 5 3 2 3" xfId="17414"/>
    <cellStyle name="Input 2 2 2 2 5 3 2 4" xfId="18441"/>
    <cellStyle name="Input 2 2 2 2 5 3 2 5" xfId="19473"/>
    <cellStyle name="Input 2 2 2 2 5 3 2 6" xfId="20495"/>
    <cellStyle name="Input 2 2 2 2 5 3 2 7" xfId="21506"/>
    <cellStyle name="Input 2 2 2 2 5 3 2 8" xfId="22477"/>
    <cellStyle name="Input 2 2 2 2 5 3 2 9" xfId="23482"/>
    <cellStyle name="Input 2 2 2 2 5 3 20" xfId="36030"/>
    <cellStyle name="Input 2 2 2 2 5 3 21" xfId="36969"/>
    <cellStyle name="Input 2 2 2 2 5 3 3" xfId="16434"/>
    <cellStyle name="Input 2 2 2 2 5 3 4" xfId="17413"/>
    <cellStyle name="Input 2 2 2 2 5 3 5" xfId="18440"/>
    <cellStyle name="Input 2 2 2 2 5 3 6" xfId="19472"/>
    <cellStyle name="Input 2 2 2 2 5 3 7" xfId="20494"/>
    <cellStyle name="Input 2 2 2 2 5 3 8" xfId="21505"/>
    <cellStyle name="Input 2 2 2 2 5 3 9" xfId="22476"/>
    <cellStyle name="Input 2 2 2 2 5 4" xfId="4616"/>
    <cellStyle name="Input 2 2 2 2 5 4 10" xfId="23483"/>
    <cellStyle name="Input 2 2 2 2 5 4 11" xfId="24455"/>
    <cellStyle name="Input 2 2 2 2 5 4 12" xfId="25454"/>
    <cellStyle name="Input 2 2 2 2 5 4 13" xfId="28401"/>
    <cellStyle name="Input 2 2 2 2 5 4 14" xfId="29368"/>
    <cellStyle name="Input 2 2 2 2 5 4 15" xfId="30410"/>
    <cellStyle name="Input 2 2 2 2 5 4 16" xfId="31401"/>
    <cellStyle name="Input 2 2 2 2 5 4 17" xfId="32409"/>
    <cellStyle name="Input 2 2 2 2 5 4 18" xfId="33412"/>
    <cellStyle name="Input 2 2 2 2 5 4 19" xfId="34411"/>
    <cellStyle name="Input 2 2 2 2 5 4 2" xfId="4617"/>
    <cellStyle name="Input 2 2 2 2 5 4 2 10" xfId="24456"/>
    <cellStyle name="Input 2 2 2 2 5 4 2 11" xfId="25455"/>
    <cellStyle name="Input 2 2 2 2 5 4 2 12" xfId="28402"/>
    <cellStyle name="Input 2 2 2 2 5 4 2 13" xfId="29369"/>
    <cellStyle name="Input 2 2 2 2 5 4 2 14" xfId="30411"/>
    <cellStyle name="Input 2 2 2 2 5 4 2 15" xfId="31402"/>
    <cellStyle name="Input 2 2 2 2 5 4 2 16" xfId="32410"/>
    <cellStyle name="Input 2 2 2 2 5 4 2 17" xfId="33413"/>
    <cellStyle name="Input 2 2 2 2 5 4 2 18" xfId="34412"/>
    <cellStyle name="Input 2 2 2 2 5 4 2 19" xfId="36033"/>
    <cellStyle name="Input 2 2 2 2 5 4 2 2" xfId="16437"/>
    <cellStyle name="Input 2 2 2 2 5 4 2 20" xfId="36972"/>
    <cellStyle name="Input 2 2 2 2 5 4 2 3" xfId="17416"/>
    <cellStyle name="Input 2 2 2 2 5 4 2 4" xfId="18443"/>
    <cellStyle name="Input 2 2 2 2 5 4 2 5" xfId="19475"/>
    <cellStyle name="Input 2 2 2 2 5 4 2 6" xfId="20497"/>
    <cellStyle name="Input 2 2 2 2 5 4 2 7" xfId="21508"/>
    <cellStyle name="Input 2 2 2 2 5 4 2 8" xfId="22479"/>
    <cellStyle name="Input 2 2 2 2 5 4 2 9" xfId="23484"/>
    <cellStyle name="Input 2 2 2 2 5 4 20" xfId="36032"/>
    <cellStyle name="Input 2 2 2 2 5 4 21" xfId="36971"/>
    <cellStyle name="Input 2 2 2 2 5 4 3" xfId="16436"/>
    <cellStyle name="Input 2 2 2 2 5 4 4" xfId="17415"/>
    <cellStyle name="Input 2 2 2 2 5 4 5" xfId="18442"/>
    <cellStyle name="Input 2 2 2 2 5 4 6" xfId="19474"/>
    <cellStyle name="Input 2 2 2 2 5 4 7" xfId="20496"/>
    <cellStyle name="Input 2 2 2 2 5 4 8" xfId="21507"/>
    <cellStyle name="Input 2 2 2 2 5 4 9" xfId="22478"/>
    <cellStyle name="Input 2 2 2 2 5 5" xfId="4618"/>
    <cellStyle name="Input 2 2 2 2 5 5 10" xfId="24457"/>
    <cellStyle name="Input 2 2 2 2 5 5 11" xfId="25456"/>
    <cellStyle name="Input 2 2 2 2 5 5 12" xfId="28403"/>
    <cellStyle name="Input 2 2 2 2 5 5 13" xfId="29370"/>
    <cellStyle name="Input 2 2 2 2 5 5 14" xfId="30412"/>
    <cellStyle name="Input 2 2 2 2 5 5 15" xfId="31403"/>
    <cellStyle name="Input 2 2 2 2 5 5 16" xfId="32411"/>
    <cellStyle name="Input 2 2 2 2 5 5 17" xfId="33414"/>
    <cellStyle name="Input 2 2 2 2 5 5 18" xfId="34413"/>
    <cellStyle name="Input 2 2 2 2 5 5 19" xfId="36034"/>
    <cellStyle name="Input 2 2 2 2 5 5 2" xfId="16438"/>
    <cellStyle name="Input 2 2 2 2 5 5 20" xfId="36973"/>
    <cellStyle name="Input 2 2 2 2 5 5 3" xfId="17417"/>
    <cellStyle name="Input 2 2 2 2 5 5 4" xfId="18444"/>
    <cellStyle name="Input 2 2 2 2 5 5 5" xfId="19476"/>
    <cellStyle name="Input 2 2 2 2 5 5 6" xfId="20498"/>
    <cellStyle name="Input 2 2 2 2 5 5 7" xfId="21509"/>
    <cellStyle name="Input 2 2 2 2 5 5 8" xfId="22480"/>
    <cellStyle name="Input 2 2 2 2 5 5 9" xfId="23485"/>
    <cellStyle name="Input 2 2 2 2 5 6" xfId="13488"/>
    <cellStyle name="Input 2 2 2 2 5 7" xfId="13817"/>
    <cellStyle name="Input 2 2 2 2 5 8" xfId="15399"/>
    <cellStyle name="Input 2 2 2 2 5 9" xfId="14604"/>
    <cellStyle name="Input 2 2 2 2 6" xfId="4619"/>
    <cellStyle name="Input 2 2 2 2 6 10" xfId="23486"/>
    <cellStyle name="Input 2 2 2 2 6 11" xfId="24458"/>
    <cellStyle name="Input 2 2 2 2 6 12" xfId="25457"/>
    <cellStyle name="Input 2 2 2 2 6 13" xfId="28404"/>
    <cellStyle name="Input 2 2 2 2 6 14" xfId="29371"/>
    <cellStyle name="Input 2 2 2 2 6 15" xfId="30413"/>
    <cellStyle name="Input 2 2 2 2 6 16" xfId="31404"/>
    <cellStyle name="Input 2 2 2 2 6 17" xfId="32412"/>
    <cellStyle name="Input 2 2 2 2 6 18" xfId="33415"/>
    <cellStyle name="Input 2 2 2 2 6 19" xfId="34414"/>
    <cellStyle name="Input 2 2 2 2 6 2" xfId="4620"/>
    <cellStyle name="Input 2 2 2 2 6 2 10" xfId="24459"/>
    <cellStyle name="Input 2 2 2 2 6 2 11" xfId="25458"/>
    <cellStyle name="Input 2 2 2 2 6 2 12" xfId="28405"/>
    <cellStyle name="Input 2 2 2 2 6 2 13" xfId="29372"/>
    <cellStyle name="Input 2 2 2 2 6 2 14" xfId="30414"/>
    <cellStyle name="Input 2 2 2 2 6 2 15" xfId="31405"/>
    <cellStyle name="Input 2 2 2 2 6 2 16" xfId="32413"/>
    <cellStyle name="Input 2 2 2 2 6 2 17" xfId="33416"/>
    <cellStyle name="Input 2 2 2 2 6 2 18" xfId="34415"/>
    <cellStyle name="Input 2 2 2 2 6 2 19" xfId="36036"/>
    <cellStyle name="Input 2 2 2 2 6 2 2" xfId="16440"/>
    <cellStyle name="Input 2 2 2 2 6 2 20" xfId="36975"/>
    <cellStyle name="Input 2 2 2 2 6 2 3" xfId="17419"/>
    <cellStyle name="Input 2 2 2 2 6 2 4" xfId="18446"/>
    <cellStyle name="Input 2 2 2 2 6 2 5" xfId="19478"/>
    <cellStyle name="Input 2 2 2 2 6 2 6" xfId="20500"/>
    <cellStyle name="Input 2 2 2 2 6 2 7" xfId="21511"/>
    <cellStyle name="Input 2 2 2 2 6 2 8" xfId="22482"/>
    <cellStyle name="Input 2 2 2 2 6 2 9" xfId="23487"/>
    <cellStyle name="Input 2 2 2 2 6 20" xfId="36035"/>
    <cellStyle name="Input 2 2 2 2 6 21" xfId="36974"/>
    <cellStyle name="Input 2 2 2 2 6 3" xfId="16439"/>
    <cellStyle name="Input 2 2 2 2 6 4" xfId="17418"/>
    <cellStyle name="Input 2 2 2 2 6 5" xfId="18445"/>
    <cellStyle name="Input 2 2 2 2 6 6" xfId="19477"/>
    <cellStyle name="Input 2 2 2 2 6 7" xfId="20499"/>
    <cellStyle name="Input 2 2 2 2 6 8" xfId="21510"/>
    <cellStyle name="Input 2 2 2 2 6 9" xfId="22481"/>
    <cellStyle name="Input 2 2 2 2 7" xfId="4621"/>
    <cellStyle name="Input 2 2 2 2 7 10" xfId="23488"/>
    <cellStyle name="Input 2 2 2 2 7 11" xfId="24460"/>
    <cellStyle name="Input 2 2 2 2 7 12" xfId="25459"/>
    <cellStyle name="Input 2 2 2 2 7 13" xfId="28406"/>
    <cellStyle name="Input 2 2 2 2 7 14" xfId="29373"/>
    <cellStyle name="Input 2 2 2 2 7 15" xfId="30415"/>
    <cellStyle name="Input 2 2 2 2 7 16" xfId="31406"/>
    <cellStyle name="Input 2 2 2 2 7 17" xfId="32414"/>
    <cellStyle name="Input 2 2 2 2 7 18" xfId="33417"/>
    <cellStyle name="Input 2 2 2 2 7 19" xfId="34416"/>
    <cellStyle name="Input 2 2 2 2 7 2" xfId="4622"/>
    <cellStyle name="Input 2 2 2 2 7 2 10" xfId="24461"/>
    <cellStyle name="Input 2 2 2 2 7 2 11" xfId="25460"/>
    <cellStyle name="Input 2 2 2 2 7 2 12" xfId="28407"/>
    <cellStyle name="Input 2 2 2 2 7 2 13" xfId="29374"/>
    <cellStyle name="Input 2 2 2 2 7 2 14" xfId="30416"/>
    <cellStyle name="Input 2 2 2 2 7 2 15" xfId="31407"/>
    <cellStyle name="Input 2 2 2 2 7 2 16" xfId="32415"/>
    <cellStyle name="Input 2 2 2 2 7 2 17" xfId="33418"/>
    <cellStyle name="Input 2 2 2 2 7 2 18" xfId="34417"/>
    <cellStyle name="Input 2 2 2 2 7 2 19" xfId="36038"/>
    <cellStyle name="Input 2 2 2 2 7 2 2" xfId="16442"/>
    <cellStyle name="Input 2 2 2 2 7 2 20" xfId="36977"/>
    <cellStyle name="Input 2 2 2 2 7 2 3" xfId="17421"/>
    <cellStyle name="Input 2 2 2 2 7 2 4" xfId="18448"/>
    <cellStyle name="Input 2 2 2 2 7 2 5" xfId="19480"/>
    <cellStyle name="Input 2 2 2 2 7 2 6" xfId="20502"/>
    <cellStyle name="Input 2 2 2 2 7 2 7" xfId="21513"/>
    <cellStyle name="Input 2 2 2 2 7 2 8" xfId="22484"/>
    <cellStyle name="Input 2 2 2 2 7 2 9" xfId="23489"/>
    <cellStyle name="Input 2 2 2 2 7 20" xfId="36037"/>
    <cellStyle name="Input 2 2 2 2 7 21" xfId="36976"/>
    <cellStyle name="Input 2 2 2 2 7 3" xfId="16441"/>
    <cellStyle name="Input 2 2 2 2 7 4" xfId="17420"/>
    <cellStyle name="Input 2 2 2 2 7 5" xfId="18447"/>
    <cellStyle name="Input 2 2 2 2 7 6" xfId="19479"/>
    <cellStyle name="Input 2 2 2 2 7 7" xfId="20501"/>
    <cellStyle name="Input 2 2 2 2 7 8" xfId="21512"/>
    <cellStyle name="Input 2 2 2 2 7 9" xfId="22483"/>
    <cellStyle name="Input 2 2 2 2 8" xfId="4623"/>
    <cellStyle name="Input 2 2 2 2 8 10" xfId="23490"/>
    <cellStyle name="Input 2 2 2 2 8 11" xfId="24462"/>
    <cellStyle name="Input 2 2 2 2 8 12" xfId="25461"/>
    <cellStyle name="Input 2 2 2 2 8 13" xfId="28408"/>
    <cellStyle name="Input 2 2 2 2 8 14" xfId="29375"/>
    <cellStyle name="Input 2 2 2 2 8 15" xfId="30417"/>
    <cellStyle name="Input 2 2 2 2 8 16" xfId="31408"/>
    <cellStyle name="Input 2 2 2 2 8 17" xfId="32416"/>
    <cellStyle name="Input 2 2 2 2 8 18" xfId="33419"/>
    <cellStyle name="Input 2 2 2 2 8 19" xfId="34418"/>
    <cellStyle name="Input 2 2 2 2 8 2" xfId="4624"/>
    <cellStyle name="Input 2 2 2 2 8 2 10" xfId="24463"/>
    <cellStyle name="Input 2 2 2 2 8 2 11" xfId="25462"/>
    <cellStyle name="Input 2 2 2 2 8 2 12" xfId="28409"/>
    <cellStyle name="Input 2 2 2 2 8 2 13" xfId="29376"/>
    <cellStyle name="Input 2 2 2 2 8 2 14" xfId="30418"/>
    <cellStyle name="Input 2 2 2 2 8 2 15" xfId="31409"/>
    <cellStyle name="Input 2 2 2 2 8 2 16" xfId="32417"/>
    <cellStyle name="Input 2 2 2 2 8 2 17" xfId="33420"/>
    <cellStyle name="Input 2 2 2 2 8 2 18" xfId="34419"/>
    <cellStyle name="Input 2 2 2 2 8 2 19" xfId="36040"/>
    <cellStyle name="Input 2 2 2 2 8 2 2" xfId="16444"/>
    <cellStyle name="Input 2 2 2 2 8 2 20" xfId="36979"/>
    <cellStyle name="Input 2 2 2 2 8 2 3" xfId="17423"/>
    <cellStyle name="Input 2 2 2 2 8 2 4" xfId="18450"/>
    <cellStyle name="Input 2 2 2 2 8 2 5" xfId="19482"/>
    <cellStyle name="Input 2 2 2 2 8 2 6" xfId="20504"/>
    <cellStyle name="Input 2 2 2 2 8 2 7" xfId="21515"/>
    <cellStyle name="Input 2 2 2 2 8 2 8" xfId="22486"/>
    <cellStyle name="Input 2 2 2 2 8 2 9" xfId="23491"/>
    <cellStyle name="Input 2 2 2 2 8 20" xfId="36039"/>
    <cellStyle name="Input 2 2 2 2 8 21" xfId="36978"/>
    <cellStyle name="Input 2 2 2 2 8 3" xfId="16443"/>
    <cellStyle name="Input 2 2 2 2 8 4" xfId="17422"/>
    <cellStyle name="Input 2 2 2 2 8 5" xfId="18449"/>
    <cellStyle name="Input 2 2 2 2 8 6" xfId="19481"/>
    <cellStyle name="Input 2 2 2 2 8 7" xfId="20503"/>
    <cellStyle name="Input 2 2 2 2 8 8" xfId="21514"/>
    <cellStyle name="Input 2 2 2 2 8 9" xfId="22485"/>
    <cellStyle name="Input 2 2 2 2 9" xfId="4625"/>
    <cellStyle name="Input 2 2 2 2 9 10" xfId="24464"/>
    <cellStyle name="Input 2 2 2 2 9 11" xfId="25463"/>
    <cellStyle name="Input 2 2 2 2 9 12" xfId="28410"/>
    <cellStyle name="Input 2 2 2 2 9 13" xfId="29377"/>
    <cellStyle name="Input 2 2 2 2 9 14" xfId="30419"/>
    <cellStyle name="Input 2 2 2 2 9 15" xfId="31410"/>
    <cellStyle name="Input 2 2 2 2 9 16" xfId="32418"/>
    <cellStyle name="Input 2 2 2 2 9 17" xfId="33421"/>
    <cellStyle name="Input 2 2 2 2 9 18" xfId="34420"/>
    <cellStyle name="Input 2 2 2 2 9 19" xfId="36041"/>
    <cellStyle name="Input 2 2 2 2 9 2" xfId="16445"/>
    <cellStyle name="Input 2 2 2 2 9 20" xfId="36980"/>
    <cellStyle name="Input 2 2 2 2 9 3" xfId="17424"/>
    <cellStyle name="Input 2 2 2 2 9 4" xfId="18451"/>
    <cellStyle name="Input 2 2 2 2 9 5" xfId="19483"/>
    <cellStyle name="Input 2 2 2 2 9 6" xfId="20505"/>
    <cellStyle name="Input 2 2 2 2 9 7" xfId="21516"/>
    <cellStyle name="Input 2 2 2 2 9 8" xfId="22487"/>
    <cellStyle name="Input 2 2 2 2 9 9" xfId="23492"/>
    <cellStyle name="Input 2 2 2 20" xfId="34866"/>
    <cellStyle name="Input 2 2 2 21" xfId="34862"/>
    <cellStyle name="Input 2 2 2 22" xfId="35378"/>
    <cellStyle name="Input 2 2 2 23" xfId="37480"/>
    <cellStyle name="Input 2 2 2 3" xfId="4626"/>
    <cellStyle name="Input 2 2 2 3 10" xfId="14015"/>
    <cellStyle name="Input 2 2 2 3 11" xfId="14349"/>
    <cellStyle name="Input 2 2 2 3 12" xfId="13568"/>
    <cellStyle name="Input 2 2 2 3 13" xfId="14698"/>
    <cellStyle name="Input 2 2 2 3 14" xfId="15466"/>
    <cellStyle name="Input 2 2 2 3 15" xfId="15357"/>
    <cellStyle name="Input 2 2 2 3 16" xfId="26515"/>
    <cellStyle name="Input 2 2 2 3 17" xfId="27048"/>
    <cellStyle name="Input 2 2 2 3 18" xfId="26583"/>
    <cellStyle name="Input 2 2 2 3 19" xfId="27751"/>
    <cellStyle name="Input 2 2 2 3 2" xfId="4627"/>
    <cellStyle name="Input 2 2 2 3 2 10" xfId="23493"/>
    <cellStyle name="Input 2 2 2 3 2 11" xfId="24465"/>
    <cellStyle name="Input 2 2 2 3 2 12" xfId="25464"/>
    <cellStyle name="Input 2 2 2 3 2 13" xfId="28411"/>
    <cellStyle name="Input 2 2 2 3 2 14" xfId="29378"/>
    <cellStyle name="Input 2 2 2 3 2 15" xfId="30420"/>
    <cellStyle name="Input 2 2 2 3 2 16" xfId="31411"/>
    <cellStyle name="Input 2 2 2 3 2 17" xfId="32419"/>
    <cellStyle name="Input 2 2 2 3 2 18" xfId="33422"/>
    <cellStyle name="Input 2 2 2 3 2 19" xfId="34421"/>
    <cellStyle name="Input 2 2 2 3 2 2" xfId="4628"/>
    <cellStyle name="Input 2 2 2 3 2 2 10" xfId="24466"/>
    <cellStyle name="Input 2 2 2 3 2 2 11" xfId="25465"/>
    <cellStyle name="Input 2 2 2 3 2 2 12" xfId="28412"/>
    <cellStyle name="Input 2 2 2 3 2 2 13" xfId="29379"/>
    <cellStyle name="Input 2 2 2 3 2 2 14" xfId="30421"/>
    <cellStyle name="Input 2 2 2 3 2 2 15" xfId="31412"/>
    <cellStyle name="Input 2 2 2 3 2 2 16" xfId="32420"/>
    <cellStyle name="Input 2 2 2 3 2 2 17" xfId="33423"/>
    <cellStyle name="Input 2 2 2 3 2 2 18" xfId="34422"/>
    <cellStyle name="Input 2 2 2 3 2 2 19" xfId="36043"/>
    <cellStyle name="Input 2 2 2 3 2 2 2" xfId="16447"/>
    <cellStyle name="Input 2 2 2 3 2 2 20" xfId="36982"/>
    <cellStyle name="Input 2 2 2 3 2 2 3" xfId="17426"/>
    <cellStyle name="Input 2 2 2 3 2 2 4" xfId="18453"/>
    <cellStyle name="Input 2 2 2 3 2 2 5" xfId="19485"/>
    <cellStyle name="Input 2 2 2 3 2 2 6" xfId="20507"/>
    <cellStyle name="Input 2 2 2 3 2 2 7" xfId="21518"/>
    <cellStyle name="Input 2 2 2 3 2 2 8" xfId="22489"/>
    <cellStyle name="Input 2 2 2 3 2 2 9" xfId="23494"/>
    <cellStyle name="Input 2 2 2 3 2 20" xfId="36042"/>
    <cellStyle name="Input 2 2 2 3 2 21" xfId="36981"/>
    <cellStyle name="Input 2 2 2 3 2 3" xfId="16446"/>
    <cellStyle name="Input 2 2 2 3 2 4" xfId="17425"/>
    <cellStyle name="Input 2 2 2 3 2 5" xfId="18452"/>
    <cellStyle name="Input 2 2 2 3 2 6" xfId="19484"/>
    <cellStyle name="Input 2 2 2 3 2 7" xfId="20506"/>
    <cellStyle name="Input 2 2 2 3 2 8" xfId="21517"/>
    <cellStyle name="Input 2 2 2 3 2 9" xfId="22488"/>
    <cellStyle name="Input 2 2 2 3 20" xfId="25950"/>
    <cellStyle name="Input 2 2 2 3 21" xfId="26951"/>
    <cellStyle name="Input 2 2 2 3 22" xfId="26867"/>
    <cellStyle name="Input 2 2 2 3 23" xfId="35183"/>
    <cellStyle name="Input 2 2 2 3 24" xfId="34851"/>
    <cellStyle name="Input 2 2 2 3 3" xfId="4629"/>
    <cellStyle name="Input 2 2 2 3 3 10" xfId="23495"/>
    <cellStyle name="Input 2 2 2 3 3 11" xfId="24467"/>
    <cellStyle name="Input 2 2 2 3 3 12" xfId="25466"/>
    <cellStyle name="Input 2 2 2 3 3 13" xfId="28413"/>
    <cellStyle name="Input 2 2 2 3 3 14" xfId="29380"/>
    <cellStyle name="Input 2 2 2 3 3 15" xfId="30422"/>
    <cellStyle name="Input 2 2 2 3 3 16" xfId="31413"/>
    <cellStyle name="Input 2 2 2 3 3 17" xfId="32421"/>
    <cellStyle name="Input 2 2 2 3 3 18" xfId="33424"/>
    <cellStyle name="Input 2 2 2 3 3 19" xfId="34423"/>
    <cellStyle name="Input 2 2 2 3 3 2" xfId="4630"/>
    <cellStyle name="Input 2 2 2 3 3 2 10" xfId="24468"/>
    <cellStyle name="Input 2 2 2 3 3 2 11" xfId="25467"/>
    <cellStyle name="Input 2 2 2 3 3 2 12" xfId="28414"/>
    <cellStyle name="Input 2 2 2 3 3 2 13" xfId="29381"/>
    <cellStyle name="Input 2 2 2 3 3 2 14" xfId="30423"/>
    <cellStyle name="Input 2 2 2 3 3 2 15" xfId="31414"/>
    <cellStyle name="Input 2 2 2 3 3 2 16" xfId="32422"/>
    <cellStyle name="Input 2 2 2 3 3 2 17" xfId="33425"/>
    <cellStyle name="Input 2 2 2 3 3 2 18" xfId="34424"/>
    <cellStyle name="Input 2 2 2 3 3 2 19" xfId="36045"/>
    <cellStyle name="Input 2 2 2 3 3 2 2" xfId="16449"/>
    <cellStyle name="Input 2 2 2 3 3 2 20" xfId="36984"/>
    <cellStyle name="Input 2 2 2 3 3 2 3" xfId="17428"/>
    <cellStyle name="Input 2 2 2 3 3 2 4" xfId="18455"/>
    <cellStyle name="Input 2 2 2 3 3 2 5" xfId="19487"/>
    <cellStyle name="Input 2 2 2 3 3 2 6" xfId="20509"/>
    <cellStyle name="Input 2 2 2 3 3 2 7" xfId="21520"/>
    <cellStyle name="Input 2 2 2 3 3 2 8" xfId="22491"/>
    <cellStyle name="Input 2 2 2 3 3 2 9" xfId="23496"/>
    <cellStyle name="Input 2 2 2 3 3 20" xfId="36044"/>
    <cellStyle name="Input 2 2 2 3 3 21" xfId="36983"/>
    <cellStyle name="Input 2 2 2 3 3 3" xfId="16448"/>
    <cellStyle name="Input 2 2 2 3 3 4" xfId="17427"/>
    <cellStyle name="Input 2 2 2 3 3 5" xfId="18454"/>
    <cellStyle name="Input 2 2 2 3 3 6" xfId="19486"/>
    <cellStyle name="Input 2 2 2 3 3 7" xfId="20508"/>
    <cellStyle name="Input 2 2 2 3 3 8" xfId="21519"/>
    <cellStyle name="Input 2 2 2 3 3 9" xfId="22490"/>
    <cellStyle name="Input 2 2 2 3 4" xfId="4631"/>
    <cellStyle name="Input 2 2 2 3 4 10" xfId="23497"/>
    <cellStyle name="Input 2 2 2 3 4 11" xfId="24469"/>
    <cellStyle name="Input 2 2 2 3 4 12" xfId="25468"/>
    <cellStyle name="Input 2 2 2 3 4 13" xfId="28415"/>
    <cellStyle name="Input 2 2 2 3 4 14" xfId="29382"/>
    <cellStyle name="Input 2 2 2 3 4 15" xfId="30424"/>
    <cellStyle name="Input 2 2 2 3 4 16" xfId="31415"/>
    <cellStyle name="Input 2 2 2 3 4 17" xfId="32423"/>
    <cellStyle name="Input 2 2 2 3 4 18" xfId="33426"/>
    <cellStyle name="Input 2 2 2 3 4 19" xfId="34425"/>
    <cellStyle name="Input 2 2 2 3 4 2" xfId="4632"/>
    <cellStyle name="Input 2 2 2 3 4 2 10" xfId="24470"/>
    <cellStyle name="Input 2 2 2 3 4 2 11" xfId="25469"/>
    <cellStyle name="Input 2 2 2 3 4 2 12" xfId="28416"/>
    <cellStyle name="Input 2 2 2 3 4 2 13" xfId="29383"/>
    <cellStyle name="Input 2 2 2 3 4 2 14" xfId="30425"/>
    <cellStyle name="Input 2 2 2 3 4 2 15" xfId="31416"/>
    <cellStyle name="Input 2 2 2 3 4 2 16" xfId="32424"/>
    <cellStyle name="Input 2 2 2 3 4 2 17" xfId="33427"/>
    <cellStyle name="Input 2 2 2 3 4 2 18" xfId="34426"/>
    <cellStyle name="Input 2 2 2 3 4 2 19" xfId="36047"/>
    <cellStyle name="Input 2 2 2 3 4 2 2" xfId="16451"/>
    <cellStyle name="Input 2 2 2 3 4 2 20" xfId="36986"/>
    <cellStyle name="Input 2 2 2 3 4 2 3" xfId="17430"/>
    <cellStyle name="Input 2 2 2 3 4 2 4" xfId="18457"/>
    <cellStyle name="Input 2 2 2 3 4 2 5" xfId="19489"/>
    <cellStyle name="Input 2 2 2 3 4 2 6" xfId="20511"/>
    <cellStyle name="Input 2 2 2 3 4 2 7" xfId="21522"/>
    <cellStyle name="Input 2 2 2 3 4 2 8" xfId="22493"/>
    <cellStyle name="Input 2 2 2 3 4 2 9" xfId="23498"/>
    <cellStyle name="Input 2 2 2 3 4 20" xfId="36046"/>
    <cellStyle name="Input 2 2 2 3 4 21" xfId="36985"/>
    <cellStyle name="Input 2 2 2 3 4 3" xfId="16450"/>
    <cellStyle name="Input 2 2 2 3 4 4" xfId="17429"/>
    <cellStyle name="Input 2 2 2 3 4 5" xfId="18456"/>
    <cellStyle name="Input 2 2 2 3 4 6" xfId="19488"/>
    <cellStyle name="Input 2 2 2 3 4 7" xfId="20510"/>
    <cellStyle name="Input 2 2 2 3 4 8" xfId="21521"/>
    <cellStyle name="Input 2 2 2 3 4 9" xfId="22492"/>
    <cellStyle name="Input 2 2 2 3 5" xfId="4633"/>
    <cellStyle name="Input 2 2 2 3 5 10" xfId="24471"/>
    <cellStyle name="Input 2 2 2 3 5 11" xfId="25470"/>
    <cellStyle name="Input 2 2 2 3 5 12" xfId="28417"/>
    <cellStyle name="Input 2 2 2 3 5 13" xfId="29384"/>
    <cellStyle name="Input 2 2 2 3 5 14" xfId="30426"/>
    <cellStyle name="Input 2 2 2 3 5 15" xfId="31417"/>
    <cellStyle name="Input 2 2 2 3 5 16" xfId="32425"/>
    <cellStyle name="Input 2 2 2 3 5 17" xfId="33428"/>
    <cellStyle name="Input 2 2 2 3 5 18" xfId="34427"/>
    <cellStyle name="Input 2 2 2 3 5 19" xfId="36048"/>
    <cellStyle name="Input 2 2 2 3 5 2" xfId="16452"/>
    <cellStyle name="Input 2 2 2 3 5 20" xfId="36987"/>
    <cellStyle name="Input 2 2 2 3 5 3" xfId="17431"/>
    <cellStyle name="Input 2 2 2 3 5 4" xfId="18458"/>
    <cellStyle name="Input 2 2 2 3 5 5" xfId="19490"/>
    <cellStyle name="Input 2 2 2 3 5 6" xfId="20512"/>
    <cellStyle name="Input 2 2 2 3 5 7" xfId="21523"/>
    <cellStyle name="Input 2 2 2 3 5 8" xfId="22494"/>
    <cellStyle name="Input 2 2 2 3 5 9" xfId="23499"/>
    <cellStyle name="Input 2 2 2 3 6" xfId="13955"/>
    <cellStyle name="Input 2 2 2 3 7" xfId="15641"/>
    <cellStyle name="Input 2 2 2 3 8" xfId="14447"/>
    <cellStyle name="Input 2 2 2 3 9" xfId="15752"/>
    <cellStyle name="Input 2 2 2 4" xfId="4634"/>
    <cellStyle name="Input 2 2 2 4 10" xfId="23500"/>
    <cellStyle name="Input 2 2 2 4 11" xfId="24472"/>
    <cellStyle name="Input 2 2 2 4 12" xfId="25471"/>
    <cellStyle name="Input 2 2 2 4 13" xfId="28418"/>
    <cellStyle name="Input 2 2 2 4 14" xfId="29385"/>
    <cellStyle name="Input 2 2 2 4 15" xfId="30427"/>
    <cellStyle name="Input 2 2 2 4 16" xfId="31418"/>
    <cellStyle name="Input 2 2 2 4 17" xfId="32426"/>
    <cellStyle name="Input 2 2 2 4 18" xfId="33429"/>
    <cellStyle name="Input 2 2 2 4 19" xfId="34428"/>
    <cellStyle name="Input 2 2 2 4 2" xfId="4635"/>
    <cellStyle name="Input 2 2 2 4 2 10" xfId="24473"/>
    <cellStyle name="Input 2 2 2 4 2 11" xfId="25472"/>
    <cellStyle name="Input 2 2 2 4 2 12" xfId="28419"/>
    <cellStyle name="Input 2 2 2 4 2 13" xfId="29386"/>
    <cellStyle name="Input 2 2 2 4 2 14" xfId="30428"/>
    <cellStyle name="Input 2 2 2 4 2 15" xfId="31419"/>
    <cellStyle name="Input 2 2 2 4 2 16" xfId="32427"/>
    <cellStyle name="Input 2 2 2 4 2 17" xfId="33430"/>
    <cellStyle name="Input 2 2 2 4 2 18" xfId="34429"/>
    <cellStyle name="Input 2 2 2 4 2 19" xfId="36050"/>
    <cellStyle name="Input 2 2 2 4 2 2" xfId="16454"/>
    <cellStyle name="Input 2 2 2 4 2 20" xfId="36989"/>
    <cellStyle name="Input 2 2 2 4 2 3" xfId="17433"/>
    <cellStyle name="Input 2 2 2 4 2 4" xfId="18460"/>
    <cellStyle name="Input 2 2 2 4 2 5" xfId="19492"/>
    <cellStyle name="Input 2 2 2 4 2 6" xfId="20514"/>
    <cellStyle name="Input 2 2 2 4 2 7" xfId="21525"/>
    <cellStyle name="Input 2 2 2 4 2 8" xfId="22496"/>
    <cellStyle name="Input 2 2 2 4 2 9" xfId="23501"/>
    <cellStyle name="Input 2 2 2 4 20" xfId="36049"/>
    <cellStyle name="Input 2 2 2 4 21" xfId="36988"/>
    <cellStyle name="Input 2 2 2 4 3" xfId="16453"/>
    <cellStyle name="Input 2 2 2 4 4" xfId="17432"/>
    <cellStyle name="Input 2 2 2 4 5" xfId="18459"/>
    <cellStyle name="Input 2 2 2 4 6" xfId="19491"/>
    <cellStyle name="Input 2 2 2 4 7" xfId="20513"/>
    <cellStyle name="Input 2 2 2 4 8" xfId="21524"/>
    <cellStyle name="Input 2 2 2 4 9" xfId="22495"/>
    <cellStyle name="Input 2 2 2 5" xfId="4636"/>
    <cellStyle name="Input 2 2 2 5 10" xfId="23502"/>
    <cellStyle name="Input 2 2 2 5 11" xfId="24474"/>
    <cellStyle name="Input 2 2 2 5 12" xfId="25473"/>
    <cellStyle name="Input 2 2 2 5 13" xfId="28420"/>
    <cellStyle name="Input 2 2 2 5 14" xfId="29387"/>
    <cellStyle name="Input 2 2 2 5 15" xfId="30429"/>
    <cellStyle name="Input 2 2 2 5 16" xfId="31420"/>
    <cellStyle name="Input 2 2 2 5 17" xfId="32428"/>
    <cellStyle name="Input 2 2 2 5 18" xfId="33431"/>
    <cellStyle name="Input 2 2 2 5 19" xfId="34430"/>
    <cellStyle name="Input 2 2 2 5 2" xfId="4637"/>
    <cellStyle name="Input 2 2 2 5 2 10" xfId="24475"/>
    <cellStyle name="Input 2 2 2 5 2 11" xfId="25474"/>
    <cellStyle name="Input 2 2 2 5 2 12" xfId="28421"/>
    <cellStyle name="Input 2 2 2 5 2 13" xfId="29388"/>
    <cellStyle name="Input 2 2 2 5 2 14" xfId="30430"/>
    <cellStyle name="Input 2 2 2 5 2 15" xfId="31421"/>
    <cellStyle name="Input 2 2 2 5 2 16" xfId="32429"/>
    <cellStyle name="Input 2 2 2 5 2 17" xfId="33432"/>
    <cellStyle name="Input 2 2 2 5 2 18" xfId="34431"/>
    <cellStyle name="Input 2 2 2 5 2 19" xfId="36052"/>
    <cellStyle name="Input 2 2 2 5 2 2" xfId="16456"/>
    <cellStyle name="Input 2 2 2 5 2 20" xfId="36991"/>
    <cellStyle name="Input 2 2 2 5 2 3" xfId="17435"/>
    <cellStyle name="Input 2 2 2 5 2 4" xfId="18462"/>
    <cellStyle name="Input 2 2 2 5 2 5" xfId="19494"/>
    <cellStyle name="Input 2 2 2 5 2 6" xfId="20516"/>
    <cellStyle name="Input 2 2 2 5 2 7" xfId="21527"/>
    <cellStyle name="Input 2 2 2 5 2 8" xfId="22498"/>
    <cellStyle name="Input 2 2 2 5 2 9" xfId="23503"/>
    <cellStyle name="Input 2 2 2 5 20" xfId="36051"/>
    <cellStyle name="Input 2 2 2 5 21" xfId="36990"/>
    <cellStyle name="Input 2 2 2 5 3" xfId="16455"/>
    <cellStyle name="Input 2 2 2 5 4" xfId="17434"/>
    <cellStyle name="Input 2 2 2 5 5" xfId="18461"/>
    <cellStyle name="Input 2 2 2 5 6" xfId="19493"/>
    <cellStyle name="Input 2 2 2 5 7" xfId="20515"/>
    <cellStyle name="Input 2 2 2 5 8" xfId="21526"/>
    <cellStyle name="Input 2 2 2 5 9" xfId="22497"/>
    <cellStyle name="Input 2 2 2 6" xfId="4638"/>
    <cellStyle name="Input 2 2 2 6 10" xfId="23504"/>
    <cellStyle name="Input 2 2 2 6 11" xfId="24476"/>
    <cellStyle name="Input 2 2 2 6 12" xfId="25475"/>
    <cellStyle name="Input 2 2 2 6 13" xfId="28422"/>
    <cellStyle name="Input 2 2 2 6 14" xfId="29389"/>
    <cellStyle name="Input 2 2 2 6 15" xfId="30431"/>
    <cellStyle name="Input 2 2 2 6 16" xfId="31422"/>
    <cellStyle name="Input 2 2 2 6 17" xfId="32430"/>
    <cellStyle name="Input 2 2 2 6 18" xfId="33433"/>
    <cellStyle name="Input 2 2 2 6 19" xfId="34432"/>
    <cellStyle name="Input 2 2 2 6 2" xfId="4639"/>
    <cellStyle name="Input 2 2 2 6 2 10" xfId="24477"/>
    <cellStyle name="Input 2 2 2 6 2 11" xfId="25476"/>
    <cellStyle name="Input 2 2 2 6 2 12" xfId="28423"/>
    <cellStyle name="Input 2 2 2 6 2 13" xfId="29390"/>
    <cellStyle name="Input 2 2 2 6 2 14" xfId="30432"/>
    <cellStyle name="Input 2 2 2 6 2 15" xfId="31423"/>
    <cellStyle name="Input 2 2 2 6 2 16" xfId="32431"/>
    <cellStyle name="Input 2 2 2 6 2 17" xfId="33434"/>
    <cellStyle name="Input 2 2 2 6 2 18" xfId="34433"/>
    <cellStyle name="Input 2 2 2 6 2 19" xfId="36054"/>
    <cellStyle name="Input 2 2 2 6 2 2" xfId="16458"/>
    <cellStyle name="Input 2 2 2 6 2 20" xfId="36993"/>
    <cellStyle name="Input 2 2 2 6 2 3" xfId="17437"/>
    <cellStyle name="Input 2 2 2 6 2 4" xfId="18464"/>
    <cellStyle name="Input 2 2 2 6 2 5" xfId="19496"/>
    <cellStyle name="Input 2 2 2 6 2 6" xfId="20518"/>
    <cellStyle name="Input 2 2 2 6 2 7" xfId="21529"/>
    <cellStyle name="Input 2 2 2 6 2 8" xfId="22500"/>
    <cellStyle name="Input 2 2 2 6 2 9" xfId="23505"/>
    <cellStyle name="Input 2 2 2 6 20" xfId="36053"/>
    <cellStyle name="Input 2 2 2 6 21" xfId="36992"/>
    <cellStyle name="Input 2 2 2 6 3" xfId="16457"/>
    <cellStyle name="Input 2 2 2 6 4" xfId="17436"/>
    <cellStyle name="Input 2 2 2 6 5" xfId="18463"/>
    <cellStyle name="Input 2 2 2 6 6" xfId="19495"/>
    <cellStyle name="Input 2 2 2 6 7" xfId="20517"/>
    <cellStyle name="Input 2 2 2 6 8" xfId="21528"/>
    <cellStyle name="Input 2 2 2 6 9" xfId="22499"/>
    <cellStyle name="Input 2 2 2 7" xfId="4640"/>
    <cellStyle name="Input 2 2 2 7 10" xfId="24478"/>
    <cellStyle name="Input 2 2 2 7 11" xfId="25477"/>
    <cellStyle name="Input 2 2 2 7 12" xfId="28424"/>
    <cellStyle name="Input 2 2 2 7 13" xfId="29391"/>
    <cellStyle name="Input 2 2 2 7 14" xfId="30433"/>
    <cellStyle name="Input 2 2 2 7 15" xfId="31424"/>
    <cellStyle name="Input 2 2 2 7 16" xfId="32432"/>
    <cellStyle name="Input 2 2 2 7 17" xfId="33435"/>
    <cellStyle name="Input 2 2 2 7 18" xfId="34434"/>
    <cellStyle name="Input 2 2 2 7 19" xfId="36055"/>
    <cellStyle name="Input 2 2 2 7 2" xfId="16459"/>
    <cellStyle name="Input 2 2 2 7 20" xfId="36994"/>
    <cellStyle name="Input 2 2 2 7 3" xfId="17438"/>
    <cellStyle name="Input 2 2 2 7 4" xfId="18465"/>
    <cellStyle name="Input 2 2 2 7 5" xfId="19497"/>
    <cellStyle name="Input 2 2 2 7 6" xfId="20519"/>
    <cellStyle name="Input 2 2 2 7 7" xfId="21530"/>
    <cellStyle name="Input 2 2 2 7 8" xfId="22501"/>
    <cellStyle name="Input 2 2 2 7 9" xfId="23506"/>
    <cellStyle name="Input 2 2 2 8" xfId="13911"/>
    <cellStyle name="Input 2 2 2 9" xfId="14525"/>
    <cellStyle name="Input 2 2 20" xfId="26601"/>
    <cellStyle name="Input 2 2 21" xfId="34865"/>
    <cellStyle name="Input 2 2 22" xfId="34863"/>
    <cellStyle name="Input 2 2 23" xfId="35483"/>
    <cellStyle name="Input 2 2 24" xfId="37427"/>
    <cellStyle name="Input 2 2 25" xfId="37479"/>
    <cellStyle name="Input 2 2 26" xfId="37557"/>
    <cellStyle name="Input 2 2 3" xfId="4641"/>
    <cellStyle name="Input 2 2 3 10" xfId="13991"/>
    <cellStyle name="Input 2 2 3 11" xfId="14363"/>
    <cellStyle name="Input 2 2 3 12" xfId="14719"/>
    <cellStyle name="Input 2 2 3 13" xfId="15228"/>
    <cellStyle name="Input 2 2 3 14" xfId="15467"/>
    <cellStyle name="Input 2 2 3 15" xfId="15607"/>
    <cellStyle name="Input 2 2 3 16" xfId="26093"/>
    <cellStyle name="Input 2 2 3 17" xfId="27777"/>
    <cellStyle name="Input 2 2 3 18" xfId="27755"/>
    <cellStyle name="Input 2 2 3 19" xfId="29776"/>
    <cellStyle name="Input 2 2 3 2" xfId="4642"/>
    <cellStyle name="Input 2 2 3 2 10" xfId="14596"/>
    <cellStyle name="Input 2 2 3 2 11" xfId="14981"/>
    <cellStyle name="Input 2 2 3 2 12" xfId="26314"/>
    <cellStyle name="Input 2 2 3 2 13" xfId="27172"/>
    <cellStyle name="Input 2 2 3 2 14" xfId="26115"/>
    <cellStyle name="Input 2 2 3 2 15" xfId="27362"/>
    <cellStyle name="Input 2 2 3 2 16" xfId="27436"/>
    <cellStyle name="Input 2 2 3 2 17" xfId="27509"/>
    <cellStyle name="Input 2 2 3 2 18" xfId="35010"/>
    <cellStyle name="Input 2 2 3 2 19" xfId="35326"/>
    <cellStyle name="Input 2 2 3 2 2" xfId="4643"/>
    <cellStyle name="Input 2 2 3 2 2 10" xfId="23507"/>
    <cellStyle name="Input 2 2 3 2 2 11" xfId="24479"/>
    <cellStyle name="Input 2 2 3 2 2 12" xfId="25478"/>
    <cellStyle name="Input 2 2 3 2 2 13" xfId="28425"/>
    <cellStyle name="Input 2 2 3 2 2 14" xfId="29392"/>
    <cellStyle name="Input 2 2 3 2 2 15" xfId="30434"/>
    <cellStyle name="Input 2 2 3 2 2 16" xfId="31425"/>
    <cellStyle name="Input 2 2 3 2 2 17" xfId="32433"/>
    <cellStyle name="Input 2 2 3 2 2 18" xfId="33436"/>
    <cellStyle name="Input 2 2 3 2 2 19" xfId="34435"/>
    <cellStyle name="Input 2 2 3 2 2 2" xfId="4644"/>
    <cellStyle name="Input 2 2 3 2 2 2 10" xfId="24480"/>
    <cellStyle name="Input 2 2 3 2 2 2 11" xfId="25479"/>
    <cellStyle name="Input 2 2 3 2 2 2 12" xfId="28426"/>
    <cellStyle name="Input 2 2 3 2 2 2 13" xfId="29393"/>
    <cellStyle name="Input 2 2 3 2 2 2 14" xfId="30435"/>
    <cellStyle name="Input 2 2 3 2 2 2 15" xfId="31426"/>
    <cellStyle name="Input 2 2 3 2 2 2 16" xfId="32434"/>
    <cellStyle name="Input 2 2 3 2 2 2 17" xfId="33437"/>
    <cellStyle name="Input 2 2 3 2 2 2 18" xfId="34436"/>
    <cellStyle name="Input 2 2 3 2 2 2 19" xfId="36057"/>
    <cellStyle name="Input 2 2 3 2 2 2 2" xfId="16461"/>
    <cellStyle name="Input 2 2 3 2 2 2 20" xfId="36996"/>
    <cellStyle name="Input 2 2 3 2 2 2 3" xfId="17440"/>
    <cellStyle name="Input 2 2 3 2 2 2 4" xfId="18467"/>
    <cellStyle name="Input 2 2 3 2 2 2 5" xfId="19499"/>
    <cellStyle name="Input 2 2 3 2 2 2 6" xfId="20521"/>
    <cellStyle name="Input 2 2 3 2 2 2 7" xfId="21532"/>
    <cellStyle name="Input 2 2 3 2 2 2 8" xfId="22503"/>
    <cellStyle name="Input 2 2 3 2 2 2 9" xfId="23508"/>
    <cellStyle name="Input 2 2 3 2 2 20" xfId="36056"/>
    <cellStyle name="Input 2 2 3 2 2 21" xfId="36995"/>
    <cellStyle name="Input 2 2 3 2 2 3" xfId="16460"/>
    <cellStyle name="Input 2 2 3 2 2 4" xfId="17439"/>
    <cellStyle name="Input 2 2 3 2 2 5" xfId="18466"/>
    <cellStyle name="Input 2 2 3 2 2 6" xfId="19498"/>
    <cellStyle name="Input 2 2 3 2 2 7" xfId="20520"/>
    <cellStyle name="Input 2 2 3 2 2 8" xfId="21531"/>
    <cellStyle name="Input 2 2 3 2 2 9" xfId="22502"/>
    <cellStyle name="Input 2 2 3 2 3" xfId="4645"/>
    <cellStyle name="Input 2 2 3 2 3 10" xfId="23509"/>
    <cellStyle name="Input 2 2 3 2 3 11" xfId="24481"/>
    <cellStyle name="Input 2 2 3 2 3 12" xfId="25480"/>
    <cellStyle name="Input 2 2 3 2 3 13" xfId="28427"/>
    <cellStyle name="Input 2 2 3 2 3 14" xfId="29394"/>
    <cellStyle name="Input 2 2 3 2 3 15" xfId="30436"/>
    <cellStyle name="Input 2 2 3 2 3 16" xfId="31427"/>
    <cellStyle name="Input 2 2 3 2 3 17" xfId="32435"/>
    <cellStyle name="Input 2 2 3 2 3 18" xfId="33438"/>
    <cellStyle name="Input 2 2 3 2 3 19" xfId="34437"/>
    <cellStyle name="Input 2 2 3 2 3 2" xfId="4646"/>
    <cellStyle name="Input 2 2 3 2 3 2 10" xfId="24482"/>
    <cellStyle name="Input 2 2 3 2 3 2 11" xfId="25481"/>
    <cellStyle name="Input 2 2 3 2 3 2 12" xfId="28428"/>
    <cellStyle name="Input 2 2 3 2 3 2 13" xfId="29395"/>
    <cellStyle name="Input 2 2 3 2 3 2 14" xfId="30437"/>
    <cellStyle name="Input 2 2 3 2 3 2 15" xfId="31428"/>
    <cellStyle name="Input 2 2 3 2 3 2 16" xfId="32436"/>
    <cellStyle name="Input 2 2 3 2 3 2 17" xfId="33439"/>
    <cellStyle name="Input 2 2 3 2 3 2 18" xfId="34438"/>
    <cellStyle name="Input 2 2 3 2 3 2 19" xfId="36059"/>
    <cellStyle name="Input 2 2 3 2 3 2 2" xfId="16463"/>
    <cellStyle name="Input 2 2 3 2 3 2 20" xfId="36998"/>
    <cellStyle name="Input 2 2 3 2 3 2 3" xfId="17442"/>
    <cellStyle name="Input 2 2 3 2 3 2 4" xfId="18469"/>
    <cellStyle name="Input 2 2 3 2 3 2 5" xfId="19501"/>
    <cellStyle name="Input 2 2 3 2 3 2 6" xfId="20523"/>
    <cellStyle name="Input 2 2 3 2 3 2 7" xfId="21534"/>
    <cellStyle name="Input 2 2 3 2 3 2 8" xfId="22505"/>
    <cellStyle name="Input 2 2 3 2 3 2 9" xfId="23510"/>
    <cellStyle name="Input 2 2 3 2 3 20" xfId="36058"/>
    <cellStyle name="Input 2 2 3 2 3 21" xfId="36997"/>
    <cellStyle name="Input 2 2 3 2 3 3" xfId="16462"/>
    <cellStyle name="Input 2 2 3 2 3 4" xfId="17441"/>
    <cellStyle name="Input 2 2 3 2 3 5" xfId="18468"/>
    <cellStyle name="Input 2 2 3 2 3 6" xfId="19500"/>
    <cellStyle name="Input 2 2 3 2 3 7" xfId="20522"/>
    <cellStyle name="Input 2 2 3 2 3 8" xfId="21533"/>
    <cellStyle name="Input 2 2 3 2 3 9" xfId="22504"/>
    <cellStyle name="Input 2 2 3 2 4" xfId="4647"/>
    <cellStyle name="Input 2 2 3 2 4 10" xfId="23511"/>
    <cellStyle name="Input 2 2 3 2 4 11" xfId="24483"/>
    <cellStyle name="Input 2 2 3 2 4 12" xfId="25482"/>
    <cellStyle name="Input 2 2 3 2 4 13" xfId="28429"/>
    <cellStyle name="Input 2 2 3 2 4 14" xfId="29396"/>
    <cellStyle name="Input 2 2 3 2 4 15" xfId="30438"/>
    <cellStyle name="Input 2 2 3 2 4 16" xfId="31429"/>
    <cellStyle name="Input 2 2 3 2 4 17" xfId="32437"/>
    <cellStyle name="Input 2 2 3 2 4 18" xfId="33440"/>
    <cellStyle name="Input 2 2 3 2 4 19" xfId="34439"/>
    <cellStyle name="Input 2 2 3 2 4 2" xfId="4648"/>
    <cellStyle name="Input 2 2 3 2 4 2 10" xfId="24484"/>
    <cellStyle name="Input 2 2 3 2 4 2 11" xfId="25483"/>
    <cellStyle name="Input 2 2 3 2 4 2 12" xfId="28430"/>
    <cellStyle name="Input 2 2 3 2 4 2 13" xfId="29397"/>
    <cellStyle name="Input 2 2 3 2 4 2 14" xfId="30439"/>
    <cellStyle name="Input 2 2 3 2 4 2 15" xfId="31430"/>
    <cellStyle name="Input 2 2 3 2 4 2 16" xfId="32438"/>
    <cellStyle name="Input 2 2 3 2 4 2 17" xfId="33441"/>
    <cellStyle name="Input 2 2 3 2 4 2 18" xfId="34440"/>
    <cellStyle name="Input 2 2 3 2 4 2 19" xfId="36061"/>
    <cellStyle name="Input 2 2 3 2 4 2 2" xfId="16465"/>
    <cellStyle name="Input 2 2 3 2 4 2 20" xfId="37000"/>
    <cellStyle name="Input 2 2 3 2 4 2 3" xfId="17444"/>
    <cellStyle name="Input 2 2 3 2 4 2 4" xfId="18471"/>
    <cellStyle name="Input 2 2 3 2 4 2 5" xfId="19503"/>
    <cellStyle name="Input 2 2 3 2 4 2 6" xfId="20525"/>
    <cellStyle name="Input 2 2 3 2 4 2 7" xfId="21536"/>
    <cellStyle name="Input 2 2 3 2 4 2 8" xfId="22507"/>
    <cellStyle name="Input 2 2 3 2 4 2 9" xfId="23512"/>
    <cellStyle name="Input 2 2 3 2 4 20" xfId="36060"/>
    <cellStyle name="Input 2 2 3 2 4 21" xfId="36999"/>
    <cellStyle name="Input 2 2 3 2 4 3" xfId="16464"/>
    <cellStyle name="Input 2 2 3 2 4 4" xfId="17443"/>
    <cellStyle name="Input 2 2 3 2 4 5" xfId="18470"/>
    <cellStyle name="Input 2 2 3 2 4 6" xfId="19502"/>
    <cellStyle name="Input 2 2 3 2 4 7" xfId="20524"/>
    <cellStyle name="Input 2 2 3 2 4 8" xfId="21535"/>
    <cellStyle name="Input 2 2 3 2 4 9" xfId="22506"/>
    <cellStyle name="Input 2 2 3 2 5" xfId="4649"/>
    <cellStyle name="Input 2 2 3 2 5 10" xfId="24485"/>
    <cellStyle name="Input 2 2 3 2 5 11" xfId="25484"/>
    <cellStyle name="Input 2 2 3 2 5 12" xfId="28431"/>
    <cellStyle name="Input 2 2 3 2 5 13" xfId="29398"/>
    <cellStyle name="Input 2 2 3 2 5 14" xfId="30440"/>
    <cellStyle name="Input 2 2 3 2 5 15" xfId="31431"/>
    <cellStyle name="Input 2 2 3 2 5 16" xfId="32439"/>
    <cellStyle name="Input 2 2 3 2 5 17" xfId="33442"/>
    <cellStyle name="Input 2 2 3 2 5 18" xfId="34441"/>
    <cellStyle name="Input 2 2 3 2 5 19" xfId="36062"/>
    <cellStyle name="Input 2 2 3 2 5 2" xfId="16466"/>
    <cellStyle name="Input 2 2 3 2 5 20" xfId="37001"/>
    <cellStyle name="Input 2 2 3 2 5 3" xfId="17445"/>
    <cellStyle name="Input 2 2 3 2 5 4" xfId="18472"/>
    <cellStyle name="Input 2 2 3 2 5 5" xfId="19504"/>
    <cellStyle name="Input 2 2 3 2 5 6" xfId="20526"/>
    <cellStyle name="Input 2 2 3 2 5 7" xfId="21537"/>
    <cellStyle name="Input 2 2 3 2 5 8" xfId="22508"/>
    <cellStyle name="Input 2 2 3 2 5 9" xfId="23513"/>
    <cellStyle name="Input 2 2 3 2 6" xfId="13726"/>
    <cellStyle name="Input 2 2 3 2 7" xfId="14729"/>
    <cellStyle name="Input 2 2 3 2 8" xfId="15233"/>
    <cellStyle name="Input 2 2 3 2 9" xfId="15461"/>
    <cellStyle name="Input 2 2 3 20" xfId="26611"/>
    <cellStyle name="Input 2 2 3 21" xfId="27417"/>
    <cellStyle name="Input 2 2 3 22" xfId="34953"/>
    <cellStyle name="Input 2 2 3 23" xfId="35474"/>
    <cellStyle name="Input 2 2 3 3" xfId="4650"/>
    <cellStyle name="Input 2 2 3 3 10" xfId="14493"/>
    <cellStyle name="Input 2 2 3 3 11" xfId="18877"/>
    <cellStyle name="Input 2 2 3 3 12" xfId="26394"/>
    <cellStyle name="Input 2 2 3 3 13" xfId="27120"/>
    <cellStyle name="Input 2 2 3 3 14" xfId="27530"/>
    <cellStyle name="Input 2 2 3 3 15" xfId="26728"/>
    <cellStyle name="Input 2 2 3 3 16" xfId="26883"/>
    <cellStyle name="Input 2 2 3 3 17" xfId="27801"/>
    <cellStyle name="Input 2 2 3 3 18" xfId="35085"/>
    <cellStyle name="Input 2 2 3 3 19" xfId="35275"/>
    <cellStyle name="Input 2 2 3 3 2" xfId="4651"/>
    <cellStyle name="Input 2 2 3 3 2 10" xfId="23514"/>
    <cellStyle name="Input 2 2 3 3 2 11" xfId="24486"/>
    <cellStyle name="Input 2 2 3 3 2 12" xfId="25485"/>
    <cellStyle name="Input 2 2 3 3 2 13" xfId="28432"/>
    <cellStyle name="Input 2 2 3 3 2 14" xfId="29399"/>
    <cellStyle name="Input 2 2 3 3 2 15" xfId="30441"/>
    <cellStyle name="Input 2 2 3 3 2 16" xfId="31432"/>
    <cellStyle name="Input 2 2 3 3 2 17" xfId="32440"/>
    <cellStyle name="Input 2 2 3 3 2 18" xfId="33443"/>
    <cellStyle name="Input 2 2 3 3 2 19" xfId="34442"/>
    <cellStyle name="Input 2 2 3 3 2 2" xfId="4652"/>
    <cellStyle name="Input 2 2 3 3 2 2 10" xfId="24487"/>
    <cellStyle name="Input 2 2 3 3 2 2 11" xfId="25486"/>
    <cellStyle name="Input 2 2 3 3 2 2 12" xfId="28433"/>
    <cellStyle name="Input 2 2 3 3 2 2 13" xfId="29400"/>
    <cellStyle name="Input 2 2 3 3 2 2 14" xfId="30442"/>
    <cellStyle name="Input 2 2 3 3 2 2 15" xfId="31433"/>
    <cellStyle name="Input 2 2 3 3 2 2 16" xfId="32441"/>
    <cellStyle name="Input 2 2 3 3 2 2 17" xfId="33444"/>
    <cellStyle name="Input 2 2 3 3 2 2 18" xfId="34443"/>
    <cellStyle name="Input 2 2 3 3 2 2 19" xfId="36064"/>
    <cellStyle name="Input 2 2 3 3 2 2 2" xfId="16468"/>
    <cellStyle name="Input 2 2 3 3 2 2 20" xfId="37003"/>
    <cellStyle name="Input 2 2 3 3 2 2 3" xfId="17447"/>
    <cellStyle name="Input 2 2 3 3 2 2 4" xfId="18474"/>
    <cellStyle name="Input 2 2 3 3 2 2 5" xfId="19506"/>
    <cellStyle name="Input 2 2 3 3 2 2 6" xfId="20528"/>
    <cellStyle name="Input 2 2 3 3 2 2 7" xfId="21539"/>
    <cellStyle name="Input 2 2 3 3 2 2 8" xfId="22510"/>
    <cellStyle name="Input 2 2 3 3 2 2 9" xfId="23515"/>
    <cellStyle name="Input 2 2 3 3 2 20" xfId="36063"/>
    <cellStyle name="Input 2 2 3 3 2 21" xfId="37002"/>
    <cellStyle name="Input 2 2 3 3 2 3" xfId="16467"/>
    <cellStyle name="Input 2 2 3 3 2 4" xfId="17446"/>
    <cellStyle name="Input 2 2 3 3 2 5" xfId="18473"/>
    <cellStyle name="Input 2 2 3 3 2 6" xfId="19505"/>
    <cellStyle name="Input 2 2 3 3 2 7" xfId="20527"/>
    <cellStyle name="Input 2 2 3 3 2 8" xfId="21538"/>
    <cellStyle name="Input 2 2 3 3 2 9" xfId="22509"/>
    <cellStyle name="Input 2 2 3 3 3" xfId="4653"/>
    <cellStyle name="Input 2 2 3 3 3 10" xfId="23516"/>
    <cellStyle name="Input 2 2 3 3 3 11" xfId="24488"/>
    <cellStyle name="Input 2 2 3 3 3 12" xfId="25487"/>
    <cellStyle name="Input 2 2 3 3 3 13" xfId="28434"/>
    <cellStyle name="Input 2 2 3 3 3 14" xfId="29401"/>
    <cellStyle name="Input 2 2 3 3 3 15" xfId="30443"/>
    <cellStyle name="Input 2 2 3 3 3 16" xfId="31434"/>
    <cellStyle name="Input 2 2 3 3 3 17" xfId="32442"/>
    <cellStyle name="Input 2 2 3 3 3 18" xfId="33445"/>
    <cellStyle name="Input 2 2 3 3 3 19" xfId="34444"/>
    <cellStyle name="Input 2 2 3 3 3 2" xfId="4654"/>
    <cellStyle name="Input 2 2 3 3 3 2 10" xfId="24489"/>
    <cellStyle name="Input 2 2 3 3 3 2 11" xfId="25488"/>
    <cellStyle name="Input 2 2 3 3 3 2 12" xfId="28435"/>
    <cellStyle name="Input 2 2 3 3 3 2 13" xfId="29402"/>
    <cellStyle name="Input 2 2 3 3 3 2 14" xfId="30444"/>
    <cellStyle name="Input 2 2 3 3 3 2 15" xfId="31435"/>
    <cellStyle name="Input 2 2 3 3 3 2 16" xfId="32443"/>
    <cellStyle name="Input 2 2 3 3 3 2 17" xfId="33446"/>
    <cellStyle name="Input 2 2 3 3 3 2 18" xfId="34445"/>
    <cellStyle name="Input 2 2 3 3 3 2 19" xfId="36066"/>
    <cellStyle name="Input 2 2 3 3 3 2 2" xfId="16470"/>
    <cellStyle name="Input 2 2 3 3 3 2 20" xfId="37005"/>
    <cellStyle name="Input 2 2 3 3 3 2 3" xfId="17449"/>
    <cellStyle name="Input 2 2 3 3 3 2 4" xfId="18476"/>
    <cellStyle name="Input 2 2 3 3 3 2 5" xfId="19508"/>
    <cellStyle name="Input 2 2 3 3 3 2 6" xfId="20530"/>
    <cellStyle name="Input 2 2 3 3 3 2 7" xfId="21541"/>
    <cellStyle name="Input 2 2 3 3 3 2 8" xfId="22512"/>
    <cellStyle name="Input 2 2 3 3 3 2 9" xfId="23517"/>
    <cellStyle name="Input 2 2 3 3 3 20" xfId="36065"/>
    <cellStyle name="Input 2 2 3 3 3 21" xfId="37004"/>
    <cellStyle name="Input 2 2 3 3 3 3" xfId="16469"/>
    <cellStyle name="Input 2 2 3 3 3 4" xfId="17448"/>
    <cellStyle name="Input 2 2 3 3 3 5" xfId="18475"/>
    <cellStyle name="Input 2 2 3 3 3 6" xfId="19507"/>
    <cellStyle name="Input 2 2 3 3 3 7" xfId="20529"/>
    <cellStyle name="Input 2 2 3 3 3 8" xfId="21540"/>
    <cellStyle name="Input 2 2 3 3 3 9" xfId="22511"/>
    <cellStyle name="Input 2 2 3 3 4" xfId="4655"/>
    <cellStyle name="Input 2 2 3 3 4 10" xfId="23518"/>
    <cellStyle name="Input 2 2 3 3 4 11" xfId="24490"/>
    <cellStyle name="Input 2 2 3 3 4 12" xfId="25489"/>
    <cellStyle name="Input 2 2 3 3 4 13" xfId="28436"/>
    <cellStyle name="Input 2 2 3 3 4 14" xfId="29403"/>
    <cellStyle name="Input 2 2 3 3 4 15" xfId="30445"/>
    <cellStyle name="Input 2 2 3 3 4 16" xfId="31436"/>
    <cellStyle name="Input 2 2 3 3 4 17" xfId="32444"/>
    <cellStyle name="Input 2 2 3 3 4 18" xfId="33447"/>
    <cellStyle name="Input 2 2 3 3 4 19" xfId="34446"/>
    <cellStyle name="Input 2 2 3 3 4 2" xfId="4656"/>
    <cellStyle name="Input 2 2 3 3 4 2 10" xfId="24491"/>
    <cellStyle name="Input 2 2 3 3 4 2 11" xfId="25490"/>
    <cellStyle name="Input 2 2 3 3 4 2 12" xfId="28437"/>
    <cellStyle name="Input 2 2 3 3 4 2 13" xfId="29404"/>
    <cellStyle name="Input 2 2 3 3 4 2 14" xfId="30446"/>
    <cellStyle name="Input 2 2 3 3 4 2 15" xfId="31437"/>
    <cellStyle name="Input 2 2 3 3 4 2 16" xfId="32445"/>
    <cellStyle name="Input 2 2 3 3 4 2 17" xfId="33448"/>
    <cellStyle name="Input 2 2 3 3 4 2 18" xfId="34447"/>
    <cellStyle name="Input 2 2 3 3 4 2 19" xfId="36068"/>
    <cellStyle name="Input 2 2 3 3 4 2 2" xfId="16472"/>
    <cellStyle name="Input 2 2 3 3 4 2 20" xfId="37007"/>
    <cellStyle name="Input 2 2 3 3 4 2 3" xfId="17451"/>
    <cellStyle name="Input 2 2 3 3 4 2 4" xfId="18478"/>
    <cellStyle name="Input 2 2 3 3 4 2 5" xfId="19510"/>
    <cellStyle name="Input 2 2 3 3 4 2 6" xfId="20532"/>
    <cellStyle name="Input 2 2 3 3 4 2 7" xfId="21543"/>
    <cellStyle name="Input 2 2 3 3 4 2 8" xfId="22514"/>
    <cellStyle name="Input 2 2 3 3 4 2 9" xfId="23519"/>
    <cellStyle name="Input 2 2 3 3 4 20" xfId="36067"/>
    <cellStyle name="Input 2 2 3 3 4 21" xfId="37006"/>
    <cellStyle name="Input 2 2 3 3 4 3" xfId="16471"/>
    <cellStyle name="Input 2 2 3 3 4 4" xfId="17450"/>
    <cellStyle name="Input 2 2 3 3 4 5" xfId="18477"/>
    <cellStyle name="Input 2 2 3 3 4 6" xfId="19509"/>
    <cellStyle name="Input 2 2 3 3 4 7" xfId="20531"/>
    <cellStyle name="Input 2 2 3 3 4 8" xfId="21542"/>
    <cellStyle name="Input 2 2 3 3 4 9" xfId="22513"/>
    <cellStyle name="Input 2 2 3 3 5" xfId="4657"/>
    <cellStyle name="Input 2 2 3 3 5 10" xfId="24492"/>
    <cellStyle name="Input 2 2 3 3 5 11" xfId="25491"/>
    <cellStyle name="Input 2 2 3 3 5 12" xfId="28438"/>
    <cellStyle name="Input 2 2 3 3 5 13" xfId="29405"/>
    <cellStyle name="Input 2 2 3 3 5 14" xfId="30447"/>
    <cellStyle name="Input 2 2 3 3 5 15" xfId="31438"/>
    <cellStyle name="Input 2 2 3 3 5 16" xfId="32446"/>
    <cellStyle name="Input 2 2 3 3 5 17" xfId="33449"/>
    <cellStyle name="Input 2 2 3 3 5 18" xfId="34448"/>
    <cellStyle name="Input 2 2 3 3 5 19" xfId="36069"/>
    <cellStyle name="Input 2 2 3 3 5 2" xfId="16473"/>
    <cellStyle name="Input 2 2 3 3 5 20" xfId="37008"/>
    <cellStyle name="Input 2 2 3 3 5 3" xfId="17452"/>
    <cellStyle name="Input 2 2 3 3 5 4" xfId="18479"/>
    <cellStyle name="Input 2 2 3 3 5 5" xfId="19511"/>
    <cellStyle name="Input 2 2 3 3 5 6" xfId="20533"/>
    <cellStyle name="Input 2 2 3 3 5 7" xfId="21544"/>
    <cellStyle name="Input 2 2 3 3 5 8" xfId="22515"/>
    <cellStyle name="Input 2 2 3 3 5 9" xfId="23520"/>
    <cellStyle name="Input 2 2 3 3 6" xfId="14052"/>
    <cellStyle name="Input 2 2 3 3 7" xfId="15771"/>
    <cellStyle name="Input 2 2 3 3 8" xfId="15505"/>
    <cellStyle name="Input 2 2 3 3 9" xfId="13529"/>
    <cellStyle name="Input 2 2 3 4" xfId="4658"/>
    <cellStyle name="Input 2 2 3 4 10" xfId="15299"/>
    <cellStyle name="Input 2 2 3 4 11" xfId="14487"/>
    <cellStyle name="Input 2 2 3 4 12" xfId="26354"/>
    <cellStyle name="Input 2 2 3 4 13" xfId="26040"/>
    <cellStyle name="Input 2 2 3 4 14" xfId="27844"/>
    <cellStyle name="Input 2 2 3 4 15" xfId="30338"/>
    <cellStyle name="Input 2 2 3 4 16" xfId="27609"/>
    <cellStyle name="Input 2 2 3 4 17" xfId="27385"/>
    <cellStyle name="Input 2 2 3 4 18" xfId="35046"/>
    <cellStyle name="Input 2 2 3 4 19" xfId="35438"/>
    <cellStyle name="Input 2 2 3 4 2" xfId="4659"/>
    <cellStyle name="Input 2 2 3 4 2 10" xfId="23521"/>
    <cellStyle name="Input 2 2 3 4 2 11" xfId="24493"/>
    <cellStyle name="Input 2 2 3 4 2 12" xfId="25492"/>
    <cellStyle name="Input 2 2 3 4 2 13" xfId="28439"/>
    <cellStyle name="Input 2 2 3 4 2 14" xfId="29406"/>
    <cellStyle name="Input 2 2 3 4 2 15" xfId="30448"/>
    <cellStyle name="Input 2 2 3 4 2 16" xfId="31439"/>
    <cellStyle name="Input 2 2 3 4 2 17" xfId="32447"/>
    <cellStyle name="Input 2 2 3 4 2 18" xfId="33450"/>
    <cellStyle name="Input 2 2 3 4 2 19" xfId="34449"/>
    <cellStyle name="Input 2 2 3 4 2 2" xfId="4660"/>
    <cellStyle name="Input 2 2 3 4 2 2 10" xfId="24494"/>
    <cellStyle name="Input 2 2 3 4 2 2 11" xfId="25493"/>
    <cellStyle name="Input 2 2 3 4 2 2 12" xfId="28440"/>
    <cellStyle name="Input 2 2 3 4 2 2 13" xfId="29407"/>
    <cellStyle name="Input 2 2 3 4 2 2 14" xfId="30449"/>
    <cellStyle name="Input 2 2 3 4 2 2 15" xfId="31440"/>
    <cellStyle name="Input 2 2 3 4 2 2 16" xfId="32448"/>
    <cellStyle name="Input 2 2 3 4 2 2 17" xfId="33451"/>
    <cellStyle name="Input 2 2 3 4 2 2 18" xfId="34450"/>
    <cellStyle name="Input 2 2 3 4 2 2 19" xfId="36071"/>
    <cellStyle name="Input 2 2 3 4 2 2 2" xfId="16475"/>
    <cellStyle name="Input 2 2 3 4 2 2 20" xfId="37010"/>
    <cellStyle name="Input 2 2 3 4 2 2 3" xfId="17454"/>
    <cellStyle name="Input 2 2 3 4 2 2 4" xfId="18481"/>
    <cellStyle name="Input 2 2 3 4 2 2 5" xfId="19513"/>
    <cellStyle name="Input 2 2 3 4 2 2 6" xfId="20535"/>
    <cellStyle name="Input 2 2 3 4 2 2 7" xfId="21546"/>
    <cellStyle name="Input 2 2 3 4 2 2 8" xfId="22517"/>
    <cellStyle name="Input 2 2 3 4 2 2 9" xfId="23522"/>
    <cellStyle name="Input 2 2 3 4 2 20" xfId="36070"/>
    <cellStyle name="Input 2 2 3 4 2 21" xfId="37009"/>
    <cellStyle name="Input 2 2 3 4 2 3" xfId="16474"/>
    <cellStyle name="Input 2 2 3 4 2 4" xfId="17453"/>
    <cellStyle name="Input 2 2 3 4 2 5" xfId="18480"/>
    <cellStyle name="Input 2 2 3 4 2 6" xfId="19512"/>
    <cellStyle name="Input 2 2 3 4 2 7" xfId="20534"/>
    <cellStyle name="Input 2 2 3 4 2 8" xfId="21545"/>
    <cellStyle name="Input 2 2 3 4 2 9" xfId="22516"/>
    <cellStyle name="Input 2 2 3 4 3" xfId="4661"/>
    <cellStyle name="Input 2 2 3 4 3 10" xfId="23523"/>
    <cellStyle name="Input 2 2 3 4 3 11" xfId="24495"/>
    <cellStyle name="Input 2 2 3 4 3 12" xfId="25494"/>
    <cellStyle name="Input 2 2 3 4 3 13" xfId="28441"/>
    <cellStyle name="Input 2 2 3 4 3 14" xfId="29408"/>
    <cellStyle name="Input 2 2 3 4 3 15" xfId="30450"/>
    <cellStyle name="Input 2 2 3 4 3 16" xfId="31441"/>
    <cellStyle name="Input 2 2 3 4 3 17" xfId="32449"/>
    <cellStyle name="Input 2 2 3 4 3 18" xfId="33452"/>
    <cellStyle name="Input 2 2 3 4 3 19" xfId="34451"/>
    <cellStyle name="Input 2 2 3 4 3 2" xfId="4662"/>
    <cellStyle name="Input 2 2 3 4 3 2 10" xfId="24496"/>
    <cellStyle name="Input 2 2 3 4 3 2 11" xfId="25495"/>
    <cellStyle name="Input 2 2 3 4 3 2 12" xfId="28442"/>
    <cellStyle name="Input 2 2 3 4 3 2 13" xfId="29409"/>
    <cellStyle name="Input 2 2 3 4 3 2 14" xfId="30451"/>
    <cellStyle name="Input 2 2 3 4 3 2 15" xfId="31442"/>
    <cellStyle name="Input 2 2 3 4 3 2 16" xfId="32450"/>
    <cellStyle name="Input 2 2 3 4 3 2 17" xfId="33453"/>
    <cellStyle name="Input 2 2 3 4 3 2 18" xfId="34452"/>
    <cellStyle name="Input 2 2 3 4 3 2 19" xfId="36073"/>
    <cellStyle name="Input 2 2 3 4 3 2 2" xfId="16477"/>
    <cellStyle name="Input 2 2 3 4 3 2 20" xfId="37012"/>
    <cellStyle name="Input 2 2 3 4 3 2 3" xfId="17456"/>
    <cellStyle name="Input 2 2 3 4 3 2 4" xfId="18483"/>
    <cellStyle name="Input 2 2 3 4 3 2 5" xfId="19515"/>
    <cellStyle name="Input 2 2 3 4 3 2 6" xfId="20537"/>
    <cellStyle name="Input 2 2 3 4 3 2 7" xfId="21548"/>
    <cellStyle name="Input 2 2 3 4 3 2 8" xfId="22519"/>
    <cellStyle name="Input 2 2 3 4 3 2 9" xfId="23524"/>
    <cellStyle name="Input 2 2 3 4 3 20" xfId="36072"/>
    <cellStyle name="Input 2 2 3 4 3 21" xfId="37011"/>
    <cellStyle name="Input 2 2 3 4 3 3" xfId="16476"/>
    <cellStyle name="Input 2 2 3 4 3 4" xfId="17455"/>
    <cellStyle name="Input 2 2 3 4 3 5" xfId="18482"/>
    <cellStyle name="Input 2 2 3 4 3 6" xfId="19514"/>
    <cellStyle name="Input 2 2 3 4 3 7" xfId="20536"/>
    <cellStyle name="Input 2 2 3 4 3 8" xfId="21547"/>
    <cellStyle name="Input 2 2 3 4 3 9" xfId="22518"/>
    <cellStyle name="Input 2 2 3 4 4" xfId="4663"/>
    <cellStyle name="Input 2 2 3 4 4 10" xfId="23525"/>
    <cellStyle name="Input 2 2 3 4 4 11" xfId="24497"/>
    <cellStyle name="Input 2 2 3 4 4 12" xfId="25496"/>
    <cellStyle name="Input 2 2 3 4 4 13" xfId="28443"/>
    <cellStyle name="Input 2 2 3 4 4 14" xfId="29410"/>
    <cellStyle name="Input 2 2 3 4 4 15" xfId="30452"/>
    <cellStyle name="Input 2 2 3 4 4 16" xfId="31443"/>
    <cellStyle name="Input 2 2 3 4 4 17" xfId="32451"/>
    <cellStyle name="Input 2 2 3 4 4 18" xfId="33454"/>
    <cellStyle name="Input 2 2 3 4 4 19" xfId="34453"/>
    <cellStyle name="Input 2 2 3 4 4 2" xfId="4664"/>
    <cellStyle name="Input 2 2 3 4 4 2 10" xfId="24498"/>
    <cellStyle name="Input 2 2 3 4 4 2 11" xfId="25497"/>
    <cellStyle name="Input 2 2 3 4 4 2 12" xfId="28444"/>
    <cellStyle name="Input 2 2 3 4 4 2 13" xfId="29411"/>
    <cellStyle name="Input 2 2 3 4 4 2 14" xfId="30453"/>
    <cellStyle name="Input 2 2 3 4 4 2 15" xfId="31444"/>
    <cellStyle name="Input 2 2 3 4 4 2 16" xfId="32452"/>
    <cellStyle name="Input 2 2 3 4 4 2 17" xfId="33455"/>
    <cellStyle name="Input 2 2 3 4 4 2 18" xfId="34454"/>
    <cellStyle name="Input 2 2 3 4 4 2 19" xfId="36075"/>
    <cellStyle name="Input 2 2 3 4 4 2 2" xfId="16479"/>
    <cellStyle name="Input 2 2 3 4 4 2 20" xfId="37014"/>
    <cellStyle name="Input 2 2 3 4 4 2 3" xfId="17458"/>
    <cellStyle name="Input 2 2 3 4 4 2 4" xfId="18485"/>
    <cellStyle name="Input 2 2 3 4 4 2 5" xfId="19517"/>
    <cellStyle name="Input 2 2 3 4 4 2 6" xfId="20539"/>
    <cellStyle name="Input 2 2 3 4 4 2 7" xfId="21550"/>
    <cellStyle name="Input 2 2 3 4 4 2 8" xfId="22521"/>
    <cellStyle name="Input 2 2 3 4 4 2 9" xfId="23526"/>
    <cellStyle name="Input 2 2 3 4 4 20" xfId="36074"/>
    <cellStyle name="Input 2 2 3 4 4 21" xfId="37013"/>
    <cellStyle name="Input 2 2 3 4 4 3" xfId="16478"/>
    <cellStyle name="Input 2 2 3 4 4 4" xfId="17457"/>
    <cellStyle name="Input 2 2 3 4 4 5" xfId="18484"/>
    <cellStyle name="Input 2 2 3 4 4 6" xfId="19516"/>
    <cellStyle name="Input 2 2 3 4 4 7" xfId="20538"/>
    <cellStyle name="Input 2 2 3 4 4 8" xfId="21549"/>
    <cellStyle name="Input 2 2 3 4 4 9" xfId="22520"/>
    <cellStyle name="Input 2 2 3 4 5" xfId="4665"/>
    <cellStyle name="Input 2 2 3 4 5 10" xfId="24499"/>
    <cellStyle name="Input 2 2 3 4 5 11" xfId="25498"/>
    <cellStyle name="Input 2 2 3 4 5 12" xfId="28445"/>
    <cellStyle name="Input 2 2 3 4 5 13" xfId="29412"/>
    <cellStyle name="Input 2 2 3 4 5 14" xfId="30454"/>
    <cellStyle name="Input 2 2 3 4 5 15" xfId="31445"/>
    <cellStyle name="Input 2 2 3 4 5 16" xfId="32453"/>
    <cellStyle name="Input 2 2 3 4 5 17" xfId="33456"/>
    <cellStyle name="Input 2 2 3 4 5 18" xfId="34455"/>
    <cellStyle name="Input 2 2 3 4 5 19" xfId="36076"/>
    <cellStyle name="Input 2 2 3 4 5 2" xfId="16480"/>
    <cellStyle name="Input 2 2 3 4 5 20" xfId="37015"/>
    <cellStyle name="Input 2 2 3 4 5 3" xfId="17459"/>
    <cellStyle name="Input 2 2 3 4 5 4" xfId="18486"/>
    <cellStyle name="Input 2 2 3 4 5 5" xfId="19518"/>
    <cellStyle name="Input 2 2 3 4 5 6" xfId="20540"/>
    <cellStyle name="Input 2 2 3 4 5 7" xfId="21551"/>
    <cellStyle name="Input 2 2 3 4 5 8" xfId="22522"/>
    <cellStyle name="Input 2 2 3 4 5 9" xfId="23527"/>
    <cellStyle name="Input 2 2 3 4 6" xfId="13487"/>
    <cellStyle name="Input 2 2 3 4 7" xfId="13508"/>
    <cellStyle name="Input 2 2 3 4 8" xfId="15780"/>
    <cellStyle name="Input 2 2 3 4 9" xfId="15183"/>
    <cellStyle name="Input 2 2 3 5" xfId="4666"/>
    <cellStyle name="Input 2 2 3 5 10" xfId="18914"/>
    <cellStyle name="Input 2 2 3 5 11" xfId="15037"/>
    <cellStyle name="Input 2 2 3 5 12" xfId="26439"/>
    <cellStyle name="Input 2 2 3 5 13" xfId="27685"/>
    <cellStyle name="Input 2 2 3 5 14" xfId="26160"/>
    <cellStyle name="Input 2 2 3 5 15" xfId="27042"/>
    <cellStyle name="Input 2 2 3 5 16" xfId="26938"/>
    <cellStyle name="Input 2 2 3 5 17" xfId="27344"/>
    <cellStyle name="Input 2 2 3 5 18" xfId="35123"/>
    <cellStyle name="Input 2 2 3 5 19" xfId="35409"/>
    <cellStyle name="Input 2 2 3 5 2" xfId="4667"/>
    <cellStyle name="Input 2 2 3 5 2 10" xfId="23528"/>
    <cellStyle name="Input 2 2 3 5 2 11" xfId="24500"/>
    <cellStyle name="Input 2 2 3 5 2 12" xfId="25499"/>
    <cellStyle name="Input 2 2 3 5 2 13" xfId="28446"/>
    <cellStyle name="Input 2 2 3 5 2 14" xfId="29413"/>
    <cellStyle name="Input 2 2 3 5 2 15" xfId="30455"/>
    <cellStyle name="Input 2 2 3 5 2 16" xfId="31446"/>
    <cellStyle name="Input 2 2 3 5 2 17" xfId="32454"/>
    <cellStyle name="Input 2 2 3 5 2 18" xfId="33457"/>
    <cellStyle name="Input 2 2 3 5 2 19" xfId="34456"/>
    <cellStyle name="Input 2 2 3 5 2 2" xfId="4668"/>
    <cellStyle name="Input 2 2 3 5 2 2 10" xfId="24501"/>
    <cellStyle name="Input 2 2 3 5 2 2 11" xfId="25500"/>
    <cellStyle name="Input 2 2 3 5 2 2 12" xfId="28447"/>
    <cellStyle name="Input 2 2 3 5 2 2 13" xfId="29414"/>
    <cellStyle name="Input 2 2 3 5 2 2 14" xfId="30456"/>
    <cellStyle name="Input 2 2 3 5 2 2 15" xfId="31447"/>
    <cellStyle name="Input 2 2 3 5 2 2 16" xfId="32455"/>
    <cellStyle name="Input 2 2 3 5 2 2 17" xfId="33458"/>
    <cellStyle name="Input 2 2 3 5 2 2 18" xfId="34457"/>
    <cellStyle name="Input 2 2 3 5 2 2 19" xfId="36078"/>
    <cellStyle name="Input 2 2 3 5 2 2 2" xfId="16482"/>
    <cellStyle name="Input 2 2 3 5 2 2 20" xfId="37017"/>
    <cellStyle name="Input 2 2 3 5 2 2 3" xfId="17461"/>
    <cellStyle name="Input 2 2 3 5 2 2 4" xfId="18488"/>
    <cellStyle name="Input 2 2 3 5 2 2 5" xfId="19520"/>
    <cellStyle name="Input 2 2 3 5 2 2 6" xfId="20542"/>
    <cellStyle name="Input 2 2 3 5 2 2 7" xfId="21553"/>
    <cellStyle name="Input 2 2 3 5 2 2 8" xfId="22524"/>
    <cellStyle name="Input 2 2 3 5 2 2 9" xfId="23529"/>
    <cellStyle name="Input 2 2 3 5 2 20" xfId="36077"/>
    <cellStyle name="Input 2 2 3 5 2 21" xfId="37016"/>
    <cellStyle name="Input 2 2 3 5 2 3" xfId="16481"/>
    <cellStyle name="Input 2 2 3 5 2 4" xfId="17460"/>
    <cellStyle name="Input 2 2 3 5 2 5" xfId="18487"/>
    <cellStyle name="Input 2 2 3 5 2 6" xfId="19519"/>
    <cellStyle name="Input 2 2 3 5 2 7" xfId="20541"/>
    <cellStyle name="Input 2 2 3 5 2 8" xfId="21552"/>
    <cellStyle name="Input 2 2 3 5 2 9" xfId="22523"/>
    <cellStyle name="Input 2 2 3 5 3" xfId="4669"/>
    <cellStyle name="Input 2 2 3 5 3 10" xfId="23530"/>
    <cellStyle name="Input 2 2 3 5 3 11" xfId="24502"/>
    <cellStyle name="Input 2 2 3 5 3 12" xfId="25501"/>
    <cellStyle name="Input 2 2 3 5 3 13" xfId="28448"/>
    <cellStyle name="Input 2 2 3 5 3 14" xfId="29415"/>
    <cellStyle name="Input 2 2 3 5 3 15" xfId="30457"/>
    <cellStyle name="Input 2 2 3 5 3 16" xfId="31448"/>
    <cellStyle name="Input 2 2 3 5 3 17" xfId="32456"/>
    <cellStyle name="Input 2 2 3 5 3 18" xfId="33459"/>
    <cellStyle name="Input 2 2 3 5 3 19" xfId="34458"/>
    <cellStyle name="Input 2 2 3 5 3 2" xfId="4670"/>
    <cellStyle name="Input 2 2 3 5 3 2 10" xfId="24503"/>
    <cellStyle name="Input 2 2 3 5 3 2 11" xfId="25502"/>
    <cellStyle name="Input 2 2 3 5 3 2 12" xfId="28449"/>
    <cellStyle name="Input 2 2 3 5 3 2 13" xfId="29416"/>
    <cellStyle name="Input 2 2 3 5 3 2 14" xfId="30458"/>
    <cellStyle name="Input 2 2 3 5 3 2 15" xfId="31449"/>
    <cellStyle name="Input 2 2 3 5 3 2 16" xfId="32457"/>
    <cellStyle name="Input 2 2 3 5 3 2 17" xfId="33460"/>
    <cellStyle name="Input 2 2 3 5 3 2 18" xfId="34459"/>
    <cellStyle name="Input 2 2 3 5 3 2 19" xfId="36080"/>
    <cellStyle name="Input 2 2 3 5 3 2 2" xfId="16484"/>
    <cellStyle name="Input 2 2 3 5 3 2 20" xfId="37019"/>
    <cellStyle name="Input 2 2 3 5 3 2 3" xfId="17463"/>
    <cellStyle name="Input 2 2 3 5 3 2 4" xfId="18490"/>
    <cellStyle name="Input 2 2 3 5 3 2 5" xfId="19522"/>
    <cellStyle name="Input 2 2 3 5 3 2 6" xfId="20544"/>
    <cellStyle name="Input 2 2 3 5 3 2 7" xfId="21555"/>
    <cellStyle name="Input 2 2 3 5 3 2 8" xfId="22526"/>
    <cellStyle name="Input 2 2 3 5 3 2 9" xfId="23531"/>
    <cellStyle name="Input 2 2 3 5 3 20" xfId="36079"/>
    <cellStyle name="Input 2 2 3 5 3 21" xfId="37018"/>
    <cellStyle name="Input 2 2 3 5 3 3" xfId="16483"/>
    <cellStyle name="Input 2 2 3 5 3 4" xfId="17462"/>
    <cellStyle name="Input 2 2 3 5 3 5" xfId="18489"/>
    <cellStyle name="Input 2 2 3 5 3 6" xfId="19521"/>
    <cellStyle name="Input 2 2 3 5 3 7" xfId="20543"/>
    <cellStyle name="Input 2 2 3 5 3 8" xfId="21554"/>
    <cellStyle name="Input 2 2 3 5 3 9" xfId="22525"/>
    <cellStyle name="Input 2 2 3 5 4" xfId="4671"/>
    <cellStyle name="Input 2 2 3 5 4 10" xfId="23532"/>
    <cellStyle name="Input 2 2 3 5 4 11" xfId="24504"/>
    <cellStyle name="Input 2 2 3 5 4 12" xfId="25503"/>
    <cellStyle name="Input 2 2 3 5 4 13" xfId="28450"/>
    <cellStyle name="Input 2 2 3 5 4 14" xfId="29417"/>
    <cellStyle name="Input 2 2 3 5 4 15" xfId="30459"/>
    <cellStyle name="Input 2 2 3 5 4 16" xfId="31450"/>
    <cellStyle name="Input 2 2 3 5 4 17" xfId="32458"/>
    <cellStyle name="Input 2 2 3 5 4 18" xfId="33461"/>
    <cellStyle name="Input 2 2 3 5 4 19" xfId="34460"/>
    <cellStyle name="Input 2 2 3 5 4 2" xfId="4672"/>
    <cellStyle name="Input 2 2 3 5 4 2 10" xfId="24505"/>
    <cellStyle name="Input 2 2 3 5 4 2 11" xfId="25504"/>
    <cellStyle name="Input 2 2 3 5 4 2 12" xfId="28451"/>
    <cellStyle name="Input 2 2 3 5 4 2 13" xfId="29418"/>
    <cellStyle name="Input 2 2 3 5 4 2 14" xfId="30460"/>
    <cellStyle name="Input 2 2 3 5 4 2 15" xfId="31451"/>
    <cellStyle name="Input 2 2 3 5 4 2 16" xfId="32459"/>
    <cellStyle name="Input 2 2 3 5 4 2 17" xfId="33462"/>
    <cellStyle name="Input 2 2 3 5 4 2 18" xfId="34461"/>
    <cellStyle name="Input 2 2 3 5 4 2 19" xfId="36082"/>
    <cellStyle name="Input 2 2 3 5 4 2 2" xfId="16486"/>
    <cellStyle name="Input 2 2 3 5 4 2 20" xfId="37021"/>
    <cellStyle name="Input 2 2 3 5 4 2 3" xfId="17465"/>
    <cellStyle name="Input 2 2 3 5 4 2 4" xfId="18492"/>
    <cellStyle name="Input 2 2 3 5 4 2 5" xfId="19524"/>
    <cellStyle name="Input 2 2 3 5 4 2 6" xfId="20546"/>
    <cellStyle name="Input 2 2 3 5 4 2 7" xfId="21557"/>
    <cellStyle name="Input 2 2 3 5 4 2 8" xfId="22528"/>
    <cellStyle name="Input 2 2 3 5 4 2 9" xfId="23533"/>
    <cellStyle name="Input 2 2 3 5 4 20" xfId="36081"/>
    <cellStyle name="Input 2 2 3 5 4 21" xfId="37020"/>
    <cellStyle name="Input 2 2 3 5 4 3" xfId="16485"/>
    <cellStyle name="Input 2 2 3 5 4 4" xfId="17464"/>
    <cellStyle name="Input 2 2 3 5 4 5" xfId="18491"/>
    <cellStyle name="Input 2 2 3 5 4 6" xfId="19523"/>
    <cellStyle name="Input 2 2 3 5 4 7" xfId="20545"/>
    <cellStyle name="Input 2 2 3 5 4 8" xfId="21556"/>
    <cellStyle name="Input 2 2 3 5 4 9" xfId="22527"/>
    <cellStyle name="Input 2 2 3 5 5" xfId="4673"/>
    <cellStyle name="Input 2 2 3 5 5 10" xfId="24506"/>
    <cellStyle name="Input 2 2 3 5 5 11" xfId="25505"/>
    <cellStyle name="Input 2 2 3 5 5 12" xfId="28452"/>
    <cellStyle name="Input 2 2 3 5 5 13" xfId="29419"/>
    <cellStyle name="Input 2 2 3 5 5 14" xfId="30461"/>
    <cellStyle name="Input 2 2 3 5 5 15" xfId="31452"/>
    <cellStyle name="Input 2 2 3 5 5 16" xfId="32460"/>
    <cellStyle name="Input 2 2 3 5 5 17" xfId="33463"/>
    <cellStyle name="Input 2 2 3 5 5 18" xfId="34462"/>
    <cellStyle name="Input 2 2 3 5 5 19" xfId="36083"/>
    <cellStyle name="Input 2 2 3 5 5 2" xfId="16487"/>
    <cellStyle name="Input 2 2 3 5 5 20" xfId="37022"/>
    <cellStyle name="Input 2 2 3 5 5 3" xfId="17466"/>
    <cellStyle name="Input 2 2 3 5 5 4" xfId="18493"/>
    <cellStyle name="Input 2 2 3 5 5 5" xfId="19525"/>
    <cellStyle name="Input 2 2 3 5 5 6" xfId="20547"/>
    <cellStyle name="Input 2 2 3 5 5 7" xfId="21558"/>
    <cellStyle name="Input 2 2 3 5 5 8" xfId="22529"/>
    <cellStyle name="Input 2 2 3 5 5 9" xfId="23534"/>
    <cellStyle name="Input 2 2 3 5 6" xfId="13552"/>
    <cellStyle name="Input 2 2 3 5 7" xfId="17823"/>
    <cellStyle name="Input 2 2 3 5 8" xfId="15652"/>
    <cellStyle name="Input 2 2 3 5 9" xfId="15724"/>
    <cellStyle name="Input 2 2 3 6" xfId="4674"/>
    <cellStyle name="Input 2 2 3 6 10" xfId="23535"/>
    <cellStyle name="Input 2 2 3 6 11" xfId="24507"/>
    <cellStyle name="Input 2 2 3 6 12" xfId="25506"/>
    <cellStyle name="Input 2 2 3 6 13" xfId="28453"/>
    <cellStyle name="Input 2 2 3 6 14" xfId="29420"/>
    <cellStyle name="Input 2 2 3 6 15" xfId="30462"/>
    <cellStyle name="Input 2 2 3 6 16" xfId="31453"/>
    <cellStyle name="Input 2 2 3 6 17" xfId="32461"/>
    <cellStyle name="Input 2 2 3 6 18" xfId="33464"/>
    <cellStyle name="Input 2 2 3 6 19" xfId="34463"/>
    <cellStyle name="Input 2 2 3 6 2" xfId="4675"/>
    <cellStyle name="Input 2 2 3 6 2 10" xfId="24508"/>
    <cellStyle name="Input 2 2 3 6 2 11" xfId="25507"/>
    <cellStyle name="Input 2 2 3 6 2 12" xfId="28454"/>
    <cellStyle name="Input 2 2 3 6 2 13" xfId="29421"/>
    <cellStyle name="Input 2 2 3 6 2 14" xfId="30463"/>
    <cellStyle name="Input 2 2 3 6 2 15" xfId="31454"/>
    <cellStyle name="Input 2 2 3 6 2 16" xfId="32462"/>
    <cellStyle name="Input 2 2 3 6 2 17" xfId="33465"/>
    <cellStyle name="Input 2 2 3 6 2 18" xfId="34464"/>
    <cellStyle name="Input 2 2 3 6 2 19" xfId="36085"/>
    <cellStyle name="Input 2 2 3 6 2 2" xfId="16489"/>
    <cellStyle name="Input 2 2 3 6 2 20" xfId="37024"/>
    <cellStyle name="Input 2 2 3 6 2 3" xfId="17468"/>
    <cellStyle name="Input 2 2 3 6 2 4" xfId="18495"/>
    <cellStyle name="Input 2 2 3 6 2 5" xfId="19527"/>
    <cellStyle name="Input 2 2 3 6 2 6" xfId="20549"/>
    <cellStyle name="Input 2 2 3 6 2 7" xfId="21560"/>
    <cellStyle name="Input 2 2 3 6 2 8" xfId="22531"/>
    <cellStyle name="Input 2 2 3 6 2 9" xfId="23536"/>
    <cellStyle name="Input 2 2 3 6 20" xfId="36084"/>
    <cellStyle name="Input 2 2 3 6 21" xfId="37023"/>
    <cellStyle name="Input 2 2 3 6 3" xfId="16488"/>
    <cellStyle name="Input 2 2 3 6 4" xfId="17467"/>
    <cellStyle name="Input 2 2 3 6 5" xfId="18494"/>
    <cellStyle name="Input 2 2 3 6 6" xfId="19526"/>
    <cellStyle name="Input 2 2 3 6 7" xfId="20548"/>
    <cellStyle name="Input 2 2 3 6 8" xfId="21559"/>
    <cellStyle name="Input 2 2 3 6 9" xfId="22530"/>
    <cellStyle name="Input 2 2 3 7" xfId="4676"/>
    <cellStyle name="Input 2 2 3 7 10" xfId="23537"/>
    <cellStyle name="Input 2 2 3 7 11" xfId="24509"/>
    <cellStyle name="Input 2 2 3 7 12" xfId="25508"/>
    <cellStyle name="Input 2 2 3 7 13" xfId="28455"/>
    <cellStyle name="Input 2 2 3 7 14" xfId="29422"/>
    <cellStyle name="Input 2 2 3 7 15" xfId="30464"/>
    <cellStyle name="Input 2 2 3 7 16" xfId="31455"/>
    <cellStyle name="Input 2 2 3 7 17" xfId="32463"/>
    <cellStyle name="Input 2 2 3 7 18" xfId="33466"/>
    <cellStyle name="Input 2 2 3 7 19" xfId="34465"/>
    <cellStyle name="Input 2 2 3 7 2" xfId="4677"/>
    <cellStyle name="Input 2 2 3 7 2 10" xfId="24510"/>
    <cellStyle name="Input 2 2 3 7 2 11" xfId="25509"/>
    <cellStyle name="Input 2 2 3 7 2 12" xfId="28456"/>
    <cellStyle name="Input 2 2 3 7 2 13" xfId="29423"/>
    <cellStyle name="Input 2 2 3 7 2 14" xfId="30465"/>
    <cellStyle name="Input 2 2 3 7 2 15" xfId="31456"/>
    <cellStyle name="Input 2 2 3 7 2 16" xfId="32464"/>
    <cellStyle name="Input 2 2 3 7 2 17" xfId="33467"/>
    <cellStyle name="Input 2 2 3 7 2 18" xfId="34466"/>
    <cellStyle name="Input 2 2 3 7 2 19" xfId="36087"/>
    <cellStyle name="Input 2 2 3 7 2 2" xfId="16491"/>
    <cellStyle name="Input 2 2 3 7 2 20" xfId="37026"/>
    <cellStyle name="Input 2 2 3 7 2 3" xfId="17470"/>
    <cellStyle name="Input 2 2 3 7 2 4" xfId="18497"/>
    <cellStyle name="Input 2 2 3 7 2 5" xfId="19529"/>
    <cellStyle name="Input 2 2 3 7 2 6" xfId="20551"/>
    <cellStyle name="Input 2 2 3 7 2 7" xfId="21562"/>
    <cellStyle name="Input 2 2 3 7 2 8" xfId="22533"/>
    <cellStyle name="Input 2 2 3 7 2 9" xfId="23538"/>
    <cellStyle name="Input 2 2 3 7 20" xfId="36086"/>
    <cellStyle name="Input 2 2 3 7 21" xfId="37025"/>
    <cellStyle name="Input 2 2 3 7 3" xfId="16490"/>
    <cellStyle name="Input 2 2 3 7 4" xfId="17469"/>
    <cellStyle name="Input 2 2 3 7 5" xfId="18496"/>
    <cellStyle name="Input 2 2 3 7 6" xfId="19528"/>
    <cellStyle name="Input 2 2 3 7 7" xfId="20550"/>
    <cellStyle name="Input 2 2 3 7 8" xfId="21561"/>
    <cellStyle name="Input 2 2 3 7 9" xfId="22532"/>
    <cellStyle name="Input 2 2 3 8" xfId="4678"/>
    <cellStyle name="Input 2 2 3 8 10" xfId="23539"/>
    <cellStyle name="Input 2 2 3 8 11" xfId="24511"/>
    <cellStyle name="Input 2 2 3 8 12" xfId="25510"/>
    <cellStyle name="Input 2 2 3 8 13" xfId="28457"/>
    <cellStyle name="Input 2 2 3 8 14" xfId="29424"/>
    <cellStyle name="Input 2 2 3 8 15" xfId="30466"/>
    <cellStyle name="Input 2 2 3 8 16" xfId="31457"/>
    <cellStyle name="Input 2 2 3 8 17" xfId="32465"/>
    <cellStyle name="Input 2 2 3 8 18" xfId="33468"/>
    <cellStyle name="Input 2 2 3 8 19" xfId="34467"/>
    <cellStyle name="Input 2 2 3 8 2" xfId="4679"/>
    <cellStyle name="Input 2 2 3 8 2 10" xfId="24512"/>
    <cellStyle name="Input 2 2 3 8 2 11" xfId="25511"/>
    <cellStyle name="Input 2 2 3 8 2 12" xfId="28458"/>
    <cellStyle name="Input 2 2 3 8 2 13" xfId="29425"/>
    <cellStyle name="Input 2 2 3 8 2 14" xfId="30467"/>
    <cellStyle name="Input 2 2 3 8 2 15" xfId="31458"/>
    <cellStyle name="Input 2 2 3 8 2 16" xfId="32466"/>
    <cellStyle name="Input 2 2 3 8 2 17" xfId="33469"/>
    <cellStyle name="Input 2 2 3 8 2 18" xfId="34468"/>
    <cellStyle name="Input 2 2 3 8 2 19" xfId="36089"/>
    <cellStyle name="Input 2 2 3 8 2 2" xfId="16493"/>
    <cellStyle name="Input 2 2 3 8 2 20" xfId="37028"/>
    <cellStyle name="Input 2 2 3 8 2 3" xfId="17472"/>
    <cellStyle name="Input 2 2 3 8 2 4" xfId="18499"/>
    <cellStyle name="Input 2 2 3 8 2 5" xfId="19531"/>
    <cellStyle name="Input 2 2 3 8 2 6" xfId="20553"/>
    <cellStyle name="Input 2 2 3 8 2 7" xfId="21564"/>
    <cellStyle name="Input 2 2 3 8 2 8" xfId="22535"/>
    <cellStyle name="Input 2 2 3 8 2 9" xfId="23540"/>
    <cellStyle name="Input 2 2 3 8 20" xfId="36088"/>
    <cellStyle name="Input 2 2 3 8 21" xfId="37027"/>
    <cellStyle name="Input 2 2 3 8 3" xfId="16492"/>
    <cellStyle name="Input 2 2 3 8 4" xfId="17471"/>
    <cellStyle name="Input 2 2 3 8 5" xfId="18498"/>
    <cellStyle name="Input 2 2 3 8 6" xfId="19530"/>
    <cellStyle name="Input 2 2 3 8 7" xfId="20552"/>
    <cellStyle name="Input 2 2 3 8 8" xfId="21563"/>
    <cellStyle name="Input 2 2 3 8 9" xfId="22534"/>
    <cellStyle name="Input 2 2 3 9" xfId="4680"/>
    <cellStyle name="Input 2 2 3 9 10" xfId="24513"/>
    <cellStyle name="Input 2 2 3 9 11" xfId="25512"/>
    <cellStyle name="Input 2 2 3 9 12" xfId="28459"/>
    <cellStyle name="Input 2 2 3 9 13" xfId="29426"/>
    <cellStyle name="Input 2 2 3 9 14" xfId="30468"/>
    <cellStyle name="Input 2 2 3 9 15" xfId="31459"/>
    <cellStyle name="Input 2 2 3 9 16" xfId="32467"/>
    <cellStyle name="Input 2 2 3 9 17" xfId="33470"/>
    <cellStyle name="Input 2 2 3 9 18" xfId="34469"/>
    <cellStyle name="Input 2 2 3 9 19" xfId="36090"/>
    <cellStyle name="Input 2 2 3 9 2" xfId="16494"/>
    <cellStyle name="Input 2 2 3 9 20" xfId="37029"/>
    <cellStyle name="Input 2 2 3 9 3" xfId="17473"/>
    <cellStyle name="Input 2 2 3 9 4" xfId="18500"/>
    <cellStyle name="Input 2 2 3 9 5" xfId="19532"/>
    <cellStyle name="Input 2 2 3 9 6" xfId="20554"/>
    <cellStyle name="Input 2 2 3 9 7" xfId="21565"/>
    <cellStyle name="Input 2 2 3 9 8" xfId="22536"/>
    <cellStyle name="Input 2 2 3 9 9" xfId="23541"/>
    <cellStyle name="Input 2 2 4" xfId="4681"/>
    <cellStyle name="Input 2 2 4 10" xfId="13430"/>
    <cellStyle name="Input 2 2 4 11" xfId="15552"/>
    <cellStyle name="Input 2 2 4 12" xfId="13961"/>
    <cellStyle name="Input 2 2 4 13" xfId="15367"/>
    <cellStyle name="Input 2 2 4 14" xfId="18882"/>
    <cellStyle name="Input 2 2 4 15" xfId="16840"/>
    <cellStyle name="Input 2 2 4 16" xfId="26516"/>
    <cellStyle name="Input 2 2 4 17" xfId="27047"/>
    <cellStyle name="Input 2 2 4 18" xfId="26198"/>
    <cellStyle name="Input 2 2 4 19" xfId="26720"/>
    <cellStyle name="Input 2 2 4 2" xfId="4682"/>
    <cellStyle name="Input 2 2 4 2 10" xfId="23542"/>
    <cellStyle name="Input 2 2 4 2 11" xfId="24514"/>
    <cellStyle name="Input 2 2 4 2 12" xfId="25513"/>
    <cellStyle name="Input 2 2 4 2 13" xfId="28460"/>
    <cellStyle name="Input 2 2 4 2 14" xfId="29427"/>
    <cellStyle name="Input 2 2 4 2 15" xfId="30469"/>
    <cellStyle name="Input 2 2 4 2 16" xfId="31460"/>
    <cellStyle name="Input 2 2 4 2 17" xfId="32468"/>
    <cellStyle name="Input 2 2 4 2 18" xfId="33471"/>
    <cellStyle name="Input 2 2 4 2 19" xfId="34470"/>
    <cellStyle name="Input 2 2 4 2 2" xfId="4683"/>
    <cellStyle name="Input 2 2 4 2 2 10" xfId="24515"/>
    <cellStyle name="Input 2 2 4 2 2 11" xfId="25514"/>
    <cellStyle name="Input 2 2 4 2 2 12" xfId="28461"/>
    <cellStyle name="Input 2 2 4 2 2 13" xfId="29428"/>
    <cellStyle name="Input 2 2 4 2 2 14" xfId="30470"/>
    <cellStyle name="Input 2 2 4 2 2 15" xfId="31461"/>
    <cellStyle name="Input 2 2 4 2 2 16" xfId="32469"/>
    <cellStyle name="Input 2 2 4 2 2 17" xfId="33472"/>
    <cellStyle name="Input 2 2 4 2 2 18" xfId="34471"/>
    <cellStyle name="Input 2 2 4 2 2 19" xfId="36092"/>
    <cellStyle name="Input 2 2 4 2 2 2" xfId="16496"/>
    <cellStyle name="Input 2 2 4 2 2 20" xfId="37031"/>
    <cellStyle name="Input 2 2 4 2 2 3" xfId="17475"/>
    <cellStyle name="Input 2 2 4 2 2 4" xfId="18502"/>
    <cellStyle name="Input 2 2 4 2 2 5" xfId="19534"/>
    <cellStyle name="Input 2 2 4 2 2 6" xfId="20556"/>
    <cellStyle name="Input 2 2 4 2 2 7" xfId="21567"/>
    <cellStyle name="Input 2 2 4 2 2 8" xfId="22538"/>
    <cellStyle name="Input 2 2 4 2 2 9" xfId="23543"/>
    <cellStyle name="Input 2 2 4 2 20" xfId="36091"/>
    <cellStyle name="Input 2 2 4 2 21" xfId="37030"/>
    <cellStyle name="Input 2 2 4 2 3" xfId="16495"/>
    <cellStyle name="Input 2 2 4 2 4" xfId="17474"/>
    <cellStyle name="Input 2 2 4 2 5" xfId="18501"/>
    <cellStyle name="Input 2 2 4 2 6" xfId="19533"/>
    <cellStyle name="Input 2 2 4 2 7" xfId="20555"/>
    <cellStyle name="Input 2 2 4 2 8" xfId="21566"/>
    <cellStyle name="Input 2 2 4 2 9" xfId="22537"/>
    <cellStyle name="Input 2 2 4 20" xfId="26835"/>
    <cellStyle name="Input 2 2 4 21" xfId="27826"/>
    <cellStyle name="Input 2 2 4 22" xfId="26879"/>
    <cellStyle name="Input 2 2 4 23" xfId="35184"/>
    <cellStyle name="Input 2 2 4 24" xfId="34900"/>
    <cellStyle name="Input 2 2 4 3" xfId="4684"/>
    <cellStyle name="Input 2 2 4 3 10" xfId="23544"/>
    <cellStyle name="Input 2 2 4 3 11" xfId="24516"/>
    <cellStyle name="Input 2 2 4 3 12" xfId="25515"/>
    <cellStyle name="Input 2 2 4 3 13" xfId="28462"/>
    <cellStyle name="Input 2 2 4 3 14" xfId="29429"/>
    <cellStyle name="Input 2 2 4 3 15" xfId="30471"/>
    <cellStyle name="Input 2 2 4 3 16" xfId="31462"/>
    <cellStyle name="Input 2 2 4 3 17" xfId="32470"/>
    <cellStyle name="Input 2 2 4 3 18" xfId="33473"/>
    <cellStyle name="Input 2 2 4 3 19" xfId="34472"/>
    <cellStyle name="Input 2 2 4 3 2" xfId="4685"/>
    <cellStyle name="Input 2 2 4 3 2 10" xfId="24517"/>
    <cellStyle name="Input 2 2 4 3 2 11" xfId="25516"/>
    <cellStyle name="Input 2 2 4 3 2 12" xfId="28463"/>
    <cellStyle name="Input 2 2 4 3 2 13" xfId="29430"/>
    <cellStyle name="Input 2 2 4 3 2 14" xfId="30472"/>
    <cellStyle name="Input 2 2 4 3 2 15" xfId="31463"/>
    <cellStyle name="Input 2 2 4 3 2 16" xfId="32471"/>
    <cellStyle name="Input 2 2 4 3 2 17" xfId="33474"/>
    <cellStyle name="Input 2 2 4 3 2 18" xfId="34473"/>
    <cellStyle name="Input 2 2 4 3 2 19" xfId="36094"/>
    <cellStyle name="Input 2 2 4 3 2 2" xfId="16498"/>
    <cellStyle name="Input 2 2 4 3 2 20" xfId="37033"/>
    <cellStyle name="Input 2 2 4 3 2 3" xfId="17477"/>
    <cellStyle name="Input 2 2 4 3 2 4" xfId="18504"/>
    <cellStyle name="Input 2 2 4 3 2 5" xfId="19536"/>
    <cellStyle name="Input 2 2 4 3 2 6" xfId="20558"/>
    <cellStyle name="Input 2 2 4 3 2 7" xfId="21569"/>
    <cellStyle name="Input 2 2 4 3 2 8" xfId="22540"/>
    <cellStyle name="Input 2 2 4 3 2 9" xfId="23545"/>
    <cellStyle name="Input 2 2 4 3 20" xfId="36093"/>
    <cellStyle name="Input 2 2 4 3 21" xfId="37032"/>
    <cellStyle name="Input 2 2 4 3 3" xfId="16497"/>
    <cellStyle name="Input 2 2 4 3 4" xfId="17476"/>
    <cellStyle name="Input 2 2 4 3 5" xfId="18503"/>
    <cellStyle name="Input 2 2 4 3 6" xfId="19535"/>
    <cellStyle name="Input 2 2 4 3 7" xfId="20557"/>
    <cellStyle name="Input 2 2 4 3 8" xfId="21568"/>
    <cellStyle name="Input 2 2 4 3 9" xfId="22539"/>
    <cellStyle name="Input 2 2 4 4" xfId="4686"/>
    <cellStyle name="Input 2 2 4 4 10" xfId="23546"/>
    <cellStyle name="Input 2 2 4 4 11" xfId="24518"/>
    <cellStyle name="Input 2 2 4 4 12" xfId="25517"/>
    <cellStyle name="Input 2 2 4 4 13" xfId="28464"/>
    <cellStyle name="Input 2 2 4 4 14" xfId="29431"/>
    <cellStyle name="Input 2 2 4 4 15" xfId="30473"/>
    <cellStyle name="Input 2 2 4 4 16" xfId="31464"/>
    <cellStyle name="Input 2 2 4 4 17" xfId="32472"/>
    <cellStyle name="Input 2 2 4 4 18" xfId="33475"/>
    <cellStyle name="Input 2 2 4 4 19" xfId="34474"/>
    <cellStyle name="Input 2 2 4 4 2" xfId="4687"/>
    <cellStyle name="Input 2 2 4 4 2 10" xfId="24519"/>
    <cellStyle name="Input 2 2 4 4 2 11" xfId="25518"/>
    <cellStyle name="Input 2 2 4 4 2 12" xfId="28465"/>
    <cellStyle name="Input 2 2 4 4 2 13" xfId="29432"/>
    <cellStyle name="Input 2 2 4 4 2 14" xfId="30474"/>
    <cellStyle name="Input 2 2 4 4 2 15" xfId="31465"/>
    <cellStyle name="Input 2 2 4 4 2 16" xfId="32473"/>
    <cellStyle name="Input 2 2 4 4 2 17" xfId="33476"/>
    <cellStyle name="Input 2 2 4 4 2 18" xfId="34475"/>
    <cellStyle name="Input 2 2 4 4 2 19" xfId="36096"/>
    <cellStyle name="Input 2 2 4 4 2 2" xfId="16500"/>
    <cellStyle name="Input 2 2 4 4 2 20" xfId="37035"/>
    <cellStyle name="Input 2 2 4 4 2 3" xfId="17479"/>
    <cellStyle name="Input 2 2 4 4 2 4" xfId="18506"/>
    <cellStyle name="Input 2 2 4 4 2 5" xfId="19538"/>
    <cellStyle name="Input 2 2 4 4 2 6" xfId="20560"/>
    <cellStyle name="Input 2 2 4 4 2 7" xfId="21571"/>
    <cellStyle name="Input 2 2 4 4 2 8" xfId="22542"/>
    <cellStyle name="Input 2 2 4 4 2 9" xfId="23547"/>
    <cellStyle name="Input 2 2 4 4 20" xfId="36095"/>
    <cellStyle name="Input 2 2 4 4 21" xfId="37034"/>
    <cellStyle name="Input 2 2 4 4 3" xfId="16499"/>
    <cellStyle name="Input 2 2 4 4 4" xfId="17478"/>
    <cellStyle name="Input 2 2 4 4 5" xfId="18505"/>
    <cellStyle name="Input 2 2 4 4 6" xfId="19537"/>
    <cellStyle name="Input 2 2 4 4 7" xfId="20559"/>
    <cellStyle name="Input 2 2 4 4 8" xfId="21570"/>
    <cellStyle name="Input 2 2 4 4 9" xfId="22541"/>
    <cellStyle name="Input 2 2 4 5" xfId="4688"/>
    <cellStyle name="Input 2 2 4 5 10" xfId="24520"/>
    <cellStyle name="Input 2 2 4 5 11" xfId="25519"/>
    <cellStyle name="Input 2 2 4 5 12" xfId="28466"/>
    <cellStyle name="Input 2 2 4 5 13" xfId="29433"/>
    <cellStyle name="Input 2 2 4 5 14" xfId="30475"/>
    <cellStyle name="Input 2 2 4 5 15" xfId="31466"/>
    <cellStyle name="Input 2 2 4 5 16" xfId="32474"/>
    <cellStyle name="Input 2 2 4 5 17" xfId="33477"/>
    <cellStyle name="Input 2 2 4 5 18" xfId="34476"/>
    <cellStyle name="Input 2 2 4 5 19" xfId="36097"/>
    <cellStyle name="Input 2 2 4 5 2" xfId="16501"/>
    <cellStyle name="Input 2 2 4 5 20" xfId="37036"/>
    <cellStyle name="Input 2 2 4 5 3" xfId="17480"/>
    <cellStyle name="Input 2 2 4 5 4" xfId="18507"/>
    <cellStyle name="Input 2 2 4 5 5" xfId="19539"/>
    <cellStyle name="Input 2 2 4 5 6" xfId="20561"/>
    <cellStyle name="Input 2 2 4 5 7" xfId="21572"/>
    <cellStyle name="Input 2 2 4 5 8" xfId="22543"/>
    <cellStyle name="Input 2 2 4 5 9" xfId="23548"/>
    <cellStyle name="Input 2 2 4 6" xfId="13956"/>
    <cellStyle name="Input 2 2 4 7" xfId="14816"/>
    <cellStyle name="Input 2 2 4 8" xfId="14077"/>
    <cellStyle name="Input 2 2 4 9" xfId="15650"/>
    <cellStyle name="Input 2 2 5" xfId="4689"/>
    <cellStyle name="Input 2 2 5 10" xfId="23549"/>
    <cellStyle name="Input 2 2 5 11" xfId="24521"/>
    <cellStyle name="Input 2 2 5 12" xfId="25520"/>
    <cellStyle name="Input 2 2 5 13" xfId="28467"/>
    <cellStyle name="Input 2 2 5 14" xfId="29434"/>
    <cellStyle name="Input 2 2 5 15" xfId="30476"/>
    <cellStyle name="Input 2 2 5 16" xfId="31467"/>
    <cellStyle name="Input 2 2 5 17" xfId="32475"/>
    <cellStyle name="Input 2 2 5 18" xfId="33478"/>
    <cellStyle name="Input 2 2 5 19" xfId="34477"/>
    <cellStyle name="Input 2 2 5 2" xfId="4690"/>
    <cellStyle name="Input 2 2 5 2 10" xfId="24522"/>
    <cellStyle name="Input 2 2 5 2 11" xfId="25521"/>
    <cellStyle name="Input 2 2 5 2 12" xfId="28468"/>
    <cellStyle name="Input 2 2 5 2 13" xfId="29435"/>
    <cellStyle name="Input 2 2 5 2 14" xfId="30477"/>
    <cellStyle name="Input 2 2 5 2 15" xfId="31468"/>
    <cellStyle name="Input 2 2 5 2 16" xfId="32476"/>
    <cellStyle name="Input 2 2 5 2 17" xfId="33479"/>
    <cellStyle name="Input 2 2 5 2 18" xfId="34478"/>
    <cellStyle name="Input 2 2 5 2 19" xfId="36099"/>
    <cellStyle name="Input 2 2 5 2 2" xfId="16503"/>
    <cellStyle name="Input 2 2 5 2 20" xfId="37038"/>
    <cellStyle name="Input 2 2 5 2 3" xfId="17482"/>
    <cellStyle name="Input 2 2 5 2 4" xfId="18509"/>
    <cellStyle name="Input 2 2 5 2 5" xfId="19541"/>
    <cellStyle name="Input 2 2 5 2 6" xfId="20563"/>
    <cellStyle name="Input 2 2 5 2 7" xfId="21574"/>
    <cellStyle name="Input 2 2 5 2 8" xfId="22545"/>
    <cellStyle name="Input 2 2 5 2 9" xfId="23550"/>
    <cellStyle name="Input 2 2 5 20" xfId="36098"/>
    <cellStyle name="Input 2 2 5 21" xfId="37037"/>
    <cellStyle name="Input 2 2 5 3" xfId="16502"/>
    <cellStyle name="Input 2 2 5 4" xfId="17481"/>
    <cellStyle name="Input 2 2 5 5" xfId="18508"/>
    <cellStyle name="Input 2 2 5 6" xfId="19540"/>
    <cellStyle name="Input 2 2 5 7" xfId="20562"/>
    <cellStyle name="Input 2 2 5 8" xfId="21573"/>
    <cellStyle name="Input 2 2 5 9" xfId="22544"/>
    <cellStyle name="Input 2 2 6" xfId="4691"/>
    <cellStyle name="Input 2 2 6 10" xfId="23551"/>
    <cellStyle name="Input 2 2 6 11" xfId="24523"/>
    <cellStyle name="Input 2 2 6 12" xfId="25522"/>
    <cellStyle name="Input 2 2 6 13" xfId="28469"/>
    <cellStyle name="Input 2 2 6 14" xfId="29436"/>
    <cellStyle name="Input 2 2 6 15" xfId="30478"/>
    <cellStyle name="Input 2 2 6 16" xfId="31469"/>
    <cellStyle name="Input 2 2 6 17" xfId="32477"/>
    <cellStyle name="Input 2 2 6 18" xfId="33480"/>
    <cellStyle name="Input 2 2 6 19" xfId="34479"/>
    <cellStyle name="Input 2 2 6 2" xfId="4692"/>
    <cellStyle name="Input 2 2 6 2 10" xfId="24524"/>
    <cellStyle name="Input 2 2 6 2 11" xfId="25523"/>
    <cellStyle name="Input 2 2 6 2 12" xfId="28470"/>
    <cellStyle name="Input 2 2 6 2 13" xfId="29437"/>
    <cellStyle name="Input 2 2 6 2 14" xfId="30479"/>
    <cellStyle name="Input 2 2 6 2 15" xfId="31470"/>
    <cellStyle name="Input 2 2 6 2 16" xfId="32478"/>
    <cellStyle name="Input 2 2 6 2 17" xfId="33481"/>
    <cellStyle name="Input 2 2 6 2 18" xfId="34480"/>
    <cellStyle name="Input 2 2 6 2 19" xfId="36101"/>
    <cellStyle name="Input 2 2 6 2 2" xfId="16505"/>
    <cellStyle name="Input 2 2 6 2 20" xfId="37040"/>
    <cellStyle name="Input 2 2 6 2 3" xfId="17484"/>
    <cellStyle name="Input 2 2 6 2 4" xfId="18511"/>
    <cellStyle name="Input 2 2 6 2 5" xfId="19543"/>
    <cellStyle name="Input 2 2 6 2 6" xfId="20565"/>
    <cellStyle name="Input 2 2 6 2 7" xfId="21576"/>
    <cellStyle name="Input 2 2 6 2 8" xfId="22547"/>
    <cellStyle name="Input 2 2 6 2 9" xfId="23552"/>
    <cellStyle name="Input 2 2 6 20" xfId="36100"/>
    <cellStyle name="Input 2 2 6 21" xfId="37039"/>
    <cellStyle name="Input 2 2 6 3" xfId="16504"/>
    <cellStyle name="Input 2 2 6 4" xfId="17483"/>
    <cellStyle name="Input 2 2 6 5" xfId="18510"/>
    <cellStyle name="Input 2 2 6 6" xfId="19542"/>
    <cellStyle name="Input 2 2 6 7" xfId="20564"/>
    <cellStyle name="Input 2 2 6 8" xfId="21575"/>
    <cellStyle name="Input 2 2 6 9" xfId="22546"/>
    <cellStyle name="Input 2 2 7" xfId="4693"/>
    <cellStyle name="Input 2 2 7 10" xfId="23553"/>
    <cellStyle name="Input 2 2 7 11" xfId="24525"/>
    <cellStyle name="Input 2 2 7 12" xfId="25524"/>
    <cellStyle name="Input 2 2 7 13" xfId="28471"/>
    <cellStyle name="Input 2 2 7 14" xfId="29438"/>
    <cellStyle name="Input 2 2 7 15" xfId="30480"/>
    <cellStyle name="Input 2 2 7 16" xfId="31471"/>
    <cellStyle name="Input 2 2 7 17" xfId="32479"/>
    <cellStyle name="Input 2 2 7 18" xfId="33482"/>
    <cellStyle name="Input 2 2 7 19" xfId="34481"/>
    <cellStyle name="Input 2 2 7 2" xfId="4694"/>
    <cellStyle name="Input 2 2 7 2 10" xfId="24526"/>
    <cellStyle name="Input 2 2 7 2 11" xfId="25525"/>
    <cellStyle name="Input 2 2 7 2 12" xfId="28472"/>
    <cellStyle name="Input 2 2 7 2 13" xfId="29439"/>
    <cellStyle name="Input 2 2 7 2 14" xfId="30481"/>
    <cellStyle name="Input 2 2 7 2 15" xfId="31472"/>
    <cellStyle name="Input 2 2 7 2 16" xfId="32480"/>
    <cellStyle name="Input 2 2 7 2 17" xfId="33483"/>
    <cellStyle name="Input 2 2 7 2 18" xfId="34482"/>
    <cellStyle name="Input 2 2 7 2 19" xfId="36103"/>
    <cellStyle name="Input 2 2 7 2 2" xfId="16507"/>
    <cellStyle name="Input 2 2 7 2 20" xfId="37042"/>
    <cellStyle name="Input 2 2 7 2 3" xfId="17486"/>
    <cellStyle name="Input 2 2 7 2 4" xfId="18513"/>
    <cellStyle name="Input 2 2 7 2 5" xfId="19545"/>
    <cellStyle name="Input 2 2 7 2 6" xfId="20567"/>
    <cellStyle name="Input 2 2 7 2 7" xfId="21578"/>
    <cellStyle name="Input 2 2 7 2 8" xfId="22549"/>
    <cellStyle name="Input 2 2 7 2 9" xfId="23554"/>
    <cellStyle name="Input 2 2 7 20" xfId="36102"/>
    <cellStyle name="Input 2 2 7 21" xfId="37041"/>
    <cellStyle name="Input 2 2 7 3" xfId="16506"/>
    <cellStyle name="Input 2 2 7 4" xfId="17485"/>
    <cellStyle name="Input 2 2 7 5" xfId="18512"/>
    <cellStyle name="Input 2 2 7 6" xfId="19544"/>
    <cellStyle name="Input 2 2 7 7" xfId="20566"/>
    <cellStyle name="Input 2 2 7 8" xfId="21577"/>
    <cellStyle name="Input 2 2 7 9" xfId="22548"/>
    <cellStyle name="Input 2 2 8" xfId="4695"/>
    <cellStyle name="Input 2 2 8 10" xfId="24527"/>
    <cellStyle name="Input 2 2 8 11" xfId="25526"/>
    <cellStyle name="Input 2 2 8 12" xfId="28473"/>
    <cellStyle name="Input 2 2 8 13" xfId="29440"/>
    <cellStyle name="Input 2 2 8 14" xfId="30482"/>
    <cellStyle name="Input 2 2 8 15" xfId="31473"/>
    <cellStyle name="Input 2 2 8 16" xfId="32481"/>
    <cellStyle name="Input 2 2 8 17" xfId="33484"/>
    <cellStyle name="Input 2 2 8 18" xfId="34483"/>
    <cellStyle name="Input 2 2 8 19" xfId="36104"/>
    <cellStyle name="Input 2 2 8 2" xfId="16508"/>
    <cellStyle name="Input 2 2 8 20" xfId="37043"/>
    <cellStyle name="Input 2 2 8 3" xfId="17487"/>
    <cellStyle name="Input 2 2 8 4" xfId="18514"/>
    <cellStyle name="Input 2 2 8 5" xfId="19546"/>
    <cellStyle name="Input 2 2 8 6" xfId="20568"/>
    <cellStyle name="Input 2 2 8 7" xfId="21579"/>
    <cellStyle name="Input 2 2 8 8" xfId="22550"/>
    <cellStyle name="Input 2 2 8 9" xfId="23555"/>
    <cellStyle name="Input 2 2 9" xfId="13914"/>
    <cellStyle name="Input 2 3" xfId="4696"/>
    <cellStyle name="Input 2 3 10" xfId="15548"/>
    <cellStyle name="Input 2 3 11" xfId="15757"/>
    <cellStyle name="Input 2 3 12" xfId="18899"/>
    <cellStyle name="Input 2 3 13" xfId="13457"/>
    <cellStyle name="Input 2 3 14" xfId="25990"/>
    <cellStyle name="Input 2 3 15" xfId="27291"/>
    <cellStyle name="Input 2 3 16" xfId="26240"/>
    <cellStyle name="Input 2 3 17" xfId="27507"/>
    <cellStyle name="Input 2 3 18" xfId="26926"/>
    <cellStyle name="Input 2 3 19" xfId="32835"/>
    <cellStyle name="Input 2 3 2" xfId="4697"/>
    <cellStyle name="Input 2 3 2 10" xfId="14357"/>
    <cellStyle name="Input 2 3 2 11" xfId="15847"/>
    <cellStyle name="Input 2 3 2 12" xfId="13789"/>
    <cellStyle name="Input 2 3 2 13" xfId="18910"/>
    <cellStyle name="Input 2 3 2 14" xfId="21860"/>
    <cellStyle name="Input 2 3 2 15" xfId="21898"/>
    <cellStyle name="Input 2 3 2 16" xfId="26095"/>
    <cellStyle name="Input 2 3 2 17" xfId="27258"/>
    <cellStyle name="Input 2 3 2 18" xfId="28755"/>
    <cellStyle name="Input 2 3 2 19" xfId="27216"/>
    <cellStyle name="Input 2 3 2 2" xfId="4698"/>
    <cellStyle name="Input 2 3 2 2 10" xfId="15077"/>
    <cellStyle name="Input 2 3 2 2 11" xfId="20936"/>
    <cellStyle name="Input 2 3 2 2 12" xfId="26316"/>
    <cellStyle name="Input 2 3 2 2 13" xfId="27729"/>
    <cellStyle name="Input 2 3 2 2 14" xfId="26116"/>
    <cellStyle name="Input 2 3 2 2 15" xfId="26188"/>
    <cellStyle name="Input 2 3 2 2 16" xfId="27810"/>
    <cellStyle name="Input 2 3 2 2 17" xfId="26898"/>
    <cellStyle name="Input 2 3 2 2 18" xfId="35012"/>
    <cellStyle name="Input 2 3 2 2 19" xfId="35454"/>
    <cellStyle name="Input 2 3 2 2 2" xfId="4699"/>
    <cellStyle name="Input 2 3 2 2 2 10" xfId="23556"/>
    <cellStyle name="Input 2 3 2 2 2 11" xfId="24528"/>
    <cellStyle name="Input 2 3 2 2 2 12" xfId="25527"/>
    <cellStyle name="Input 2 3 2 2 2 13" xfId="28474"/>
    <cellStyle name="Input 2 3 2 2 2 14" xfId="29441"/>
    <cellStyle name="Input 2 3 2 2 2 15" xfId="30483"/>
    <cellStyle name="Input 2 3 2 2 2 16" xfId="31474"/>
    <cellStyle name="Input 2 3 2 2 2 17" xfId="32482"/>
    <cellStyle name="Input 2 3 2 2 2 18" xfId="33485"/>
    <cellStyle name="Input 2 3 2 2 2 19" xfId="34484"/>
    <cellStyle name="Input 2 3 2 2 2 2" xfId="4700"/>
    <cellStyle name="Input 2 3 2 2 2 2 10" xfId="24529"/>
    <cellStyle name="Input 2 3 2 2 2 2 11" xfId="25528"/>
    <cellStyle name="Input 2 3 2 2 2 2 12" xfId="28475"/>
    <cellStyle name="Input 2 3 2 2 2 2 13" xfId="29442"/>
    <cellStyle name="Input 2 3 2 2 2 2 14" xfId="30484"/>
    <cellStyle name="Input 2 3 2 2 2 2 15" xfId="31475"/>
    <cellStyle name="Input 2 3 2 2 2 2 16" xfId="32483"/>
    <cellStyle name="Input 2 3 2 2 2 2 17" xfId="33486"/>
    <cellStyle name="Input 2 3 2 2 2 2 18" xfId="34485"/>
    <cellStyle name="Input 2 3 2 2 2 2 19" xfId="36106"/>
    <cellStyle name="Input 2 3 2 2 2 2 2" xfId="16510"/>
    <cellStyle name="Input 2 3 2 2 2 2 20" xfId="37045"/>
    <cellStyle name="Input 2 3 2 2 2 2 3" xfId="17489"/>
    <cellStyle name="Input 2 3 2 2 2 2 4" xfId="18516"/>
    <cellStyle name="Input 2 3 2 2 2 2 5" xfId="19548"/>
    <cellStyle name="Input 2 3 2 2 2 2 6" xfId="20570"/>
    <cellStyle name="Input 2 3 2 2 2 2 7" xfId="21581"/>
    <cellStyle name="Input 2 3 2 2 2 2 8" xfId="22552"/>
    <cellStyle name="Input 2 3 2 2 2 2 9" xfId="23557"/>
    <cellStyle name="Input 2 3 2 2 2 20" xfId="36105"/>
    <cellStyle name="Input 2 3 2 2 2 21" xfId="37044"/>
    <cellStyle name="Input 2 3 2 2 2 3" xfId="16509"/>
    <cellStyle name="Input 2 3 2 2 2 4" xfId="17488"/>
    <cellStyle name="Input 2 3 2 2 2 5" xfId="18515"/>
    <cellStyle name="Input 2 3 2 2 2 6" xfId="19547"/>
    <cellStyle name="Input 2 3 2 2 2 7" xfId="20569"/>
    <cellStyle name="Input 2 3 2 2 2 8" xfId="21580"/>
    <cellStyle name="Input 2 3 2 2 2 9" xfId="22551"/>
    <cellStyle name="Input 2 3 2 2 3" xfId="4701"/>
    <cellStyle name="Input 2 3 2 2 3 10" xfId="23558"/>
    <cellStyle name="Input 2 3 2 2 3 11" xfId="24530"/>
    <cellStyle name="Input 2 3 2 2 3 12" xfId="25529"/>
    <cellStyle name="Input 2 3 2 2 3 13" xfId="28476"/>
    <cellStyle name="Input 2 3 2 2 3 14" xfId="29443"/>
    <cellStyle name="Input 2 3 2 2 3 15" xfId="30485"/>
    <cellStyle name="Input 2 3 2 2 3 16" xfId="31476"/>
    <cellStyle name="Input 2 3 2 2 3 17" xfId="32484"/>
    <cellStyle name="Input 2 3 2 2 3 18" xfId="33487"/>
    <cellStyle name="Input 2 3 2 2 3 19" xfId="34486"/>
    <cellStyle name="Input 2 3 2 2 3 2" xfId="4702"/>
    <cellStyle name="Input 2 3 2 2 3 2 10" xfId="24531"/>
    <cellStyle name="Input 2 3 2 2 3 2 11" xfId="25530"/>
    <cellStyle name="Input 2 3 2 2 3 2 12" xfId="28477"/>
    <cellStyle name="Input 2 3 2 2 3 2 13" xfId="29444"/>
    <cellStyle name="Input 2 3 2 2 3 2 14" xfId="30486"/>
    <cellStyle name="Input 2 3 2 2 3 2 15" xfId="31477"/>
    <cellStyle name="Input 2 3 2 2 3 2 16" xfId="32485"/>
    <cellStyle name="Input 2 3 2 2 3 2 17" xfId="33488"/>
    <cellStyle name="Input 2 3 2 2 3 2 18" xfId="34487"/>
    <cellStyle name="Input 2 3 2 2 3 2 19" xfId="36108"/>
    <cellStyle name="Input 2 3 2 2 3 2 2" xfId="16512"/>
    <cellStyle name="Input 2 3 2 2 3 2 20" xfId="37047"/>
    <cellStyle name="Input 2 3 2 2 3 2 3" xfId="17491"/>
    <cellStyle name="Input 2 3 2 2 3 2 4" xfId="18518"/>
    <cellStyle name="Input 2 3 2 2 3 2 5" xfId="19550"/>
    <cellStyle name="Input 2 3 2 2 3 2 6" xfId="20572"/>
    <cellStyle name="Input 2 3 2 2 3 2 7" xfId="21583"/>
    <cellStyle name="Input 2 3 2 2 3 2 8" xfId="22554"/>
    <cellStyle name="Input 2 3 2 2 3 2 9" xfId="23559"/>
    <cellStyle name="Input 2 3 2 2 3 20" xfId="36107"/>
    <cellStyle name="Input 2 3 2 2 3 21" xfId="37046"/>
    <cellStyle name="Input 2 3 2 2 3 3" xfId="16511"/>
    <cellStyle name="Input 2 3 2 2 3 4" xfId="17490"/>
    <cellStyle name="Input 2 3 2 2 3 5" xfId="18517"/>
    <cellStyle name="Input 2 3 2 2 3 6" xfId="19549"/>
    <cellStyle name="Input 2 3 2 2 3 7" xfId="20571"/>
    <cellStyle name="Input 2 3 2 2 3 8" xfId="21582"/>
    <cellStyle name="Input 2 3 2 2 3 9" xfId="22553"/>
    <cellStyle name="Input 2 3 2 2 4" xfId="4703"/>
    <cellStyle name="Input 2 3 2 2 4 10" xfId="23560"/>
    <cellStyle name="Input 2 3 2 2 4 11" xfId="24532"/>
    <cellStyle name="Input 2 3 2 2 4 12" xfId="25531"/>
    <cellStyle name="Input 2 3 2 2 4 13" xfId="28478"/>
    <cellStyle name="Input 2 3 2 2 4 14" xfId="29445"/>
    <cellStyle name="Input 2 3 2 2 4 15" xfId="30487"/>
    <cellStyle name="Input 2 3 2 2 4 16" xfId="31478"/>
    <cellStyle name="Input 2 3 2 2 4 17" xfId="32486"/>
    <cellStyle name="Input 2 3 2 2 4 18" xfId="33489"/>
    <cellStyle name="Input 2 3 2 2 4 19" xfId="34488"/>
    <cellStyle name="Input 2 3 2 2 4 2" xfId="4704"/>
    <cellStyle name="Input 2 3 2 2 4 2 10" xfId="24533"/>
    <cellStyle name="Input 2 3 2 2 4 2 11" xfId="25532"/>
    <cellStyle name="Input 2 3 2 2 4 2 12" xfId="28479"/>
    <cellStyle name="Input 2 3 2 2 4 2 13" xfId="29446"/>
    <cellStyle name="Input 2 3 2 2 4 2 14" xfId="30488"/>
    <cellStyle name="Input 2 3 2 2 4 2 15" xfId="31479"/>
    <cellStyle name="Input 2 3 2 2 4 2 16" xfId="32487"/>
    <cellStyle name="Input 2 3 2 2 4 2 17" xfId="33490"/>
    <cellStyle name="Input 2 3 2 2 4 2 18" xfId="34489"/>
    <cellStyle name="Input 2 3 2 2 4 2 19" xfId="36110"/>
    <cellStyle name="Input 2 3 2 2 4 2 2" xfId="16514"/>
    <cellStyle name="Input 2 3 2 2 4 2 20" xfId="37049"/>
    <cellStyle name="Input 2 3 2 2 4 2 3" xfId="17493"/>
    <cellStyle name="Input 2 3 2 2 4 2 4" xfId="18520"/>
    <cellStyle name="Input 2 3 2 2 4 2 5" xfId="19552"/>
    <cellStyle name="Input 2 3 2 2 4 2 6" xfId="20574"/>
    <cellStyle name="Input 2 3 2 2 4 2 7" xfId="21585"/>
    <cellStyle name="Input 2 3 2 2 4 2 8" xfId="22556"/>
    <cellStyle name="Input 2 3 2 2 4 2 9" xfId="23561"/>
    <cellStyle name="Input 2 3 2 2 4 20" xfId="36109"/>
    <cellStyle name="Input 2 3 2 2 4 21" xfId="37048"/>
    <cellStyle name="Input 2 3 2 2 4 3" xfId="16513"/>
    <cellStyle name="Input 2 3 2 2 4 4" xfId="17492"/>
    <cellStyle name="Input 2 3 2 2 4 5" xfId="18519"/>
    <cellStyle name="Input 2 3 2 2 4 6" xfId="19551"/>
    <cellStyle name="Input 2 3 2 2 4 7" xfId="20573"/>
    <cellStyle name="Input 2 3 2 2 4 8" xfId="21584"/>
    <cellStyle name="Input 2 3 2 2 4 9" xfId="22555"/>
    <cellStyle name="Input 2 3 2 2 5" xfId="4705"/>
    <cellStyle name="Input 2 3 2 2 5 10" xfId="24534"/>
    <cellStyle name="Input 2 3 2 2 5 11" xfId="25533"/>
    <cellStyle name="Input 2 3 2 2 5 12" xfId="28480"/>
    <cellStyle name="Input 2 3 2 2 5 13" xfId="29447"/>
    <cellStyle name="Input 2 3 2 2 5 14" xfId="30489"/>
    <cellStyle name="Input 2 3 2 2 5 15" xfId="31480"/>
    <cellStyle name="Input 2 3 2 2 5 16" xfId="32488"/>
    <cellStyle name="Input 2 3 2 2 5 17" xfId="33491"/>
    <cellStyle name="Input 2 3 2 2 5 18" xfId="34490"/>
    <cellStyle name="Input 2 3 2 2 5 19" xfId="36111"/>
    <cellStyle name="Input 2 3 2 2 5 2" xfId="16515"/>
    <cellStyle name="Input 2 3 2 2 5 20" xfId="37050"/>
    <cellStyle name="Input 2 3 2 2 5 3" xfId="17494"/>
    <cellStyle name="Input 2 3 2 2 5 4" xfId="18521"/>
    <cellStyle name="Input 2 3 2 2 5 5" xfId="19553"/>
    <cellStyle name="Input 2 3 2 2 5 6" xfId="20575"/>
    <cellStyle name="Input 2 3 2 2 5 7" xfId="21586"/>
    <cellStyle name="Input 2 3 2 2 5 8" xfId="22557"/>
    <cellStyle name="Input 2 3 2 2 5 9" xfId="23562"/>
    <cellStyle name="Input 2 3 2 2 6" xfId="15193"/>
    <cellStyle name="Input 2 3 2 2 7" xfId="13809"/>
    <cellStyle name="Input 2 3 2 2 8" xfId="14614"/>
    <cellStyle name="Input 2 3 2 2 9" xfId="15797"/>
    <cellStyle name="Input 2 3 2 20" xfId="29819"/>
    <cellStyle name="Input 2 3 2 21" xfId="26894"/>
    <cellStyle name="Input 2 3 2 22" xfId="34955"/>
    <cellStyle name="Input 2 3 2 23" xfId="35473"/>
    <cellStyle name="Input 2 3 2 3" xfId="4706"/>
    <cellStyle name="Input 2 3 2 3 10" xfId="15510"/>
    <cellStyle name="Input 2 3 2 3 11" xfId="20901"/>
    <cellStyle name="Input 2 3 2 3 12" xfId="26396"/>
    <cellStyle name="Input 2 3 2 3 13" xfId="27118"/>
    <cellStyle name="Input 2 3 2 3 14" xfId="25940"/>
    <cellStyle name="Input 2 3 2 3 15" xfId="27490"/>
    <cellStyle name="Input 2 3 2 3 16" xfId="27504"/>
    <cellStyle name="Input 2 3 2 3 17" xfId="27405"/>
    <cellStyle name="Input 2 3 2 3 18" xfId="35087"/>
    <cellStyle name="Input 2 3 2 3 19" xfId="35274"/>
    <cellStyle name="Input 2 3 2 3 2" xfId="4707"/>
    <cellStyle name="Input 2 3 2 3 2 10" xfId="23563"/>
    <cellStyle name="Input 2 3 2 3 2 11" xfId="24535"/>
    <cellStyle name="Input 2 3 2 3 2 12" xfId="25534"/>
    <cellStyle name="Input 2 3 2 3 2 13" xfId="28481"/>
    <cellStyle name="Input 2 3 2 3 2 14" xfId="29448"/>
    <cellStyle name="Input 2 3 2 3 2 15" xfId="30490"/>
    <cellStyle name="Input 2 3 2 3 2 16" xfId="31481"/>
    <cellStyle name="Input 2 3 2 3 2 17" xfId="32489"/>
    <cellStyle name="Input 2 3 2 3 2 18" xfId="33492"/>
    <cellStyle name="Input 2 3 2 3 2 19" xfId="34491"/>
    <cellStyle name="Input 2 3 2 3 2 2" xfId="4708"/>
    <cellStyle name="Input 2 3 2 3 2 2 10" xfId="24536"/>
    <cellStyle name="Input 2 3 2 3 2 2 11" xfId="25535"/>
    <cellStyle name="Input 2 3 2 3 2 2 12" xfId="28482"/>
    <cellStyle name="Input 2 3 2 3 2 2 13" xfId="29449"/>
    <cellStyle name="Input 2 3 2 3 2 2 14" xfId="30491"/>
    <cellStyle name="Input 2 3 2 3 2 2 15" xfId="31482"/>
    <cellStyle name="Input 2 3 2 3 2 2 16" xfId="32490"/>
    <cellStyle name="Input 2 3 2 3 2 2 17" xfId="33493"/>
    <cellStyle name="Input 2 3 2 3 2 2 18" xfId="34492"/>
    <cellStyle name="Input 2 3 2 3 2 2 19" xfId="36113"/>
    <cellStyle name="Input 2 3 2 3 2 2 2" xfId="16517"/>
    <cellStyle name="Input 2 3 2 3 2 2 20" xfId="37052"/>
    <cellStyle name="Input 2 3 2 3 2 2 3" xfId="17496"/>
    <cellStyle name="Input 2 3 2 3 2 2 4" xfId="18523"/>
    <cellStyle name="Input 2 3 2 3 2 2 5" xfId="19555"/>
    <cellStyle name="Input 2 3 2 3 2 2 6" xfId="20577"/>
    <cellStyle name="Input 2 3 2 3 2 2 7" xfId="21588"/>
    <cellStyle name="Input 2 3 2 3 2 2 8" xfId="22559"/>
    <cellStyle name="Input 2 3 2 3 2 2 9" xfId="23564"/>
    <cellStyle name="Input 2 3 2 3 2 20" xfId="36112"/>
    <cellStyle name="Input 2 3 2 3 2 21" xfId="37051"/>
    <cellStyle name="Input 2 3 2 3 2 3" xfId="16516"/>
    <cellStyle name="Input 2 3 2 3 2 4" xfId="17495"/>
    <cellStyle name="Input 2 3 2 3 2 5" xfId="18522"/>
    <cellStyle name="Input 2 3 2 3 2 6" xfId="19554"/>
    <cellStyle name="Input 2 3 2 3 2 7" xfId="20576"/>
    <cellStyle name="Input 2 3 2 3 2 8" xfId="21587"/>
    <cellStyle name="Input 2 3 2 3 2 9" xfId="22558"/>
    <cellStyle name="Input 2 3 2 3 3" xfId="4709"/>
    <cellStyle name="Input 2 3 2 3 3 10" xfId="23565"/>
    <cellStyle name="Input 2 3 2 3 3 11" xfId="24537"/>
    <cellStyle name="Input 2 3 2 3 3 12" xfId="25536"/>
    <cellStyle name="Input 2 3 2 3 3 13" xfId="28483"/>
    <cellStyle name="Input 2 3 2 3 3 14" xfId="29450"/>
    <cellStyle name="Input 2 3 2 3 3 15" xfId="30492"/>
    <cellStyle name="Input 2 3 2 3 3 16" xfId="31483"/>
    <cellStyle name="Input 2 3 2 3 3 17" xfId="32491"/>
    <cellStyle name="Input 2 3 2 3 3 18" xfId="33494"/>
    <cellStyle name="Input 2 3 2 3 3 19" xfId="34493"/>
    <cellStyle name="Input 2 3 2 3 3 2" xfId="4710"/>
    <cellStyle name="Input 2 3 2 3 3 2 10" xfId="24538"/>
    <cellStyle name="Input 2 3 2 3 3 2 11" xfId="25537"/>
    <cellStyle name="Input 2 3 2 3 3 2 12" xfId="28484"/>
    <cellStyle name="Input 2 3 2 3 3 2 13" xfId="29451"/>
    <cellStyle name="Input 2 3 2 3 3 2 14" xfId="30493"/>
    <cellStyle name="Input 2 3 2 3 3 2 15" xfId="31484"/>
    <cellStyle name="Input 2 3 2 3 3 2 16" xfId="32492"/>
    <cellStyle name="Input 2 3 2 3 3 2 17" xfId="33495"/>
    <cellStyle name="Input 2 3 2 3 3 2 18" xfId="34494"/>
    <cellStyle name="Input 2 3 2 3 3 2 19" xfId="36115"/>
    <cellStyle name="Input 2 3 2 3 3 2 2" xfId="16519"/>
    <cellStyle name="Input 2 3 2 3 3 2 20" xfId="37054"/>
    <cellStyle name="Input 2 3 2 3 3 2 3" xfId="17498"/>
    <cellStyle name="Input 2 3 2 3 3 2 4" xfId="18525"/>
    <cellStyle name="Input 2 3 2 3 3 2 5" xfId="19557"/>
    <cellStyle name="Input 2 3 2 3 3 2 6" xfId="20579"/>
    <cellStyle name="Input 2 3 2 3 3 2 7" xfId="21590"/>
    <cellStyle name="Input 2 3 2 3 3 2 8" xfId="22561"/>
    <cellStyle name="Input 2 3 2 3 3 2 9" xfId="23566"/>
    <cellStyle name="Input 2 3 2 3 3 20" xfId="36114"/>
    <cellStyle name="Input 2 3 2 3 3 21" xfId="37053"/>
    <cellStyle name="Input 2 3 2 3 3 3" xfId="16518"/>
    <cellStyle name="Input 2 3 2 3 3 4" xfId="17497"/>
    <cellStyle name="Input 2 3 2 3 3 5" xfId="18524"/>
    <cellStyle name="Input 2 3 2 3 3 6" xfId="19556"/>
    <cellStyle name="Input 2 3 2 3 3 7" xfId="20578"/>
    <cellStyle name="Input 2 3 2 3 3 8" xfId="21589"/>
    <cellStyle name="Input 2 3 2 3 3 9" xfId="22560"/>
    <cellStyle name="Input 2 3 2 3 4" xfId="4711"/>
    <cellStyle name="Input 2 3 2 3 4 10" xfId="23567"/>
    <cellStyle name="Input 2 3 2 3 4 11" xfId="24539"/>
    <cellStyle name="Input 2 3 2 3 4 12" xfId="25538"/>
    <cellStyle name="Input 2 3 2 3 4 13" xfId="28485"/>
    <cellStyle name="Input 2 3 2 3 4 14" xfId="29452"/>
    <cellStyle name="Input 2 3 2 3 4 15" xfId="30494"/>
    <cellStyle name="Input 2 3 2 3 4 16" xfId="31485"/>
    <cellStyle name="Input 2 3 2 3 4 17" xfId="32493"/>
    <cellStyle name="Input 2 3 2 3 4 18" xfId="33496"/>
    <cellStyle name="Input 2 3 2 3 4 19" xfId="34495"/>
    <cellStyle name="Input 2 3 2 3 4 2" xfId="4712"/>
    <cellStyle name="Input 2 3 2 3 4 2 10" xfId="24540"/>
    <cellStyle name="Input 2 3 2 3 4 2 11" xfId="25539"/>
    <cellStyle name="Input 2 3 2 3 4 2 12" xfId="28486"/>
    <cellStyle name="Input 2 3 2 3 4 2 13" xfId="29453"/>
    <cellStyle name="Input 2 3 2 3 4 2 14" xfId="30495"/>
    <cellStyle name="Input 2 3 2 3 4 2 15" xfId="31486"/>
    <cellStyle name="Input 2 3 2 3 4 2 16" xfId="32494"/>
    <cellStyle name="Input 2 3 2 3 4 2 17" xfId="33497"/>
    <cellStyle name="Input 2 3 2 3 4 2 18" xfId="34496"/>
    <cellStyle name="Input 2 3 2 3 4 2 19" xfId="36117"/>
    <cellStyle name="Input 2 3 2 3 4 2 2" xfId="16521"/>
    <cellStyle name="Input 2 3 2 3 4 2 20" xfId="37056"/>
    <cellStyle name="Input 2 3 2 3 4 2 3" xfId="17500"/>
    <cellStyle name="Input 2 3 2 3 4 2 4" xfId="18527"/>
    <cellStyle name="Input 2 3 2 3 4 2 5" xfId="19559"/>
    <cellStyle name="Input 2 3 2 3 4 2 6" xfId="20581"/>
    <cellStyle name="Input 2 3 2 3 4 2 7" xfId="21592"/>
    <cellStyle name="Input 2 3 2 3 4 2 8" xfId="22563"/>
    <cellStyle name="Input 2 3 2 3 4 2 9" xfId="23568"/>
    <cellStyle name="Input 2 3 2 3 4 20" xfId="36116"/>
    <cellStyle name="Input 2 3 2 3 4 21" xfId="37055"/>
    <cellStyle name="Input 2 3 2 3 4 3" xfId="16520"/>
    <cellStyle name="Input 2 3 2 3 4 4" xfId="17499"/>
    <cellStyle name="Input 2 3 2 3 4 5" xfId="18526"/>
    <cellStyle name="Input 2 3 2 3 4 6" xfId="19558"/>
    <cellStyle name="Input 2 3 2 3 4 7" xfId="20580"/>
    <cellStyle name="Input 2 3 2 3 4 8" xfId="21591"/>
    <cellStyle name="Input 2 3 2 3 4 9" xfId="22562"/>
    <cellStyle name="Input 2 3 2 3 5" xfId="4713"/>
    <cellStyle name="Input 2 3 2 3 5 10" xfId="24541"/>
    <cellStyle name="Input 2 3 2 3 5 11" xfId="25540"/>
    <cellStyle name="Input 2 3 2 3 5 12" xfId="28487"/>
    <cellStyle name="Input 2 3 2 3 5 13" xfId="29454"/>
    <cellStyle name="Input 2 3 2 3 5 14" xfId="30496"/>
    <cellStyle name="Input 2 3 2 3 5 15" xfId="31487"/>
    <cellStyle name="Input 2 3 2 3 5 16" xfId="32495"/>
    <cellStyle name="Input 2 3 2 3 5 17" xfId="33498"/>
    <cellStyle name="Input 2 3 2 3 5 18" xfId="34497"/>
    <cellStyle name="Input 2 3 2 3 5 19" xfId="36118"/>
    <cellStyle name="Input 2 3 2 3 5 2" xfId="16522"/>
    <cellStyle name="Input 2 3 2 3 5 20" xfId="37057"/>
    <cellStyle name="Input 2 3 2 3 5 3" xfId="17501"/>
    <cellStyle name="Input 2 3 2 3 5 4" xfId="18528"/>
    <cellStyle name="Input 2 3 2 3 5 5" xfId="19560"/>
    <cellStyle name="Input 2 3 2 3 5 6" xfId="20582"/>
    <cellStyle name="Input 2 3 2 3 5 7" xfId="21593"/>
    <cellStyle name="Input 2 3 2 3 5 8" xfId="22564"/>
    <cellStyle name="Input 2 3 2 3 5 9" xfId="23569"/>
    <cellStyle name="Input 2 3 2 3 6" xfId="14424"/>
    <cellStyle name="Input 2 3 2 3 7" xfId="14137"/>
    <cellStyle name="Input 2 3 2 3 8" xfId="13413"/>
    <cellStyle name="Input 2 3 2 3 9" xfId="14562"/>
    <cellStyle name="Input 2 3 2 4" xfId="4714"/>
    <cellStyle name="Input 2 3 2 4 10" xfId="18900"/>
    <cellStyle name="Input 2 3 2 4 11" xfId="13962"/>
    <cellStyle name="Input 2 3 2 4 12" xfId="26412"/>
    <cellStyle name="Input 2 3 2 4 13" xfId="27106"/>
    <cellStyle name="Input 2 3 2 4 14" xfId="25976"/>
    <cellStyle name="Input 2 3 2 4 15" xfId="26551"/>
    <cellStyle name="Input 2 3 2 4 16" xfId="27608"/>
    <cellStyle name="Input 2 3 2 4 17" xfId="27802"/>
    <cellStyle name="Input 2 3 2 4 18" xfId="35102"/>
    <cellStyle name="Input 2 3 2 4 19" xfId="35418"/>
    <cellStyle name="Input 2 3 2 4 2" xfId="4715"/>
    <cellStyle name="Input 2 3 2 4 2 10" xfId="23570"/>
    <cellStyle name="Input 2 3 2 4 2 11" xfId="24542"/>
    <cellStyle name="Input 2 3 2 4 2 12" xfId="25541"/>
    <cellStyle name="Input 2 3 2 4 2 13" xfId="28488"/>
    <cellStyle name="Input 2 3 2 4 2 14" xfId="29455"/>
    <cellStyle name="Input 2 3 2 4 2 15" xfId="30497"/>
    <cellStyle name="Input 2 3 2 4 2 16" xfId="31488"/>
    <cellStyle name="Input 2 3 2 4 2 17" xfId="32496"/>
    <cellStyle name="Input 2 3 2 4 2 18" xfId="33499"/>
    <cellStyle name="Input 2 3 2 4 2 19" xfId="34498"/>
    <cellStyle name="Input 2 3 2 4 2 2" xfId="4716"/>
    <cellStyle name="Input 2 3 2 4 2 2 10" xfId="24543"/>
    <cellStyle name="Input 2 3 2 4 2 2 11" xfId="25542"/>
    <cellStyle name="Input 2 3 2 4 2 2 12" xfId="28489"/>
    <cellStyle name="Input 2 3 2 4 2 2 13" xfId="29456"/>
    <cellStyle name="Input 2 3 2 4 2 2 14" xfId="30498"/>
    <cellStyle name="Input 2 3 2 4 2 2 15" xfId="31489"/>
    <cellStyle name="Input 2 3 2 4 2 2 16" xfId="32497"/>
    <cellStyle name="Input 2 3 2 4 2 2 17" xfId="33500"/>
    <cellStyle name="Input 2 3 2 4 2 2 18" xfId="34499"/>
    <cellStyle name="Input 2 3 2 4 2 2 19" xfId="36120"/>
    <cellStyle name="Input 2 3 2 4 2 2 2" xfId="16524"/>
    <cellStyle name="Input 2 3 2 4 2 2 20" xfId="37059"/>
    <cellStyle name="Input 2 3 2 4 2 2 3" xfId="17503"/>
    <cellStyle name="Input 2 3 2 4 2 2 4" xfId="18530"/>
    <cellStyle name="Input 2 3 2 4 2 2 5" xfId="19562"/>
    <cellStyle name="Input 2 3 2 4 2 2 6" xfId="20584"/>
    <cellStyle name="Input 2 3 2 4 2 2 7" xfId="21595"/>
    <cellStyle name="Input 2 3 2 4 2 2 8" xfId="22566"/>
    <cellStyle name="Input 2 3 2 4 2 2 9" xfId="23571"/>
    <cellStyle name="Input 2 3 2 4 2 20" xfId="36119"/>
    <cellStyle name="Input 2 3 2 4 2 21" xfId="37058"/>
    <cellStyle name="Input 2 3 2 4 2 3" xfId="16523"/>
    <cellStyle name="Input 2 3 2 4 2 4" xfId="17502"/>
    <cellStyle name="Input 2 3 2 4 2 5" xfId="18529"/>
    <cellStyle name="Input 2 3 2 4 2 6" xfId="19561"/>
    <cellStyle name="Input 2 3 2 4 2 7" xfId="20583"/>
    <cellStyle name="Input 2 3 2 4 2 8" xfId="21594"/>
    <cellStyle name="Input 2 3 2 4 2 9" xfId="22565"/>
    <cellStyle name="Input 2 3 2 4 3" xfId="4717"/>
    <cellStyle name="Input 2 3 2 4 3 10" xfId="23572"/>
    <cellStyle name="Input 2 3 2 4 3 11" xfId="24544"/>
    <cellStyle name="Input 2 3 2 4 3 12" xfId="25543"/>
    <cellStyle name="Input 2 3 2 4 3 13" xfId="28490"/>
    <cellStyle name="Input 2 3 2 4 3 14" xfId="29457"/>
    <cellStyle name="Input 2 3 2 4 3 15" xfId="30499"/>
    <cellStyle name="Input 2 3 2 4 3 16" xfId="31490"/>
    <cellStyle name="Input 2 3 2 4 3 17" xfId="32498"/>
    <cellStyle name="Input 2 3 2 4 3 18" xfId="33501"/>
    <cellStyle name="Input 2 3 2 4 3 19" xfId="34500"/>
    <cellStyle name="Input 2 3 2 4 3 2" xfId="4718"/>
    <cellStyle name="Input 2 3 2 4 3 2 10" xfId="24545"/>
    <cellStyle name="Input 2 3 2 4 3 2 11" xfId="25544"/>
    <cellStyle name="Input 2 3 2 4 3 2 12" xfId="28491"/>
    <cellStyle name="Input 2 3 2 4 3 2 13" xfId="29458"/>
    <cellStyle name="Input 2 3 2 4 3 2 14" xfId="30500"/>
    <cellStyle name="Input 2 3 2 4 3 2 15" xfId="31491"/>
    <cellStyle name="Input 2 3 2 4 3 2 16" xfId="32499"/>
    <cellStyle name="Input 2 3 2 4 3 2 17" xfId="33502"/>
    <cellStyle name="Input 2 3 2 4 3 2 18" xfId="34501"/>
    <cellStyle name="Input 2 3 2 4 3 2 19" xfId="36122"/>
    <cellStyle name="Input 2 3 2 4 3 2 2" xfId="16526"/>
    <cellStyle name="Input 2 3 2 4 3 2 20" xfId="37061"/>
    <cellStyle name="Input 2 3 2 4 3 2 3" xfId="17505"/>
    <cellStyle name="Input 2 3 2 4 3 2 4" xfId="18532"/>
    <cellStyle name="Input 2 3 2 4 3 2 5" xfId="19564"/>
    <cellStyle name="Input 2 3 2 4 3 2 6" xfId="20586"/>
    <cellStyle name="Input 2 3 2 4 3 2 7" xfId="21597"/>
    <cellStyle name="Input 2 3 2 4 3 2 8" xfId="22568"/>
    <cellStyle name="Input 2 3 2 4 3 2 9" xfId="23573"/>
    <cellStyle name="Input 2 3 2 4 3 20" xfId="36121"/>
    <cellStyle name="Input 2 3 2 4 3 21" xfId="37060"/>
    <cellStyle name="Input 2 3 2 4 3 3" xfId="16525"/>
    <cellStyle name="Input 2 3 2 4 3 4" xfId="17504"/>
    <cellStyle name="Input 2 3 2 4 3 5" xfId="18531"/>
    <cellStyle name="Input 2 3 2 4 3 6" xfId="19563"/>
    <cellStyle name="Input 2 3 2 4 3 7" xfId="20585"/>
    <cellStyle name="Input 2 3 2 4 3 8" xfId="21596"/>
    <cellStyle name="Input 2 3 2 4 3 9" xfId="22567"/>
    <cellStyle name="Input 2 3 2 4 4" xfId="4719"/>
    <cellStyle name="Input 2 3 2 4 4 10" xfId="23574"/>
    <cellStyle name="Input 2 3 2 4 4 11" xfId="24546"/>
    <cellStyle name="Input 2 3 2 4 4 12" xfId="25545"/>
    <cellStyle name="Input 2 3 2 4 4 13" xfId="28492"/>
    <cellStyle name="Input 2 3 2 4 4 14" xfId="29459"/>
    <cellStyle name="Input 2 3 2 4 4 15" xfId="30501"/>
    <cellStyle name="Input 2 3 2 4 4 16" xfId="31492"/>
    <cellStyle name="Input 2 3 2 4 4 17" xfId="32500"/>
    <cellStyle name="Input 2 3 2 4 4 18" xfId="33503"/>
    <cellStyle name="Input 2 3 2 4 4 19" xfId="34502"/>
    <cellStyle name="Input 2 3 2 4 4 2" xfId="4720"/>
    <cellStyle name="Input 2 3 2 4 4 2 10" xfId="24547"/>
    <cellStyle name="Input 2 3 2 4 4 2 11" xfId="25546"/>
    <cellStyle name="Input 2 3 2 4 4 2 12" xfId="28493"/>
    <cellStyle name="Input 2 3 2 4 4 2 13" xfId="29460"/>
    <cellStyle name="Input 2 3 2 4 4 2 14" xfId="30502"/>
    <cellStyle name="Input 2 3 2 4 4 2 15" xfId="31493"/>
    <cellStyle name="Input 2 3 2 4 4 2 16" xfId="32501"/>
    <cellStyle name="Input 2 3 2 4 4 2 17" xfId="33504"/>
    <cellStyle name="Input 2 3 2 4 4 2 18" xfId="34503"/>
    <cellStyle name="Input 2 3 2 4 4 2 19" xfId="36124"/>
    <cellStyle name="Input 2 3 2 4 4 2 2" xfId="16528"/>
    <cellStyle name="Input 2 3 2 4 4 2 20" xfId="37063"/>
    <cellStyle name="Input 2 3 2 4 4 2 3" xfId="17507"/>
    <cellStyle name="Input 2 3 2 4 4 2 4" xfId="18534"/>
    <cellStyle name="Input 2 3 2 4 4 2 5" xfId="19566"/>
    <cellStyle name="Input 2 3 2 4 4 2 6" xfId="20588"/>
    <cellStyle name="Input 2 3 2 4 4 2 7" xfId="21599"/>
    <cellStyle name="Input 2 3 2 4 4 2 8" xfId="22570"/>
    <cellStyle name="Input 2 3 2 4 4 2 9" xfId="23575"/>
    <cellStyle name="Input 2 3 2 4 4 20" xfId="36123"/>
    <cellStyle name="Input 2 3 2 4 4 21" xfId="37062"/>
    <cellStyle name="Input 2 3 2 4 4 3" xfId="16527"/>
    <cellStyle name="Input 2 3 2 4 4 4" xfId="17506"/>
    <cellStyle name="Input 2 3 2 4 4 5" xfId="18533"/>
    <cellStyle name="Input 2 3 2 4 4 6" xfId="19565"/>
    <cellStyle name="Input 2 3 2 4 4 7" xfId="20587"/>
    <cellStyle name="Input 2 3 2 4 4 8" xfId="21598"/>
    <cellStyle name="Input 2 3 2 4 4 9" xfId="22569"/>
    <cellStyle name="Input 2 3 2 4 5" xfId="4721"/>
    <cellStyle name="Input 2 3 2 4 5 10" xfId="24548"/>
    <cellStyle name="Input 2 3 2 4 5 11" xfId="25547"/>
    <cellStyle name="Input 2 3 2 4 5 12" xfId="28494"/>
    <cellStyle name="Input 2 3 2 4 5 13" xfId="29461"/>
    <cellStyle name="Input 2 3 2 4 5 14" xfId="30503"/>
    <cellStyle name="Input 2 3 2 4 5 15" xfId="31494"/>
    <cellStyle name="Input 2 3 2 4 5 16" xfId="32502"/>
    <cellStyle name="Input 2 3 2 4 5 17" xfId="33505"/>
    <cellStyle name="Input 2 3 2 4 5 18" xfId="34504"/>
    <cellStyle name="Input 2 3 2 4 5 19" xfId="36125"/>
    <cellStyle name="Input 2 3 2 4 5 2" xfId="16529"/>
    <cellStyle name="Input 2 3 2 4 5 20" xfId="37064"/>
    <cellStyle name="Input 2 3 2 4 5 3" xfId="17508"/>
    <cellStyle name="Input 2 3 2 4 5 4" xfId="18535"/>
    <cellStyle name="Input 2 3 2 4 5 5" xfId="19567"/>
    <cellStyle name="Input 2 3 2 4 5 6" xfId="20589"/>
    <cellStyle name="Input 2 3 2 4 5 7" xfId="21600"/>
    <cellStyle name="Input 2 3 2 4 5 8" xfId="22571"/>
    <cellStyle name="Input 2 3 2 4 5 9" xfId="23576"/>
    <cellStyle name="Input 2 3 2 4 6" xfId="13778"/>
    <cellStyle name="Input 2 3 2 4 7" xfId="14265"/>
    <cellStyle name="Input 2 3 2 4 8" xfId="15562"/>
    <cellStyle name="Input 2 3 2 4 9" xfId="15852"/>
    <cellStyle name="Input 2 3 2 5" xfId="4722"/>
    <cellStyle name="Input 2 3 2 5 10" xfId="15323"/>
    <cellStyle name="Input 2 3 2 5 11" xfId="15572"/>
    <cellStyle name="Input 2 3 2 5 12" xfId="26370"/>
    <cellStyle name="Input 2 3 2 5 13" xfId="27138"/>
    <cellStyle name="Input 2 3 2 5 14" xfId="26512"/>
    <cellStyle name="Input 2 3 2 5 15" xfId="26247"/>
    <cellStyle name="Input 2 3 2 5 16" xfId="25998"/>
    <cellStyle name="Input 2 3 2 5 17" xfId="26265"/>
    <cellStyle name="Input 2 3 2 5 18" xfId="35062"/>
    <cellStyle name="Input 2 3 2 5 19" xfId="34845"/>
    <cellStyle name="Input 2 3 2 5 2" xfId="4723"/>
    <cellStyle name="Input 2 3 2 5 2 10" xfId="23577"/>
    <cellStyle name="Input 2 3 2 5 2 11" xfId="24549"/>
    <cellStyle name="Input 2 3 2 5 2 12" xfId="25548"/>
    <cellStyle name="Input 2 3 2 5 2 13" xfId="28495"/>
    <cellStyle name="Input 2 3 2 5 2 14" xfId="29462"/>
    <cellStyle name="Input 2 3 2 5 2 15" xfId="30504"/>
    <cellStyle name="Input 2 3 2 5 2 16" xfId="31495"/>
    <cellStyle name="Input 2 3 2 5 2 17" xfId="32503"/>
    <cellStyle name="Input 2 3 2 5 2 18" xfId="33506"/>
    <cellStyle name="Input 2 3 2 5 2 19" xfId="34505"/>
    <cellStyle name="Input 2 3 2 5 2 2" xfId="4724"/>
    <cellStyle name="Input 2 3 2 5 2 2 10" xfId="24550"/>
    <cellStyle name="Input 2 3 2 5 2 2 11" xfId="25549"/>
    <cellStyle name="Input 2 3 2 5 2 2 12" xfId="28496"/>
    <cellStyle name="Input 2 3 2 5 2 2 13" xfId="29463"/>
    <cellStyle name="Input 2 3 2 5 2 2 14" xfId="30505"/>
    <cellStyle name="Input 2 3 2 5 2 2 15" xfId="31496"/>
    <cellStyle name="Input 2 3 2 5 2 2 16" xfId="32504"/>
    <cellStyle name="Input 2 3 2 5 2 2 17" xfId="33507"/>
    <cellStyle name="Input 2 3 2 5 2 2 18" xfId="34506"/>
    <cellStyle name="Input 2 3 2 5 2 2 19" xfId="36127"/>
    <cellStyle name="Input 2 3 2 5 2 2 2" xfId="16531"/>
    <cellStyle name="Input 2 3 2 5 2 2 20" xfId="37066"/>
    <cellStyle name="Input 2 3 2 5 2 2 3" xfId="17510"/>
    <cellStyle name="Input 2 3 2 5 2 2 4" xfId="18537"/>
    <cellStyle name="Input 2 3 2 5 2 2 5" xfId="19569"/>
    <cellStyle name="Input 2 3 2 5 2 2 6" xfId="20591"/>
    <cellStyle name="Input 2 3 2 5 2 2 7" xfId="21602"/>
    <cellStyle name="Input 2 3 2 5 2 2 8" xfId="22573"/>
    <cellStyle name="Input 2 3 2 5 2 2 9" xfId="23578"/>
    <cellStyle name="Input 2 3 2 5 2 20" xfId="36126"/>
    <cellStyle name="Input 2 3 2 5 2 21" xfId="37065"/>
    <cellStyle name="Input 2 3 2 5 2 3" xfId="16530"/>
    <cellStyle name="Input 2 3 2 5 2 4" xfId="17509"/>
    <cellStyle name="Input 2 3 2 5 2 5" xfId="18536"/>
    <cellStyle name="Input 2 3 2 5 2 6" xfId="19568"/>
    <cellStyle name="Input 2 3 2 5 2 7" xfId="20590"/>
    <cellStyle name="Input 2 3 2 5 2 8" xfId="21601"/>
    <cellStyle name="Input 2 3 2 5 2 9" xfId="22572"/>
    <cellStyle name="Input 2 3 2 5 3" xfId="4725"/>
    <cellStyle name="Input 2 3 2 5 3 10" xfId="23579"/>
    <cellStyle name="Input 2 3 2 5 3 11" xfId="24551"/>
    <cellStyle name="Input 2 3 2 5 3 12" xfId="25550"/>
    <cellStyle name="Input 2 3 2 5 3 13" xfId="28497"/>
    <cellStyle name="Input 2 3 2 5 3 14" xfId="29464"/>
    <cellStyle name="Input 2 3 2 5 3 15" xfId="30506"/>
    <cellStyle name="Input 2 3 2 5 3 16" xfId="31497"/>
    <cellStyle name="Input 2 3 2 5 3 17" xfId="32505"/>
    <cellStyle name="Input 2 3 2 5 3 18" xfId="33508"/>
    <cellStyle name="Input 2 3 2 5 3 19" xfId="34507"/>
    <cellStyle name="Input 2 3 2 5 3 2" xfId="4726"/>
    <cellStyle name="Input 2 3 2 5 3 2 10" xfId="24552"/>
    <cellStyle name="Input 2 3 2 5 3 2 11" xfId="25551"/>
    <cellStyle name="Input 2 3 2 5 3 2 12" xfId="28498"/>
    <cellStyle name="Input 2 3 2 5 3 2 13" xfId="29465"/>
    <cellStyle name="Input 2 3 2 5 3 2 14" xfId="30507"/>
    <cellStyle name="Input 2 3 2 5 3 2 15" xfId="31498"/>
    <cellStyle name="Input 2 3 2 5 3 2 16" xfId="32506"/>
    <cellStyle name="Input 2 3 2 5 3 2 17" xfId="33509"/>
    <cellStyle name="Input 2 3 2 5 3 2 18" xfId="34508"/>
    <cellStyle name="Input 2 3 2 5 3 2 19" xfId="36129"/>
    <cellStyle name="Input 2 3 2 5 3 2 2" xfId="16533"/>
    <cellStyle name="Input 2 3 2 5 3 2 20" xfId="37068"/>
    <cellStyle name="Input 2 3 2 5 3 2 3" xfId="17512"/>
    <cellStyle name="Input 2 3 2 5 3 2 4" xfId="18539"/>
    <cellStyle name="Input 2 3 2 5 3 2 5" xfId="19571"/>
    <cellStyle name="Input 2 3 2 5 3 2 6" xfId="20593"/>
    <cellStyle name="Input 2 3 2 5 3 2 7" xfId="21604"/>
    <cellStyle name="Input 2 3 2 5 3 2 8" xfId="22575"/>
    <cellStyle name="Input 2 3 2 5 3 2 9" xfId="23580"/>
    <cellStyle name="Input 2 3 2 5 3 20" xfId="36128"/>
    <cellStyle name="Input 2 3 2 5 3 21" xfId="37067"/>
    <cellStyle name="Input 2 3 2 5 3 3" xfId="16532"/>
    <cellStyle name="Input 2 3 2 5 3 4" xfId="17511"/>
    <cellStyle name="Input 2 3 2 5 3 5" xfId="18538"/>
    <cellStyle name="Input 2 3 2 5 3 6" xfId="19570"/>
    <cellStyle name="Input 2 3 2 5 3 7" xfId="20592"/>
    <cellStyle name="Input 2 3 2 5 3 8" xfId="21603"/>
    <cellStyle name="Input 2 3 2 5 3 9" xfId="22574"/>
    <cellStyle name="Input 2 3 2 5 4" xfId="4727"/>
    <cellStyle name="Input 2 3 2 5 4 10" xfId="23581"/>
    <cellStyle name="Input 2 3 2 5 4 11" xfId="24553"/>
    <cellStyle name="Input 2 3 2 5 4 12" xfId="25552"/>
    <cellStyle name="Input 2 3 2 5 4 13" xfId="28499"/>
    <cellStyle name="Input 2 3 2 5 4 14" xfId="29466"/>
    <cellStyle name="Input 2 3 2 5 4 15" xfId="30508"/>
    <cellStyle name="Input 2 3 2 5 4 16" xfId="31499"/>
    <cellStyle name="Input 2 3 2 5 4 17" xfId="32507"/>
    <cellStyle name="Input 2 3 2 5 4 18" xfId="33510"/>
    <cellStyle name="Input 2 3 2 5 4 19" xfId="34509"/>
    <cellStyle name="Input 2 3 2 5 4 2" xfId="4728"/>
    <cellStyle name="Input 2 3 2 5 4 2 10" xfId="24554"/>
    <cellStyle name="Input 2 3 2 5 4 2 11" xfId="25553"/>
    <cellStyle name="Input 2 3 2 5 4 2 12" xfId="28500"/>
    <cellStyle name="Input 2 3 2 5 4 2 13" xfId="29467"/>
    <cellStyle name="Input 2 3 2 5 4 2 14" xfId="30509"/>
    <cellStyle name="Input 2 3 2 5 4 2 15" xfId="31500"/>
    <cellStyle name="Input 2 3 2 5 4 2 16" xfId="32508"/>
    <cellStyle name="Input 2 3 2 5 4 2 17" xfId="33511"/>
    <cellStyle name="Input 2 3 2 5 4 2 18" xfId="34510"/>
    <cellStyle name="Input 2 3 2 5 4 2 19" xfId="36131"/>
    <cellStyle name="Input 2 3 2 5 4 2 2" xfId="16535"/>
    <cellStyle name="Input 2 3 2 5 4 2 20" xfId="37070"/>
    <cellStyle name="Input 2 3 2 5 4 2 3" xfId="17514"/>
    <cellStyle name="Input 2 3 2 5 4 2 4" xfId="18541"/>
    <cellStyle name="Input 2 3 2 5 4 2 5" xfId="19573"/>
    <cellStyle name="Input 2 3 2 5 4 2 6" xfId="20595"/>
    <cellStyle name="Input 2 3 2 5 4 2 7" xfId="21606"/>
    <cellStyle name="Input 2 3 2 5 4 2 8" xfId="22577"/>
    <cellStyle name="Input 2 3 2 5 4 2 9" xfId="23582"/>
    <cellStyle name="Input 2 3 2 5 4 20" xfId="36130"/>
    <cellStyle name="Input 2 3 2 5 4 21" xfId="37069"/>
    <cellStyle name="Input 2 3 2 5 4 3" xfId="16534"/>
    <cellStyle name="Input 2 3 2 5 4 4" xfId="17513"/>
    <cellStyle name="Input 2 3 2 5 4 5" xfId="18540"/>
    <cellStyle name="Input 2 3 2 5 4 6" xfId="19572"/>
    <cellStyle name="Input 2 3 2 5 4 7" xfId="20594"/>
    <cellStyle name="Input 2 3 2 5 4 8" xfId="21605"/>
    <cellStyle name="Input 2 3 2 5 4 9" xfId="22576"/>
    <cellStyle name="Input 2 3 2 5 5" xfId="4729"/>
    <cellStyle name="Input 2 3 2 5 5 10" xfId="24555"/>
    <cellStyle name="Input 2 3 2 5 5 11" xfId="25554"/>
    <cellStyle name="Input 2 3 2 5 5 12" xfId="28501"/>
    <cellStyle name="Input 2 3 2 5 5 13" xfId="29468"/>
    <cellStyle name="Input 2 3 2 5 5 14" xfId="30510"/>
    <cellStyle name="Input 2 3 2 5 5 15" xfId="31501"/>
    <cellStyle name="Input 2 3 2 5 5 16" xfId="32509"/>
    <cellStyle name="Input 2 3 2 5 5 17" xfId="33512"/>
    <cellStyle name="Input 2 3 2 5 5 18" xfId="34511"/>
    <cellStyle name="Input 2 3 2 5 5 19" xfId="36132"/>
    <cellStyle name="Input 2 3 2 5 5 2" xfId="16536"/>
    <cellStyle name="Input 2 3 2 5 5 20" xfId="37071"/>
    <cellStyle name="Input 2 3 2 5 5 3" xfId="17515"/>
    <cellStyle name="Input 2 3 2 5 5 4" xfId="18542"/>
    <cellStyle name="Input 2 3 2 5 5 5" xfId="19574"/>
    <cellStyle name="Input 2 3 2 5 5 6" xfId="20596"/>
    <cellStyle name="Input 2 3 2 5 5 7" xfId="21607"/>
    <cellStyle name="Input 2 3 2 5 5 8" xfId="22578"/>
    <cellStyle name="Input 2 3 2 5 5 9" xfId="23583"/>
    <cellStyle name="Input 2 3 2 5 6" xfId="13763"/>
    <cellStyle name="Input 2 3 2 5 7" xfId="14552"/>
    <cellStyle name="Input 2 3 2 5 8" xfId="13589"/>
    <cellStyle name="Input 2 3 2 5 9" xfId="15249"/>
    <cellStyle name="Input 2 3 2 6" xfId="4730"/>
    <cellStyle name="Input 2 3 2 6 10" xfId="23584"/>
    <cellStyle name="Input 2 3 2 6 11" xfId="24556"/>
    <cellStyle name="Input 2 3 2 6 12" xfId="25555"/>
    <cellStyle name="Input 2 3 2 6 13" xfId="28502"/>
    <cellStyle name="Input 2 3 2 6 14" xfId="29469"/>
    <cellStyle name="Input 2 3 2 6 15" xfId="30511"/>
    <cellStyle name="Input 2 3 2 6 16" xfId="31502"/>
    <cellStyle name="Input 2 3 2 6 17" xfId="32510"/>
    <cellStyle name="Input 2 3 2 6 18" xfId="33513"/>
    <cellStyle name="Input 2 3 2 6 19" xfId="34512"/>
    <cellStyle name="Input 2 3 2 6 2" xfId="4731"/>
    <cellStyle name="Input 2 3 2 6 2 10" xfId="24557"/>
    <cellStyle name="Input 2 3 2 6 2 11" xfId="25556"/>
    <cellStyle name="Input 2 3 2 6 2 12" xfId="28503"/>
    <cellStyle name="Input 2 3 2 6 2 13" xfId="29470"/>
    <cellStyle name="Input 2 3 2 6 2 14" xfId="30512"/>
    <cellStyle name="Input 2 3 2 6 2 15" xfId="31503"/>
    <cellStyle name="Input 2 3 2 6 2 16" xfId="32511"/>
    <cellStyle name="Input 2 3 2 6 2 17" xfId="33514"/>
    <cellStyle name="Input 2 3 2 6 2 18" xfId="34513"/>
    <cellStyle name="Input 2 3 2 6 2 19" xfId="36134"/>
    <cellStyle name="Input 2 3 2 6 2 2" xfId="16538"/>
    <cellStyle name="Input 2 3 2 6 2 20" xfId="37073"/>
    <cellStyle name="Input 2 3 2 6 2 3" xfId="17517"/>
    <cellStyle name="Input 2 3 2 6 2 4" xfId="18544"/>
    <cellStyle name="Input 2 3 2 6 2 5" xfId="19576"/>
    <cellStyle name="Input 2 3 2 6 2 6" xfId="20598"/>
    <cellStyle name="Input 2 3 2 6 2 7" xfId="21609"/>
    <cellStyle name="Input 2 3 2 6 2 8" xfId="22580"/>
    <cellStyle name="Input 2 3 2 6 2 9" xfId="23585"/>
    <cellStyle name="Input 2 3 2 6 20" xfId="36133"/>
    <cellStyle name="Input 2 3 2 6 21" xfId="37072"/>
    <cellStyle name="Input 2 3 2 6 3" xfId="16537"/>
    <cellStyle name="Input 2 3 2 6 4" xfId="17516"/>
    <cellStyle name="Input 2 3 2 6 5" xfId="18543"/>
    <cellStyle name="Input 2 3 2 6 6" xfId="19575"/>
    <cellStyle name="Input 2 3 2 6 7" xfId="20597"/>
    <cellStyle name="Input 2 3 2 6 8" xfId="21608"/>
    <cellStyle name="Input 2 3 2 6 9" xfId="22579"/>
    <cellStyle name="Input 2 3 2 7" xfId="4732"/>
    <cellStyle name="Input 2 3 2 7 10" xfId="23586"/>
    <cellStyle name="Input 2 3 2 7 11" xfId="24558"/>
    <cellStyle name="Input 2 3 2 7 12" xfId="25557"/>
    <cellStyle name="Input 2 3 2 7 13" xfId="28504"/>
    <cellStyle name="Input 2 3 2 7 14" xfId="29471"/>
    <cellStyle name="Input 2 3 2 7 15" xfId="30513"/>
    <cellStyle name="Input 2 3 2 7 16" xfId="31504"/>
    <cellStyle name="Input 2 3 2 7 17" xfId="32512"/>
    <cellStyle name="Input 2 3 2 7 18" xfId="33515"/>
    <cellStyle name="Input 2 3 2 7 19" xfId="34514"/>
    <cellStyle name="Input 2 3 2 7 2" xfId="4733"/>
    <cellStyle name="Input 2 3 2 7 2 10" xfId="24559"/>
    <cellStyle name="Input 2 3 2 7 2 11" xfId="25558"/>
    <cellStyle name="Input 2 3 2 7 2 12" xfId="28505"/>
    <cellStyle name="Input 2 3 2 7 2 13" xfId="29472"/>
    <cellStyle name="Input 2 3 2 7 2 14" xfId="30514"/>
    <cellStyle name="Input 2 3 2 7 2 15" xfId="31505"/>
    <cellStyle name="Input 2 3 2 7 2 16" xfId="32513"/>
    <cellStyle name="Input 2 3 2 7 2 17" xfId="33516"/>
    <cellStyle name="Input 2 3 2 7 2 18" xfId="34515"/>
    <cellStyle name="Input 2 3 2 7 2 19" xfId="36136"/>
    <cellStyle name="Input 2 3 2 7 2 2" xfId="16540"/>
    <cellStyle name="Input 2 3 2 7 2 20" xfId="37075"/>
    <cellStyle name="Input 2 3 2 7 2 3" xfId="17519"/>
    <cellStyle name="Input 2 3 2 7 2 4" xfId="18546"/>
    <cellStyle name="Input 2 3 2 7 2 5" xfId="19578"/>
    <cellStyle name="Input 2 3 2 7 2 6" xfId="20600"/>
    <cellStyle name="Input 2 3 2 7 2 7" xfId="21611"/>
    <cellStyle name="Input 2 3 2 7 2 8" xfId="22582"/>
    <cellStyle name="Input 2 3 2 7 2 9" xfId="23587"/>
    <cellStyle name="Input 2 3 2 7 20" xfId="36135"/>
    <cellStyle name="Input 2 3 2 7 21" xfId="37074"/>
    <cellStyle name="Input 2 3 2 7 3" xfId="16539"/>
    <cellStyle name="Input 2 3 2 7 4" xfId="17518"/>
    <cellStyle name="Input 2 3 2 7 5" xfId="18545"/>
    <cellStyle name="Input 2 3 2 7 6" xfId="19577"/>
    <cellStyle name="Input 2 3 2 7 7" xfId="20599"/>
    <cellStyle name="Input 2 3 2 7 8" xfId="21610"/>
    <cellStyle name="Input 2 3 2 7 9" xfId="22581"/>
    <cellStyle name="Input 2 3 2 8" xfId="4734"/>
    <cellStyle name="Input 2 3 2 8 10" xfId="23588"/>
    <cellStyle name="Input 2 3 2 8 11" xfId="24560"/>
    <cellStyle name="Input 2 3 2 8 12" xfId="25559"/>
    <cellStyle name="Input 2 3 2 8 13" xfId="28506"/>
    <cellStyle name="Input 2 3 2 8 14" xfId="29473"/>
    <cellStyle name="Input 2 3 2 8 15" xfId="30515"/>
    <cellStyle name="Input 2 3 2 8 16" xfId="31506"/>
    <cellStyle name="Input 2 3 2 8 17" xfId="32514"/>
    <cellStyle name="Input 2 3 2 8 18" xfId="33517"/>
    <cellStyle name="Input 2 3 2 8 19" xfId="34516"/>
    <cellStyle name="Input 2 3 2 8 2" xfId="4735"/>
    <cellStyle name="Input 2 3 2 8 2 10" xfId="24561"/>
    <cellStyle name="Input 2 3 2 8 2 11" xfId="25560"/>
    <cellStyle name="Input 2 3 2 8 2 12" xfId="28507"/>
    <cellStyle name="Input 2 3 2 8 2 13" xfId="29474"/>
    <cellStyle name="Input 2 3 2 8 2 14" xfId="30516"/>
    <cellStyle name="Input 2 3 2 8 2 15" xfId="31507"/>
    <cellStyle name="Input 2 3 2 8 2 16" xfId="32515"/>
    <cellStyle name="Input 2 3 2 8 2 17" xfId="33518"/>
    <cellStyle name="Input 2 3 2 8 2 18" xfId="34517"/>
    <cellStyle name="Input 2 3 2 8 2 19" xfId="36138"/>
    <cellStyle name="Input 2 3 2 8 2 2" xfId="16542"/>
    <cellStyle name="Input 2 3 2 8 2 20" xfId="37077"/>
    <cellStyle name="Input 2 3 2 8 2 3" xfId="17521"/>
    <cellStyle name="Input 2 3 2 8 2 4" xfId="18548"/>
    <cellStyle name="Input 2 3 2 8 2 5" xfId="19580"/>
    <cellStyle name="Input 2 3 2 8 2 6" xfId="20602"/>
    <cellStyle name="Input 2 3 2 8 2 7" xfId="21613"/>
    <cellStyle name="Input 2 3 2 8 2 8" xfId="22584"/>
    <cellStyle name="Input 2 3 2 8 2 9" xfId="23589"/>
    <cellStyle name="Input 2 3 2 8 20" xfId="36137"/>
    <cellStyle name="Input 2 3 2 8 21" xfId="37076"/>
    <cellStyle name="Input 2 3 2 8 3" xfId="16541"/>
    <cellStyle name="Input 2 3 2 8 4" xfId="17520"/>
    <cellStyle name="Input 2 3 2 8 5" xfId="18547"/>
    <cellStyle name="Input 2 3 2 8 6" xfId="19579"/>
    <cellStyle name="Input 2 3 2 8 7" xfId="20601"/>
    <cellStyle name="Input 2 3 2 8 8" xfId="21612"/>
    <cellStyle name="Input 2 3 2 8 9" xfId="22583"/>
    <cellStyle name="Input 2 3 2 9" xfId="4736"/>
    <cellStyle name="Input 2 3 2 9 10" xfId="24562"/>
    <cellStyle name="Input 2 3 2 9 11" xfId="25561"/>
    <cellStyle name="Input 2 3 2 9 12" xfId="28508"/>
    <cellStyle name="Input 2 3 2 9 13" xfId="29475"/>
    <cellStyle name="Input 2 3 2 9 14" xfId="30517"/>
    <cellStyle name="Input 2 3 2 9 15" xfId="31508"/>
    <cellStyle name="Input 2 3 2 9 16" xfId="32516"/>
    <cellStyle name="Input 2 3 2 9 17" xfId="33519"/>
    <cellStyle name="Input 2 3 2 9 18" xfId="34518"/>
    <cellStyle name="Input 2 3 2 9 19" xfId="36139"/>
    <cellStyle name="Input 2 3 2 9 2" xfId="16543"/>
    <cellStyle name="Input 2 3 2 9 20" xfId="37078"/>
    <cellStyle name="Input 2 3 2 9 3" xfId="17522"/>
    <cellStyle name="Input 2 3 2 9 4" xfId="18549"/>
    <cellStyle name="Input 2 3 2 9 5" xfId="19581"/>
    <cellStyle name="Input 2 3 2 9 6" xfId="20603"/>
    <cellStyle name="Input 2 3 2 9 7" xfId="21614"/>
    <cellStyle name="Input 2 3 2 9 8" xfId="22585"/>
    <cellStyle name="Input 2 3 2 9 9" xfId="23590"/>
    <cellStyle name="Input 2 3 20" xfId="34867"/>
    <cellStyle name="Input 2 3 21" xfId="34861"/>
    <cellStyle name="Input 2 3 22" xfId="35377"/>
    <cellStyle name="Input 2 3 23" xfId="37481"/>
    <cellStyle name="Input 2 3 3" xfId="4737"/>
    <cellStyle name="Input 2 3 3 10" xfId="15394"/>
    <cellStyle name="Input 2 3 3 11" xfId="15166"/>
    <cellStyle name="Input 2 3 3 12" xfId="15126"/>
    <cellStyle name="Input 2 3 3 13" xfId="20953"/>
    <cellStyle name="Input 2 3 3 14" xfId="13444"/>
    <cellStyle name="Input 2 3 3 15" xfId="15463"/>
    <cellStyle name="Input 2 3 3 16" xfId="26517"/>
    <cellStyle name="Input 2 3 3 17" xfId="27664"/>
    <cellStyle name="Input 2 3 3 18" xfId="26584"/>
    <cellStyle name="Input 2 3 3 19" xfId="27008"/>
    <cellStyle name="Input 2 3 3 2" xfId="4738"/>
    <cellStyle name="Input 2 3 3 2 10" xfId="23591"/>
    <cellStyle name="Input 2 3 3 2 11" xfId="24563"/>
    <cellStyle name="Input 2 3 3 2 12" xfId="25562"/>
    <cellStyle name="Input 2 3 3 2 13" xfId="28509"/>
    <cellStyle name="Input 2 3 3 2 14" xfId="29476"/>
    <cellStyle name="Input 2 3 3 2 15" xfId="30518"/>
    <cellStyle name="Input 2 3 3 2 16" xfId="31509"/>
    <cellStyle name="Input 2 3 3 2 17" xfId="32517"/>
    <cellStyle name="Input 2 3 3 2 18" xfId="33520"/>
    <cellStyle name="Input 2 3 3 2 19" xfId="34519"/>
    <cellStyle name="Input 2 3 3 2 2" xfId="4739"/>
    <cellStyle name="Input 2 3 3 2 2 10" xfId="24564"/>
    <cellStyle name="Input 2 3 3 2 2 11" xfId="25563"/>
    <cellStyle name="Input 2 3 3 2 2 12" xfId="28510"/>
    <cellStyle name="Input 2 3 3 2 2 13" xfId="29477"/>
    <cellStyle name="Input 2 3 3 2 2 14" xfId="30519"/>
    <cellStyle name="Input 2 3 3 2 2 15" xfId="31510"/>
    <cellStyle name="Input 2 3 3 2 2 16" xfId="32518"/>
    <cellStyle name="Input 2 3 3 2 2 17" xfId="33521"/>
    <cellStyle name="Input 2 3 3 2 2 18" xfId="34520"/>
    <cellStyle name="Input 2 3 3 2 2 19" xfId="36141"/>
    <cellStyle name="Input 2 3 3 2 2 2" xfId="16545"/>
    <cellStyle name="Input 2 3 3 2 2 20" xfId="37080"/>
    <cellStyle name="Input 2 3 3 2 2 3" xfId="17524"/>
    <cellStyle name="Input 2 3 3 2 2 4" xfId="18551"/>
    <cellStyle name="Input 2 3 3 2 2 5" xfId="19583"/>
    <cellStyle name="Input 2 3 3 2 2 6" xfId="20605"/>
    <cellStyle name="Input 2 3 3 2 2 7" xfId="21616"/>
    <cellStyle name="Input 2 3 3 2 2 8" xfId="22587"/>
    <cellStyle name="Input 2 3 3 2 2 9" xfId="23592"/>
    <cellStyle name="Input 2 3 3 2 20" xfId="36140"/>
    <cellStyle name="Input 2 3 3 2 21" xfId="37079"/>
    <cellStyle name="Input 2 3 3 2 3" xfId="16544"/>
    <cellStyle name="Input 2 3 3 2 4" xfId="17523"/>
    <cellStyle name="Input 2 3 3 2 5" xfId="18550"/>
    <cellStyle name="Input 2 3 3 2 6" xfId="19582"/>
    <cellStyle name="Input 2 3 3 2 7" xfId="20604"/>
    <cellStyle name="Input 2 3 3 2 8" xfId="21615"/>
    <cellStyle name="Input 2 3 3 2 9" xfId="22586"/>
    <cellStyle name="Input 2 3 3 20" xfId="26352"/>
    <cellStyle name="Input 2 3 3 21" xfId="26950"/>
    <cellStyle name="Input 2 3 3 22" xfId="26986"/>
    <cellStyle name="Input 2 3 3 23" xfId="35185"/>
    <cellStyle name="Input 2 3 3 24" xfId="35386"/>
    <cellStyle name="Input 2 3 3 3" xfId="4740"/>
    <cellStyle name="Input 2 3 3 3 10" xfId="23593"/>
    <cellStyle name="Input 2 3 3 3 11" xfId="24565"/>
    <cellStyle name="Input 2 3 3 3 12" xfId="25564"/>
    <cellStyle name="Input 2 3 3 3 13" xfId="28511"/>
    <cellStyle name="Input 2 3 3 3 14" xfId="29478"/>
    <cellStyle name="Input 2 3 3 3 15" xfId="30520"/>
    <cellStyle name="Input 2 3 3 3 16" xfId="31511"/>
    <cellStyle name="Input 2 3 3 3 17" xfId="32519"/>
    <cellStyle name="Input 2 3 3 3 18" xfId="33522"/>
    <cellStyle name="Input 2 3 3 3 19" xfId="34521"/>
    <cellStyle name="Input 2 3 3 3 2" xfId="4741"/>
    <cellStyle name="Input 2 3 3 3 2 10" xfId="24566"/>
    <cellStyle name="Input 2 3 3 3 2 11" xfId="25565"/>
    <cellStyle name="Input 2 3 3 3 2 12" xfId="28512"/>
    <cellStyle name="Input 2 3 3 3 2 13" xfId="29479"/>
    <cellStyle name="Input 2 3 3 3 2 14" xfId="30521"/>
    <cellStyle name="Input 2 3 3 3 2 15" xfId="31512"/>
    <cellStyle name="Input 2 3 3 3 2 16" xfId="32520"/>
    <cellStyle name="Input 2 3 3 3 2 17" xfId="33523"/>
    <cellStyle name="Input 2 3 3 3 2 18" xfId="34522"/>
    <cellStyle name="Input 2 3 3 3 2 19" xfId="36143"/>
    <cellStyle name="Input 2 3 3 3 2 2" xfId="16547"/>
    <cellStyle name="Input 2 3 3 3 2 20" xfId="37082"/>
    <cellStyle name="Input 2 3 3 3 2 3" xfId="17526"/>
    <cellStyle name="Input 2 3 3 3 2 4" xfId="18553"/>
    <cellStyle name="Input 2 3 3 3 2 5" xfId="19585"/>
    <cellStyle name="Input 2 3 3 3 2 6" xfId="20607"/>
    <cellStyle name="Input 2 3 3 3 2 7" xfId="21618"/>
    <cellStyle name="Input 2 3 3 3 2 8" xfId="22589"/>
    <cellStyle name="Input 2 3 3 3 2 9" xfId="23594"/>
    <cellStyle name="Input 2 3 3 3 20" xfId="36142"/>
    <cellStyle name="Input 2 3 3 3 21" xfId="37081"/>
    <cellStyle name="Input 2 3 3 3 3" xfId="16546"/>
    <cellStyle name="Input 2 3 3 3 4" xfId="17525"/>
    <cellStyle name="Input 2 3 3 3 5" xfId="18552"/>
    <cellStyle name="Input 2 3 3 3 6" xfId="19584"/>
    <cellStyle name="Input 2 3 3 3 7" xfId="20606"/>
    <cellStyle name="Input 2 3 3 3 8" xfId="21617"/>
    <cellStyle name="Input 2 3 3 3 9" xfId="22588"/>
    <cellStyle name="Input 2 3 3 4" xfId="4742"/>
    <cellStyle name="Input 2 3 3 4 10" xfId="23595"/>
    <cellStyle name="Input 2 3 3 4 11" xfId="24567"/>
    <cellStyle name="Input 2 3 3 4 12" xfId="25566"/>
    <cellStyle name="Input 2 3 3 4 13" xfId="28513"/>
    <cellStyle name="Input 2 3 3 4 14" xfId="29480"/>
    <cellStyle name="Input 2 3 3 4 15" xfId="30522"/>
    <cellStyle name="Input 2 3 3 4 16" xfId="31513"/>
    <cellStyle name="Input 2 3 3 4 17" xfId="32521"/>
    <cellStyle name="Input 2 3 3 4 18" xfId="33524"/>
    <cellStyle name="Input 2 3 3 4 19" xfId="34523"/>
    <cellStyle name="Input 2 3 3 4 2" xfId="4743"/>
    <cellStyle name="Input 2 3 3 4 2 10" xfId="24568"/>
    <cellStyle name="Input 2 3 3 4 2 11" xfId="25567"/>
    <cellStyle name="Input 2 3 3 4 2 12" xfId="28514"/>
    <cellStyle name="Input 2 3 3 4 2 13" xfId="29481"/>
    <cellStyle name="Input 2 3 3 4 2 14" xfId="30523"/>
    <cellStyle name="Input 2 3 3 4 2 15" xfId="31514"/>
    <cellStyle name="Input 2 3 3 4 2 16" xfId="32522"/>
    <cellStyle name="Input 2 3 3 4 2 17" xfId="33525"/>
    <cellStyle name="Input 2 3 3 4 2 18" xfId="34524"/>
    <cellStyle name="Input 2 3 3 4 2 19" xfId="36145"/>
    <cellStyle name="Input 2 3 3 4 2 2" xfId="16549"/>
    <cellStyle name="Input 2 3 3 4 2 20" xfId="37084"/>
    <cellStyle name="Input 2 3 3 4 2 3" xfId="17528"/>
    <cellStyle name="Input 2 3 3 4 2 4" xfId="18555"/>
    <cellStyle name="Input 2 3 3 4 2 5" xfId="19587"/>
    <cellStyle name="Input 2 3 3 4 2 6" xfId="20609"/>
    <cellStyle name="Input 2 3 3 4 2 7" xfId="21620"/>
    <cellStyle name="Input 2 3 3 4 2 8" xfId="22591"/>
    <cellStyle name="Input 2 3 3 4 2 9" xfId="23596"/>
    <cellStyle name="Input 2 3 3 4 20" xfId="36144"/>
    <cellStyle name="Input 2 3 3 4 21" xfId="37083"/>
    <cellStyle name="Input 2 3 3 4 3" xfId="16548"/>
    <cellStyle name="Input 2 3 3 4 4" xfId="17527"/>
    <cellStyle name="Input 2 3 3 4 5" xfId="18554"/>
    <cellStyle name="Input 2 3 3 4 6" xfId="19586"/>
    <cellStyle name="Input 2 3 3 4 7" xfId="20608"/>
    <cellStyle name="Input 2 3 3 4 8" xfId="21619"/>
    <cellStyle name="Input 2 3 3 4 9" xfId="22590"/>
    <cellStyle name="Input 2 3 3 5" xfId="4744"/>
    <cellStyle name="Input 2 3 3 5 10" xfId="24569"/>
    <cellStyle name="Input 2 3 3 5 11" xfId="25568"/>
    <cellStyle name="Input 2 3 3 5 12" xfId="28515"/>
    <cellStyle name="Input 2 3 3 5 13" xfId="29482"/>
    <cellStyle name="Input 2 3 3 5 14" xfId="30524"/>
    <cellStyle name="Input 2 3 3 5 15" xfId="31515"/>
    <cellStyle name="Input 2 3 3 5 16" xfId="32523"/>
    <cellStyle name="Input 2 3 3 5 17" xfId="33526"/>
    <cellStyle name="Input 2 3 3 5 18" xfId="34525"/>
    <cellStyle name="Input 2 3 3 5 19" xfId="36146"/>
    <cellStyle name="Input 2 3 3 5 2" xfId="16550"/>
    <cellStyle name="Input 2 3 3 5 20" xfId="37085"/>
    <cellStyle name="Input 2 3 3 5 3" xfId="17529"/>
    <cellStyle name="Input 2 3 3 5 4" xfId="18556"/>
    <cellStyle name="Input 2 3 3 5 5" xfId="19588"/>
    <cellStyle name="Input 2 3 3 5 6" xfId="20610"/>
    <cellStyle name="Input 2 3 3 5 7" xfId="21621"/>
    <cellStyle name="Input 2 3 3 5 8" xfId="22592"/>
    <cellStyle name="Input 2 3 3 5 9" xfId="23597"/>
    <cellStyle name="Input 2 3 3 6" xfId="13957"/>
    <cellStyle name="Input 2 3 3 7" xfId="14815"/>
    <cellStyle name="Input 2 3 3 8" xfId="14448"/>
    <cellStyle name="Input 2 3 3 9" xfId="14999"/>
    <cellStyle name="Input 2 3 4" xfId="4745"/>
    <cellStyle name="Input 2 3 4 10" xfId="23598"/>
    <cellStyle name="Input 2 3 4 11" xfId="24570"/>
    <cellStyle name="Input 2 3 4 12" xfId="25569"/>
    <cellStyle name="Input 2 3 4 13" xfId="28516"/>
    <cellStyle name="Input 2 3 4 14" xfId="29483"/>
    <cellStyle name="Input 2 3 4 15" xfId="30525"/>
    <cellStyle name="Input 2 3 4 16" xfId="31516"/>
    <cellStyle name="Input 2 3 4 17" xfId="32524"/>
    <cellStyle name="Input 2 3 4 18" xfId="33527"/>
    <cellStyle name="Input 2 3 4 19" xfId="34526"/>
    <cellStyle name="Input 2 3 4 2" xfId="4746"/>
    <cellStyle name="Input 2 3 4 2 10" xfId="24571"/>
    <cellStyle name="Input 2 3 4 2 11" xfId="25570"/>
    <cellStyle name="Input 2 3 4 2 12" xfId="28517"/>
    <cellStyle name="Input 2 3 4 2 13" xfId="29484"/>
    <cellStyle name="Input 2 3 4 2 14" xfId="30526"/>
    <cellStyle name="Input 2 3 4 2 15" xfId="31517"/>
    <cellStyle name="Input 2 3 4 2 16" xfId="32525"/>
    <cellStyle name="Input 2 3 4 2 17" xfId="33528"/>
    <cellStyle name="Input 2 3 4 2 18" xfId="34527"/>
    <cellStyle name="Input 2 3 4 2 19" xfId="36148"/>
    <cellStyle name="Input 2 3 4 2 2" xfId="16552"/>
    <cellStyle name="Input 2 3 4 2 20" xfId="37087"/>
    <cellStyle name="Input 2 3 4 2 3" xfId="17531"/>
    <cellStyle name="Input 2 3 4 2 4" xfId="18558"/>
    <cellStyle name="Input 2 3 4 2 5" xfId="19590"/>
    <cellStyle name="Input 2 3 4 2 6" xfId="20612"/>
    <cellStyle name="Input 2 3 4 2 7" xfId="21623"/>
    <cellStyle name="Input 2 3 4 2 8" xfId="22594"/>
    <cellStyle name="Input 2 3 4 2 9" xfId="23599"/>
    <cellStyle name="Input 2 3 4 20" xfId="36147"/>
    <cellStyle name="Input 2 3 4 21" xfId="37086"/>
    <cellStyle name="Input 2 3 4 3" xfId="16551"/>
    <cellStyle name="Input 2 3 4 4" xfId="17530"/>
    <cellStyle name="Input 2 3 4 5" xfId="18557"/>
    <cellStyle name="Input 2 3 4 6" xfId="19589"/>
    <cellStyle name="Input 2 3 4 7" xfId="20611"/>
    <cellStyle name="Input 2 3 4 8" xfId="21622"/>
    <cellStyle name="Input 2 3 4 9" xfId="22593"/>
    <cellStyle name="Input 2 3 5" xfId="4747"/>
    <cellStyle name="Input 2 3 5 10" xfId="23600"/>
    <cellStyle name="Input 2 3 5 11" xfId="24572"/>
    <cellStyle name="Input 2 3 5 12" xfId="25571"/>
    <cellStyle name="Input 2 3 5 13" xfId="28518"/>
    <cellStyle name="Input 2 3 5 14" xfId="29485"/>
    <cellStyle name="Input 2 3 5 15" xfId="30527"/>
    <cellStyle name="Input 2 3 5 16" xfId="31518"/>
    <cellStyle name="Input 2 3 5 17" xfId="32526"/>
    <cellStyle name="Input 2 3 5 18" xfId="33529"/>
    <cellStyle name="Input 2 3 5 19" xfId="34528"/>
    <cellStyle name="Input 2 3 5 2" xfId="4748"/>
    <cellStyle name="Input 2 3 5 2 10" xfId="24573"/>
    <cellStyle name="Input 2 3 5 2 11" xfId="25572"/>
    <cellStyle name="Input 2 3 5 2 12" xfId="28519"/>
    <cellStyle name="Input 2 3 5 2 13" xfId="29486"/>
    <cellStyle name="Input 2 3 5 2 14" xfId="30528"/>
    <cellStyle name="Input 2 3 5 2 15" xfId="31519"/>
    <cellStyle name="Input 2 3 5 2 16" xfId="32527"/>
    <cellStyle name="Input 2 3 5 2 17" xfId="33530"/>
    <cellStyle name="Input 2 3 5 2 18" xfId="34529"/>
    <cellStyle name="Input 2 3 5 2 19" xfId="36150"/>
    <cellStyle name="Input 2 3 5 2 2" xfId="16554"/>
    <cellStyle name="Input 2 3 5 2 20" xfId="37089"/>
    <cellStyle name="Input 2 3 5 2 3" xfId="17533"/>
    <cellStyle name="Input 2 3 5 2 4" xfId="18560"/>
    <cellStyle name="Input 2 3 5 2 5" xfId="19592"/>
    <cellStyle name="Input 2 3 5 2 6" xfId="20614"/>
    <cellStyle name="Input 2 3 5 2 7" xfId="21625"/>
    <cellStyle name="Input 2 3 5 2 8" xfId="22596"/>
    <cellStyle name="Input 2 3 5 2 9" xfId="23601"/>
    <cellStyle name="Input 2 3 5 20" xfId="36149"/>
    <cellStyle name="Input 2 3 5 21" xfId="37088"/>
    <cellStyle name="Input 2 3 5 3" xfId="16553"/>
    <cellStyle name="Input 2 3 5 4" xfId="17532"/>
    <cellStyle name="Input 2 3 5 5" xfId="18559"/>
    <cellStyle name="Input 2 3 5 6" xfId="19591"/>
    <cellStyle name="Input 2 3 5 7" xfId="20613"/>
    <cellStyle name="Input 2 3 5 8" xfId="21624"/>
    <cellStyle name="Input 2 3 5 9" xfId="22595"/>
    <cellStyle name="Input 2 3 6" xfId="4749"/>
    <cellStyle name="Input 2 3 6 10" xfId="23602"/>
    <cellStyle name="Input 2 3 6 11" xfId="24574"/>
    <cellStyle name="Input 2 3 6 12" xfId="25573"/>
    <cellStyle name="Input 2 3 6 13" xfId="28520"/>
    <cellStyle name="Input 2 3 6 14" xfId="29487"/>
    <cellStyle name="Input 2 3 6 15" xfId="30529"/>
    <cellStyle name="Input 2 3 6 16" xfId="31520"/>
    <cellStyle name="Input 2 3 6 17" xfId="32528"/>
    <cellStyle name="Input 2 3 6 18" xfId="33531"/>
    <cellStyle name="Input 2 3 6 19" xfId="34530"/>
    <cellStyle name="Input 2 3 6 2" xfId="4750"/>
    <cellStyle name="Input 2 3 6 2 10" xfId="24575"/>
    <cellStyle name="Input 2 3 6 2 11" xfId="25574"/>
    <cellStyle name="Input 2 3 6 2 12" xfId="28521"/>
    <cellStyle name="Input 2 3 6 2 13" xfId="29488"/>
    <cellStyle name="Input 2 3 6 2 14" xfId="30530"/>
    <cellStyle name="Input 2 3 6 2 15" xfId="31521"/>
    <cellStyle name="Input 2 3 6 2 16" xfId="32529"/>
    <cellStyle name="Input 2 3 6 2 17" xfId="33532"/>
    <cellStyle name="Input 2 3 6 2 18" xfId="34531"/>
    <cellStyle name="Input 2 3 6 2 19" xfId="36152"/>
    <cellStyle name="Input 2 3 6 2 2" xfId="16556"/>
    <cellStyle name="Input 2 3 6 2 20" xfId="37091"/>
    <cellStyle name="Input 2 3 6 2 3" xfId="17535"/>
    <cellStyle name="Input 2 3 6 2 4" xfId="18562"/>
    <cellStyle name="Input 2 3 6 2 5" xfId="19594"/>
    <cellStyle name="Input 2 3 6 2 6" xfId="20616"/>
    <cellStyle name="Input 2 3 6 2 7" xfId="21627"/>
    <cellStyle name="Input 2 3 6 2 8" xfId="22598"/>
    <cellStyle name="Input 2 3 6 2 9" xfId="23603"/>
    <cellStyle name="Input 2 3 6 20" xfId="36151"/>
    <cellStyle name="Input 2 3 6 21" xfId="37090"/>
    <cellStyle name="Input 2 3 6 3" xfId="16555"/>
    <cellStyle name="Input 2 3 6 4" xfId="17534"/>
    <cellStyle name="Input 2 3 6 5" xfId="18561"/>
    <cellStyle name="Input 2 3 6 6" xfId="19593"/>
    <cellStyle name="Input 2 3 6 7" xfId="20615"/>
    <cellStyle name="Input 2 3 6 8" xfId="21626"/>
    <cellStyle name="Input 2 3 6 9" xfId="22597"/>
    <cellStyle name="Input 2 3 7" xfId="4751"/>
    <cellStyle name="Input 2 3 7 10" xfId="24576"/>
    <cellStyle name="Input 2 3 7 11" xfId="25575"/>
    <cellStyle name="Input 2 3 7 12" xfId="28522"/>
    <cellStyle name="Input 2 3 7 13" xfId="29489"/>
    <cellStyle name="Input 2 3 7 14" xfId="30531"/>
    <cellStyle name="Input 2 3 7 15" xfId="31522"/>
    <cellStyle name="Input 2 3 7 16" xfId="32530"/>
    <cellStyle name="Input 2 3 7 17" xfId="33533"/>
    <cellStyle name="Input 2 3 7 18" xfId="34532"/>
    <cellStyle name="Input 2 3 7 19" xfId="36153"/>
    <cellStyle name="Input 2 3 7 2" xfId="16557"/>
    <cellStyle name="Input 2 3 7 20" xfId="37092"/>
    <cellStyle name="Input 2 3 7 3" xfId="17536"/>
    <cellStyle name="Input 2 3 7 4" xfId="18563"/>
    <cellStyle name="Input 2 3 7 5" xfId="19595"/>
    <cellStyle name="Input 2 3 7 6" xfId="20617"/>
    <cellStyle name="Input 2 3 7 7" xfId="21628"/>
    <cellStyle name="Input 2 3 7 8" xfId="22599"/>
    <cellStyle name="Input 2 3 7 9" xfId="23604"/>
    <cellStyle name="Input 2 3 8" xfId="15058"/>
    <cellStyle name="Input 2 3 9" xfId="14411"/>
    <cellStyle name="Input 2 4" xfId="4752"/>
    <cellStyle name="Input 2 4 10" xfId="14351"/>
    <cellStyle name="Input 2 4 11" xfId="15791"/>
    <cellStyle name="Input 2 4 12" xfId="13672"/>
    <cellStyle name="Input 2 4 13" xfId="18907"/>
    <cellStyle name="Input 2 4 14" xfId="21850"/>
    <cellStyle name="Input 2 4 15" xfId="13822"/>
    <cellStyle name="Input 2 4 16" xfId="26076"/>
    <cellStyle name="Input 2 4 17" xfId="26236"/>
    <cellStyle name="Input 2 4 18" xfId="28749"/>
    <cellStyle name="Input 2 4 19" xfId="28759"/>
    <cellStyle name="Input 2 4 2" xfId="4753"/>
    <cellStyle name="Input 2 4 2 10" xfId="13997"/>
    <cellStyle name="Input 2 4 2 11" xfId="14685"/>
    <cellStyle name="Input 2 4 2 12" xfId="26298"/>
    <cellStyle name="Input 2 4 2 13" xfId="27182"/>
    <cellStyle name="Input 2 4 2 14" xfId="27514"/>
    <cellStyle name="Input 2 4 2 15" xfId="27831"/>
    <cellStyle name="Input 2 4 2 16" xfId="26124"/>
    <cellStyle name="Input 2 4 2 17" xfId="27625"/>
    <cellStyle name="Input 2 4 2 18" xfId="34994"/>
    <cellStyle name="Input 2 4 2 19" xfId="34834"/>
    <cellStyle name="Input 2 4 2 2" xfId="4754"/>
    <cellStyle name="Input 2 4 2 2 10" xfId="23605"/>
    <cellStyle name="Input 2 4 2 2 11" xfId="24577"/>
    <cellStyle name="Input 2 4 2 2 12" xfId="25576"/>
    <cellStyle name="Input 2 4 2 2 13" xfId="28523"/>
    <cellStyle name="Input 2 4 2 2 14" xfId="29490"/>
    <cellStyle name="Input 2 4 2 2 15" xfId="30532"/>
    <cellStyle name="Input 2 4 2 2 16" xfId="31523"/>
    <cellStyle name="Input 2 4 2 2 17" xfId="32531"/>
    <cellStyle name="Input 2 4 2 2 18" xfId="33534"/>
    <cellStyle name="Input 2 4 2 2 19" xfId="34533"/>
    <cellStyle name="Input 2 4 2 2 2" xfId="4755"/>
    <cellStyle name="Input 2 4 2 2 2 10" xfId="24578"/>
    <cellStyle name="Input 2 4 2 2 2 11" xfId="25577"/>
    <cellStyle name="Input 2 4 2 2 2 12" xfId="28524"/>
    <cellStyle name="Input 2 4 2 2 2 13" xfId="29491"/>
    <cellStyle name="Input 2 4 2 2 2 14" xfId="30533"/>
    <cellStyle name="Input 2 4 2 2 2 15" xfId="31524"/>
    <cellStyle name="Input 2 4 2 2 2 16" xfId="32532"/>
    <cellStyle name="Input 2 4 2 2 2 17" xfId="33535"/>
    <cellStyle name="Input 2 4 2 2 2 18" xfId="34534"/>
    <cellStyle name="Input 2 4 2 2 2 19" xfId="36155"/>
    <cellStyle name="Input 2 4 2 2 2 2" xfId="16559"/>
    <cellStyle name="Input 2 4 2 2 2 20" xfId="37094"/>
    <cellStyle name="Input 2 4 2 2 2 3" xfId="17538"/>
    <cellStyle name="Input 2 4 2 2 2 4" xfId="18565"/>
    <cellStyle name="Input 2 4 2 2 2 5" xfId="19597"/>
    <cellStyle name="Input 2 4 2 2 2 6" xfId="20619"/>
    <cellStyle name="Input 2 4 2 2 2 7" xfId="21630"/>
    <cellStyle name="Input 2 4 2 2 2 8" xfId="22601"/>
    <cellStyle name="Input 2 4 2 2 2 9" xfId="23606"/>
    <cellStyle name="Input 2 4 2 2 20" xfId="36154"/>
    <cellStyle name="Input 2 4 2 2 21" xfId="37093"/>
    <cellStyle name="Input 2 4 2 2 3" xfId="16558"/>
    <cellStyle name="Input 2 4 2 2 4" xfId="17537"/>
    <cellStyle name="Input 2 4 2 2 5" xfId="18564"/>
    <cellStyle name="Input 2 4 2 2 6" xfId="19596"/>
    <cellStyle name="Input 2 4 2 2 7" xfId="20618"/>
    <cellStyle name="Input 2 4 2 2 8" xfId="21629"/>
    <cellStyle name="Input 2 4 2 2 9" xfId="22600"/>
    <cellStyle name="Input 2 4 2 3" xfId="4756"/>
    <cellStyle name="Input 2 4 2 3 10" xfId="23607"/>
    <cellStyle name="Input 2 4 2 3 11" xfId="24579"/>
    <cellStyle name="Input 2 4 2 3 12" xfId="25578"/>
    <cellStyle name="Input 2 4 2 3 13" xfId="28525"/>
    <cellStyle name="Input 2 4 2 3 14" xfId="29492"/>
    <cellStyle name="Input 2 4 2 3 15" xfId="30534"/>
    <cellStyle name="Input 2 4 2 3 16" xfId="31525"/>
    <cellStyle name="Input 2 4 2 3 17" xfId="32533"/>
    <cellStyle name="Input 2 4 2 3 18" xfId="33536"/>
    <cellStyle name="Input 2 4 2 3 19" xfId="34535"/>
    <cellStyle name="Input 2 4 2 3 2" xfId="4757"/>
    <cellStyle name="Input 2 4 2 3 2 10" xfId="24580"/>
    <cellStyle name="Input 2 4 2 3 2 11" xfId="25579"/>
    <cellStyle name="Input 2 4 2 3 2 12" xfId="28526"/>
    <cellStyle name="Input 2 4 2 3 2 13" xfId="29493"/>
    <cellStyle name="Input 2 4 2 3 2 14" xfId="30535"/>
    <cellStyle name="Input 2 4 2 3 2 15" xfId="31526"/>
    <cellStyle name="Input 2 4 2 3 2 16" xfId="32534"/>
    <cellStyle name="Input 2 4 2 3 2 17" xfId="33537"/>
    <cellStyle name="Input 2 4 2 3 2 18" xfId="34536"/>
    <cellStyle name="Input 2 4 2 3 2 19" xfId="36157"/>
    <cellStyle name="Input 2 4 2 3 2 2" xfId="16561"/>
    <cellStyle name="Input 2 4 2 3 2 20" xfId="37096"/>
    <cellStyle name="Input 2 4 2 3 2 3" xfId="17540"/>
    <cellStyle name="Input 2 4 2 3 2 4" xfId="18567"/>
    <cellStyle name="Input 2 4 2 3 2 5" xfId="19599"/>
    <cellStyle name="Input 2 4 2 3 2 6" xfId="20621"/>
    <cellStyle name="Input 2 4 2 3 2 7" xfId="21632"/>
    <cellStyle name="Input 2 4 2 3 2 8" xfId="22603"/>
    <cellStyle name="Input 2 4 2 3 2 9" xfId="23608"/>
    <cellStyle name="Input 2 4 2 3 20" xfId="36156"/>
    <cellStyle name="Input 2 4 2 3 21" xfId="37095"/>
    <cellStyle name="Input 2 4 2 3 3" xfId="16560"/>
    <cellStyle name="Input 2 4 2 3 4" xfId="17539"/>
    <cellStyle name="Input 2 4 2 3 5" xfId="18566"/>
    <cellStyle name="Input 2 4 2 3 6" xfId="19598"/>
    <cellStyle name="Input 2 4 2 3 7" xfId="20620"/>
    <cellStyle name="Input 2 4 2 3 8" xfId="21631"/>
    <cellStyle name="Input 2 4 2 3 9" xfId="22602"/>
    <cellStyle name="Input 2 4 2 4" xfId="4758"/>
    <cellStyle name="Input 2 4 2 4 10" xfId="23609"/>
    <cellStyle name="Input 2 4 2 4 11" xfId="24581"/>
    <cellStyle name="Input 2 4 2 4 12" xfId="25580"/>
    <cellStyle name="Input 2 4 2 4 13" xfId="28527"/>
    <cellStyle name="Input 2 4 2 4 14" xfId="29494"/>
    <cellStyle name="Input 2 4 2 4 15" xfId="30536"/>
    <cellStyle name="Input 2 4 2 4 16" xfId="31527"/>
    <cellStyle name="Input 2 4 2 4 17" xfId="32535"/>
    <cellStyle name="Input 2 4 2 4 18" xfId="33538"/>
    <cellStyle name="Input 2 4 2 4 19" xfId="34537"/>
    <cellStyle name="Input 2 4 2 4 2" xfId="4759"/>
    <cellStyle name="Input 2 4 2 4 2 10" xfId="24582"/>
    <cellStyle name="Input 2 4 2 4 2 11" xfId="25581"/>
    <cellStyle name="Input 2 4 2 4 2 12" xfId="28528"/>
    <cellStyle name="Input 2 4 2 4 2 13" xfId="29495"/>
    <cellStyle name="Input 2 4 2 4 2 14" xfId="30537"/>
    <cellStyle name="Input 2 4 2 4 2 15" xfId="31528"/>
    <cellStyle name="Input 2 4 2 4 2 16" xfId="32536"/>
    <cellStyle name="Input 2 4 2 4 2 17" xfId="33539"/>
    <cellStyle name="Input 2 4 2 4 2 18" xfId="34538"/>
    <cellStyle name="Input 2 4 2 4 2 19" xfId="36159"/>
    <cellStyle name="Input 2 4 2 4 2 2" xfId="16563"/>
    <cellStyle name="Input 2 4 2 4 2 20" xfId="37098"/>
    <cellStyle name="Input 2 4 2 4 2 3" xfId="17542"/>
    <cellStyle name="Input 2 4 2 4 2 4" xfId="18569"/>
    <cellStyle name="Input 2 4 2 4 2 5" xfId="19601"/>
    <cellStyle name="Input 2 4 2 4 2 6" xfId="20623"/>
    <cellStyle name="Input 2 4 2 4 2 7" xfId="21634"/>
    <cellStyle name="Input 2 4 2 4 2 8" xfId="22605"/>
    <cellStyle name="Input 2 4 2 4 2 9" xfId="23610"/>
    <cellStyle name="Input 2 4 2 4 20" xfId="36158"/>
    <cellStyle name="Input 2 4 2 4 21" xfId="37097"/>
    <cellStyle name="Input 2 4 2 4 3" xfId="16562"/>
    <cellStyle name="Input 2 4 2 4 4" xfId="17541"/>
    <cellStyle name="Input 2 4 2 4 5" xfId="18568"/>
    <cellStyle name="Input 2 4 2 4 6" xfId="19600"/>
    <cellStyle name="Input 2 4 2 4 7" xfId="20622"/>
    <cellStyle name="Input 2 4 2 4 8" xfId="21633"/>
    <cellStyle name="Input 2 4 2 4 9" xfId="22604"/>
    <cellStyle name="Input 2 4 2 5" xfId="4760"/>
    <cellStyle name="Input 2 4 2 5 10" xfId="24583"/>
    <cellStyle name="Input 2 4 2 5 11" xfId="25582"/>
    <cellStyle name="Input 2 4 2 5 12" xfId="28529"/>
    <cellStyle name="Input 2 4 2 5 13" xfId="29496"/>
    <cellStyle name="Input 2 4 2 5 14" xfId="30538"/>
    <cellStyle name="Input 2 4 2 5 15" xfId="31529"/>
    <cellStyle name="Input 2 4 2 5 16" xfId="32537"/>
    <cellStyle name="Input 2 4 2 5 17" xfId="33540"/>
    <cellStyle name="Input 2 4 2 5 18" xfId="34539"/>
    <cellStyle name="Input 2 4 2 5 19" xfId="36160"/>
    <cellStyle name="Input 2 4 2 5 2" xfId="16564"/>
    <cellStyle name="Input 2 4 2 5 20" xfId="37099"/>
    <cellStyle name="Input 2 4 2 5 3" xfId="17543"/>
    <cellStyle name="Input 2 4 2 5 4" xfId="18570"/>
    <cellStyle name="Input 2 4 2 5 5" xfId="19602"/>
    <cellStyle name="Input 2 4 2 5 6" xfId="20624"/>
    <cellStyle name="Input 2 4 2 5 7" xfId="21635"/>
    <cellStyle name="Input 2 4 2 5 8" xfId="22606"/>
    <cellStyle name="Input 2 4 2 5 9" xfId="23611"/>
    <cellStyle name="Input 2 4 2 6" xfId="14030"/>
    <cellStyle name="Input 2 4 2 7" xfId="17824"/>
    <cellStyle name="Input 2 4 2 8" xfId="14504"/>
    <cellStyle name="Input 2 4 2 9" xfId="15039"/>
    <cellStyle name="Input 2 4 20" xfId="27792"/>
    <cellStyle name="Input 2 4 21" xfId="26978"/>
    <cellStyle name="Input 2 4 22" xfId="34937"/>
    <cellStyle name="Input 2 4 23" xfId="34968"/>
    <cellStyle name="Input 2 4 3" xfId="4761"/>
    <cellStyle name="Input 2 4 3 10" xfId="14616"/>
    <cellStyle name="Input 2 4 3 11" xfId="14778"/>
    <cellStyle name="Input 2 4 3 12" xfId="26378"/>
    <cellStyle name="Input 2 4 3 13" xfId="27130"/>
    <cellStyle name="Input 2 4 3 14" xfId="27526"/>
    <cellStyle name="Input 2 4 3 15" xfId="27487"/>
    <cellStyle name="Input 2 4 3 16" xfId="26624"/>
    <cellStyle name="Input 2 4 3 17" xfId="27809"/>
    <cellStyle name="Input 2 4 3 18" xfId="35069"/>
    <cellStyle name="Input 2 4 3 19" xfId="35431"/>
    <cellStyle name="Input 2 4 3 2" xfId="4762"/>
    <cellStyle name="Input 2 4 3 2 10" xfId="23612"/>
    <cellStyle name="Input 2 4 3 2 11" xfId="24584"/>
    <cellStyle name="Input 2 4 3 2 12" xfId="25583"/>
    <cellStyle name="Input 2 4 3 2 13" xfId="28530"/>
    <cellStyle name="Input 2 4 3 2 14" xfId="29497"/>
    <cellStyle name="Input 2 4 3 2 15" xfId="30539"/>
    <cellStyle name="Input 2 4 3 2 16" xfId="31530"/>
    <cellStyle name="Input 2 4 3 2 17" xfId="32538"/>
    <cellStyle name="Input 2 4 3 2 18" xfId="33541"/>
    <cellStyle name="Input 2 4 3 2 19" xfId="34540"/>
    <cellStyle name="Input 2 4 3 2 2" xfId="4763"/>
    <cellStyle name="Input 2 4 3 2 2 10" xfId="24585"/>
    <cellStyle name="Input 2 4 3 2 2 11" xfId="25584"/>
    <cellStyle name="Input 2 4 3 2 2 12" xfId="28531"/>
    <cellStyle name="Input 2 4 3 2 2 13" xfId="29498"/>
    <cellStyle name="Input 2 4 3 2 2 14" xfId="30540"/>
    <cellStyle name="Input 2 4 3 2 2 15" xfId="31531"/>
    <cellStyle name="Input 2 4 3 2 2 16" xfId="32539"/>
    <cellStyle name="Input 2 4 3 2 2 17" xfId="33542"/>
    <cellStyle name="Input 2 4 3 2 2 18" xfId="34541"/>
    <cellStyle name="Input 2 4 3 2 2 19" xfId="36162"/>
    <cellStyle name="Input 2 4 3 2 2 2" xfId="16566"/>
    <cellStyle name="Input 2 4 3 2 2 20" xfId="37101"/>
    <cellStyle name="Input 2 4 3 2 2 3" xfId="17545"/>
    <cellStyle name="Input 2 4 3 2 2 4" xfId="18572"/>
    <cellStyle name="Input 2 4 3 2 2 5" xfId="19604"/>
    <cellStyle name="Input 2 4 3 2 2 6" xfId="20626"/>
    <cellStyle name="Input 2 4 3 2 2 7" xfId="21637"/>
    <cellStyle name="Input 2 4 3 2 2 8" xfId="22608"/>
    <cellStyle name="Input 2 4 3 2 2 9" xfId="23613"/>
    <cellStyle name="Input 2 4 3 2 20" xfId="36161"/>
    <cellStyle name="Input 2 4 3 2 21" xfId="37100"/>
    <cellStyle name="Input 2 4 3 2 3" xfId="16565"/>
    <cellStyle name="Input 2 4 3 2 4" xfId="17544"/>
    <cellStyle name="Input 2 4 3 2 5" xfId="18571"/>
    <cellStyle name="Input 2 4 3 2 6" xfId="19603"/>
    <cellStyle name="Input 2 4 3 2 7" xfId="20625"/>
    <cellStyle name="Input 2 4 3 2 8" xfId="21636"/>
    <cellStyle name="Input 2 4 3 2 9" xfId="22607"/>
    <cellStyle name="Input 2 4 3 3" xfId="4764"/>
    <cellStyle name="Input 2 4 3 3 10" xfId="23614"/>
    <cellStyle name="Input 2 4 3 3 11" xfId="24586"/>
    <cellStyle name="Input 2 4 3 3 12" xfId="25585"/>
    <cellStyle name="Input 2 4 3 3 13" xfId="28532"/>
    <cellStyle name="Input 2 4 3 3 14" xfId="29499"/>
    <cellStyle name="Input 2 4 3 3 15" xfId="30541"/>
    <cellStyle name="Input 2 4 3 3 16" xfId="31532"/>
    <cellStyle name="Input 2 4 3 3 17" xfId="32540"/>
    <cellStyle name="Input 2 4 3 3 18" xfId="33543"/>
    <cellStyle name="Input 2 4 3 3 19" xfId="34542"/>
    <cellStyle name="Input 2 4 3 3 2" xfId="4765"/>
    <cellStyle name="Input 2 4 3 3 2 10" xfId="24587"/>
    <cellStyle name="Input 2 4 3 3 2 11" xfId="25586"/>
    <cellStyle name="Input 2 4 3 3 2 12" xfId="28533"/>
    <cellStyle name="Input 2 4 3 3 2 13" xfId="29500"/>
    <cellStyle name="Input 2 4 3 3 2 14" xfId="30542"/>
    <cellStyle name="Input 2 4 3 3 2 15" xfId="31533"/>
    <cellStyle name="Input 2 4 3 3 2 16" xfId="32541"/>
    <cellStyle name="Input 2 4 3 3 2 17" xfId="33544"/>
    <cellStyle name="Input 2 4 3 3 2 18" xfId="34543"/>
    <cellStyle name="Input 2 4 3 3 2 19" xfId="36164"/>
    <cellStyle name="Input 2 4 3 3 2 2" xfId="16568"/>
    <cellStyle name="Input 2 4 3 3 2 20" xfId="37103"/>
    <cellStyle name="Input 2 4 3 3 2 3" xfId="17547"/>
    <cellStyle name="Input 2 4 3 3 2 4" xfId="18574"/>
    <cellStyle name="Input 2 4 3 3 2 5" xfId="19606"/>
    <cellStyle name="Input 2 4 3 3 2 6" xfId="20628"/>
    <cellStyle name="Input 2 4 3 3 2 7" xfId="21639"/>
    <cellStyle name="Input 2 4 3 3 2 8" xfId="22610"/>
    <cellStyle name="Input 2 4 3 3 2 9" xfId="23615"/>
    <cellStyle name="Input 2 4 3 3 20" xfId="36163"/>
    <cellStyle name="Input 2 4 3 3 21" xfId="37102"/>
    <cellStyle name="Input 2 4 3 3 3" xfId="16567"/>
    <cellStyle name="Input 2 4 3 3 4" xfId="17546"/>
    <cellStyle name="Input 2 4 3 3 5" xfId="18573"/>
    <cellStyle name="Input 2 4 3 3 6" xfId="19605"/>
    <cellStyle name="Input 2 4 3 3 7" xfId="20627"/>
    <cellStyle name="Input 2 4 3 3 8" xfId="21638"/>
    <cellStyle name="Input 2 4 3 3 9" xfId="22609"/>
    <cellStyle name="Input 2 4 3 4" xfId="4766"/>
    <cellStyle name="Input 2 4 3 4 10" xfId="23616"/>
    <cellStyle name="Input 2 4 3 4 11" xfId="24588"/>
    <cellStyle name="Input 2 4 3 4 12" xfId="25587"/>
    <cellStyle name="Input 2 4 3 4 13" xfId="28534"/>
    <cellStyle name="Input 2 4 3 4 14" xfId="29501"/>
    <cellStyle name="Input 2 4 3 4 15" xfId="30543"/>
    <cellStyle name="Input 2 4 3 4 16" xfId="31534"/>
    <cellStyle name="Input 2 4 3 4 17" xfId="32542"/>
    <cellStyle name="Input 2 4 3 4 18" xfId="33545"/>
    <cellStyle name="Input 2 4 3 4 19" xfId="34544"/>
    <cellStyle name="Input 2 4 3 4 2" xfId="4767"/>
    <cellStyle name="Input 2 4 3 4 2 10" xfId="24589"/>
    <cellStyle name="Input 2 4 3 4 2 11" xfId="25588"/>
    <cellStyle name="Input 2 4 3 4 2 12" xfId="28535"/>
    <cellStyle name="Input 2 4 3 4 2 13" xfId="29502"/>
    <cellStyle name="Input 2 4 3 4 2 14" xfId="30544"/>
    <cellStyle name="Input 2 4 3 4 2 15" xfId="31535"/>
    <cellStyle name="Input 2 4 3 4 2 16" xfId="32543"/>
    <cellStyle name="Input 2 4 3 4 2 17" xfId="33546"/>
    <cellStyle name="Input 2 4 3 4 2 18" xfId="34545"/>
    <cellStyle name="Input 2 4 3 4 2 19" xfId="36166"/>
    <cellStyle name="Input 2 4 3 4 2 2" xfId="16570"/>
    <cellStyle name="Input 2 4 3 4 2 20" xfId="37105"/>
    <cellStyle name="Input 2 4 3 4 2 3" xfId="17549"/>
    <cellStyle name="Input 2 4 3 4 2 4" xfId="18576"/>
    <cellStyle name="Input 2 4 3 4 2 5" xfId="19608"/>
    <cellStyle name="Input 2 4 3 4 2 6" xfId="20630"/>
    <cellStyle name="Input 2 4 3 4 2 7" xfId="21641"/>
    <cellStyle name="Input 2 4 3 4 2 8" xfId="22612"/>
    <cellStyle name="Input 2 4 3 4 2 9" xfId="23617"/>
    <cellStyle name="Input 2 4 3 4 20" xfId="36165"/>
    <cellStyle name="Input 2 4 3 4 21" xfId="37104"/>
    <cellStyle name="Input 2 4 3 4 3" xfId="16569"/>
    <cellStyle name="Input 2 4 3 4 4" xfId="17548"/>
    <cellStyle name="Input 2 4 3 4 5" xfId="18575"/>
    <cellStyle name="Input 2 4 3 4 6" xfId="19607"/>
    <cellStyle name="Input 2 4 3 4 7" xfId="20629"/>
    <cellStyle name="Input 2 4 3 4 8" xfId="21640"/>
    <cellStyle name="Input 2 4 3 4 9" xfId="22611"/>
    <cellStyle name="Input 2 4 3 5" xfId="4768"/>
    <cellStyle name="Input 2 4 3 5 10" xfId="24590"/>
    <cellStyle name="Input 2 4 3 5 11" xfId="25589"/>
    <cellStyle name="Input 2 4 3 5 12" xfId="28536"/>
    <cellStyle name="Input 2 4 3 5 13" xfId="29503"/>
    <cellStyle name="Input 2 4 3 5 14" xfId="30545"/>
    <cellStyle name="Input 2 4 3 5 15" xfId="31536"/>
    <cellStyle name="Input 2 4 3 5 16" xfId="32544"/>
    <cellStyle name="Input 2 4 3 5 17" xfId="33547"/>
    <cellStyle name="Input 2 4 3 5 18" xfId="34546"/>
    <cellStyle name="Input 2 4 3 5 19" xfId="36167"/>
    <cellStyle name="Input 2 4 3 5 2" xfId="16571"/>
    <cellStyle name="Input 2 4 3 5 20" xfId="37106"/>
    <cellStyle name="Input 2 4 3 5 3" xfId="17550"/>
    <cellStyle name="Input 2 4 3 5 4" xfId="18577"/>
    <cellStyle name="Input 2 4 3 5 5" xfId="19609"/>
    <cellStyle name="Input 2 4 3 5 6" xfId="20631"/>
    <cellStyle name="Input 2 4 3 5 7" xfId="21642"/>
    <cellStyle name="Input 2 4 3 5 8" xfId="22613"/>
    <cellStyle name="Input 2 4 3 5 9" xfId="23618"/>
    <cellStyle name="Input 2 4 3 6" xfId="14422"/>
    <cellStyle name="Input 2 4 3 7" xfId="14264"/>
    <cellStyle name="Input 2 4 3 8" xfId="14572"/>
    <cellStyle name="Input 2 4 3 9" xfId="14527"/>
    <cellStyle name="Input 2 4 4" xfId="4769"/>
    <cellStyle name="Input 2 4 4 10" xfId="13530"/>
    <cellStyle name="Input 2 4 4 11" xfId="13640"/>
    <cellStyle name="Input 2 4 4 12" xfId="26356"/>
    <cellStyle name="Input 2 4 4 13" xfId="26037"/>
    <cellStyle name="Input 2 4 4 14" xfId="27522"/>
    <cellStyle name="Input 2 4 4 15" xfId="25995"/>
    <cellStyle name="Input 2 4 4 16" xfId="26886"/>
    <cellStyle name="Input 2 4 4 17" xfId="26503"/>
    <cellStyle name="Input 2 4 4 18" xfId="35048"/>
    <cellStyle name="Input 2 4 4 19" xfId="35294"/>
    <cellStyle name="Input 2 4 4 2" xfId="4770"/>
    <cellStyle name="Input 2 4 4 2 10" xfId="23619"/>
    <cellStyle name="Input 2 4 4 2 11" xfId="24591"/>
    <cellStyle name="Input 2 4 4 2 12" xfId="25590"/>
    <cellStyle name="Input 2 4 4 2 13" xfId="28537"/>
    <cellStyle name="Input 2 4 4 2 14" xfId="29504"/>
    <cellStyle name="Input 2 4 4 2 15" xfId="30546"/>
    <cellStyle name="Input 2 4 4 2 16" xfId="31537"/>
    <cellStyle name="Input 2 4 4 2 17" xfId="32545"/>
    <cellStyle name="Input 2 4 4 2 18" xfId="33548"/>
    <cellStyle name="Input 2 4 4 2 19" xfId="34547"/>
    <cellStyle name="Input 2 4 4 2 2" xfId="4771"/>
    <cellStyle name="Input 2 4 4 2 2 10" xfId="24592"/>
    <cellStyle name="Input 2 4 4 2 2 11" xfId="25591"/>
    <cellStyle name="Input 2 4 4 2 2 12" xfId="28538"/>
    <cellStyle name="Input 2 4 4 2 2 13" xfId="29505"/>
    <cellStyle name="Input 2 4 4 2 2 14" xfId="30547"/>
    <cellStyle name="Input 2 4 4 2 2 15" xfId="31538"/>
    <cellStyle name="Input 2 4 4 2 2 16" xfId="32546"/>
    <cellStyle name="Input 2 4 4 2 2 17" xfId="33549"/>
    <cellStyle name="Input 2 4 4 2 2 18" xfId="34548"/>
    <cellStyle name="Input 2 4 4 2 2 19" xfId="36169"/>
    <cellStyle name="Input 2 4 4 2 2 2" xfId="16573"/>
    <cellStyle name="Input 2 4 4 2 2 20" xfId="37108"/>
    <cellStyle name="Input 2 4 4 2 2 3" xfId="17552"/>
    <cellStyle name="Input 2 4 4 2 2 4" xfId="18579"/>
    <cellStyle name="Input 2 4 4 2 2 5" xfId="19611"/>
    <cellStyle name="Input 2 4 4 2 2 6" xfId="20633"/>
    <cellStyle name="Input 2 4 4 2 2 7" xfId="21644"/>
    <cellStyle name="Input 2 4 4 2 2 8" xfId="22615"/>
    <cellStyle name="Input 2 4 4 2 2 9" xfId="23620"/>
    <cellStyle name="Input 2 4 4 2 20" xfId="36168"/>
    <cellStyle name="Input 2 4 4 2 21" xfId="37107"/>
    <cellStyle name="Input 2 4 4 2 3" xfId="16572"/>
    <cellStyle name="Input 2 4 4 2 4" xfId="17551"/>
    <cellStyle name="Input 2 4 4 2 5" xfId="18578"/>
    <cellStyle name="Input 2 4 4 2 6" xfId="19610"/>
    <cellStyle name="Input 2 4 4 2 7" xfId="20632"/>
    <cellStyle name="Input 2 4 4 2 8" xfId="21643"/>
    <cellStyle name="Input 2 4 4 2 9" xfId="22614"/>
    <cellStyle name="Input 2 4 4 3" xfId="4772"/>
    <cellStyle name="Input 2 4 4 3 10" xfId="23621"/>
    <cellStyle name="Input 2 4 4 3 11" xfId="24593"/>
    <cellStyle name="Input 2 4 4 3 12" xfId="25592"/>
    <cellStyle name="Input 2 4 4 3 13" xfId="28539"/>
    <cellStyle name="Input 2 4 4 3 14" xfId="29506"/>
    <cellStyle name="Input 2 4 4 3 15" xfId="30548"/>
    <cellStyle name="Input 2 4 4 3 16" xfId="31539"/>
    <cellStyle name="Input 2 4 4 3 17" xfId="32547"/>
    <cellStyle name="Input 2 4 4 3 18" xfId="33550"/>
    <cellStyle name="Input 2 4 4 3 19" xfId="34549"/>
    <cellStyle name="Input 2 4 4 3 2" xfId="4773"/>
    <cellStyle name="Input 2 4 4 3 2 10" xfId="24594"/>
    <cellStyle name="Input 2 4 4 3 2 11" xfId="25593"/>
    <cellStyle name="Input 2 4 4 3 2 12" xfId="28540"/>
    <cellStyle name="Input 2 4 4 3 2 13" xfId="29507"/>
    <cellStyle name="Input 2 4 4 3 2 14" xfId="30549"/>
    <cellStyle name="Input 2 4 4 3 2 15" xfId="31540"/>
    <cellStyle name="Input 2 4 4 3 2 16" xfId="32548"/>
    <cellStyle name="Input 2 4 4 3 2 17" xfId="33551"/>
    <cellStyle name="Input 2 4 4 3 2 18" xfId="34550"/>
    <cellStyle name="Input 2 4 4 3 2 19" xfId="36171"/>
    <cellStyle name="Input 2 4 4 3 2 2" xfId="16575"/>
    <cellStyle name="Input 2 4 4 3 2 20" xfId="37110"/>
    <cellStyle name="Input 2 4 4 3 2 3" xfId="17554"/>
    <cellStyle name="Input 2 4 4 3 2 4" xfId="18581"/>
    <cellStyle name="Input 2 4 4 3 2 5" xfId="19613"/>
    <cellStyle name="Input 2 4 4 3 2 6" xfId="20635"/>
    <cellStyle name="Input 2 4 4 3 2 7" xfId="21646"/>
    <cellStyle name="Input 2 4 4 3 2 8" xfId="22617"/>
    <cellStyle name="Input 2 4 4 3 2 9" xfId="23622"/>
    <cellStyle name="Input 2 4 4 3 20" xfId="36170"/>
    <cellStyle name="Input 2 4 4 3 21" xfId="37109"/>
    <cellStyle name="Input 2 4 4 3 3" xfId="16574"/>
    <cellStyle name="Input 2 4 4 3 4" xfId="17553"/>
    <cellStyle name="Input 2 4 4 3 5" xfId="18580"/>
    <cellStyle name="Input 2 4 4 3 6" xfId="19612"/>
    <cellStyle name="Input 2 4 4 3 7" xfId="20634"/>
    <cellStyle name="Input 2 4 4 3 8" xfId="21645"/>
    <cellStyle name="Input 2 4 4 3 9" xfId="22616"/>
    <cellStyle name="Input 2 4 4 4" xfId="4774"/>
    <cellStyle name="Input 2 4 4 4 10" xfId="23623"/>
    <cellStyle name="Input 2 4 4 4 11" xfId="24595"/>
    <cellStyle name="Input 2 4 4 4 12" xfId="25594"/>
    <cellStyle name="Input 2 4 4 4 13" xfId="28541"/>
    <cellStyle name="Input 2 4 4 4 14" xfId="29508"/>
    <cellStyle name="Input 2 4 4 4 15" xfId="30550"/>
    <cellStyle name="Input 2 4 4 4 16" xfId="31541"/>
    <cellStyle name="Input 2 4 4 4 17" xfId="32549"/>
    <cellStyle name="Input 2 4 4 4 18" xfId="33552"/>
    <cellStyle name="Input 2 4 4 4 19" xfId="34551"/>
    <cellStyle name="Input 2 4 4 4 2" xfId="4775"/>
    <cellStyle name="Input 2 4 4 4 2 10" xfId="24596"/>
    <cellStyle name="Input 2 4 4 4 2 11" xfId="25595"/>
    <cellStyle name="Input 2 4 4 4 2 12" xfId="28542"/>
    <cellStyle name="Input 2 4 4 4 2 13" xfId="29509"/>
    <cellStyle name="Input 2 4 4 4 2 14" xfId="30551"/>
    <cellStyle name="Input 2 4 4 4 2 15" xfId="31542"/>
    <cellStyle name="Input 2 4 4 4 2 16" xfId="32550"/>
    <cellStyle name="Input 2 4 4 4 2 17" xfId="33553"/>
    <cellStyle name="Input 2 4 4 4 2 18" xfId="34552"/>
    <cellStyle name="Input 2 4 4 4 2 19" xfId="36173"/>
    <cellStyle name="Input 2 4 4 4 2 2" xfId="16577"/>
    <cellStyle name="Input 2 4 4 4 2 20" xfId="37112"/>
    <cellStyle name="Input 2 4 4 4 2 3" xfId="17556"/>
    <cellStyle name="Input 2 4 4 4 2 4" xfId="18583"/>
    <cellStyle name="Input 2 4 4 4 2 5" xfId="19615"/>
    <cellStyle name="Input 2 4 4 4 2 6" xfId="20637"/>
    <cellStyle name="Input 2 4 4 4 2 7" xfId="21648"/>
    <cellStyle name="Input 2 4 4 4 2 8" xfId="22619"/>
    <cellStyle name="Input 2 4 4 4 2 9" xfId="23624"/>
    <cellStyle name="Input 2 4 4 4 20" xfId="36172"/>
    <cellStyle name="Input 2 4 4 4 21" xfId="37111"/>
    <cellStyle name="Input 2 4 4 4 3" xfId="16576"/>
    <cellStyle name="Input 2 4 4 4 4" xfId="17555"/>
    <cellStyle name="Input 2 4 4 4 5" xfId="18582"/>
    <cellStyle name="Input 2 4 4 4 6" xfId="19614"/>
    <cellStyle name="Input 2 4 4 4 7" xfId="20636"/>
    <cellStyle name="Input 2 4 4 4 8" xfId="21647"/>
    <cellStyle name="Input 2 4 4 4 9" xfId="22618"/>
    <cellStyle name="Input 2 4 4 5" xfId="4776"/>
    <cellStyle name="Input 2 4 4 5 10" xfId="24597"/>
    <cellStyle name="Input 2 4 4 5 11" xfId="25596"/>
    <cellStyle name="Input 2 4 4 5 12" xfId="28543"/>
    <cellStyle name="Input 2 4 4 5 13" xfId="29510"/>
    <cellStyle name="Input 2 4 4 5 14" xfId="30552"/>
    <cellStyle name="Input 2 4 4 5 15" xfId="31543"/>
    <cellStyle name="Input 2 4 4 5 16" xfId="32551"/>
    <cellStyle name="Input 2 4 4 5 17" xfId="33554"/>
    <cellStyle name="Input 2 4 4 5 18" xfId="34553"/>
    <cellStyle name="Input 2 4 4 5 19" xfId="36174"/>
    <cellStyle name="Input 2 4 4 5 2" xfId="16578"/>
    <cellStyle name="Input 2 4 4 5 20" xfId="37113"/>
    <cellStyle name="Input 2 4 4 5 3" xfId="17557"/>
    <cellStyle name="Input 2 4 4 5 4" xfId="18584"/>
    <cellStyle name="Input 2 4 4 5 5" xfId="19616"/>
    <cellStyle name="Input 2 4 4 5 6" xfId="20638"/>
    <cellStyle name="Input 2 4 4 5 7" xfId="21649"/>
    <cellStyle name="Input 2 4 4 5 8" xfId="22620"/>
    <cellStyle name="Input 2 4 4 5 9" xfId="23625"/>
    <cellStyle name="Input 2 4 4 6" xfId="13753"/>
    <cellStyle name="Input 2 4 4 7" xfId="14733"/>
    <cellStyle name="Input 2 4 4 8" xfId="14277"/>
    <cellStyle name="Input 2 4 4 9" xfId="14151"/>
    <cellStyle name="Input 2 4 5" xfId="4777"/>
    <cellStyle name="Input 2 4 5 10" xfId="13565"/>
    <cellStyle name="Input 2 4 5 11" xfId="15270"/>
    <cellStyle name="Input 2 4 5 12" xfId="26446"/>
    <cellStyle name="Input 2 4 5 13" xfId="27683"/>
    <cellStyle name="Input 2 4 5 14" xfId="26163"/>
    <cellStyle name="Input 2 4 5 15" xfId="27326"/>
    <cellStyle name="Input 2 4 5 16" xfId="26327"/>
    <cellStyle name="Input 2 4 5 17" xfId="26928"/>
    <cellStyle name="Input 2 4 5 18" xfId="35129"/>
    <cellStyle name="Input 2 4 5 19" xfId="35242"/>
    <cellStyle name="Input 2 4 5 2" xfId="4778"/>
    <cellStyle name="Input 2 4 5 2 10" xfId="23626"/>
    <cellStyle name="Input 2 4 5 2 11" xfId="24598"/>
    <cellStyle name="Input 2 4 5 2 12" xfId="25597"/>
    <cellStyle name="Input 2 4 5 2 13" xfId="28544"/>
    <cellStyle name="Input 2 4 5 2 14" xfId="29511"/>
    <cellStyle name="Input 2 4 5 2 15" xfId="30553"/>
    <cellStyle name="Input 2 4 5 2 16" xfId="31544"/>
    <cellStyle name="Input 2 4 5 2 17" xfId="32552"/>
    <cellStyle name="Input 2 4 5 2 18" xfId="33555"/>
    <cellStyle name="Input 2 4 5 2 19" xfId="34554"/>
    <cellStyle name="Input 2 4 5 2 2" xfId="4779"/>
    <cellStyle name="Input 2 4 5 2 2 10" xfId="24599"/>
    <cellStyle name="Input 2 4 5 2 2 11" xfId="25598"/>
    <cellStyle name="Input 2 4 5 2 2 12" xfId="28545"/>
    <cellStyle name="Input 2 4 5 2 2 13" xfId="29512"/>
    <cellStyle name="Input 2 4 5 2 2 14" xfId="30554"/>
    <cellStyle name="Input 2 4 5 2 2 15" xfId="31545"/>
    <cellStyle name="Input 2 4 5 2 2 16" xfId="32553"/>
    <cellStyle name="Input 2 4 5 2 2 17" xfId="33556"/>
    <cellStyle name="Input 2 4 5 2 2 18" xfId="34555"/>
    <cellStyle name="Input 2 4 5 2 2 19" xfId="36176"/>
    <cellStyle name="Input 2 4 5 2 2 2" xfId="16580"/>
    <cellStyle name="Input 2 4 5 2 2 20" xfId="37115"/>
    <cellStyle name="Input 2 4 5 2 2 3" xfId="17559"/>
    <cellStyle name="Input 2 4 5 2 2 4" xfId="18586"/>
    <cellStyle name="Input 2 4 5 2 2 5" xfId="19618"/>
    <cellStyle name="Input 2 4 5 2 2 6" xfId="20640"/>
    <cellStyle name="Input 2 4 5 2 2 7" xfId="21651"/>
    <cellStyle name="Input 2 4 5 2 2 8" xfId="22622"/>
    <cellStyle name="Input 2 4 5 2 2 9" xfId="23627"/>
    <cellStyle name="Input 2 4 5 2 20" xfId="36175"/>
    <cellStyle name="Input 2 4 5 2 21" xfId="37114"/>
    <cellStyle name="Input 2 4 5 2 3" xfId="16579"/>
    <cellStyle name="Input 2 4 5 2 4" xfId="17558"/>
    <cellStyle name="Input 2 4 5 2 5" xfId="18585"/>
    <cellStyle name="Input 2 4 5 2 6" xfId="19617"/>
    <cellStyle name="Input 2 4 5 2 7" xfId="20639"/>
    <cellStyle name="Input 2 4 5 2 8" xfId="21650"/>
    <cellStyle name="Input 2 4 5 2 9" xfId="22621"/>
    <cellStyle name="Input 2 4 5 3" xfId="4780"/>
    <cellStyle name="Input 2 4 5 3 10" xfId="23628"/>
    <cellStyle name="Input 2 4 5 3 11" xfId="24600"/>
    <cellStyle name="Input 2 4 5 3 12" xfId="25599"/>
    <cellStyle name="Input 2 4 5 3 13" xfId="28546"/>
    <cellStyle name="Input 2 4 5 3 14" xfId="29513"/>
    <cellStyle name="Input 2 4 5 3 15" xfId="30555"/>
    <cellStyle name="Input 2 4 5 3 16" xfId="31546"/>
    <cellStyle name="Input 2 4 5 3 17" xfId="32554"/>
    <cellStyle name="Input 2 4 5 3 18" xfId="33557"/>
    <cellStyle name="Input 2 4 5 3 19" xfId="34556"/>
    <cellStyle name="Input 2 4 5 3 2" xfId="4781"/>
    <cellStyle name="Input 2 4 5 3 2 10" xfId="24601"/>
    <cellStyle name="Input 2 4 5 3 2 11" xfId="25600"/>
    <cellStyle name="Input 2 4 5 3 2 12" xfId="28547"/>
    <cellStyle name="Input 2 4 5 3 2 13" xfId="29514"/>
    <cellStyle name="Input 2 4 5 3 2 14" xfId="30556"/>
    <cellStyle name="Input 2 4 5 3 2 15" xfId="31547"/>
    <cellStyle name="Input 2 4 5 3 2 16" xfId="32555"/>
    <cellStyle name="Input 2 4 5 3 2 17" xfId="33558"/>
    <cellStyle name="Input 2 4 5 3 2 18" xfId="34557"/>
    <cellStyle name="Input 2 4 5 3 2 19" xfId="36178"/>
    <cellStyle name="Input 2 4 5 3 2 2" xfId="16582"/>
    <cellStyle name="Input 2 4 5 3 2 20" xfId="37117"/>
    <cellStyle name="Input 2 4 5 3 2 3" xfId="17561"/>
    <cellStyle name="Input 2 4 5 3 2 4" xfId="18588"/>
    <cellStyle name="Input 2 4 5 3 2 5" xfId="19620"/>
    <cellStyle name="Input 2 4 5 3 2 6" xfId="20642"/>
    <cellStyle name="Input 2 4 5 3 2 7" xfId="21653"/>
    <cellStyle name="Input 2 4 5 3 2 8" xfId="22624"/>
    <cellStyle name="Input 2 4 5 3 2 9" xfId="23629"/>
    <cellStyle name="Input 2 4 5 3 20" xfId="36177"/>
    <cellStyle name="Input 2 4 5 3 21" xfId="37116"/>
    <cellStyle name="Input 2 4 5 3 3" xfId="16581"/>
    <cellStyle name="Input 2 4 5 3 4" xfId="17560"/>
    <cellStyle name="Input 2 4 5 3 5" xfId="18587"/>
    <cellStyle name="Input 2 4 5 3 6" xfId="19619"/>
    <cellStyle name="Input 2 4 5 3 7" xfId="20641"/>
    <cellStyle name="Input 2 4 5 3 8" xfId="21652"/>
    <cellStyle name="Input 2 4 5 3 9" xfId="22623"/>
    <cellStyle name="Input 2 4 5 4" xfId="4782"/>
    <cellStyle name="Input 2 4 5 4 10" xfId="23630"/>
    <cellStyle name="Input 2 4 5 4 11" xfId="24602"/>
    <cellStyle name="Input 2 4 5 4 12" xfId="25601"/>
    <cellStyle name="Input 2 4 5 4 13" xfId="28548"/>
    <cellStyle name="Input 2 4 5 4 14" xfId="29515"/>
    <cellStyle name="Input 2 4 5 4 15" xfId="30557"/>
    <cellStyle name="Input 2 4 5 4 16" xfId="31548"/>
    <cellStyle name="Input 2 4 5 4 17" xfId="32556"/>
    <cellStyle name="Input 2 4 5 4 18" xfId="33559"/>
    <cellStyle name="Input 2 4 5 4 19" xfId="34558"/>
    <cellStyle name="Input 2 4 5 4 2" xfId="4783"/>
    <cellStyle name="Input 2 4 5 4 2 10" xfId="24603"/>
    <cellStyle name="Input 2 4 5 4 2 11" xfId="25602"/>
    <cellStyle name="Input 2 4 5 4 2 12" xfId="28549"/>
    <cellStyle name="Input 2 4 5 4 2 13" xfId="29516"/>
    <cellStyle name="Input 2 4 5 4 2 14" xfId="30558"/>
    <cellStyle name="Input 2 4 5 4 2 15" xfId="31549"/>
    <cellStyle name="Input 2 4 5 4 2 16" xfId="32557"/>
    <cellStyle name="Input 2 4 5 4 2 17" xfId="33560"/>
    <cellStyle name="Input 2 4 5 4 2 18" xfId="34559"/>
    <cellStyle name="Input 2 4 5 4 2 19" xfId="36180"/>
    <cellStyle name="Input 2 4 5 4 2 2" xfId="16584"/>
    <cellStyle name="Input 2 4 5 4 2 20" xfId="37119"/>
    <cellStyle name="Input 2 4 5 4 2 3" xfId="17563"/>
    <cellStyle name="Input 2 4 5 4 2 4" xfId="18590"/>
    <cellStyle name="Input 2 4 5 4 2 5" xfId="19622"/>
    <cellStyle name="Input 2 4 5 4 2 6" xfId="20644"/>
    <cellStyle name="Input 2 4 5 4 2 7" xfId="21655"/>
    <cellStyle name="Input 2 4 5 4 2 8" xfId="22626"/>
    <cellStyle name="Input 2 4 5 4 2 9" xfId="23631"/>
    <cellStyle name="Input 2 4 5 4 20" xfId="36179"/>
    <cellStyle name="Input 2 4 5 4 21" xfId="37118"/>
    <cellStyle name="Input 2 4 5 4 3" xfId="16583"/>
    <cellStyle name="Input 2 4 5 4 4" xfId="17562"/>
    <cellStyle name="Input 2 4 5 4 5" xfId="18589"/>
    <cellStyle name="Input 2 4 5 4 6" xfId="19621"/>
    <cellStyle name="Input 2 4 5 4 7" xfId="20643"/>
    <cellStyle name="Input 2 4 5 4 8" xfId="21654"/>
    <cellStyle name="Input 2 4 5 4 9" xfId="22625"/>
    <cellStyle name="Input 2 4 5 5" xfId="4784"/>
    <cellStyle name="Input 2 4 5 5 10" xfId="24604"/>
    <cellStyle name="Input 2 4 5 5 11" xfId="25603"/>
    <cellStyle name="Input 2 4 5 5 12" xfId="28550"/>
    <cellStyle name="Input 2 4 5 5 13" xfId="29517"/>
    <cellStyle name="Input 2 4 5 5 14" xfId="30559"/>
    <cellStyle name="Input 2 4 5 5 15" xfId="31550"/>
    <cellStyle name="Input 2 4 5 5 16" xfId="32558"/>
    <cellStyle name="Input 2 4 5 5 17" xfId="33561"/>
    <cellStyle name="Input 2 4 5 5 18" xfId="34560"/>
    <cellStyle name="Input 2 4 5 5 19" xfId="36181"/>
    <cellStyle name="Input 2 4 5 5 2" xfId="16585"/>
    <cellStyle name="Input 2 4 5 5 20" xfId="37120"/>
    <cellStyle name="Input 2 4 5 5 3" xfId="17564"/>
    <cellStyle name="Input 2 4 5 5 4" xfId="18591"/>
    <cellStyle name="Input 2 4 5 5 5" xfId="19623"/>
    <cellStyle name="Input 2 4 5 5 6" xfId="20645"/>
    <cellStyle name="Input 2 4 5 5 7" xfId="21656"/>
    <cellStyle name="Input 2 4 5 5 8" xfId="22627"/>
    <cellStyle name="Input 2 4 5 5 9" xfId="23632"/>
    <cellStyle name="Input 2 4 5 6" xfId="14063"/>
    <cellStyle name="Input 2 4 5 7" xfId="14446"/>
    <cellStyle name="Input 2 4 5 8" xfId="14217"/>
    <cellStyle name="Input 2 4 5 9" xfId="15381"/>
    <cellStyle name="Input 2 4 6" xfId="4785"/>
    <cellStyle name="Input 2 4 6 10" xfId="23633"/>
    <cellStyle name="Input 2 4 6 11" xfId="24605"/>
    <cellStyle name="Input 2 4 6 12" xfId="25604"/>
    <cellStyle name="Input 2 4 6 13" xfId="28551"/>
    <cellStyle name="Input 2 4 6 14" xfId="29518"/>
    <cellStyle name="Input 2 4 6 15" xfId="30560"/>
    <cellStyle name="Input 2 4 6 16" xfId="31551"/>
    <cellStyle name="Input 2 4 6 17" xfId="32559"/>
    <cellStyle name="Input 2 4 6 18" xfId="33562"/>
    <cellStyle name="Input 2 4 6 19" xfId="34561"/>
    <cellStyle name="Input 2 4 6 2" xfId="4786"/>
    <cellStyle name="Input 2 4 6 2 10" xfId="24606"/>
    <cellStyle name="Input 2 4 6 2 11" xfId="25605"/>
    <cellStyle name="Input 2 4 6 2 12" xfId="28552"/>
    <cellStyle name="Input 2 4 6 2 13" xfId="29519"/>
    <cellStyle name="Input 2 4 6 2 14" xfId="30561"/>
    <cellStyle name="Input 2 4 6 2 15" xfId="31552"/>
    <cellStyle name="Input 2 4 6 2 16" xfId="32560"/>
    <cellStyle name="Input 2 4 6 2 17" xfId="33563"/>
    <cellStyle name="Input 2 4 6 2 18" xfId="34562"/>
    <cellStyle name="Input 2 4 6 2 19" xfId="36183"/>
    <cellStyle name="Input 2 4 6 2 2" xfId="16587"/>
    <cellStyle name="Input 2 4 6 2 20" xfId="37122"/>
    <cellStyle name="Input 2 4 6 2 3" xfId="17566"/>
    <cellStyle name="Input 2 4 6 2 4" xfId="18593"/>
    <cellStyle name="Input 2 4 6 2 5" xfId="19625"/>
    <cellStyle name="Input 2 4 6 2 6" xfId="20647"/>
    <cellStyle name="Input 2 4 6 2 7" xfId="21658"/>
    <cellStyle name="Input 2 4 6 2 8" xfId="22629"/>
    <cellStyle name="Input 2 4 6 2 9" xfId="23634"/>
    <cellStyle name="Input 2 4 6 20" xfId="36182"/>
    <cellStyle name="Input 2 4 6 21" xfId="37121"/>
    <cellStyle name="Input 2 4 6 3" xfId="16586"/>
    <cellStyle name="Input 2 4 6 4" xfId="17565"/>
    <cellStyle name="Input 2 4 6 5" xfId="18592"/>
    <cellStyle name="Input 2 4 6 6" xfId="19624"/>
    <cellStyle name="Input 2 4 6 7" xfId="20646"/>
    <cellStyle name="Input 2 4 6 8" xfId="21657"/>
    <cellStyle name="Input 2 4 6 9" xfId="22628"/>
    <cellStyle name="Input 2 4 7" xfId="4787"/>
    <cellStyle name="Input 2 4 7 10" xfId="23635"/>
    <cellStyle name="Input 2 4 7 11" xfId="24607"/>
    <cellStyle name="Input 2 4 7 12" xfId="25606"/>
    <cellStyle name="Input 2 4 7 13" xfId="28553"/>
    <cellStyle name="Input 2 4 7 14" xfId="29520"/>
    <cellStyle name="Input 2 4 7 15" xfId="30562"/>
    <cellStyle name="Input 2 4 7 16" xfId="31553"/>
    <cellStyle name="Input 2 4 7 17" xfId="32561"/>
    <cellStyle name="Input 2 4 7 18" xfId="33564"/>
    <cellStyle name="Input 2 4 7 19" xfId="34563"/>
    <cellStyle name="Input 2 4 7 2" xfId="4788"/>
    <cellStyle name="Input 2 4 7 2 10" xfId="24608"/>
    <cellStyle name="Input 2 4 7 2 11" xfId="25607"/>
    <cellStyle name="Input 2 4 7 2 12" xfId="28554"/>
    <cellStyle name="Input 2 4 7 2 13" xfId="29521"/>
    <cellStyle name="Input 2 4 7 2 14" xfId="30563"/>
    <cellStyle name="Input 2 4 7 2 15" xfId="31554"/>
    <cellStyle name="Input 2 4 7 2 16" xfId="32562"/>
    <cellStyle name="Input 2 4 7 2 17" xfId="33565"/>
    <cellStyle name="Input 2 4 7 2 18" xfId="34564"/>
    <cellStyle name="Input 2 4 7 2 19" xfId="36185"/>
    <cellStyle name="Input 2 4 7 2 2" xfId="16589"/>
    <cellStyle name="Input 2 4 7 2 20" xfId="37124"/>
    <cellStyle name="Input 2 4 7 2 3" xfId="17568"/>
    <cellStyle name="Input 2 4 7 2 4" xfId="18595"/>
    <cellStyle name="Input 2 4 7 2 5" xfId="19627"/>
    <cellStyle name="Input 2 4 7 2 6" xfId="20649"/>
    <cellStyle name="Input 2 4 7 2 7" xfId="21660"/>
    <cellStyle name="Input 2 4 7 2 8" xfId="22631"/>
    <cellStyle name="Input 2 4 7 2 9" xfId="23636"/>
    <cellStyle name="Input 2 4 7 20" xfId="36184"/>
    <cellStyle name="Input 2 4 7 21" xfId="37123"/>
    <cellStyle name="Input 2 4 7 3" xfId="16588"/>
    <cellStyle name="Input 2 4 7 4" xfId="17567"/>
    <cellStyle name="Input 2 4 7 5" xfId="18594"/>
    <cellStyle name="Input 2 4 7 6" xfId="19626"/>
    <cellStyle name="Input 2 4 7 7" xfId="20648"/>
    <cellStyle name="Input 2 4 7 8" xfId="21659"/>
    <cellStyle name="Input 2 4 7 9" xfId="22630"/>
    <cellStyle name="Input 2 4 8" xfId="4789"/>
    <cellStyle name="Input 2 4 8 10" xfId="23637"/>
    <cellStyle name="Input 2 4 8 11" xfId="24609"/>
    <cellStyle name="Input 2 4 8 12" xfId="25608"/>
    <cellStyle name="Input 2 4 8 13" xfId="28555"/>
    <cellStyle name="Input 2 4 8 14" xfId="29522"/>
    <cellStyle name="Input 2 4 8 15" xfId="30564"/>
    <cellStyle name="Input 2 4 8 16" xfId="31555"/>
    <cellStyle name="Input 2 4 8 17" xfId="32563"/>
    <cellStyle name="Input 2 4 8 18" xfId="33566"/>
    <cellStyle name="Input 2 4 8 19" xfId="34565"/>
    <cellStyle name="Input 2 4 8 2" xfId="4790"/>
    <cellStyle name="Input 2 4 8 2 10" xfId="24610"/>
    <cellStyle name="Input 2 4 8 2 11" xfId="25609"/>
    <cellStyle name="Input 2 4 8 2 12" xfId="28556"/>
    <cellStyle name="Input 2 4 8 2 13" xfId="29523"/>
    <cellStyle name="Input 2 4 8 2 14" xfId="30565"/>
    <cellStyle name="Input 2 4 8 2 15" xfId="31556"/>
    <cellStyle name="Input 2 4 8 2 16" xfId="32564"/>
    <cellStyle name="Input 2 4 8 2 17" xfId="33567"/>
    <cellStyle name="Input 2 4 8 2 18" xfId="34566"/>
    <cellStyle name="Input 2 4 8 2 19" xfId="36187"/>
    <cellStyle name="Input 2 4 8 2 2" xfId="16591"/>
    <cellStyle name="Input 2 4 8 2 20" xfId="37126"/>
    <cellStyle name="Input 2 4 8 2 3" xfId="17570"/>
    <cellStyle name="Input 2 4 8 2 4" xfId="18597"/>
    <cellStyle name="Input 2 4 8 2 5" xfId="19629"/>
    <cellStyle name="Input 2 4 8 2 6" xfId="20651"/>
    <cellStyle name="Input 2 4 8 2 7" xfId="21662"/>
    <cellStyle name="Input 2 4 8 2 8" xfId="22633"/>
    <cellStyle name="Input 2 4 8 2 9" xfId="23638"/>
    <cellStyle name="Input 2 4 8 20" xfId="36186"/>
    <cellStyle name="Input 2 4 8 21" xfId="37125"/>
    <cellStyle name="Input 2 4 8 3" xfId="16590"/>
    <cellStyle name="Input 2 4 8 4" xfId="17569"/>
    <cellStyle name="Input 2 4 8 5" xfId="18596"/>
    <cellStyle name="Input 2 4 8 6" xfId="19628"/>
    <cellStyle name="Input 2 4 8 7" xfId="20650"/>
    <cellStyle name="Input 2 4 8 8" xfId="21661"/>
    <cellStyle name="Input 2 4 8 9" xfId="22632"/>
    <cellStyle name="Input 2 4 9" xfId="4791"/>
    <cellStyle name="Input 2 4 9 10" xfId="24611"/>
    <cellStyle name="Input 2 4 9 11" xfId="25610"/>
    <cellStyle name="Input 2 4 9 12" xfId="28557"/>
    <cellStyle name="Input 2 4 9 13" xfId="29524"/>
    <cellStyle name="Input 2 4 9 14" xfId="30566"/>
    <cellStyle name="Input 2 4 9 15" xfId="31557"/>
    <cellStyle name="Input 2 4 9 16" xfId="32565"/>
    <cellStyle name="Input 2 4 9 17" xfId="33568"/>
    <cellStyle name="Input 2 4 9 18" xfId="34567"/>
    <cellStyle name="Input 2 4 9 19" xfId="36188"/>
    <cellStyle name="Input 2 4 9 2" xfId="16592"/>
    <cellStyle name="Input 2 4 9 20" xfId="37127"/>
    <cellStyle name="Input 2 4 9 3" xfId="17571"/>
    <cellStyle name="Input 2 4 9 4" xfId="18598"/>
    <cellStyle name="Input 2 4 9 5" xfId="19630"/>
    <cellStyle name="Input 2 4 9 6" xfId="20652"/>
    <cellStyle name="Input 2 4 9 7" xfId="21663"/>
    <cellStyle name="Input 2 4 9 8" xfId="22634"/>
    <cellStyle name="Input 2 4 9 9" xfId="23639"/>
    <cellStyle name="Input 2 5" xfId="4792"/>
    <cellStyle name="Input 2 5 10" xfId="13683"/>
    <cellStyle name="Input 2 5 11" xfId="15829"/>
    <cellStyle name="Input 2 5 12" xfId="15480"/>
    <cellStyle name="Input 2 5 13" xfId="15370"/>
    <cellStyle name="Input 2 5 14" xfId="15524"/>
    <cellStyle name="Input 2 5 15" xfId="15550"/>
    <cellStyle name="Input 2 5 16" xfId="26518"/>
    <cellStyle name="Input 2 5 17" xfId="27046"/>
    <cellStyle name="Input 2 5 18" xfId="26199"/>
    <cellStyle name="Input 2 5 19" xfId="27228"/>
    <cellStyle name="Input 2 5 2" xfId="4793"/>
    <cellStyle name="Input 2 5 2 10" xfId="23640"/>
    <cellStyle name="Input 2 5 2 11" xfId="24612"/>
    <cellStyle name="Input 2 5 2 12" xfId="25611"/>
    <cellStyle name="Input 2 5 2 13" xfId="28558"/>
    <cellStyle name="Input 2 5 2 14" xfId="29525"/>
    <cellStyle name="Input 2 5 2 15" xfId="30567"/>
    <cellStyle name="Input 2 5 2 16" xfId="31558"/>
    <cellStyle name="Input 2 5 2 17" xfId="32566"/>
    <cellStyle name="Input 2 5 2 18" xfId="33569"/>
    <cellStyle name="Input 2 5 2 19" xfId="34568"/>
    <cellStyle name="Input 2 5 2 2" xfId="4794"/>
    <cellStyle name="Input 2 5 2 2 10" xfId="24613"/>
    <cellStyle name="Input 2 5 2 2 11" xfId="25612"/>
    <cellStyle name="Input 2 5 2 2 12" xfId="28559"/>
    <cellStyle name="Input 2 5 2 2 13" xfId="29526"/>
    <cellStyle name="Input 2 5 2 2 14" xfId="30568"/>
    <cellStyle name="Input 2 5 2 2 15" xfId="31559"/>
    <cellStyle name="Input 2 5 2 2 16" xfId="32567"/>
    <cellStyle name="Input 2 5 2 2 17" xfId="33570"/>
    <cellStyle name="Input 2 5 2 2 18" xfId="34569"/>
    <cellStyle name="Input 2 5 2 2 19" xfId="36190"/>
    <cellStyle name="Input 2 5 2 2 2" xfId="16594"/>
    <cellStyle name="Input 2 5 2 2 20" xfId="37129"/>
    <cellStyle name="Input 2 5 2 2 3" xfId="17573"/>
    <cellStyle name="Input 2 5 2 2 4" xfId="18600"/>
    <cellStyle name="Input 2 5 2 2 5" xfId="19632"/>
    <cellStyle name="Input 2 5 2 2 6" xfId="20654"/>
    <cellStyle name="Input 2 5 2 2 7" xfId="21665"/>
    <cellStyle name="Input 2 5 2 2 8" xfId="22636"/>
    <cellStyle name="Input 2 5 2 2 9" xfId="23641"/>
    <cellStyle name="Input 2 5 2 20" xfId="36189"/>
    <cellStyle name="Input 2 5 2 21" xfId="37128"/>
    <cellStyle name="Input 2 5 2 3" xfId="16593"/>
    <cellStyle name="Input 2 5 2 4" xfId="17572"/>
    <cellStyle name="Input 2 5 2 5" xfId="18599"/>
    <cellStyle name="Input 2 5 2 6" xfId="19631"/>
    <cellStyle name="Input 2 5 2 7" xfId="20653"/>
    <cellStyle name="Input 2 5 2 8" xfId="21664"/>
    <cellStyle name="Input 2 5 2 9" xfId="22635"/>
    <cellStyle name="Input 2 5 20" xfId="26239"/>
    <cellStyle name="Input 2 5 21" xfId="27815"/>
    <cellStyle name="Input 2 5 22" xfId="26963"/>
    <cellStyle name="Input 2 5 23" xfId="35186"/>
    <cellStyle name="Input 2 5 24" xfId="35205"/>
    <cellStyle name="Input 2 5 3" xfId="4795"/>
    <cellStyle name="Input 2 5 3 10" xfId="23642"/>
    <cellStyle name="Input 2 5 3 11" xfId="24614"/>
    <cellStyle name="Input 2 5 3 12" xfId="25613"/>
    <cellStyle name="Input 2 5 3 13" xfId="28560"/>
    <cellStyle name="Input 2 5 3 14" xfId="29527"/>
    <cellStyle name="Input 2 5 3 15" xfId="30569"/>
    <cellStyle name="Input 2 5 3 16" xfId="31560"/>
    <cellStyle name="Input 2 5 3 17" xfId="32568"/>
    <cellStyle name="Input 2 5 3 18" xfId="33571"/>
    <cellStyle name="Input 2 5 3 19" xfId="34570"/>
    <cellStyle name="Input 2 5 3 2" xfId="4796"/>
    <cellStyle name="Input 2 5 3 2 10" xfId="24615"/>
    <cellStyle name="Input 2 5 3 2 11" xfId="25614"/>
    <cellStyle name="Input 2 5 3 2 12" xfId="28561"/>
    <cellStyle name="Input 2 5 3 2 13" xfId="29528"/>
    <cellStyle name="Input 2 5 3 2 14" xfId="30570"/>
    <cellStyle name="Input 2 5 3 2 15" xfId="31561"/>
    <cellStyle name="Input 2 5 3 2 16" xfId="32569"/>
    <cellStyle name="Input 2 5 3 2 17" xfId="33572"/>
    <cellStyle name="Input 2 5 3 2 18" xfId="34571"/>
    <cellStyle name="Input 2 5 3 2 19" xfId="36192"/>
    <cellStyle name="Input 2 5 3 2 2" xfId="16596"/>
    <cellStyle name="Input 2 5 3 2 20" xfId="37131"/>
    <cellStyle name="Input 2 5 3 2 3" xfId="17575"/>
    <cellStyle name="Input 2 5 3 2 4" xfId="18602"/>
    <cellStyle name="Input 2 5 3 2 5" xfId="19634"/>
    <cellStyle name="Input 2 5 3 2 6" xfId="20656"/>
    <cellStyle name="Input 2 5 3 2 7" xfId="21667"/>
    <cellStyle name="Input 2 5 3 2 8" xfId="22638"/>
    <cellStyle name="Input 2 5 3 2 9" xfId="23643"/>
    <cellStyle name="Input 2 5 3 20" xfId="36191"/>
    <cellStyle name="Input 2 5 3 21" xfId="37130"/>
    <cellStyle name="Input 2 5 3 3" xfId="16595"/>
    <cellStyle name="Input 2 5 3 4" xfId="17574"/>
    <cellStyle name="Input 2 5 3 5" xfId="18601"/>
    <cellStyle name="Input 2 5 3 6" xfId="19633"/>
    <cellStyle name="Input 2 5 3 7" xfId="20655"/>
    <cellStyle name="Input 2 5 3 8" xfId="21666"/>
    <cellStyle name="Input 2 5 3 9" xfId="22637"/>
    <cellStyle name="Input 2 5 4" xfId="4797"/>
    <cellStyle name="Input 2 5 4 10" xfId="23644"/>
    <cellStyle name="Input 2 5 4 11" xfId="24616"/>
    <cellStyle name="Input 2 5 4 12" xfId="25615"/>
    <cellStyle name="Input 2 5 4 13" xfId="28562"/>
    <cellStyle name="Input 2 5 4 14" xfId="29529"/>
    <cellStyle name="Input 2 5 4 15" xfId="30571"/>
    <cellStyle name="Input 2 5 4 16" xfId="31562"/>
    <cellStyle name="Input 2 5 4 17" xfId="32570"/>
    <cellStyle name="Input 2 5 4 18" xfId="33573"/>
    <cellStyle name="Input 2 5 4 19" xfId="34572"/>
    <cellStyle name="Input 2 5 4 2" xfId="4798"/>
    <cellStyle name="Input 2 5 4 2 10" xfId="24617"/>
    <cellStyle name="Input 2 5 4 2 11" xfId="25616"/>
    <cellStyle name="Input 2 5 4 2 12" xfId="28563"/>
    <cellStyle name="Input 2 5 4 2 13" xfId="29530"/>
    <cellStyle name="Input 2 5 4 2 14" xfId="30572"/>
    <cellStyle name="Input 2 5 4 2 15" xfId="31563"/>
    <cellStyle name="Input 2 5 4 2 16" xfId="32571"/>
    <cellStyle name="Input 2 5 4 2 17" xfId="33574"/>
    <cellStyle name="Input 2 5 4 2 18" xfId="34573"/>
    <cellStyle name="Input 2 5 4 2 19" xfId="36194"/>
    <cellStyle name="Input 2 5 4 2 2" xfId="16598"/>
    <cellStyle name="Input 2 5 4 2 20" xfId="37133"/>
    <cellStyle name="Input 2 5 4 2 3" xfId="17577"/>
    <cellStyle name="Input 2 5 4 2 4" xfId="18604"/>
    <cellStyle name="Input 2 5 4 2 5" xfId="19636"/>
    <cellStyle name="Input 2 5 4 2 6" xfId="20658"/>
    <cellStyle name="Input 2 5 4 2 7" xfId="21669"/>
    <cellStyle name="Input 2 5 4 2 8" xfId="22640"/>
    <cellStyle name="Input 2 5 4 2 9" xfId="23645"/>
    <cellStyle name="Input 2 5 4 20" xfId="36193"/>
    <cellStyle name="Input 2 5 4 21" xfId="37132"/>
    <cellStyle name="Input 2 5 4 3" xfId="16597"/>
    <cellStyle name="Input 2 5 4 4" xfId="17576"/>
    <cellStyle name="Input 2 5 4 5" xfId="18603"/>
    <cellStyle name="Input 2 5 4 6" xfId="19635"/>
    <cellStyle name="Input 2 5 4 7" xfId="20657"/>
    <cellStyle name="Input 2 5 4 8" xfId="21668"/>
    <cellStyle name="Input 2 5 4 9" xfId="22639"/>
    <cellStyle name="Input 2 5 5" xfId="4799"/>
    <cellStyle name="Input 2 5 5 10" xfId="24618"/>
    <cellStyle name="Input 2 5 5 11" xfId="25617"/>
    <cellStyle name="Input 2 5 5 12" xfId="28564"/>
    <cellStyle name="Input 2 5 5 13" xfId="29531"/>
    <cellStyle name="Input 2 5 5 14" xfId="30573"/>
    <cellStyle name="Input 2 5 5 15" xfId="31564"/>
    <cellStyle name="Input 2 5 5 16" xfId="32572"/>
    <cellStyle name="Input 2 5 5 17" xfId="33575"/>
    <cellStyle name="Input 2 5 5 18" xfId="34574"/>
    <cellStyle name="Input 2 5 5 19" xfId="36195"/>
    <cellStyle name="Input 2 5 5 2" xfId="16599"/>
    <cellStyle name="Input 2 5 5 20" xfId="37134"/>
    <cellStyle name="Input 2 5 5 3" xfId="17578"/>
    <cellStyle name="Input 2 5 5 4" xfId="18605"/>
    <cellStyle name="Input 2 5 5 5" xfId="19637"/>
    <cellStyle name="Input 2 5 5 6" xfId="20659"/>
    <cellStyle name="Input 2 5 5 7" xfId="21670"/>
    <cellStyle name="Input 2 5 5 8" xfId="22641"/>
    <cellStyle name="Input 2 5 5 9" xfId="23646"/>
    <cellStyle name="Input 2 5 6" xfId="13958"/>
    <cellStyle name="Input 2 5 7" xfId="14814"/>
    <cellStyle name="Input 2 5 8" xfId="14449"/>
    <cellStyle name="Input 2 5 9" xfId="15751"/>
    <cellStyle name="Input 2 6" xfId="4800"/>
    <cellStyle name="Input 2 6 10" xfId="23647"/>
    <cellStyle name="Input 2 6 11" xfId="24619"/>
    <cellStyle name="Input 2 6 12" xfId="25618"/>
    <cellStyle name="Input 2 6 13" xfId="28565"/>
    <cellStyle name="Input 2 6 14" xfId="29532"/>
    <cellStyle name="Input 2 6 15" xfId="30574"/>
    <cellStyle name="Input 2 6 16" xfId="31565"/>
    <cellStyle name="Input 2 6 17" xfId="32573"/>
    <cellStyle name="Input 2 6 18" xfId="33576"/>
    <cellStyle name="Input 2 6 19" xfId="34575"/>
    <cellStyle name="Input 2 6 2" xfId="4801"/>
    <cellStyle name="Input 2 6 2 10" xfId="24620"/>
    <cellStyle name="Input 2 6 2 11" xfId="25619"/>
    <cellStyle name="Input 2 6 2 12" xfId="28566"/>
    <cellStyle name="Input 2 6 2 13" xfId="29533"/>
    <cellStyle name="Input 2 6 2 14" xfId="30575"/>
    <cellStyle name="Input 2 6 2 15" xfId="31566"/>
    <cellStyle name="Input 2 6 2 16" xfId="32574"/>
    <cellStyle name="Input 2 6 2 17" xfId="33577"/>
    <cellStyle name="Input 2 6 2 18" xfId="34576"/>
    <cellStyle name="Input 2 6 2 19" xfId="36197"/>
    <cellStyle name="Input 2 6 2 2" xfId="16601"/>
    <cellStyle name="Input 2 6 2 20" xfId="37136"/>
    <cellStyle name="Input 2 6 2 3" xfId="17580"/>
    <cellStyle name="Input 2 6 2 4" xfId="18607"/>
    <cellStyle name="Input 2 6 2 5" xfId="19639"/>
    <cellStyle name="Input 2 6 2 6" xfId="20661"/>
    <cellStyle name="Input 2 6 2 7" xfId="21672"/>
    <cellStyle name="Input 2 6 2 8" xfId="22643"/>
    <cellStyle name="Input 2 6 2 9" xfId="23648"/>
    <cellStyle name="Input 2 6 20" xfId="36196"/>
    <cellStyle name="Input 2 6 21" xfId="37135"/>
    <cellStyle name="Input 2 6 3" xfId="16600"/>
    <cellStyle name="Input 2 6 4" xfId="17579"/>
    <cellStyle name="Input 2 6 5" xfId="18606"/>
    <cellStyle name="Input 2 6 6" xfId="19638"/>
    <cellStyle name="Input 2 6 7" xfId="20660"/>
    <cellStyle name="Input 2 6 8" xfId="21671"/>
    <cellStyle name="Input 2 6 9" xfId="22642"/>
    <cellStyle name="Input 2 7" xfId="4802"/>
    <cellStyle name="Input 2 7 10" xfId="23649"/>
    <cellStyle name="Input 2 7 11" xfId="24621"/>
    <cellStyle name="Input 2 7 12" xfId="25620"/>
    <cellStyle name="Input 2 7 13" xfId="28567"/>
    <cellStyle name="Input 2 7 14" xfId="29534"/>
    <cellStyle name="Input 2 7 15" xfId="30576"/>
    <cellStyle name="Input 2 7 16" xfId="31567"/>
    <cellStyle name="Input 2 7 17" xfId="32575"/>
    <cellStyle name="Input 2 7 18" xfId="33578"/>
    <cellStyle name="Input 2 7 19" xfId="34577"/>
    <cellStyle name="Input 2 7 2" xfId="4803"/>
    <cellStyle name="Input 2 7 2 10" xfId="24622"/>
    <cellStyle name="Input 2 7 2 11" xfId="25621"/>
    <cellStyle name="Input 2 7 2 12" xfId="28568"/>
    <cellStyle name="Input 2 7 2 13" xfId="29535"/>
    <cellStyle name="Input 2 7 2 14" xfId="30577"/>
    <cellStyle name="Input 2 7 2 15" xfId="31568"/>
    <cellStyle name="Input 2 7 2 16" xfId="32576"/>
    <cellStyle name="Input 2 7 2 17" xfId="33579"/>
    <cellStyle name="Input 2 7 2 18" xfId="34578"/>
    <cellStyle name="Input 2 7 2 19" xfId="36199"/>
    <cellStyle name="Input 2 7 2 2" xfId="16603"/>
    <cellStyle name="Input 2 7 2 20" xfId="37138"/>
    <cellStyle name="Input 2 7 2 3" xfId="17582"/>
    <cellStyle name="Input 2 7 2 4" xfId="18609"/>
    <cellStyle name="Input 2 7 2 5" xfId="19641"/>
    <cellStyle name="Input 2 7 2 6" xfId="20663"/>
    <cellStyle name="Input 2 7 2 7" xfId="21674"/>
    <cellStyle name="Input 2 7 2 8" xfId="22645"/>
    <cellStyle name="Input 2 7 2 9" xfId="23650"/>
    <cellStyle name="Input 2 7 20" xfId="36198"/>
    <cellStyle name="Input 2 7 21" xfId="37137"/>
    <cellStyle name="Input 2 7 3" xfId="16602"/>
    <cellStyle name="Input 2 7 4" xfId="17581"/>
    <cellStyle name="Input 2 7 5" xfId="18608"/>
    <cellStyle name="Input 2 7 6" xfId="19640"/>
    <cellStyle name="Input 2 7 7" xfId="20662"/>
    <cellStyle name="Input 2 7 8" xfId="21673"/>
    <cellStyle name="Input 2 7 9" xfId="22644"/>
    <cellStyle name="Input 2 8" xfId="4804"/>
    <cellStyle name="Input 2 8 10" xfId="23651"/>
    <cellStyle name="Input 2 8 11" xfId="24623"/>
    <cellStyle name="Input 2 8 12" xfId="25622"/>
    <cellStyle name="Input 2 8 13" xfId="28569"/>
    <cellStyle name="Input 2 8 14" xfId="29536"/>
    <cellStyle name="Input 2 8 15" xfId="30578"/>
    <cellStyle name="Input 2 8 16" xfId="31569"/>
    <cellStyle name="Input 2 8 17" xfId="32577"/>
    <cellStyle name="Input 2 8 18" xfId="33580"/>
    <cellStyle name="Input 2 8 19" xfId="34579"/>
    <cellStyle name="Input 2 8 2" xfId="4805"/>
    <cellStyle name="Input 2 8 2 10" xfId="24624"/>
    <cellStyle name="Input 2 8 2 11" xfId="25623"/>
    <cellStyle name="Input 2 8 2 12" xfId="28570"/>
    <cellStyle name="Input 2 8 2 13" xfId="29537"/>
    <cellStyle name="Input 2 8 2 14" xfId="30579"/>
    <cellStyle name="Input 2 8 2 15" xfId="31570"/>
    <cellStyle name="Input 2 8 2 16" xfId="32578"/>
    <cellStyle name="Input 2 8 2 17" xfId="33581"/>
    <cellStyle name="Input 2 8 2 18" xfId="34580"/>
    <cellStyle name="Input 2 8 2 19" xfId="36201"/>
    <cellStyle name="Input 2 8 2 2" xfId="16605"/>
    <cellStyle name="Input 2 8 2 20" xfId="37140"/>
    <cellStyle name="Input 2 8 2 3" xfId="17584"/>
    <cellStyle name="Input 2 8 2 4" xfId="18611"/>
    <cellStyle name="Input 2 8 2 5" xfId="19643"/>
    <cellStyle name="Input 2 8 2 6" xfId="20665"/>
    <cellStyle name="Input 2 8 2 7" xfId="21676"/>
    <cellStyle name="Input 2 8 2 8" xfId="22647"/>
    <cellStyle name="Input 2 8 2 9" xfId="23652"/>
    <cellStyle name="Input 2 8 20" xfId="36200"/>
    <cellStyle name="Input 2 8 21" xfId="37139"/>
    <cellStyle name="Input 2 8 3" xfId="16604"/>
    <cellStyle name="Input 2 8 4" xfId="17583"/>
    <cellStyle name="Input 2 8 5" xfId="18610"/>
    <cellStyle name="Input 2 8 6" xfId="19642"/>
    <cellStyle name="Input 2 8 7" xfId="20664"/>
    <cellStyle name="Input 2 8 8" xfId="21675"/>
    <cellStyle name="Input 2 8 9" xfId="22646"/>
    <cellStyle name="Input 2 9" xfId="4806"/>
    <cellStyle name="Input 2 9 10" xfId="24625"/>
    <cellStyle name="Input 2 9 11" xfId="25624"/>
    <cellStyle name="Input 2 9 12" xfId="28571"/>
    <cellStyle name="Input 2 9 13" xfId="29538"/>
    <cellStyle name="Input 2 9 14" xfId="30580"/>
    <cellStyle name="Input 2 9 15" xfId="31571"/>
    <cellStyle name="Input 2 9 16" xfId="32579"/>
    <cellStyle name="Input 2 9 17" xfId="33582"/>
    <cellStyle name="Input 2 9 18" xfId="34581"/>
    <cellStyle name="Input 2 9 19" xfId="36202"/>
    <cellStyle name="Input 2 9 2" xfId="16606"/>
    <cellStyle name="Input 2 9 20" xfId="37141"/>
    <cellStyle name="Input 2 9 3" xfId="17585"/>
    <cellStyle name="Input 2 9 4" xfId="18612"/>
    <cellStyle name="Input 2 9 5" xfId="19644"/>
    <cellStyle name="Input 2 9 6" xfId="20666"/>
    <cellStyle name="Input 2 9 7" xfId="21677"/>
    <cellStyle name="Input 2 9 8" xfId="22648"/>
    <cellStyle name="Input 2 9 9" xfId="23653"/>
    <cellStyle name="Input 3" xfId="142"/>
    <cellStyle name="Input 3 10" xfId="4807"/>
    <cellStyle name="Input 3 11" xfId="34888"/>
    <cellStyle name="Input 3 12" xfId="37397"/>
    <cellStyle name="Input 3 13" xfId="37428"/>
    <cellStyle name="Input 3 14" xfId="37482"/>
    <cellStyle name="Input 3 15" xfId="37558"/>
    <cellStyle name="Input 3 2" xfId="4808"/>
    <cellStyle name="Input 3 2 10" xfId="19918"/>
    <cellStyle name="Input 3 2 11" xfId="20957"/>
    <cellStyle name="Input 3 2 12" xfId="21901"/>
    <cellStyle name="Input 3 2 13" xfId="23908"/>
    <cellStyle name="Input 3 2 14" xfId="25991"/>
    <cellStyle name="Input 3 2 15" xfId="27290"/>
    <cellStyle name="Input 3 2 16" xfId="28791"/>
    <cellStyle name="Input 3 2 17" xfId="30847"/>
    <cellStyle name="Input 3 2 18" xfId="31832"/>
    <cellStyle name="Input 3 2 19" xfId="25955"/>
    <cellStyle name="Input 3 2 2" xfId="4809"/>
    <cellStyle name="Input 3 2 2 10" xfId="14358"/>
    <cellStyle name="Input 3 2 2 11" xfId="13656"/>
    <cellStyle name="Input 3 2 2 12" xfId="14974"/>
    <cellStyle name="Input 3 2 2 13" xfId="14578"/>
    <cellStyle name="Input 3 2 2 14" xfId="14686"/>
    <cellStyle name="Input 3 2 2 15" xfId="15620"/>
    <cellStyle name="Input 3 2 2 16" xfId="26096"/>
    <cellStyle name="Input 3 2 2 17" xfId="27776"/>
    <cellStyle name="Input 3 2 2 18" xfId="27210"/>
    <cellStyle name="Input 3 2 2 19" xfId="27392"/>
    <cellStyle name="Input 3 2 2 2" xfId="4810"/>
    <cellStyle name="Input 3 2 2 2 10" xfId="13910"/>
    <cellStyle name="Input 3 2 2 2 11" xfId="14084"/>
    <cellStyle name="Input 3 2 2 2 12" xfId="26317"/>
    <cellStyle name="Input 3 2 2 2 13" xfId="27170"/>
    <cellStyle name="Input 3 2 2 2 14" xfId="26817"/>
    <cellStyle name="Input 3 2 2 2 15" xfId="26538"/>
    <cellStyle name="Input 3 2 2 2 16" xfId="27600"/>
    <cellStyle name="Input 3 2 2 2 17" xfId="26804"/>
    <cellStyle name="Input 3 2 2 2 18" xfId="35013"/>
    <cellStyle name="Input 3 2 2 2 19" xfId="35324"/>
    <cellStyle name="Input 3 2 2 2 2" xfId="4811"/>
    <cellStyle name="Input 3 2 2 2 2 10" xfId="23654"/>
    <cellStyle name="Input 3 2 2 2 2 11" xfId="24626"/>
    <cellStyle name="Input 3 2 2 2 2 12" xfId="25625"/>
    <cellStyle name="Input 3 2 2 2 2 13" xfId="28572"/>
    <cellStyle name="Input 3 2 2 2 2 14" xfId="29539"/>
    <cellStyle name="Input 3 2 2 2 2 15" xfId="30581"/>
    <cellStyle name="Input 3 2 2 2 2 16" xfId="31572"/>
    <cellStyle name="Input 3 2 2 2 2 17" xfId="32580"/>
    <cellStyle name="Input 3 2 2 2 2 18" xfId="33583"/>
    <cellStyle name="Input 3 2 2 2 2 19" xfId="34582"/>
    <cellStyle name="Input 3 2 2 2 2 2" xfId="4812"/>
    <cellStyle name="Input 3 2 2 2 2 2 10" xfId="24627"/>
    <cellStyle name="Input 3 2 2 2 2 2 11" xfId="25626"/>
    <cellStyle name="Input 3 2 2 2 2 2 12" xfId="28573"/>
    <cellStyle name="Input 3 2 2 2 2 2 13" xfId="29540"/>
    <cellStyle name="Input 3 2 2 2 2 2 14" xfId="30582"/>
    <cellStyle name="Input 3 2 2 2 2 2 15" xfId="31573"/>
    <cellStyle name="Input 3 2 2 2 2 2 16" xfId="32581"/>
    <cellStyle name="Input 3 2 2 2 2 2 17" xfId="33584"/>
    <cellStyle name="Input 3 2 2 2 2 2 18" xfId="34583"/>
    <cellStyle name="Input 3 2 2 2 2 2 19" xfId="36204"/>
    <cellStyle name="Input 3 2 2 2 2 2 2" xfId="16608"/>
    <cellStyle name="Input 3 2 2 2 2 2 20" xfId="37143"/>
    <cellStyle name="Input 3 2 2 2 2 2 3" xfId="17587"/>
    <cellStyle name="Input 3 2 2 2 2 2 4" xfId="18614"/>
    <cellStyle name="Input 3 2 2 2 2 2 5" xfId="19646"/>
    <cellStyle name="Input 3 2 2 2 2 2 6" xfId="20668"/>
    <cellStyle name="Input 3 2 2 2 2 2 7" xfId="21679"/>
    <cellStyle name="Input 3 2 2 2 2 2 8" xfId="22650"/>
    <cellStyle name="Input 3 2 2 2 2 2 9" xfId="23655"/>
    <cellStyle name="Input 3 2 2 2 2 20" xfId="36203"/>
    <cellStyle name="Input 3 2 2 2 2 21" xfId="37142"/>
    <cellStyle name="Input 3 2 2 2 2 3" xfId="16607"/>
    <cellStyle name="Input 3 2 2 2 2 4" xfId="17586"/>
    <cellStyle name="Input 3 2 2 2 2 5" xfId="18613"/>
    <cellStyle name="Input 3 2 2 2 2 6" xfId="19645"/>
    <cellStyle name="Input 3 2 2 2 2 7" xfId="20667"/>
    <cellStyle name="Input 3 2 2 2 2 8" xfId="21678"/>
    <cellStyle name="Input 3 2 2 2 2 9" xfId="22649"/>
    <cellStyle name="Input 3 2 2 2 3" xfId="4813"/>
    <cellStyle name="Input 3 2 2 2 3 10" xfId="23656"/>
    <cellStyle name="Input 3 2 2 2 3 11" xfId="24628"/>
    <cellStyle name="Input 3 2 2 2 3 12" xfId="25627"/>
    <cellStyle name="Input 3 2 2 2 3 13" xfId="28574"/>
    <cellStyle name="Input 3 2 2 2 3 14" xfId="29541"/>
    <cellStyle name="Input 3 2 2 2 3 15" xfId="30583"/>
    <cellStyle name="Input 3 2 2 2 3 16" xfId="31574"/>
    <cellStyle name="Input 3 2 2 2 3 17" xfId="32582"/>
    <cellStyle name="Input 3 2 2 2 3 18" xfId="33585"/>
    <cellStyle name="Input 3 2 2 2 3 19" xfId="34584"/>
    <cellStyle name="Input 3 2 2 2 3 2" xfId="4814"/>
    <cellStyle name="Input 3 2 2 2 3 2 10" xfId="24629"/>
    <cellStyle name="Input 3 2 2 2 3 2 11" xfId="25628"/>
    <cellStyle name="Input 3 2 2 2 3 2 12" xfId="28575"/>
    <cellStyle name="Input 3 2 2 2 3 2 13" xfId="29542"/>
    <cellStyle name="Input 3 2 2 2 3 2 14" xfId="30584"/>
    <cellStyle name="Input 3 2 2 2 3 2 15" xfId="31575"/>
    <cellStyle name="Input 3 2 2 2 3 2 16" xfId="32583"/>
    <cellStyle name="Input 3 2 2 2 3 2 17" xfId="33586"/>
    <cellStyle name="Input 3 2 2 2 3 2 18" xfId="34585"/>
    <cellStyle name="Input 3 2 2 2 3 2 19" xfId="36206"/>
    <cellStyle name="Input 3 2 2 2 3 2 2" xfId="16610"/>
    <cellStyle name="Input 3 2 2 2 3 2 20" xfId="37145"/>
    <cellStyle name="Input 3 2 2 2 3 2 3" xfId="17589"/>
    <cellStyle name="Input 3 2 2 2 3 2 4" xfId="18616"/>
    <cellStyle name="Input 3 2 2 2 3 2 5" xfId="19648"/>
    <cellStyle name="Input 3 2 2 2 3 2 6" xfId="20670"/>
    <cellStyle name="Input 3 2 2 2 3 2 7" xfId="21681"/>
    <cellStyle name="Input 3 2 2 2 3 2 8" xfId="22652"/>
    <cellStyle name="Input 3 2 2 2 3 2 9" xfId="23657"/>
    <cellStyle name="Input 3 2 2 2 3 20" xfId="36205"/>
    <cellStyle name="Input 3 2 2 2 3 21" xfId="37144"/>
    <cellStyle name="Input 3 2 2 2 3 3" xfId="16609"/>
    <cellStyle name="Input 3 2 2 2 3 4" xfId="17588"/>
    <cellStyle name="Input 3 2 2 2 3 5" xfId="18615"/>
    <cellStyle name="Input 3 2 2 2 3 6" xfId="19647"/>
    <cellStyle name="Input 3 2 2 2 3 7" xfId="20669"/>
    <cellStyle name="Input 3 2 2 2 3 8" xfId="21680"/>
    <cellStyle name="Input 3 2 2 2 3 9" xfId="22651"/>
    <cellStyle name="Input 3 2 2 2 4" xfId="4815"/>
    <cellStyle name="Input 3 2 2 2 4 10" xfId="23658"/>
    <cellStyle name="Input 3 2 2 2 4 11" xfId="24630"/>
    <cellStyle name="Input 3 2 2 2 4 12" xfId="25629"/>
    <cellStyle name="Input 3 2 2 2 4 13" xfId="28576"/>
    <cellStyle name="Input 3 2 2 2 4 14" xfId="29543"/>
    <cellStyle name="Input 3 2 2 2 4 15" xfId="30585"/>
    <cellStyle name="Input 3 2 2 2 4 16" xfId="31576"/>
    <cellStyle name="Input 3 2 2 2 4 17" xfId="32584"/>
    <cellStyle name="Input 3 2 2 2 4 18" xfId="33587"/>
    <cellStyle name="Input 3 2 2 2 4 19" xfId="34586"/>
    <cellStyle name="Input 3 2 2 2 4 2" xfId="4816"/>
    <cellStyle name="Input 3 2 2 2 4 2 10" xfId="24631"/>
    <cellStyle name="Input 3 2 2 2 4 2 11" xfId="25630"/>
    <cellStyle name="Input 3 2 2 2 4 2 12" xfId="28577"/>
    <cellStyle name="Input 3 2 2 2 4 2 13" xfId="29544"/>
    <cellStyle name="Input 3 2 2 2 4 2 14" xfId="30586"/>
    <cellStyle name="Input 3 2 2 2 4 2 15" xfId="31577"/>
    <cellStyle name="Input 3 2 2 2 4 2 16" xfId="32585"/>
    <cellStyle name="Input 3 2 2 2 4 2 17" xfId="33588"/>
    <cellStyle name="Input 3 2 2 2 4 2 18" xfId="34587"/>
    <cellStyle name="Input 3 2 2 2 4 2 19" xfId="36208"/>
    <cellStyle name="Input 3 2 2 2 4 2 2" xfId="16612"/>
    <cellStyle name="Input 3 2 2 2 4 2 20" xfId="37147"/>
    <cellStyle name="Input 3 2 2 2 4 2 3" xfId="17591"/>
    <cellStyle name="Input 3 2 2 2 4 2 4" xfId="18618"/>
    <cellStyle name="Input 3 2 2 2 4 2 5" xfId="19650"/>
    <cellStyle name="Input 3 2 2 2 4 2 6" xfId="20672"/>
    <cellStyle name="Input 3 2 2 2 4 2 7" xfId="21683"/>
    <cellStyle name="Input 3 2 2 2 4 2 8" xfId="22654"/>
    <cellStyle name="Input 3 2 2 2 4 2 9" xfId="23659"/>
    <cellStyle name="Input 3 2 2 2 4 20" xfId="36207"/>
    <cellStyle name="Input 3 2 2 2 4 21" xfId="37146"/>
    <cellStyle name="Input 3 2 2 2 4 3" xfId="16611"/>
    <cellStyle name="Input 3 2 2 2 4 4" xfId="17590"/>
    <cellStyle name="Input 3 2 2 2 4 5" xfId="18617"/>
    <cellStyle name="Input 3 2 2 2 4 6" xfId="19649"/>
    <cellStyle name="Input 3 2 2 2 4 7" xfId="20671"/>
    <cellStyle name="Input 3 2 2 2 4 8" xfId="21682"/>
    <cellStyle name="Input 3 2 2 2 4 9" xfId="22653"/>
    <cellStyle name="Input 3 2 2 2 5" xfId="4817"/>
    <cellStyle name="Input 3 2 2 2 5 10" xfId="24632"/>
    <cellStyle name="Input 3 2 2 2 5 11" xfId="25631"/>
    <cellStyle name="Input 3 2 2 2 5 12" xfId="28578"/>
    <cellStyle name="Input 3 2 2 2 5 13" xfId="29545"/>
    <cellStyle name="Input 3 2 2 2 5 14" xfId="30587"/>
    <cellStyle name="Input 3 2 2 2 5 15" xfId="31578"/>
    <cellStyle name="Input 3 2 2 2 5 16" xfId="32586"/>
    <cellStyle name="Input 3 2 2 2 5 17" xfId="33589"/>
    <cellStyle name="Input 3 2 2 2 5 18" xfId="34588"/>
    <cellStyle name="Input 3 2 2 2 5 19" xfId="36209"/>
    <cellStyle name="Input 3 2 2 2 5 2" xfId="16613"/>
    <cellStyle name="Input 3 2 2 2 5 20" xfId="37148"/>
    <cellStyle name="Input 3 2 2 2 5 3" xfId="17592"/>
    <cellStyle name="Input 3 2 2 2 5 4" xfId="18619"/>
    <cellStyle name="Input 3 2 2 2 5 5" xfId="19651"/>
    <cellStyle name="Input 3 2 2 2 5 6" xfId="20673"/>
    <cellStyle name="Input 3 2 2 2 5 7" xfId="21684"/>
    <cellStyle name="Input 3 2 2 2 5 8" xfId="22655"/>
    <cellStyle name="Input 3 2 2 2 5 9" xfId="23660"/>
    <cellStyle name="Input 3 2 2 2 6" xfId="13728"/>
    <cellStyle name="Input 3 2 2 2 7" xfId="15142"/>
    <cellStyle name="Input 3 2 2 2 8" xfId="14864"/>
    <cellStyle name="Input 3 2 2 2 9" xfId="14288"/>
    <cellStyle name="Input 3 2 2 20" xfId="27381"/>
    <cellStyle name="Input 3 2 2 21" xfId="26860"/>
    <cellStyle name="Input 3 2 2 22" xfId="34956"/>
    <cellStyle name="Input 3 2 2 23" xfId="35364"/>
    <cellStyle name="Input 3 2 2 3" xfId="4818"/>
    <cellStyle name="Input 3 2 2 3 10" xfId="14514"/>
    <cellStyle name="Input 3 2 2 3 11" xfId="15272"/>
    <cellStyle name="Input 3 2 2 3 12" xfId="26397"/>
    <cellStyle name="Input 3 2 2 3 13" xfId="26029"/>
    <cellStyle name="Input 3 2 2 3 14" xfId="26144"/>
    <cellStyle name="Input 3 2 2 3 15" xfId="26514"/>
    <cellStyle name="Input 3 2 2 3 16" xfId="27599"/>
    <cellStyle name="Input 3 2 2 3 17" xfId="26997"/>
    <cellStyle name="Input 3 2 2 3 18" xfId="35088"/>
    <cellStyle name="Input 3 2 2 3 19" xfId="35273"/>
    <cellStyle name="Input 3 2 2 3 2" xfId="4819"/>
    <cellStyle name="Input 3 2 2 3 2 10" xfId="23661"/>
    <cellStyle name="Input 3 2 2 3 2 11" xfId="24633"/>
    <cellStyle name="Input 3 2 2 3 2 12" xfId="25632"/>
    <cellStyle name="Input 3 2 2 3 2 13" xfId="28579"/>
    <cellStyle name="Input 3 2 2 3 2 14" xfId="29546"/>
    <cellStyle name="Input 3 2 2 3 2 15" xfId="30588"/>
    <cellStyle name="Input 3 2 2 3 2 16" xfId="31579"/>
    <cellStyle name="Input 3 2 2 3 2 17" xfId="32587"/>
    <cellStyle name="Input 3 2 2 3 2 18" xfId="33590"/>
    <cellStyle name="Input 3 2 2 3 2 19" xfId="34589"/>
    <cellStyle name="Input 3 2 2 3 2 2" xfId="4820"/>
    <cellStyle name="Input 3 2 2 3 2 2 10" xfId="24634"/>
    <cellStyle name="Input 3 2 2 3 2 2 11" xfId="25633"/>
    <cellStyle name="Input 3 2 2 3 2 2 12" xfId="28580"/>
    <cellStyle name="Input 3 2 2 3 2 2 13" xfId="29547"/>
    <cellStyle name="Input 3 2 2 3 2 2 14" xfId="30589"/>
    <cellStyle name="Input 3 2 2 3 2 2 15" xfId="31580"/>
    <cellStyle name="Input 3 2 2 3 2 2 16" xfId="32588"/>
    <cellStyle name="Input 3 2 2 3 2 2 17" xfId="33591"/>
    <cellStyle name="Input 3 2 2 3 2 2 18" xfId="34590"/>
    <cellStyle name="Input 3 2 2 3 2 2 19" xfId="36211"/>
    <cellStyle name="Input 3 2 2 3 2 2 2" xfId="16615"/>
    <cellStyle name="Input 3 2 2 3 2 2 20" xfId="37150"/>
    <cellStyle name="Input 3 2 2 3 2 2 3" xfId="17594"/>
    <cellStyle name="Input 3 2 2 3 2 2 4" xfId="18621"/>
    <cellStyle name="Input 3 2 2 3 2 2 5" xfId="19653"/>
    <cellStyle name="Input 3 2 2 3 2 2 6" xfId="20675"/>
    <cellStyle name="Input 3 2 2 3 2 2 7" xfId="21686"/>
    <cellStyle name="Input 3 2 2 3 2 2 8" xfId="22657"/>
    <cellStyle name="Input 3 2 2 3 2 2 9" xfId="23662"/>
    <cellStyle name="Input 3 2 2 3 2 20" xfId="36210"/>
    <cellStyle name="Input 3 2 2 3 2 21" xfId="37149"/>
    <cellStyle name="Input 3 2 2 3 2 3" xfId="16614"/>
    <cellStyle name="Input 3 2 2 3 2 4" xfId="17593"/>
    <cellStyle name="Input 3 2 2 3 2 5" xfId="18620"/>
    <cellStyle name="Input 3 2 2 3 2 6" xfId="19652"/>
    <cellStyle name="Input 3 2 2 3 2 7" xfId="20674"/>
    <cellStyle name="Input 3 2 2 3 2 8" xfId="21685"/>
    <cellStyle name="Input 3 2 2 3 2 9" xfId="22656"/>
    <cellStyle name="Input 3 2 2 3 3" xfId="4821"/>
    <cellStyle name="Input 3 2 2 3 3 10" xfId="23663"/>
    <cellStyle name="Input 3 2 2 3 3 11" xfId="24635"/>
    <cellStyle name="Input 3 2 2 3 3 12" xfId="25634"/>
    <cellStyle name="Input 3 2 2 3 3 13" xfId="28581"/>
    <cellStyle name="Input 3 2 2 3 3 14" xfId="29548"/>
    <cellStyle name="Input 3 2 2 3 3 15" xfId="30590"/>
    <cellStyle name="Input 3 2 2 3 3 16" xfId="31581"/>
    <cellStyle name="Input 3 2 2 3 3 17" xfId="32589"/>
    <cellStyle name="Input 3 2 2 3 3 18" xfId="33592"/>
    <cellStyle name="Input 3 2 2 3 3 19" xfId="34591"/>
    <cellStyle name="Input 3 2 2 3 3 2" xfId="4822"/>
    <cellStyle name="Input 3 2 2 3 3 2 10" xfId="24636"/>
    <cellStyle name="Input 3 2 2 3 3 2 11" xfId="25635"/>
    <cellStyle name="Input 3 2 2 3 3 2 12" xfId="28582"/>
    <cellStyle name="Input 3 2 2 3 3 2 13" xfId="29549"/>
    <cellStyle name="Input 3 2 2 3 3 2 14" xfId="30591"/>
    <cellStyle name="Input 3 2 2 3 3 2 15" xfId="31582"/>
    <cellStyle name="Input 3 2 2 3 3 2 16" xfId="32590"/>
    <cellStyle name="Input 3 2 2 3 3 2 17" xfId="33593"/>
    <cellStyle name="Input 3 2 2 3 3 2 18" xfId="34592"/>
    <cellStyle name="Input 3 2 2 3 3 2 19" xfId="36213"/>
    <cellStyle name="Input 3 2 2 3 3 2 2" xfId="16617"/>
    <cellStyle name="Input 3 2 2 3 3 2 20" xfId="37152"/>
    <cellStyle name="Input 3 2 2 3 3 2 3" xfId="17596"/>
    <cellStyle name="Input 3 2 2 3 3 2 4" xfId="18623"/>
    <cellStyle name="Input 3 2 2 3 3 2 5" xfId="19655"/>
    <cellStyle name="Input 3 2 2 3 3 2 6" xfId="20677"/>
    <cellStyle name="Input 3 2 2 3 3 2 7" xfId="21688"/>
    <cellStyle name="Input 3 2 2 3 3 2 8" xfId="22659"/>
    <cellStyle name="Input 3 2 2 3 3 2 9" xfId="23664"/>
    <cellStyle name="Input 3 2 2 3 3 20" xfId="36212"/>
    <cellStyle name="Input 3 2 2 3 3 21" xfId="37151"/>
    <cellStyle name="Input 3 2 2 3 3 3" xfId="16616"/>
    <cellStyle name="Input 3 2 2 3 3 4" xfId="17595"/>
    <cellStyle name="Input 3 2 2 3 3 5" xfId="18622"/>
    <cellStyle name="Input 3 2 2 3 3 6" xfId="19654"/>
    <cellStyle name="Input 3 2 2 3 3 7" xfId="20676"/>
    <cellStyle name="Input 3 2 2 3 3 8" xfId="21687"/>
    <cellStyle name="Input 3 2 2 3 3 9" xfId="22658"/>
    <cellStyle name="Input 3 2 2 3 4" xfId="4823"/>
    <cellStyle name="Input 3 2 2 3 4 10" xfId="23665"/>
    <cellStyle name="Input 3 2 2 3 4 11" xfId="24637"/>
    <cellStyle name="Input 3 2 2 3 4 12" xfId="25636"/>
    <cellStyle name="Input 3 2 2 3 4 13" xfId="28583"/>
    <cellStyle name="Input 3 2 2 3 4 14" xfId="29550"/>
    <cellStyle name="Input 3 2 2 3 4 15" xfId="30592"/>
    <cellStyle name="Input 3 2 2 3 4 16" xfId="31583"/>
    <cellStyle name="Input 3 2 2 3 4 17" xfId="32591"/>
    <cellStyle name="Input 3 2 2 3 4 18" xfId="33594"/>
    <cellStyle name="Input 3 2 2 3 4 19" xfId="34593"/>
    <cellStyle name="Input 3 2 2 3 4 2" xfId="4824"/>
    <cellStyle name="Input 3 2 2 3 4 2 10" xfId="24638"/>
    <cellStyle name="Input 3 2 2 3 4 2 11" xfId="25637"/>
    <cellStyle name="Input 3 2 2 3 4 2 12" xfId="28584"/>
    <cellStyle name="Input 3 2 2 3 4 2 13" xfId="29551"/>
    <cellStyle name="Input 3 2 2 3 4 2 14" xfId="30593"/>
    <cellStyle name="Input 3 2 2 3 4 2 15" xfId="31584"/>
    <cellStyle name="Input 3 2 2 3 4 2 16" xfId="32592"/>
    <cellStyle name="Input 3 2 2 3 4 2 17" xfId="33595"/>
    <cellStyle name="Input 3 2 2 3 4 2 18" xfId="34594"/>
    <cellStyle name="Input 3 2 2 3 4 2 19" xfId="36215"/>
    <cellStyle name="Input 3 2 2 3 4 2 2" xfId="16619"/>
    <cellStyle name="Input 3 2 2 3 4 2 20" xfId="37154"/>
    <cellStyle name="Input 3 2 2 3 4 2 3" xfId="17598"/>
    <cellStyle name="Input 3 2 2 3 4 2 4" xfId="18625"/>
    <cellStyle name="Input 3 2 2 3 4 2 5" xfId="19657"/>
    <cellStyle name="Input 3 2 2 3 4 2 6" xfId="20679"/>
    <cellStyle name="Input 3 2 2 3 4 2 7" xfId="21690"/>
    <cellStyle name="Input 3 2 2 3 4 2 8" xfId="22661"/>
    <cellStyle name="Input 3 2 2 3 4 2 9" xfId="23666"/>
    <cellStyle name="Input 3 2 2 3 4 20" xfId="36214"/>
    <cellStyle name="Input 3 2 2 3 4 21" xfId="37153"/>
    <cellStyle name="Input 3 2 2 3 4 3" xfId="16618"/>
    <cellStyle name="Input 3 2 2 3 4 4" xfId="17597"/>
    <cellStyle name="Input 3 2 2 3 4 5" xfId="18624"/>
    <cellStyle name="Input 3 2 2 3 4 6" xfId="19656"/>
    <cellStyle name="Input 3 2 2 3 4 7" xfId="20678"/>
    <cellStyle name="Input 3 2 2 3 4 8" xfId="21689"/>
    <cellStyle name="Input 3 2 2 3 4 9" xfId="22660"/>
    <cellStyle name="Input 3 2 2 3 5" xfId="4825"/>
    <cellStyle name="Input 3 2 2 3 5 10" xfId="24639"/>
    <cellStyle name="Input 3 2 2 3 5 11" xfId="25638"/>
    <cellStyle name="Input 3 2 2 3 5 12" xfId="28585"/>
    <cellStyle name="Input 3 2 2 3 5 13" xfId="29552"/>
    <cellStyle name="Input 3 2 2 3 5 14" xfId="30594"/>
    <cellStyle name="Input 3 2 2 3 5 15" xfId="31585"/>
    <cellStyle name="Input 3 2 2 3 5 16" xfId="32593"/>
    <cellStyle name="Input 3 2 2 3 5 17" xfId="33596"/>
    <cellStyle name="Input 3 2 2 3 5 18" xfId="34595"/>
    <cellStyle name="Input 3 2 2 3 5 19" xfId="36216"/>
    <cellStyle name="Input 3 2 2 3 5 2" xfId="16620"/>
    <cellStyle name="Input 3 2 2 3 5 20" xfId="37155"/>
    <cellStyle name="Input 3 2 2 3 5 3" xfId="17599"/>
    <cellStyle name="Input 3 2 2 3 5 4" xfId="18626"/>
    <cellStyle name="Input 3 2 2 3 5 5" xfId="19658"/>
    <cellStyle name="Input 3 2 2 3 5 6" xfId="20680"/>
    <cellStyle name="Input 3 2 2 3 5 7" xfId="21691"/>
    <cellStyle name="Input 3 2 2 3 5 8" xfId="22662"/>
    <cellStyle name="Input 3 2 2 3 5 9" xfId="23667"/>
    <cellStyle name="Input 3 2 2 3 6" xfId="14053"/>
    <cellStyle name="Input 3 2 2 3 7" xfId="13522"/>
    <cellStyle name="Input 3 2 2 3 8" xfId="13612"/>
    <cellStyle name="Input 3 2 2 3 9" xfId="15330"/>
    <cellStyle name="Input 3 2 2 4" xfId="4826"/>
    <cellStyle name="Input 3 2 2 4 10" xfId="14327"/>
    <cellStyle name="Input 3 2 2 4 11" xfId="15782"/>
    <cellStyle name="Input 3 2 2 4 12" xfId="26413"/>
    <cellStyle name="Input 3 2 2 4 13" xfId="27694"/>
    <cellStyle name="Input 3 2 2 4 14" xfId="26151"/>
    <cellStyle name="Input 3 2 2 4 15" xfId="27269"/>
    <cellStyle name="Input 3 2 2 4 16" xfId="26940"/>
    <cellStyle name="Input 3 2 2 4 17" xfId="26698"/>
    <cellStyle name="Input 3 2 2 4 18" xfId="35103"/>
    <cellStyle name="Input 3 2 2 4 19" xfId="35261"/>
    <cellStyle name="Input 3 2 2 4 2" xfId="4827"/>
    <cellStyle name="Input 3 2 2 4 2 10" xfId="23668"/>
    <cellStyle name="Input 3 2 2 4 2 11" xfId="24640"/>
    <cellStyle name="Input 3 2 2 4 2 12" xfId="25639"/>
    <cellStyle name="Input 3 2 2 4 2 13" xfId="28586"/>
    <cellStyle name="Input 3 2 2 4 2 14" xfId="29553"/>
    <cellStyle name="Input 3 2 2 4 2 15" xfId="30595"/>
    <cellStyle name="Input 3 2 2 4 2 16" xfId="31586"/>
    <cellStyle name="Input 3 2 2 4 2 17" xfId="32594"/>
    <cellStyle name="Input 3 2 2 4 2 18" xfId="33597"/>
    <cellStyle name="Input 3 2 2 4 2 19" xfId="34596"/>
    <cellStyle name="Input 3 2 2 4 2 2" xfId="4828"/>
    <cellStyle name="Input 3 2 2 4 2 2 10" xfId="24641"/>
    <cellStyle name="Input 3 2 2 4 2 2 11" xfId="25640"/>
    <cellStyle name="Input 3 2 2 4 2 2 12" xfId="28587"/>
    <cellStyle name="Input 3 2 2 4 2 2 13" xfId="29554"/>
    <cellStyle name="Input 3 2 2 4 2 2 14" xfId="30596"/>
    <cellStyle name="Input 3 2 2 4 2 2 15" xfId="31587"/>
    <cellStyle name="Input 3 2 2 4 2 2 16" xfId="32595"/>
    <cellStyle name="Input 3 2 2 4 2 2 17" xfId="33598"/>
    <cellStyle name="Input 3 2 2 4 2 2 18" xfId="34597"/>
    <cellStyle name="Input 3 2 2 4 2 2 19" xfId="36218"/>
    <cellStyle name="Input 3 2 2 4 2 2 2" xfId="16622"/>
    <cellStyle name="Input 3 2 2 4 2 2 20" xfId="37157"/>
    <cellStyle name="Input 3 2 2 4 2 2 3" xfId="17601"/>
    <cellStyle name="Input 3 2 2 4 2 2 4" xfId="18628"/>
    <cellStyle name="Input 3 2 2 4 2 2 5" xfId="19660"/>
    <cellStyle name="Input 3 2 2 4 2 2 6" xfId="20682"/>
    <cellStyle name="Input 3 2 2 4 2 2 7" xfId="21693"/>
    <cellStyle name="Input 3 2 2 4 2 2 8" xfId="22664"/>
    <cellStyle name="Input 3 2 2 4 2 2 9" xfId="23669"/>
    <cellStyle name="Input 3 2 2 4 2 20" xfId="36217"/>
    <cellStyle name="Input 3 2 2 4 2 21" xfId="37156"/>
    <cellStyle name="Input 3 2 2 4 2 3" xfId="16621"/>
    <cellStyle name="Input 3 2 2 4 2 4" xfId="17600"/>
    <cellStyle name="Input 3 2 2 4 2 5" xfId="18627"/>
    <cellStyle name="Input 3 2 2 4 2 6" xfId="19659"/>
    <cellStyle name="Input 3 2 2 4 2 7" xfId="20681"/>
    <cellStyle name="Input 3 2 2 4 2 8" xfId="21692"/>
    <cellStyle name="Input 3 2 2 4 2 9" xfId="22663"/>
    <cellStyle name="Input 3 2 2 4 3" xfId="4829"/>
    <cellStyle name="Input 3 2 2 4 3 10" xfId="23670"/>
    <cellStyle name="Input 3 2 2 4 3 11" xfId="24642"/>
    <cellStyle name="Input 3 2 2 4 3 12" xfId="25641"/>
    <cellStyle name="Input 3 2 2 4 3 13" xfId="28588"/>
    <cellStyle name="Input 3 2 2 4 3 14" xfId="29555"/>
    <cellStyle name="Input 3 2 2 4 3 15" xfId="30597"/>
    <cellStyle name="Input 3 2 2 4 3 16" xfId="31588"/>
    <cellStyle name="Input 3 2 2 4 3 17" xfId="32596"/>
    <cellStyle name="Input 3 2 2 4 3 18" xfId="33599"/>
    <cellStyle name="Input 3 2 2 4 3 19" xfId="34598"/>
    <cellStyle name="Input 3 2 2 4 3 2" xfId="4830"/>
    <cellStyle name="Input 3 2 2 4 3 2 10" xfId="24643"/>
    <cellStyle name="Input 3 2 2 4 3 2 11" xfId="25642"/>
    <cellStyle name="Input 3 2 2 4 3 2 12" xfId="28589"/>
    <cellStyle name="Input 3 2 2 4 3 2 13" xfId="29556"/>
    <cellStyle name="Input 3 2 2 4 3 2 14" xfId="30598"/>
    <cellStyle name="Input 3 2 2 4 3 2 15" xfId="31589"/>
    <cellStyle name="Input 3 2 2 4 3 2 16" xfId="32597"/>
    <cellStyle name="Input 3 2 2 4 3 2 17" xfId="33600"/>
    <cellStyle name="Input 3 2 2 4 3 2 18" xfId="34599"/>
    <cellStyle name="Input 3 2 2 4 3 2 19" xfId="36220"/>
    <cellStyle name="Input 3 2 2 4 3 2 2" xfId="16624"/>
    <cellStyle name="Input 3 2 2 4 3 2 20" xfId="37159"/>
    <cellStyle name="Input 3 2 2 4 3 2 3" xfId="17603"/>
    <cellStyle name="Input 3 2 2 4 3 2 4" xfId="18630"/>
    <cellStyle name="Input 3 2 2 4 3 2 5" xfId="19662"/>
    <cellStyle name="Input 3 2 2 4 3 2 6" xfId="20684"/>
    <cellStyle name="Input 3 2 2 4 3 2 7" xfId="21695"/>
    <cellStyle name="Input 3 2 2 4 3 2 8" xfId="22666"/>
    <cellStyle name="Input 3 2 2 4 3 2 9" xfId="23671"/>
    <cellStyle name="Input 3 2 2 4 3 20" xfId="36219"/>
    <cellStyle name="Input 3 2 2 4 3 21" xfId="37158"/>
    <cellStyle name="Input 3 2 2 4 3 3" xfId="16623"/>
    <cellStyle name="Input 3 2 2 4 3 4" xfId="17602"/>
    <cellStyle name="Input 3 2 2 4 3 5" xfId="18629"/>
    <cellStyle name="Input 3 2 2 4 3 6" xfId="19661"/>
    <cellStyle name="Input 3 2 2 4 3 7" xfId="20683"/>
    <cellStyle name="Input 3 2 2 4 3 8" xfId="21694"/>
    <cellStyle name="Input 3 2 2 4 3 9" xfId="22665"/>
    <cellStyle name="Input 3 2 2 4 4" xfId="4831"/>
    <cellStyle name="Input 3 2 2 4 4 10" xfId="23672"/>
    <cellStyle name="Input 3 2 2 4 4 11" xfId="24644"/>
    <cellStyle name="Input 3 2 2 4 4 12" xfId="25643"/>
    <cellStyle name="Input 3 2 2 4 4 13" xfId="28590"/>
    <cellStyle name="Input 3 2 2 4 4 14" xfId="29557"/>
    <cellStyle name="Input 3 2 2 4 4 15" xfId="30599"/>
    <cellStyle name="Input 3 2 2 4 4 16" xfId="31590"/>
    <cellStyle name="Input 3 2 2 4 4 17" xfId="32598"/>
    <cellStyle name="Input 3 2 2 4 4 18" xfId="33601"/>
    <cellStyle name="Input 3 2 2 4 4 19" xfId="34600"/>
    <cellStyle name="Input 3 2 2 4 4 2" xfId="4832"/>
    <cellStyle name="Input 3 2 2 4 4 2 10" xfId="24645"/>
    <cellStyle name="Input 3 2 2 4 4 2 11" xfId="25644"/>
    <cellStyle name="Input 3 2 2 4 4 2 12" xfId="28591"/>
    <cellStyle name="Input 3 2 2 4 4 2 13" xfId="29558"/>
    <cellStyle name="Input 3 2 2 4 4 2 14" xfId="30600"/>
    <cellStyle name="Input 3 2 2 4 4 2 15" xfId="31591"/>
    <cellStyle name="Input 3 2 2 4 4 2 16" xfId="32599"/>
    <cellStyle name="Input 3 2 2 4 4 2 17" xfId="33602"/>
    <cellStyle name="Input 3 2 2 4 4 2 18" xfId="34601"/>
    <cellStyle name="Input 3 2 2 4 4 2 19" xfId="36222"/>
    <cellStyle name="Input 3 2 2 4 4 2 2" xfId="16626"/>
    <cellStyle name="Input 3 2 2 4 4 2 20" xfId="37161"/>
    <cellStyle name="Input 3 2 2 4 4 2 3" xfId="17605"/>
    <cellStyle name="Input 3 2 2 4 4 2 4" xfId="18632"/>
    <cellStyle name="Input 3 2 2 4 4 2 5" xfId="19664"/>
    <cellStyle name="Input 3 2 2 4 4 2 6" xfId="20686"/>
    <cellStyle name="Input 3 2 2 4 4 2 7" xfId="21697"/>
    <cellStyle name="Input 3 2 2 4 4 2 8" xfId="22668"/>
    <cellStyle name="Input 3 2 2 4 4 2 9" xfId="23673"/>
    <cellStyle name="Input 3 2 2 4 4 20" xfId="36221"/>
    <cellStyle name="Input 3 2 2 4 4 21" xfId="37160"/>
    <cellStyle name="Input 3 2 2 4 4 3" xfId="16625"/>
    <cellStyle name="Input 3 2 2 4 4 4" xfId="17604"/>
    <cellStyle name="Input 3 2 2 4 4 5" xfId="18631"/>
    <cellStyle name="Input 3 2 2 4 4 6" xfId="19663"/>
    <cellStyle name="Input 3 2 2 4 4 7" xfId="20685"/>
    <cellStyle name="Input 3 2 2 4 4 8" xfId="21696"/>
    <cellStyle name="Input 3 2 2 4 4 9" xfId="22667"/>
    <cellStyle name="Input 3 2 2 4 5" xfId="4833"/>
    <cellStyle name="Input 3 2 2 4 5 10" xfId="24646"/>
    <cellStyle name="Input 3 2 2 4 5 11" xfId="25645"/>
    <cellStyle name="Input 3 2 2 4 5 12" xfId="28592"/>
    <cellStyle name="Input 3 2 2 4 5 13" xfId="29559"/>
    <cellStyle name="Input 3 2 2 4 5 14" xfId="30601"/>
    <cellStyle name="Input 3 2 2 4 5 15" xfId="31592"/>
    <cellStyle name="Input 3 2 2 4 5 16" xfId="32600"/>
    <cellStyle name="Input 3 2 2 4 5 17" xfId="33603"/>
    <cellStyle name="Input 3 2 2 4 5 18" xfId="34602"/>
    <cellStyle name="Input 3 2 2 4 5 19" xfId="36223"/>
    <cellStyle name="Input 3 2 2 4 5 2" xfId="16627"/>
    <cellStyle name="Input 3 2 2 4 5 20" xfId="37162"/>
    <cellStyle name="Input 3 2 2 4 5 3" xfId="17606"/>
    <cellStyle name="Input 3 2 2 4 5 4" xfId="18633"/>
    <cellStyle name="Input 3 2 2 4 5 5" xfId="19665"/>
    <cellStyle name="Input 3 2 2 4 5 6" xfId="20687"/>
    <cellStyle name="Input 3 2 2 4 5 7" xfId="21698"/>
    <cellStyle name="Input 3 2 2 4 5 8" xfId="22669"/>
    <cellStyle name="Input 3 2 2 4 5 9" xfId="23674"/>
    <cellStyle name="Input 3 2 2 4 6" xfId="14056"/>
    <cellStyle name="Input 3 2 2 4 7" xfId="14089"/>
    <cellStyle name="Input 3 2 2 4 8" xfId="14834"/>
    <cellStyle name="Input 3 2 2 4 9" xfId="14755"/>
    <cellStyle name="Input 3 2 2 5" xfId="4834"/>
    <cellStyle name="Input 3 2 2 5 10" xfId="14766"/>
    <cellStyle name="Input 3 2 2 5 11" xfId="19906"/>
    <cellStyle name="Input 3 2 2 5 12" xfId="26461"/>
    <cellStyle name="Input 3 2 2 5 13" xfId="26025"/>
    <cellStyle name="Input 3 2 2 5 14" xfId="26172"/>
    <cellStyle name="Input 3 2 2 5 15" xfId="26747"/>
    <cellStyle name="Input 3 2 2 5 16" xfId="27421"/>
    <cellStyle name="Input 3 2 2 5 17" xfId="27616"/>
    <cellStyle name="Input 3 2 2 5 18" xfId="35144"/>
    <cellStyle name="Input 3 2 2 5 19" xfId="35231"/>
    <cellStyle name="Input 3 2 2 5 2" xfId="4835"/>
    <cellStyle name="Input 3 2 2 5 2 10" xfId="23675"/>
    <cellStyle name="Input 3 2 2 5 2 11" xfId="24647"/>
    <cellStyle name="Input 3 2 2 5 2 12" xfId="25646"/>
    <cellStyle name="Input 3 2 2 5 2 13" xfId="28593"/>
    <cellStyle name="Input 3 2 2 5 2 14" xfId="29560"/>
    <cellStyle name="Input 3 2 2 5 2 15" xfId="30602"/>
    <cellStyle name="Input 3 2 2 5 2 16" xfId="31593"/>
    <cellStyle name="Input 3 2 2 5 2 17" xfId="32601"/>
    <cellStyle name="Input 3 2 2 5 2 18" xfId="33604"/>
    <cellStyle name="Input 3 2 2 5 2 19" xfId="34603"/>
    <cellStyle name="Input 3 2 2 5 2 2" xfId="4836"/>
    <cellStyle name="Input 3 2 2 5 2 2 10" xfId="24648"/>
    <cellStyle name="Input 3 2 2 5 2 2 11" xfId="25647"/>
    <cellStyle name="Input 3 2 2 5 2 2 12" xfId="28594"/>
    <cellStyle name="Input 3 2 2 5 2 2 13" xfId="29561"/>
    <cellStyle name="Input 3 2 2 5 2 2 14" xfId="30603"/>
    <cellStyle name="Input 3 2 2 5 2 2 15" xfId="31594"/>
    <cellStyle name="Input 3 2 2 5 2 2 16" xfId="32602"/>
    <cellStyle name="Input 3 2 2 5 2 2 17" xfId="33605"/>
    <cellStyle name="Input 3 2 2 5 2 2 18" xfId="34604"/>
    <cellStyle name="Input 3 2 2 5 2 2 19" xfId="36225"/>
    <cellStyle name="Input 3 2 2 5 2 2 2" xfId="16629"/>
    <cellStyle name="Input 3 2 2 5 2 2 20" xfId="37164"/>
    <cellStyle name="Input 3 2 2 5 2 2 3" xfId="17608"/>
    <cellStyle name="Input 3 2 2 5 2 2 4" xfId="18635"/>
    <cellStyle name="Input 3 2 2 5 2 2 5" xfId="19667"/>
    <cellStyle name="Input 3 2 2 5 2 2 6" xfId="20689"/>
    <cellStyle name="Input 3 2 2 5 2 2 7" xfId="21700"/>
    <cellStyle name="Input 3 2 2 5 2 2 8" xfId="22671"/>
    <cellStyle name="Input 3 2 2 5 2 2 9" xfId="23676"/>
    <cellStyle name="Input 3 2 2 5 2 20" xfId="36224"/>
    <cellStyle name="Input 3 2 2 5 2 21" xfId="37163"/>
    <cellStyle name="Input 3 2 2 5 2 3" xfId="16628"/>
    <cellStyle name="Input 3 2 2 5 2 4" xfId="17607"/>
    <cellStyle name="Input 3 2 2 5 2 5" xfId="18634"/>
    <cellStyle name="Input 3 2 2 5 2 6" xfId="19666"/>
    <cellStyle name="Input 3 2 2 5 2 7" xfId="20688"/>
    <cellStyle name="Input 3 2 2 5 2 8" xfId="21699"/>
    <cellStyle name="Input 3 2 2 5 2 9" xfId="22670"/>
    <cellStyle name="Input 3 2 2 5 3" xfId="4837"/>
    <cellStyle name="Input 3 2 2 5 3 10" xfId="23677"/>
    <cellStyle name="Input 3 2 2 5 3 11" xfId="24649"/>
    <cellStyle name="Input 3 2 2 5 3 12" xfId="25648"/>
    <cellStyle name="Input 3 2 2 5 3 13" xfId="28595"/>
    <cellStyle name="Input 3 2 2 5 3 14" xfId="29562"/>
    <cellStyle name="Input 3 2 2 5 3 15" xfId="30604"/>
    <cellStyle name="Input 3 2 2 5 3 16" xfId="31595"/>
    <cellStyle name="Input 3 2 2 5 3 17" xfId="32603"/>
    <cellStyle name="Input 3 2 2 5 3 18" xfId="33606"/>
    <cellStyle name="Input 3 2 2 5 3 19" xfId="34605"/>
    <cellStyle name="Input 3 2 2 5 3 2" xfId="4838"/>
    <cellStyle name="Input 3 2 2 5 3 2 10" xfId="24650"/>
    <cellStyle name="Input 3 2 2 5 3 2 11" xfId="25649"/>
    <cellStyle name="Input 3 2 2 5 3 2 12" xfId="28596"/>
    <cellStyle name="Input 3 2 2 5 3 2 13" xfId="29563"/>
    <cellStyle name="Input 3 2 2 5 3 2 14" xfId="30605"/>
    <cellStyle name="Input 3 2 2 5 3 2 15" xfId="31596"/>
    <cellStyle name="Input 3 2 2 5 3 2 16" xfId="32604"/>
    <cellStyle name="Input 3 2 2 5 3 2 17" xfId="33607"/>
    <cellStyle name="Input 3 2 2 5 3 2 18" xfId="34606"/>
    <cellStyle name="Input 3 2 2 5 3 2 19" xfId="36227"/>
    <cellStyle name="Input 3 2 2 5 3 2 2" xfId="16631"/>
    <cellStyle name="Input 3 2 2 5 3 2 20" xfId="37166"/>
    <cellStyle name="Input 3 2 2 5 3 2 3" xfId="17610"/>
    <cellStyle name="Input 3 2 2 5 3 2 4" xfId="18637"/>
    <cellStyle name="Input 3 2 2 5 3 2 5" xfId="19669"/>
    <cellStyle name="Input 3 2 2 5 3 2 6" xfId="20691"/>
    <cellStyle name="Input 3 2 2 5 3 2 7" xfId="21702"/>
    <cellStyle name="Input 3 2 2 5 3 2 8" xfId="22673"/>
    <cellStyle name="Input 3 2 2 5 3 2 9" xfId="23678"/>
    <cellStyle name="Input 3 2 2 5 3 20" xfId="36226"/>
    <cellStyle name="Input 3 2 2 5 3 21" xfId="37165"/>
    <cellStyle name="Input 3 2 2 5 3 3" xfId="16630"/>
    <cellStyle name="Input 3 2 2 5 3 4" xfId="17609"/>
    <cellStyle name="Input 3 2 2 5 3 5" xfId="18636"/>
    <cellStyle name="Input 3 2 2 5 3 6" xfId="19668"/>
    <cellStyle name="Input 3 2 2 5 3 7" xfId="20690"/>
    <cellStyle name="Input 3 2 2 5 3 8" xfId="21701"/>
    <cellStyle name="Input 3 2 2 5 3 9" xfId="22672"/>
    <cellStyle name="Input 3 2 2 5 4" xfId="4839"/>
    <cellStyle name="Input 3 2 2 5 4 10" xfId="23679"/>
    <cellStyle name="Input 3 2 2 5 4 11" xfId="24651"/>
    <cellStyle name="Input 3 2 2 5 4 12" xfId="25650"/>
    <cellStyle name="Input 3 2 2 5 4 13" xfId="28597"/>
    <cellStyle name="Input 3 2 2 5 4 14" xfId="29564"/>
    <cellStyle name="Input 3 2 2 5 4 15" xfId="30606"/>
    <cellStyle name="Input 3 2 2 5 4 16" xfId="31597"/>
    <cellStyle name="Input 3 2 2 5 4 17" xfId="32605"/>
    <cellStyle name="Input 3 2 2 5 4 18" xfId="33608"/>
    <cellStyle name="Input 3 2 2 5 4 19" xfId="34607"/>
    <cellStyle name="Input 3 2 2 5 4 2" xfId="4840"/>
    <cellStyle name="Input 3 2 2 5 4 2 10" xfId="24652"/>
    <cellStyle name="Input 3 2 2 5 4 2 11" xfId="25651"/>
    <cellStyle name="Input 3 2 2 5 4 2 12" xfId="28598"/>
    <cellStyle name="Input 3 2 2 5 4 2 13" xfId="29565"/>
    <cellStyle name="Input 3 2 2 5 4 2 14" xfId="30607"/>
    <cellStyle name="Input 3 2 2 5 4 2 15" xfId="31598"/>
    <cellStyle name="Input 3 2 2 5 4 2 16" xfId="32606"/>
    <cellStyle name="Input 3 2 2 5 4 2 17" xfId="33609"/>
    <cellStyle name="Input 3 2 2 5 4 2 18" xfId="34608"/>
    <cellStyle name="Input 3 2 2 5 4 2 19" xfId="36229"/>
    <cellStyle name="Input 3 2 2 5 4 2 2" xfId="16633"/>
    <cellStyle name="Input 3 2 2 5 4 2 20" xfId="37168"/>
    <cellStyle name="Input 3 2 2 5 4 2 3" xfId="17612"/>
    <cellStyle name="Input 3 2 2 5 4 2 4" xfId="18639"/>
    <cellStyle name="Input 3 2 2 5 4 2 5" xfId="19671"/>
    <cellStyle name="Input 3 2 2 5 4 2 6" xfId="20693"/>
    <cellStyle name="Input 3 2 2 5 4 2 7" xfId="21704"/>
    <cellStyle name="Input 3 2 2 5 4 2 8" xfId="22675"/>
    <cellStyle name="Input 3 2 2 5 4 2 9" xfId="23680"/>
    <cellStyle name="Input 3 2 2 5 4 20" xfId="36228"/>
    <cellStyle name="Input 3 2 2 5 4 21" xfId="37167"/>
    <cellStyle name="Input 3 2 2 5 4 3" xfId="16632"/>
    <cellStyle name="Input 3 2 2 5 4 4" xfId="17611"/>
    <cellStyle name="Input 3 2 2 5 4 5" xfId="18638"/>
    <cellStyle name="Input 3 2 2 5 4 6" xfId="19670"/>
    <cellStyle name="Input 3 2 2 5 4 7" xfId="20692"/>
    <cellStyle name="Input 3 2 2 5 4 8" xfId="21703"/>
    <cellStyle name="Input 3 2 2 5 4 9" xfId="22674"/>
    <cellStyle name="Input 3 2 2 5 5" xfId="4841"/>
    <cellStyle name="Input 3 2 2 5 5 10" xfId="24653"/>
    <cellStyle name="Input 3 2 2 5 5 11" xfId="25652"/>
    <cellStyle name="Input 3 2 2 5 5 12" xfId="28599"/>
    <cellStyle name="Input 3 2 2 5 5 13" xfId="29566"/>
    <cellStyle name="Input 3 2 2 5 5 14" xfId="30608"/>
    <cellStyle name="Input 3 2 2 5 5 15" xfId="31599"/>
    <cellStyle name="Input 3 2 2 5 5 16" xfId="32607"/>
    <cellStyle name="Input 3 2 2 5 5 17" xfId="33610"/>
    <cellStyle name="Input 3 2 2 5 5 18" xfId="34609"/>
    <cellStyle name="Input 3 2 2 5 5 19" xfId="36230"/>
    <cellStyle name="Input 3 2 2 5 5 2" xfId="16634"/>
    <cellStyle name="Input 3 2 2 5 5 20" xfId="37169"/>
    <cellStyle name="Input 3 2 2 5 5 3" xfId="17613"/>
    <cellStyle name="Input 3 2 2 5 5 4" xfId="18640"/>
    <cellStyle name="Input 3 2 2 5 5 5" xfId="19672"/>
    <cellStyle name="Input 3 2 2 5 5 6" xfId="20694"/>
    <cellStyle name="Input 3 2 2 5 5 7" xfId="21705"/>
    <cellStyle name="Input 3 2 2 5 5 8" xfId="22676"/>
    <cellStyle name="Input 3 2 2 5 5 9" xfId="23681"/>
    <cellStyle name="Input 3 2 2 5 6" xfId="14067"/>
    <cellStyle name="Input 3 2 2 5 7" xfId="13819"/>
    <cellStyle name="Input 3 2 2 5 8" xfId="14659"/>
    <cellStyle name="Input 3 2 2 5 9" xfId="14715"/>
    <cellStyle name="Input 3 2 2 6" xfId="4842"/>
    <cellStyle name="Input 3 2 2 6 10" xfId="23682"/>
    <cellStyle name="Input 3 2 2 6 11" xfId="24654"/>
    <cellStyle name="Input 3 2 2 6 12" xfId="25653"/>
    <cellStyle name="Input 3 2 2 6 13" xfId="28600"/>
    <cellStyle name="Input 3 2 2 6 14" xfId="29567"/>
    <cellStyle name="Input 3 2 2 6 15" xfId="30609"/>
    <cellStyle name="Input 3 2 2 6 16" xfId="31600"/>
    <cellStyle name="Input 3 2 2 6 17" xfId="32608"/>
    <cellStyle name="Input 3 2 2 6 18" xfId="33611"/>
    <cellStyle name="Input 3 2 2 6 19" xfId="34610"/>
    <cellStyle name="Input 3 2 2 6 2" xfId="4843"/>
    <cellStyle name="Input 3 2 2 6 2 10" xfId="24655"/>
    <cellStyle name="Input 3 2 2 6 2 11" xfId="25654"/>
    <cellStyle name="Input 3 2 2 6 2 12" xfId="28601"/>
    <cellStyle name="Input 3 2 2 6 2 13" xfId="29568"/>
    <cellStyle name="Input 3 2 2 6 2 14" xfId="30610"/>
    <cellStyle name="Input 3 2 2 6 2 15" xfId="31601"/>
    <cellStyle name="Input 3 2 2 6 2 16" xfId="32609"/>
    <cellStyle name="Input 3 2 2 6 2 17" xfId="33612"/>
    <cellStyle name="Input 3 2 2 6 2 18" xfId="34611"/>
    <cellStyle name="Input 3 2 2 6 2 19" xfId="36232"/>
    <cellStyle name="Input 3 2 2 6 2 2" xfId="16636"/>
    <cellStyle name="Input 3 2 2 6 2 20" xfId="37171"/>
    <cellStyle name="Input 3 2 2 6 2 3" xfId="17615"/>
    <cellStyle name="Input 3 2 2 6 2 4" xfId="18642"/>
    <cellStyle name="Input 3 2 2 6 2 5" xfId="19674"/>
    <cellStyle name="Input 3 2 2 6 2 6" xfId="20696"/>
    <cellStyle name="Input 3 2 2 6 2 7" xfId="21707"/>
    <cellStyle name="Input 3 2 2 6 2 8" xfId="22678"/>
    <cellStyle name="Input 3 2 2 6 2 9" xfId="23683"/>
    <cellStyle name="Input 3 2 2 6 20" xfId="36231"/>
    <cellStyle name="Input 3 2 2 6 21" xfId="37170"/>
    <cellStyle name="Input 3 2 2 6 3" xfId="16635"/>
    <cellStyle name="Input 3 2 2 6 4" xfId="17614"/>
    <cellStyle name="Input 3 2 2 6 5" xfId="18641"/>
    <cellStyle name="Input 3 2 2 6 6" xfId="19673"/>
    <cellStyle name="Input 3 2 2 6 7" xfId="20695"/>
    <cellStyle name="Input 3 2 2 6 8" xfId="21706"/>
    <cellStyle name="Input 3 2 2 6 9" xfId="22677"/>
    <cellStyle name="Input 3 2 2 7" xfId="4844"/>
    <cellStyle name="Input 3 2 2 7 10" xfId="23684"/>
    <cellStyle name="Input 3 2 2 7 11" xfId="24656"/>
    <cellStyle name="Input 3 2 2 7 12" xfId="25655"/>
    <cellStyle name="Input 3 2 2 7 13" xfId="28602"/>
    <cellStyle name="Input 3 2 2 7 14" xfId="29569"/>
    <cellStyle name="Input 3 2 2 7 15" xfId="30611"/>
    <cellStyle name="Input 3 2 2 7 16" xfId="31602"/>
    <cellStyle name="Input 3 2 2 7 17" xfId="32610"/>
    <cellStyle name="Input 3 2 2 7 18" xfId="33613"/>
    <cellStyle name="Input 3 2 2 7 19" xfId="34612"/>
    <cellStyle name="Input 3 2 2 7 2" xfId="4845"/>
    <cellStyle name="Input 3 2 2 7 2 10" xfId="24657"/>
    <cellStyle name="Input 3 2 2 7 2 11" xfId="25656"/>
    <cellStyle name="Input 3 2 2 7 2 12" xfId="28603"/>
    <cellStyle name="Input 3 2 2 7 2 13" xfId="29570"/>
    <cellStyle name="Input 3 2 2 7 2 14" xfId="30612"/>
    <cellStyle name="Input 3 2 2 7 2 15" xfId="31603"/>
    <cellStyle name="Input 3 2 2 7 2 16" xfId="32611"/>
    <cellStyle name="Input 3 2 2 7 2 17" xfId="33614"/>
    <cellStyle name="Input 3 2 2 7 2 18" xfId="34613"/>
    <cellStyle name="Input 3 2 2 7 2 19" xfId="36234"/>
    <cellStyle name="Input 3 2 2 7 2 2" xfId="16638"/>
    <cellStyle name="Input 3 2 2 7 2 20" xfId="37173"/>
    <cellStyle name="Input 3 2 2 7 2 3" xfId="17617"/>
    <cellStyle name="Input 3 2 2 7 2 4" xfId="18644"/>
    <cellStyle name="Input 3 2 2 7 2 5" xfId="19676"/>
    <cellStyle name="Input 3 2 2 7 2 6" xfId="20698"/>
    <cellStyle name="Input 3 2 2 7 2 7" xfId="21709"/>
    <cellStyle name="Input 3 2 2 7 2 8" xfId="22680"/>
    <cellStyle name="Input 3 2 2 7 2 9" xfId="23685"/>
    <cellStyle name="Input 3 2 2 7 20" xfId="36233"/>
    <cellStyle name="Input 3 2 2 7 21" xfId="37172"/>
    <cellStyle name="Input 3 2 2 7 3" xfId="16637"/>
    <cellStyle name="Input 3 2 2 7 4" xfId="17616"/>
    <cellStyle name="Input 3 2 2 7 5" xfId="18643"/>
    <cellStyle name="Input 3 2 2 7 6" xfId="19675"/>
    <cellStyle name="Input 3 2 2 7 7" xfId="20697"/>
    <cellStyle name="Input 3 2 2 7 8" xfId="21708"/>
    <cellStyle name="Input 3 2 2 7 9" xfId="22679"/>
    <cellStyle name="Input 3 2 2 8" xfId="4846"/>
    <cellStyle name="Input 3 2 2 8 10" xfId="23686"/>
    <cellStyle name="Input 3 2 2 8 11" xfId="24658"/>
    <cellStyle name="Input 3 2 2 8 12" xfId="25657"/>
    <cellStyle name="Input 3 2 2 8 13" xfId="28604"/>
    <cellStyle name="Input 3 2 2 8 14" xfId="29571"/>
    <cellStyle name="Input 3 2 2 8 15" xfId="30613"/>
    <cellStyle name="Input 3 2 2 8 16" xfId="31604"/>
    <cellStyle name="Input 3 2 2 8 17" xfId="32612"/>
    <cellStyle name="Input 3 2 2 8 18" xfId="33615"/>
    <cellStyle name="Input 3 2 2 8 19" xfId="34614"/>
    <cellStyle name="Input 3 2 2 8 2" xfId="4847"/>
    <cellStyle name="Input 3 2 2 8 2 10" xfId="24659"/>
    <cellStyle name="Input 3 2 2 8 2 11" xfId="25658"/>
    <cellStyle name="Input 3 2 2 8 2 12" xfId="28605"/>
    <cellStyle name="Input 3 2 2 8 2 13" xfId="29572"/>
    <cellStyle name="Input 3 2 2 8 2 14" xfId="30614"/>
    <cellStyle name="Input 3 2 2 8 2 15" xfId="31605"/>
    <cellStyle name="Input 3 2 2 8 2 16" xfId="32613"/>
    <cellStyle name="Input 3 2 2 8 2 17" xfId="33616"/>
    <cellStyle name="Input 3 2 2 8 2 18" xfId="34615"/>
    <cellStyle name="Input 3 2 2 8 2 19" xfId="36236"/>
    <cellStyle name="Input 3 2 2 8 2 2" xfId="16640"/>
    <cellStyle name="Input 3 2 2 8 2 20" xfId="37175"/>
    <cellStyle name="Input 3 2 2 8 2 3" xfId="17619"/>
    <cellStyle name="Input 3 2 2 8 2 4" xfId="18646"/>
    <cellStyle name="Input 3 2 2 8 2 5" xfId="19678"/>
    <cellStyle name="Input 3 2 2 8 2 6" xfId="20700"/>
    <cellStyle name="Input 3 2 2 8 2 7" xfId="21711"/>
    <cellStyle name="Input 3 2 2 8 2 8" xfId="22682"/>
    <cellStyle name="Input 3 2 2 8 2 9" xfId="23687"/>
    <cellStyle name="Input 3 2 2 8 20" xfId="36235"/>
    <cellStyle name="Input 3 2 2 8 21" xfId="37174"/>
    <cellStyle name="Input 3 2 2 8 3" xfId="16639"/>
    <cellStyle name="Input 3 2 2 8 4" xfId="17618"/>
    <cellStyle name="Input 3 2 2 8 5" xfId="18645"/>
    <cellStyle name="Input 3 2 2 8 6" xfId="19677"/>
    <cellStyle name="Input 3 2 2 8 7" xfId="20699"/>
    <cellStyle name="Input 3 2 2 8 8" xfId="21710"/>
    <cellStyle name="Input 3 2 2 8 9" xfId="22681"/>
    <cellStyle name="Input 3 2 2 9" xfId="4848"/>
    <cellStyle name="Input 3 2 2 9 10" xfId="24660"/>
    <cellStyle name="Input 3 2 2 9 11" xfId="25659"/>
    <cellStyle name="Input 3 2 2 9 12" xfId="28606"/>
    <cellStyle name="Input 3 2 2 9 13" xfId="29573"/>
    <cellStyle name="Input 3 2 2 9 14" xfId="30615"/>
    <cellStyle name="Input 3 2 2 9 15" xfId="31606"/>
    <cellStyle name="Input 3 2 2 9 16" xfId="32614"/>
    <cellStyle name="Input 3 2 2 9 17" xfId="33617"/>
    <cellStyle name="Input 3 2 2 9 18" xfId="34616"/>
    <cellStyle name="Input 3 2 2 9 19" xfId="36237"/>
    <cellStyle name="Input 3 2 2 9 2" xfId="16641"/>
    <cellStyle name="Input 3 2 2 9 20" xfId="37176"/>
    <cellStyle name="Input 3 2 2 9 3" xfId="17620"/>
    <cellStyle name="Input 3 2 2 9 4" xfId="18647"/>
    <cellStyle name="Input 3 2 2 9 5" xfId="19679"/>
    <cellStyle name="Input 3 2 2 9 6" xfId="20701"/>
    <cellStyle name="Input 3 2 2 9 7" xfId="21712"/>
    <cellStyle name="Input 3 2 2 9 8" xfId="22683"/>
    <cellStyle name="Input 3 2 2 9 9" xfId="23688"/>
    <cellStyle name="Input 3 2 20" xfId="34868"/>
    <cellStyle name="Input 3 2 21" xfId="34860"/>
    <cellStyle name="Input 3 2 22" xfId="35376"/>
    <cellStyle name="Input 3 2 23" xfId="37483"/>
    <cellStyle name="Input 3 2 3" xfId="4849"/>
    <cellStyle name="Input 3 2 3 10" xfId="15179"/>
    <cellStyle name="Input 3 2 3 11" xfId="14210"/>
    <cellStyle name="Input 3 2 3 12" xfId="13924"/>
    <cellStyle name="Input 3 2 3 13" xfId="14693"/>
    <cellStyle name="Input 3 2 3 14" xfId="15363"/>
    <cellStyle name="Input 3 2 3 15" xfId="13892"/>
    <cellStyle name="Input 3 2 3 16" xfId="26519"/>
    <cellStyle name="Input 3 2 3 17" xfId="27045"/>
    <cellStyle name="Input 3 2 3 18" xfId="26200"/>
    <cellStyle name="Input 3 2 3 19" xfId="26704"/>
    <cellStyle name="Input 3 2 3 2" xfId="4850"/>
    <cellStyle name="Input 3 2 3 2 10" xfId="23689"/>
    <cellStyle name="Input 3 2 3 2 11" xfId="24661"/>
    <cellStyle name="Input 3 2 3 2 12" xfId="25660"/>
    <cellStyle name="Input 3 2 3 2 13" xfId="28607"/>
    <cellStyle name="Input 3 2 3 2 14" xfId="29574"/>
    <cellStyle name="Input 3 2 3 2 15" xfId="30616"/>
    <cellStyle name="Input 3 2 3 2 16" xfId="31607"/>
    <cellStyle name="Input 3 2 3 2 17" xfId="32615"/>
    <cellStyle name="Input 3 2 3 2 18" xfId="33618"/>
    <cellStyle name="Input 3 2 3 2 19" xfId="34617"/>
    <cellStyle name="Input 3 2 3 2 2" xfId="4851"/>
    <cellStyle name="Input 3 2 3 2 2 10" xfId="24662"/>
    <cellStyle name="Input 3 2 3 2 2 11" xfId="25661"/>
    <cellStyle name="Input 3 2 3 2 2 12" xfId="28608"/>
    <cellStyle name="Input 3 2 3 2 2 13" xfId="29575"/>
    <cellStyle name="Input 3 2 3 2 2 14" xfId="30617"/>
    <cellStyle name="Input 3 2 3 2 2 15" xfId="31608"/>
    <cellStyle name="Input 3 2 3 2 2 16" xfId="32616"/>
    <cellStyle name="Input 3 2 3 2 2 17" xfId="33619"/>
    <cellStyle name="Input 3 2 3 2 2 18" xfId="34618"/>
    <cellStyle name="Input 3 2 3 2 2 19" xfId="36239"/>
    <cellStyle name="Input 3 2 3 2 2 2" xfId="16643"/>
    <cellStyle name="Input 3 2 3 2 2 20" xfId="37178"/>
    <cellStyle name="Input 3 2 3 2 2 3" xfId="17622"/>
    <cellStyle name="Input 3 2 3 2 2 4" xfId="18649"/>
    <cellStyle name="Input 3 2 3 2 2 5" xfId="19681"/>
    <cellStyle name="Input 3 2 3 2 2 6" xfId="20703"/>
    <cellStyle name="Input 3 2 3 2 2 7" xfId="21714"/>
    <cellStyle name="Input 3 2 3 2 2 8" xfId="22685"/>
    <cellStyle name="Input 3 2 3 2 2 9" xfId="23690"/>
    <cellStyle name="Input 3 2 3 2 20" xfId="36238"/>
    <cellStyle name="Input 3 2 3 2 21" xfId="37177"/>
    <cellStyle name="Input 3 2 3 2 3" xfId="16642"/>
    <cellStyle name="Input 3 2 3 2 4" xfId="17621"/>
    <cellStyle name="Input 3 2 3 2 5" xfId="18648"/>
    <cellStyle name="Input 3 2 3 2 6" xfId="19680"/>
    <cellStyle name="Input 3 2 3 2 7" xfId="20702"/>
    <cellStyle name="Input 3 2 3 2 8" xfId="21713"/>
    <cellStyle name="Input 3 2 3 2 9" xfId="22684"/>
    <cellStyle name="Input 3 2 3 20" xfId="26615"/>
    <cellStyle name="Input 3 2 3 21" xfId="26274"/>
    <cellStyle name="Input 3 2 3 22" xfId="26801"/>
    <cellStyle name="Input 3 2 3 23" xfId="35187"/>
    <cellStyle name="Input 3 2 3 24" xfId="35385"/>
    <cellStyle name="Input 3 2 3 3" xfId="4852"/>
    <cellStyle name="Input 3 2 3 3 10" xfId="23691"/>
    <cellStyle name="Input 3 2 3 3 11" xfId="24663"/>
    <cellStyle name="Input 3 2 3 3 12" xfId="25662"/>
    <cellStyle name="Input 3 2 3 3 13" xfId="28609"/>
    <cellStyle name="Input 3 2 3 3 14" xfId="29576"/>
    <cellStyle name="Input 3 2 3 3 15" xfId="30618"/>
    <cellStyle name="Input 3 2 3 3 16" xfId="31609"/>
    <cellStyle name="Input 3 2 3 3 17" xfId="32617"/>
    <cellStyle name="Input 3 2 3 3 18" xfId="33620"/>
    <cellStyle name="Input 3 2 3 3 19" xfId="34619"/>
    <cellStyle name="Input 3 2 3 3 2" xfId="4853"/>
    <cellStyle name="Input 3 2 3 3 2 10" xfId="24664"/>
    <cellStyle name="Input 3 2 3 3 2 11" xfId="25663"/>
    <cellStyle name="Input 3 2 3 3 2 12" xfId="28610"/>
    <cellStyle name="Input 3 2 3 3 2 13" xfId="29577"/>
    <cellStyle name="Input 3 2 3 3 2 14" xfId="30619"/>
    <cellStyle name="Input 3 2 3 3 2 15" xfId="31610"/>
    <cellStyle name="Input 3 2 3 3 2 16" xfId="32618"/>
    <cellStyle name="Input 3 2 3 3 2 17" xfId="33621"/>
    <cellStyle name="Input 3 2 3 3 2 18" xfId="34620"/>
    <cellStyle name="Input 3 2 3 3 2 19" xfId="36241"/>
    <cellStyle name="Input 3 2 3 3 2 2" xfId="16645"/>
    <cellStyle name="Input 3 2 3 3 2 20" xfId="37180"/>
    <cellStyle name="Input 3 2 3 3 2 3" xfId="17624"/>
    <cellStyle name="Input 3 2 3 3 2 4" xfId="18651"/>
    <cellStyle name="Input 3 2 3 3 2 5" xfId="19683"/>
    <cellStyle name="Input 3 2 3 3 2 6" xfId="20705"/>
    <cellStyle name="Input 3 2 3 3 2 7" xfId="21716"/>
    <cellStyle name="Input 3 2 3 3 2 8" xfId="22687"/>
    <cellStyle name="Input 3 2 3 3 2 9" xfId="23692"/>
    <cellStyle name="Input 3 2 3 3 20" xfId="36240"/>
    <cellStyle name="Input 3 2 3 3 21" xfId="37179"/>
    <cellStyle name="Input 3 2 3 3 3" xfId="16644"/>
    <cellStyle name="Input 3 2 3 3 4" xfId="17623"/>
    <cellStyle name="Input 3 2 3 3 5" xfId="18650"/>
    <cellStyle name="Input 3 2 3 3 6" xfId="19682"/>
    <cellStyle name="Input 3 2 3 3 7" xfId="20704"/>
    <cellStyle name="Input 3 2 3 3 8" xfId="21715"/>
    <cellStyle name="Input 3 2 3 3 9" xfId="22686"/>
    <cellStyle name="Input 3 2 3 4" xfId="4854"/>
    <cellStyle name="Input 3 2 3 4 10" xfId="23693"/>
    <cellStyle name="Input 3 2 3 4 11" xfId="24665"/>
    <cellStyle name="Input 3 2 3 4 12" xfId="25664"/>
    <cellStyle name="Input 3 2 3 4 13" xfId="28611"/>
    <cellStyle name="Input 3 2 3 4 14" xfId="29578"/>
    <cellStyle name="Input 3 2 3 4 15" xfId="30620"/>
    <cellStyle name="Input 3 2 3 4 16" xfId="31611"/>
    <cellStyle name="Input 3 2 3 4 17" xfId="32619"/>
    <cellStyle name="Input 3 2 3 4 18" xfId="33622"/>
    <cellStyle name="Input 3 2 3 4 19" xfId="34621"/>
    <cellStyle name="Input 3 2 3 4 2" xfId="4855"/>
    <cellStyle name="Input 3 2 3 4 2 10" xfId="24666"/>
    <cellStyle name="Input 3 2 3 4 2 11" xfId="25665"/>
    <cellStyle name="Input 3 2 3 4 2 12" xfId="28612"/>
    <cellStyle name="Input 3 2 3 4 2 13" xfId="29579"/>
    <cellStyle name="Input 3 2 3 4 2 14" xfId="30621"/>
    <cellStyle name="Input 3 2 3 4 2 15" xfId="31612"/>
    <cellStyle name="Input 3 2 3 4 2 16" xfId="32620"/>
    <cellStyle name="Input 3 2 3 4 2 17" xfId="33623"/>
    <cellStyle name="Input 3 2 3 4 2 18" xfId="34622"/>
    <cellStyle name="Input 3 2 3 4 2 19" xfId="36243"/>
    <cellStyle name="Input 3 2 3 4 2 2" xfId="16647"/>
    <cellStyle name="Input 3 2 3 4 2 20" xfId="37182"/>
    <cellStyle name="Input 3 2 3 4 2 3" xfId="17626"/>
    <cellStyle name="Input 3 2 3 4 2 4" xfId="18653"/>
    <cellStyle name="Input 3 2 3 4 2 5" xfId="19685"/>
    <cellStyle name="Input 3 2 3 4 2 6" xfId="20707"/>
    <cellStyle name="Input 3 2 3 4 2 7" xfId="21718"/>
    <cellStyle name="Input 3 2 3 4 2 8" xfId="22689"/>
    <cellStyle name="Input 3 2 3 4 2 9" xfId="23694"/>
    <cellStyle name="Input 3 2 3 4 20" xfId="36242"/>
    <cellStyle name="Input 3 2 3 4 21" xfId="37181"/>
    <cellStyle name="Input 3 2 3 4 3" xfId="16646"/>
    <cellStyle name="Input 3 2 3 4 4" xfId="17625"/>
    <cellStyle name="Input 3 2 3 4 5" xfId="18652"/>
    <cellStyle name="Input 3 2 3 4 6" xfId="19684"/>
    <cellStyle name="Input 3 2 3 4 7" xfId="20706"/>
    <cellStyle name="Input 3 2 3 4 8" xfId="21717"/>
    <cellStyle name="Input 3 2 3 4 9" xfId="22688"/>
    <cellStyle name="Input 3 2 3 5" xfId="4856"/>
    <cellStyle name="Input 3 2 3 5 10" xfId="24667"/>
    <cellStyle name="Input 3 2 3 5 11" xfId="25666"/>
    <cellStyle name="Input 3 2 3 5 12" xfId="28613"/>
    <cellStyle name="Input 3 2 3 5 13" xfId="29580"/>
    <cellStyle name="Input 3 2 3 5 14" xfId="30622"/>
    <cellStyle name="Input 3 2 3 5 15" xfId="31613"/>
    <cellStyle name="Input 3 2 3 5 16" xfId="32621"/>
    <cellStyle name="Input 3 2 3 5 17" xfId="33624"/>
    <cellStyle name="Input 3 2 3 5 18" xfId="34623"/>
    <cellStyle name="Input 3 2 3 5 19" xfId="36244"/>
    <cellStyle name="Input 3 2 3 5 2" xfId="16648"/>
    <cellStyle name="Input 3 2 3 5 20" xfId="37183"/>
    <cellStyle name="Input 3 2 3 5 3" xfId="17627"/>
    <cellStyle name="Input 3 2 3 5 4" xfId="18654"/>
    <cellStyle name="Input 3 2 3 5 5" xfId="19686"/>
    <cellStyle name="Input 3 2 3 5 6" xfId="20708"/>
    <cellStyle name="Input 3 2 3 5 7" xfId="21719"/>
    <cellStyle name="Input 3 2 3 5 8" xfId="22690"/>
    <cellStyle name="Input 3 2 3 5 9" xfId="23695"/>
    <cellStyle name="Input 3 2 3 6" xfId="13959"/>
    <cellStyle name="Input 3 2 3 7" xfId="13964"/>
    <cellStyle name="Input 3 2 3 8" xfId="15426"/>
    <cellStyle name="Input 3 2 3 9" xfId="14998"/>
    <cellStyle name="Input 3 2 4" xfId="4857"/>
    <cellStyle name="Input 3 2 4 10" xfId="23696"/>
    <cellStyle name="Input 3 2 4 11" xfId="24668"/>
    <cellStyle name="Input 3 2 4 12" xfId="25667"/>
    <cellStyle name="Input 3 2 4 13" xfId="28614"/>
    <cellStyle name="Input 3 2 4 14" xfId="29581"/>
    <cellStyle name="Input 3 2 4 15" xfId="30623"/>
    <cellStyle name="Input 3 2 4 16" xfId="31614"/>
    <cellStyle name="Input 3 2 4 17" xfId="32622"/>
    <cellStyle name="Input 3 2 4 18" xfId="33625"/>
    <cellStyle name="Input 3 2 4 19" xfId="34624"/>
    <cellStyle name="Input 3 2 4 2" xfId="4858"/>
    <cellStyle name="Input 3 2 4 2 10" xfId="24669"/>
    <cellStyle name="Input 3 2 4 2 11" xfId="25668"/>
    <cellStyle name="Input 3 2 4 2 12" xfId="28615"/>
    <cellStyle name="Input 3 2 4 2 13" xfId="29582"/>
    <cellStyle name="Input 3 2 4 2 14" xfId="30624"/>
    <cellStyle name="Input 3 2 4 2 15" xfId="31615"/>
    <cellStyle name="Input 3 2 4 2 16" xfId="32623"/>
    <cellStyle name="Input 3 2 4 2 17" xfId="33626"/>
    <cellStyle name="Input 3 2 4 2 18" xfId="34625"/>
    <cellStyle name="Input 3 2 4 2 19" xfId="36246"/>
    <cellStyle name="Input 3 2 4 2 2" xfId="16650"/>
    <cellStyle name="Input 3 2 4 2 20" xfId="37185"/>
    <cellStyle name="Input 3 2 4 2 3" xfId="17629"/>
    <cellStyle name="Input 3 2 4 2 4" xfId="18656"/>
    <cellStyle name="Input 3 2 4 2 5" xfId="19688"/>
    <cellStyle name="Input 3 2 4 2 6" xfId="20710"/>
    <cellStyle name="Input 3 2 4 2 7" xfId="21721"/>
    <cellStyle name="Input 3 2 4 2 8" xfId="22692"/>
    <cellStyle name="Input 3 2 4 2 9" xfId="23697"/>
    <cellStyle name="Input 3 2 4 20" xfId="36245"/>
    <cellStyle name="Input 3 2 4 21" xfId="37184"/>
    <cellStyle name="Input 3 2 4 3" xfId="16649"/>
    <cellStyle name="Input 3 2 4 4" xfId="17628"/>
    <cellStyle name="Input 3 2 4 5" xfId="18655"/>
    <cellStyle name="Input 3 2 4 6" xfId="19687"/>
    <cellStyle name="Input 3 2 4 7" xfId="20709"/>
    <cellStyle name="Input 3 2 4 8" xfId="21720"/>
    <cellStyle name="Input 3 2 4 9" xfId="22691"/>
    <cellStyle name="Input 3 2 5" xfId="4859"/>
    <cellStyle name="Input 3 2 5 10" xfId="23698"/>
    <cellStyle name="Input 3 2 5 11" xfId="24670"/>
    <cellStyle name="Input 3 2 5 12" xfId="25669"/>
    <cellStyle name="Input 3 2 5 13" xfId="28616"/>
    <cellStyle name="Input 3 2 5 14" xfId="29583"/>
    <cellStyle name="Input 3 2 5 15" xfId="30625"/>
    <cellStyle name="Input 3 2 5 16" xfId="31616"/>
    <cellStyle name="Input 3 2 5 17" xfId="32624"/>
    <cellStyle name="Input 3 2 5 18" xfId="33627"/>
    <cellStyle name="Input 3 2 5 19" xfId="34626"/>
    <cellStyle name="Input 3 2 5 2" xfId="4860"/>
    <cellStyle name="Input 3 2 5 2 10" xfId="24671"/>
    <cellStyle name="Input 3 2 5 2 11" xfId="25670"/>
    <cellStyle name="Input 3 2 5 2 12" xfId="28617"/>
    <cellStyle name="Input 3 2 5 2 13" xfId="29584"/>
    <cellStyle name="Input 3 2 5 2 14" xfId="30626"/>
    <cellStyle name="Input 3 2 5 2 15" xfId="31617"/>
    <cellStyle name="Input 3 2 5 2 16" xfId="32625"/>
    <cellStyle name="Input 3 2 5 2 17" xfId="33628"/>
    <cellStyle name="Input 3 2 5 2 18" xfId="34627"/>
    <cellStyle name="Input 3 2 5 2 19" xfId="36248"/>
    <cellStyle name="Input 3 2 5 2 2" xfId="16652"/>
    <cellStyle name="Input 3 2 5 2 20" xfId="37187"/>
    <cellStyle name="Input 3 2 5 2 3" xfId="17631"/>
    <cellStyle name="Input 3 2 5 2 4" xfId="18658"/>
    <cellStyle name="Input 3 2 5 2 5" xfId="19690"/>
    <cellStyle name="Input 3 2 5 2 6" xfId="20712"/>
    <cellStyle name="Input 3 2 5 2 7" xfId="21723"/>
    <cellStyle name="Input 3 2 5 2 8" xfId="22694"/>
    <cellStyle name="Input 3 2 5 2 9" xfId="23699"/>
    <cellStyle name="Input 3 2 5 20" xfId="36247"/>
    <cellStyle name="Input 3 2 5 21" xfId="37186"/>
    <cellStyle name="Input 3 2 5 3" xfId="16651"/>
    <cellStyle name="Input 3 2 5 4" xfId="17630"/>
    <cellStyle name="Input 3 2 5 5" xfId="18657"/>
    <cellStyle name="Input 3 2 5 6" xfId="19689"/>
    <cellStyle name="Input 3 2 5 7" xfId="20711"/>
    <cellStyle name="Input 3 2 5 8" xfId="21722"/>
    <cellStyle name="Input 3 2 5 9" xfId="22693"/>
    <cellStyle name="Input 3 2 6" xfId="4861"/>
    <cellStyle name="Input 3 2 6 10" xfId="23700"/>
    <cellStyle name="Input 3 2 6 11" xfId="24672"/>
    <cellStyle name="Input 3 2 6 12" xfId="25671"/>
    <cellStyle name="Input 3 2 6 13" xfId="28618"/>
    <cellStyle name="Input 3 2 6 14" xfId="29585"/>
    <cellStyle name="Input 3 2 6 15" xfId="30627"/>
    <cellStyle name="Input 3 2 6 16" xfId="31618"/>
    <cellStyle name="Input 3 2 6 17" xfId="32626"/>
    <cellStyle name="Input 3 2 6 18" xfId="33629"/>
    <cellStyle name="Input 3 2 6 19" xfId="34628"/>
    <cellStyle name="Input 3 2 6 2" xfId="4862"/>
    <cellStyle name="Input 3 2 6 2 10" xfId="24673"/>
    <cellStyle name="Input 3 2 6 2 11" xfId="25672"/>
    <cellStyle name="Input 3 2 6 2 12" xfId="28619"/>
    <cellStyle name="Input 3 2 6 2 13" xfId="29586"/>
    <cellStyle name="Input 3 2 6 2 14" xfId="30628"/>
    <cellStyle name="Input 3 2 6 2 15" xfId="31619"/>
    <cellStyle name="Input 3 2 6 2 16" xfId="32627"/>
    <cellStyle name="Input 3 2 6 2 17" xfId="33630"/>
    <cellStyle name="Input 3 2 6 2 18" xfId="34629"/>
    <cellStyle name="Input 3 2 6 2 19" xfId="36250"/>
    <cellStyle name="Input 3 2 6 2 2" xfId="16654"/>
    <cellStyle name="Input 3 2 6 2 20" xfId="37189"/>
    <cellStyle name="Input 3 2 6 2 3" xfId="17633"/>
    <cellStyle name="Input 3 2 6 2 4" xfId="18660"/>
    <cellStyle name="Input 3 2 6 2 5" xfId="19692"/>
    <cellStyle name="Input 3 2 6 2 6" xfId="20714"/>
    <cellStyle name="Input 3 2 6 2 7" xfId="21725"/>
    <cellStyle name="Input 3 2 6 2 8" xfId="22696"/>
    <cellStyle name="Input 3 2 6 2 9" xfId="23701"/>
    <cellStyle name="Input 3 2 6 20" xfId="36249"/>
    <cellStyle name="Input 3 2 6 21" xfId="37188"/>
    <cellStyle name="Input 3 2 6 3" xfId="16653"/>
    <cellStyle name="Input 3 2 6 4" xfId="17632"/>
    <cellStyle name="Input 3 2 6 5" xfId="18659"/>
    <cellStyle name="Input 3 2 6 6" xfId="19691"/>
    <cellStyle name="Input 3 2 6 7" xfId="20713"/>
    <cellStyle name="Input 3 2 6 8" xfId="21724"/>
    <cellStyle name="Input 3 2 6 9" xfId="22695"/>
    <cellStyle name="Input 3 2 7" xfId="4863"/>
    <cellStyle name="Input 3 2 7 10" xfId="24674"/>
    <cellStyle name="Input 3 2 7 11" xfId="25673"/>
    <cellStyle name="Input 3 2 7 12" xfId="28620"/>
    <cellStyle name="Input 3 2 7 13" xfId="29587"/>
    <cellStyle name="Input 3 2 7 14" xfId="30629"/>
    <cellStyle name="Input 3 2 7 15" xfId="31620"/>
    <cellStyle name="Input 3 2 7 16" xfId="32628"/>
    <cellStyle name="Input 3 2 7 17" xfId="33631"/>
    <cellStyle name="Input 3 2 7 18" xfId="34630"/>
    <cellStyle name="Input 3 2 7 19" xfId="36251"/>
    <cellStyle name="Input 3 2 7 2" xfId="16655"/>
    <cellStyle name="Input 3 2 7 20" xfId="37190"/>
    <cellStyle name="Input 3 2 7 3" xfId="17634"/>
    <cellStyle name="Input 3 2 7 4" xfId="18661"/>
    <cellStyle name="Input 3 2 7 5" xfId="19693"/>
    <cellStyle name="Input 3 2 7 6" xfId="20715"/>
    <cellStyle name="Input 3 2 7 7" xfId="21726"/>
    <cellStyle name="Input 3 2 7 8" xfId="22697"/>
    <cellStyle name="Input 3 2 7 9" xfId="23702"/>
    <cellStyle name="Input 3 2 8" xfId="13654"/>
    <cellStyle name="Input 3 2 9" xfId="18916"/>
    <cellStyle name="Input 3 3" xfId="4864"/>
    <cellStyle name="Input 3 3 10" xfId="14026"/>
    <cellStyle name="Input 3 3 11" xfId="13808"/>
    <cellStyle name="Input 3 3 12" xfId="15508"/>
    <cellStyle name="Input 3 3 13" xfId="14773"/>
    <cellStyle name="Input 3 3 14" xfId="14515"/>
    <cellStyle name="Input 3 3 15" xfId="15726"/>
    <cellStyle name="Input 3 3 16" xfId="26285"/>
    <cellStyle name="Input 3 3 17" xfId="27192"/>
    <cellStyle name="Input 3 3 18" xfId="27512"/>
    <cellStyle name="Input 3 3 19" xfId="26187"/>
    <cellStyle name="Input 3 3 2" xfId="4865"/>
    <cellStyle name="Input 3 3 2 10" xfId="14824"/>
    <cellStyle name="Input 3 3 2 11" xfId="14118"/>
    <cellStyle name="Input 3 3 2 12" xfId="26338"/>
    <cellStyle name="Input 3 3 2 13" xfId="27154"/>
    <cellStyle name="Input 3 3 2 14" xfId="26254"/>
    <cellStyle name="Input 3 3 2 15" xfId="26735"/>
    <cellStyle name="Input 3 3 2 16" xfId="26273"/>
    <cellStyle name="Input 3 3 2 17" xfId="27382"/>
    <cellStyle name="Input 3 3 2 18" xfId="35033"/>
    <cellStyle name="Input 3 3 2 19" xfId="35444"/>
    <cellStyle name="Input 3 3 2 2" xfId="4866"/>
    <cellStyle name="Input 3 3 2 2 10" xfId="23703"/>
    <cellStyle name="Input 3 3 2 2 11" xfId="24675"/>
    <cellStyle name="Input 3 3 2 2 12" xfId="25674"/>
    <cellStyle name="Input 3 3 2 2 13" xfId="28621"/>
    <cellStyle name="Input 3 3 2 2 14" xfId="29588"/>
    <cellStyle name="Input 3 3 2 2 15" xfId="30630"/>
    <cellStyle name="Input 3 3 2 2 16" xfId="31621"/>
    <cellStyle name="Input 3 3 2 2 17" xfId="32629"/>
    <cellStyle name="Input 3 3 2 2 18" xfId="33632"/>
    <cellStyle name="Input 3 3 2 2 19" xfId="34631"/>
    <cellStyle name="Input 3 3 2 2 2" xfId="4867"/>
    <cellStyle name="Input 3 3 2 2 2 10" xfId="24676"/>
    <cellStyle name="Input 3 3 2 2 2 11" xfId="25675"/>
    <cellStyle name="Input 3 3 2 2 2 12" xfId="28622"/>
    <cellStyle name="Input 3 3 2 2 2 13" xfId="29589"/>
    <cellStyle name="Input 3 3 2 2 2 14" xfId="30631"/>
    <cellStyle name="Input 3 3 2 2 2 15" xfId="31622"/>
    <cellStyle name="Input 3 3 2 2 2 16" xfId="32630"/>
    <cellStyle name="Input 3 3 2 2 2 17" xfId="33633"/>
    <cellStyle name="Input 3 3 2 2 2 18" xfId="34632"/>
    <cellStyle name="Input 3 3 2 2 2 19" xfId="36253"/>
    <cellStyle name="Input 3 3 2 2 2 2" xfId="16657"/>
    <cellStyle name="Input 3 3 2 2 2 20" xfId="37192"/>
    <cellStyle name="Input 3 3 2 2 2 3" xfId="17636"/>
    <cellStyle name="Input 3 3 2 2 2 4" xfId="18663"/>
    <cellStyle name="Input 3 3 2 2 2 5" xfId="19695"/>
    <cellStyle name="Input 3 3 2 2 2 6" xfId="20717"/>
    <cellStyle name="Input 3 3 2 2 2 7" xfId="21728"/>
    <cellStyle name="Input 3 3 2 2 2 8" xfId="22699"/>
    <cellStyle name="Input 3 3 2 2 2 9" xfId="23704"/>
    <cellStyle name="Input 3 3 2 2 20" xfId="36252"/>
    <cellStyle name="Input 3 3 2 2 21" xfId="37191"/>
    <cellStyle name="Input 3 3 2 2 3" xfId="16656"/>
    <cellStyle name="Input 3 3 2 2 4" xfId="17635"/>
    <cellStyle name="Input 3 3 2 2 5" xfId="18662"/>
    <cellStyle name="Input 3 3 2 2 6" xfId="19694"/>
    <cellStyle name="Input 3 3 2 2 7" xfId="20716"/>
    <cellStyle name="Input 3 3 2 2 8" xfId="21727"/>
    <cellStyle name="Input 3 3 2 2 9" xfId="22698"/>
    <cellStyle name="Input 3 3 2 3" xfId="4868"/>
    <cellStyle name="Input 3 3 2 3 10" xfId="23705"/>
    <cellStyle name="Input 3 3 2 3 11" xfId="24677"/>
    <cellStyle name="Input 3 3 2 3 12" xfId="25676"/>
    <cellStyle name="Input 3 3 2 3 13" xfId="28623"/>
    <cellStyle name="Input 3 3 2 3 14" xfId="29590"/>
    <cellStyle name="Input 3 3 2 3 15" xfId="30632"/>
    <cellStyle name="Input 3 3 2 3 16" xfId="31623"/>
    <cellStyle name="Input 3 3 2 3 17" xfId="32631"/>
    <cellStyle name="Input 3 3 2 3 18" xfId="33634"/>
    <cellStyle name="Input 3 3 2 3 19" xfId="34633"/>
    <cellStyle name="Input 3 3 2 3 2" xfId="4869"/>
    <cellStyle name="Input 3 3 2 3 2 10" xfId="24678"/>
    <cellStyle name="Input 3 3 2 3 2 11" xfId="25677"/>
    <cellStyle name="Input 3 3 2 3 2 12" xfId="28624"/>
    <cellStyle name="Input 3 3 2 3 2 13" xfId="29591"/>
    <cellStyle name="Input 3 3 2 3 2 14" xfId="30633"/>
    <cellStyle name="Input 3 3 2 3 2 15" xfId="31624"/>
    <cellStyle name="Input 3 3 2 3 2 16" xfId="32632"/>
    <cellStyle name="Input 3 3 2 3 2 17" xfId="33635"/>
    <cellStyle name="Input 3 3 2 3 2 18" xfId="34634"/>
    <cellStyle name="Input 3 3 2 3 2 19" xfId="36255"/>
    <cellStyle name="Input 3 3 2 3 2 2" xfId="16659"/>
    <cellStyle name="Input 3 3 2 3 2 20" xfId="37194"/>
    <cellStyle name="Input 3 3 2 3 2 3" xfId="17638"/>
    <cellStyle name="Input 3 3 2 3 2 4" xfId="18665"/>
    <cellStyle name="Input 3 3 2 3 2 5" xfId="19697"/>
    <cellStyle name="Input 3 3 2 3 2 6" xfId="20719"/>
    <cellStyle name="Input 3 3 2 3 2 7" xfId="21730"/>
    <cellStyle name="Input 3 3 2 3 2 8" xfId="22701"/>
    <cellStyle name="Input 3 3 2 3 2 9" xfId="23706"/>
    <cellStyle name="Input 3 3 2 3 20" xfId="36254"/>
    <cellStyle name="Input 3 3 2 3 21" xfId="37193"/>
    <cellStyle name="Input 3 3 2 3 3" xfId="16658"/>
    <cellStyle name="Input 3 3 2 3 4" xfId="17637"/>
    <cellStyle name="Input 3 3 2 3 5" xfId="18664"/>
    <cellStyle name="Input 3 3 2 3 6" xfId="19696"/>
    <cellStyle name="Input 3 3 2 3 7" xfId="20718"/>
    <cellStyle name="Input 3 3 2 3 8" xfId="21729"/>
    <cellStyle name="Input 3 3 2 3 9" xfId="22700"/>
    <cellStyle name="Input 3 3 2 4" xfId="4870"/>
    <cellStyle name="Input 3 3 2 4 10" xfId="23707"/>
    <cellStyle name="Input 3 3 2 4 11" xfId="24679"/>
    <cellStyle name="Input 3 3 2 4 12" xfId="25678"/>
    <cellStyle name="Input 3 3 2 4 13" xfId="28625"/>
    <cellStyle name="Input 3 3 2 4 14" xfId="29592"/>
    <cellStyle name="Input 3 3 2 4 15" xfId="30634"/>
    <cellStyle name="Input 3 3 2 4 16" xfId="31625"/>
    <cellStyle name="Input 3 3 2 4 17" xfId="32633"/>
    <cellStyle name="Input 3 3 2 4 18" xfId="33636"/>
    <cellStyle name="Input 3 3 2 4 19" xfId="34635"/>
    <cellStyle name="Input 3 3 2 4 2" xfId="4871"/>
    <cellStyle name="Input 3 3 2 4 2 10" xfId="24680"/>
    <cellStyle name="Input 3 3 2 4 2 11" xfId="25679"/>
    <cellStyle name="Input 3 3 2 4 2 12" xfId="28626"/>
    <cellStyle name="Input 3 3 2 4 2 13" xfId="29593"/>
    <cellStyle name="Input 3 3 2 4 2 14" xfId="30635"/>
    <cellStyle name="Input 3 3 2 4 2 15" xfId="31626"/>
    <cellStyle name="Input 3 3 2 4 2 16" xfId="32634"/>
    <cellStyle name="Input 3 3 2 4 2 17" xfId="33637"/>
    <cellStyle name="Input 3 3 2 4 2 18" xfId="34636"/>
    <cellStyle name="Input 3 3 2 4 2 19" xfId="36257"/>
    <cellStyle name="Input 3 3 2 4 2 2" xfId="16661"/>
    <cellStyle name="Input 3 3 2 4 2 20" xfId="37196"/>
    <cellStyle name="Input 3 3 2 4 2 3" xfId="17640"/>
    <cellStyle name="Input 3 3 2 4 2 4" xfId="18667"/>
    <cellStyle name="Input 3 3 2 4 2 5" xfId="19699"/>
    <cellStyle name="Input 3 3 2 4 2 6" xfId="20721"/>
    <cellStyle name="Input 3 3 2 4 2 7" xfId="21732"/>
    <cellStyle name="Input 3 3 2 4 2 8" xfId="22703"/>
    <cellStyle name="Input 3 3 2 4 2 9" xfId="23708"/>
    <cellStyle name="Input 3 3 2 4 20" xfId="36256"/>
    <cellStyle name="Input 3 3 2 4 21" xfId="37195"/>
    <cellStyle name="Input 3 3 2 4 3" xfId="16660"/>
    <cellStyle name="Input 3 3 2 4 4" xfId="17639"/>
    <cellStyle name="Input 3 3 2 4 5" xfId="18666"/>
    <cellStyle name="Input 3 3 2 4 6" xfId="19698"/>
    <cellStyle name="Input 3 3 2 4 7" xfId="20720"/>
    <cellStyle name="Input 3 3 2 4 8" xfId="21731"/>
    <cellStyle name="Input 3 3 2 4 9" xfId="22702"/>
    <cellStyle name="Input 3 3 2 5" xfId="4872"/>
    <cellStyle name="Input 3 3 2 5 10" xfId="24681"/>
    <cellStyle name="Input 3 3 2 5 11" xfId="25680"/>
    <cellStyle name="Input 3 3 2 5 12" xfId="28627"/>
    <cellStyle name="Input 3 3 2 5 13" xfId="29594"/>
    <cellStyle name="Input 3 3 2 5 14" xfId="30636"/>
    <cellStyle name="Input 3 3 2 5 15" xfId="31627"/>
    <cellStyle name="Input 3 3 2 5 16" xfId="32635"/>
    <cellStyle name="Input 3 3 2 5 17" xfId="33638"/>
    <cellStyle name="Input 3 3 2 5 18" xfId="34637"/>
    <cellStyle name="Input 3 3 2 5 19" xfId="36258"/>
    <cellStyle name="Input 3 3 2 5 2" xfId="16662"/>
    <cellStyle name="Input 3 3 2 5 20" xfId="37197"/>
    <cellStyle name="Input 3 3 2 5 3" xfId="17641"/>
    <cellStyle name="Input 3 3 2 5 4" xfId="18668"/>
    <cellStyle name="Input 3 3 2 5 5" xfId="19700"/>
    <cellStyle name="Input 3 3 2 5 6" xfId="20722"/>
    <cellStyle name="Input 3 3 2 5 7" xfId="21733"/>
    <cellStyle name="Input 3 3 2 5 8" xfId="22704"/>
    <cellStyle name="Input 3 3 2 5 9" xfId="23709"/>
    <cellStyle name="Input 3 3 2 6" xfId="15196"/>
    <cellStyle name="Input 3 3 2 7" xfId="13811"/>
    <cellStyle name="Input 3 3 2 8" xfId="14797"/>
    <cellStyle name="Input 3 3 2 9" xfId="15834"/>
    <cellStyle name="Input 3 3 20" xfId="27568"/>
    <cellStyle name="Input 3 3 21" xfId="27557"/>
    <cellStyle name="Input 3 3 22" xfId="34981"/>
    <cellStyle name="Input 3 3 23" xfId="35346"/>
    <cellStyle name="Input 3 3 24" xfId="37484"/>
    <cellStyle name="Input 3 3 3" xfId="4873"/>
    <cellStyle name="Input 3 3 3 10" xfId="15706"/>
    <cellStyle name="Input 3 3 3 11" xfId="14403"/>
    <cellStyle name="Input 3 3 3 12" xfId="26477"/>
    <cellStyle name="Input 3 3 3 13" xfId="27065"/>
    <cellStyle name="Input 3 3 3 14" xfId="26179"/>
    <cellStyle name="Input 3 3 3 15" xfId="27270"/>
    <cellStyle name="Input 3 3 3 16" xfId="25942"/>
    <cellStyle name="Input 3 3 3 17" xfId="26226"/>
    <cellStyle name="Input 3 3 3 18" xfId="35160"/>
    <cellStyle name="Input 3 3 3 19" xfId="35221"/>
    <cellStyle name="Input 3 3 3 2" xfId="4874"/>
    <cellStyle name="Input 3 3 3 2 10" xfId="23710"/>
    <cellStyle name="Input 3 3 3 2 11" xfId="24682"/>
    <cellStyle name="Input 3 3 3 2 12" xfId="25681"/>
    <cellStyle name="Input 3 3 3 2 13" xfId="28628"/>
    <cellStyle name="Input 3 3 3 2 14" xfId="29595"/>
    <cellStyle name="Input 3 3 3 2 15" xfId="30637"/>
    <cellStyle name="Input 3 3 3 2 16" xfId="31628"/>
    <cellStyle name="Input 3 3 3 2 17" xfId="32636"/>
    <cellStyle name="Input 3 3 3 2 18" xfId="33639"/>
    <cellStyle name="Input 3 3 3 2 19" xfId="34638"/>
    <cellStyle name="Input 3 3 3 2 2" xfId="4875"/>
    <cellStyle name="Input 3 3 3 2 2 10" xfId="24683"/>
    <cellStyle name="Input 3 3 3 2 2 11" xfId="25682"/>
    <cellStyle name="Input 3 3 3 2 2 12" xfId="28629"/>
    <cellStyle name="Input 3 3 3 2 2 13" xfId="29596"/>
    <cellStyle name="Input 3 3 3 2 2 14" xfId="30638"/>
    <cellStyle name="Input 3 3 3 2 2 15" xfId="31629"/>
    <cellStyle name="Input 3 3 3 2 2 16" xfId="32637"/>
    <cellStyle name="Input 3 3 3 2 2 17" xfId="33640"/>
    <cellStyle name="Input 3 3 3 2 2 18" xfId="34639"/>
    <cellStyle name="Input 3 3 3 2 2 19" xfId="36260"/>
    <cellStyle name="Input 3 3 3 2 2 2" xfId="16664"/>
    <cellStyle name="Input 3 3 3 2 2 20" xfId="37199"/>
    <cellStyle name="Input 3 3 3 2 2 3" xfId="17643"/>
    <cellStyle name="Input 3 3 3 2 2 4" xfId="18670"/>
    <cellStyle name="Input 3 3 3 2 2 5" xfId="19702"/>
    <cellStyle name="Input 3 3 3 2 2 6" xfId="20724"/>
    <cellStyle name="Input 3 3 3 2 2 7" xfId="21735"/>
    <cellStyle name="Input 3 3 3 2 2 8" xfId="22706"/>
    <cellStyle name="Input 3 3 3 2 2 9" xfId="23711"/>
    <cellStyle name="Input 3 3 3 2 20" xfId="36259"/>
    <cellStyle name="Input 3 3 3 2 21" xfId="37198"/>
    <cellStyle name="Input 3 3 3 2 3" xfId="16663"/>
    <cellStyle name="Input 3 3 3 2 4" xfId="17642"/>
    <cellStyle name="Input 3 3 3 2 5" xfId="18669"/>
    <cellStyle name="Input 3 3 3 2 6" xfId="19701"/>
    <cellStyle name="Input 3 3 3 2 7" xfId="20723"/>
    <cellStyle name="Input 3 3 3 2 8" xfId="21734"/>
    <cellStyle name="Input 3 3 3 2 9" xfId="22705"/>
    <cellStyle name="Input 3 3 3 3" xfId="4876"/>
    <cellStyle name="Input 3 3 3 3 10" xfId="23712"/>
    <cellStyle name="Input 3 3 3 3 11" xfId="24684"/>
    <cellStyle name="Input 3 3 3 3 12" xfId="25683"/>
    <cellStyle name="Input 3 3 3 3 13" xfId="28630"/>
    <cellStyle name="Input 3 3 3 3 14" xfId="29597"/>
    <cellStyle name="Input 3 3 3 3 15" xfId="30639"/>
    <cellStyle name="Input 3 3 3 3 16" xfId="31630"/>
    <cellStyle name="Input 3 3 3 3 17" xfId="32638"/>
    <cellStyle name="Input 3 3 3 3 18" xfId="33641"/>
    <cellStyle name="Input 3 3 3 3 19" xfId="34640"/>
    <cellStyle name="Input 3 3 3 3 2" xfId="4877"/>
    <cellStyle name="Input 3 3 3 3 2 10" xfId="24685"/>
    <cellStyle name="Input 3 3 3 3 2 11" xfId="25684"/>
    <cellStyle name="Input 3 3 3 3 2 12" xfId="28631"/>
    <cellStyle name="Input 3 3 3 3 2 13" xfId="29598"/>
    <cellStyle name="Input 3 3 3 3 2 14" xfId="30640"/>
    <cellStyle name="Input 3 3 3 3 2 15" xfId="31631"/>
    <cellStyle name="Input 3 3 3 3 2 16" xfId="32639"/>
    <cellStyle name="Input 3 3 3 3 2 17" xfId="33642"/>
    <cellStyle name="Input 3 3 3 3 2 18" xfId="34641"/>
    <cellStyle name="Input 3 3 3 3 2 19" xfId="36262"/>
    <cellStyle name="Input 3 3 3 3 2 2" xfId="16666"/>
    <cellStyle name="Input 3 3 3 3 2 20" xfId="37201"/>
    <cellStyle name="Input 3 3 3 3 2 3" xfId="17645"/>
    <cellStyle name="Input 3 3 3 3 2 4" xfId="18672"/>
    <cellStyle name="Input 3 3 3 3 2 5" xfId="19704"/>
    <cellStyle name="Input 3 3 3 3 2 6" xfId="20726"/>
    <cellStyle name="Input 3 3 3 3 2 7" xfId="21737"/>
    <cellStyle name="Input 3 3 3 3 2 8" xfId="22708"/>
    <cellStyle name="Input 3 3 3 3 2 9" xfId="23713"/>
    <cellStyle name="Input 3 3 3 3 20" xfId="36261"/>
    <cellStyle name="Input 3 3 3 3 21" xfId="37200"/>
    <cellStyle name="Input 3 3 3 3 3" xfId="16665"/>
    <cellStyle name="Input 3 3 3 3 4" xfId="17644"/>
    <cellStyle name="Input 3 3 3 3 5" xfId="18671"/>
    <cellStyle name="Input 3 3 3 3 6" xfId="19703"/>
    <cellStyle name="Input 3 3 3 3 7" xfId="20725"/>
    <cellStyle name="Input 3 3 3 3 8" xfId="21736"/>
    <cellStyle name="Input 3 3 3 3 9" xfId="22707"/>
    <cellStyle name="Input 3 3 3 4" xfId="4878"/>
    <cellStyle name="Input 3 3 3 4 10" xfId="23714"/>
    <cellStyle name="Input 3 3 3 4 11" xfId="24686"/>
    <cellStyle name="Input 3 3 3 4 12" xfId="25685"/>
    <cellStyle name="Input 3 3 3 4 13" xfId="28632"/>
    <cellStyle name="Input 3 3 3 4 14" xfId="29599"/>
    <cellStyle name="Input 3 3 3 4 15" xfId="30641"/>
    <cellStyle name="Input 3 3 3 4 16" xfId="31632"/>
    <cellStyle name="Input 3 3 3 4 17" xfId="32640"/>
    <cellStyle name="Input 3 3 3 4 18" xfId="33643"/>
    <cellStyle name="Input 3 3 3 4 19" xfId="34642"/>
    <cellStyle name="Input 3 3 3 4 2" xfId="4879"/>
    <cellStyle name="Input 3 3 3 4 2 10" xfId="24687"/>
    <cellStyle name="Input 3 3 3 4 2 11" xfId="25686"/>
    <cellStyle name="Input 3 3 3 4 2 12" xfId="28633"/>
    <cellStyle name="Input 3 3 3 4 2 13" xfId="29600"/>
    <cellStyle name="Input 3 3 3 4 2 14" xfId="30642"/>
    <cellStyle name="Input 3 3 3 4 2 15" xfId="31633"/>
    <cellStyle name="Input 3 3 3 4 2 16" xfId="32641"/>
    <cellStyle name="Input 3 3 3 4 2 17" xfId="33644"/>
    <cellStyle name="Input 3 3 3 4 2 18" xfId="34643"/>
    <cellStyle name="Input 3 3 3 4 2 19" xfId="36264"/>
    <cellStyle name="Input 3 3 3 4 2 2" xfId="16668"/>
    <cellStyle name="Input 3 3 3 4 2 20" xfId="37203"/>
    <cellStyle name="Input 3 3 3 4 2 3" xfId="17647"/>
    <cellStyle name="Input 3 3 3 4 2 4" xfId="18674"/>
    <cellStyle name="Input 3 3 3 4 2 5" xfId="19706"/>
    <cellStyle name="Input 3 3 3 4 2 6" xfId="20728"/>
    <cellStyle name="Input 3 3 3 4 2 7" xfId="21739"/>
    <cellStyle name="Input 3 3 3 4 2 8" xfId="22710"/>
    <cellStyle name="Input 3 3 3 4 2 9" xfId="23715"/>
    <cellStyle name="Input 3 3 3 4 20" xfId="36263"/>
    <cellStyle name="Input 3 3 3 4 21" xfId="37202"/>
    <cellStyle name="Input 3 3 3 4 3" xfId="16667"/>
    <cellStyle name="Input 3 3 3 4 4" xfId="17646"/>
    <cellStyle name="Input 3 3 3 4 5" xfId="18673"/>
    <cellStyle name="Input 3 3 3 4 6" xfId="19705"/>
    <cellStyle name="Input 3 3 3 4 7" xfId="20727"/>
    <cellStyle name="Input 3 3 3 4 8" xfId="21738"/>
    <cellStyle name="Input 3 3 3 4 9" xfId="22709"/>
    <cellStyle name="Input 3 3 3 5" xfId="4880"/>
    <cellStyle name="Input 3 3 3 5 10" xfId="24688"/>
    <cellStyle name="Input 3 3 3 5 11" xfId="25687"/>
    <cellStyle name="Input 3 3 3 5 12" xfId="28634"/>
    <cellStyle name="Input 3 3 3 5 13" xfId="29601"/>
    <cellStyle name="Input 3 3 3 5 14" xfId="30643"/>
    <cellStyle name="Input 3 3 3 5 15" xfId="31634"/>
    <cellStyle name="Input 3 3 3 5 16" xfId="32642"/>
    <cellStyle name="Input 3 3 3 5 17" xfId="33645"/>
    <cellStyle name="Input 3 3 3 5 18" xfId="34644"/>
    <cellStyle name="Input 3 3 3 5 19" xfId="36265"/>
    <cellStyle name="Input 3 3 3 5 2" xfId="16669"/>
    <cellStyle name="Input 3 3 3 5 20" xfId="37204"/>
    <cellStyle name="Input 3 3 3 5 3" xfId="17648"/>
    <cellStyle name="Input 3 3 3 5 4" xfId="18675"/>
    <cellStyle name="Input 3 3 3 5 5" xfId="19707"/>
    <cellStyle name="Input 3 3 3 5 6" xfId="20729"/>
    <cellStyle name="Input 3 3 3 5 7" xfId="21740"/>
    <cellStyle name="Input 3 3 3 5 8" xfId="22711"/>
    <cellStyle name="Input 3 3 3 5 9" xfId="23716"/>
    <cellStyle name="Input 3 3 3 6" xfId="14070"/>
    <cellStyle name="Input 3 3 3 7" xfId="13402"/>
    <cellStyle name="Input 3 3 3 8" xfId="15554"/>
    <cellStyle name="Input 3 3 3 9" xfId="13538"/>
    <cellStyle name="Input 3 3 4" xfId="4881"/>
    <cellStyle name="Input 3 3 4 10" xfId="13933"/>
    <cellStyle name="Input 3 3 4 11" xfId="14535"/>
    <cellStyle name="Input 3 3 4 12" xfId="26428"/>
    <cellStyle name="Input 3 3 4 13" xfId="26028"/>
    <cellStyle name="Input 3 3 4 14" xfId="26500"/>
    <cellStyle name="Input 3 3 4 15" xfId="26552"/>
    <cellStyle name="Input 3 3 4 16" xfId="27426"/>
    <cellStyle name="Input 3 3 4 17" xfId="25982"/>
    <cellStyle name="Input 3 3 4 18" xfId="35116"/>
    <cellStyle name="Input 3 3 4 19" xfId="35412"/>
    <cellStyle name="Input 3 3 4 2" xfId="4882"/>
    <cellStyle name="Input 3 3 4 2 10" xfId="23717"/>
    <cellStyle name="Input 3 3 4 2 11" xfId="24689"/>
    <cellStyle name="Input 3 3 4 2 12" xfId="25688"/>
    <cellStyle name="Input 3 3 4 2 13" xfId="28635"/>
    <cellStyle name="Input 3 3 4 2 14" xfId="29602"/>
    <cellStyle name="Input 3 3 4 2 15" xfId="30644"/>
    <cellStyle name="Input 3 3 4 2 16" xfId="31635"/>
    <cellStyle name="Input 3 3 4 2 17" xfId="32643"/>
    <cellStyle name="Input 3 3 4 2 18" xfId="33646"/>
    <cellStyle name="Input 3 3 4 2 19" xfId="34645"/>
    <cellStyle name="Input 3 3 4 2 2" xfId="4883"/>
    <cellStyle name="Input 3 3 4 2 2 10" xfId="24690"/>
    <cellStyle name="Input 3 3 4 2 2 11" xfId="25689"/>
    <cellStyle name="Input 3 3 4 2 2 12" xfId="28636"/>
    <cellStyle name="Input 3 3 4 2 2 13" xfId="29603"/>
    <cellStyle name="Input 3 3 4 2 2 14" xfId="30645"/>
    <cellStyle name="Input 3 3 4 2 2 15" xfId="31636"/>
    <cellStyle name="Input 3 3 4 2 2 16" xfId="32644"/>
    <cellStyle name="Input 3 3 4 2 2 17" xfId="33647"/>
    <cellStyle name="Input 3 3 4 2 2 18" xfId="34646"/>
    <cellStyle name="Input 3 3 4 2 2 19" xfId="36267"/>
    <cellStyle name="Input 3 3 4 2 2 2" xfId="16671"/>
    <cellStyle name="Input 3 3 4 2 2 20" xfId="37206"/>
    <cellStyle name="Input 3 3 4 2 2 3" xfId="17650"/>
    <cellStyle name="Input 3 3 4 2 2 4" xfId="18677"/>
    <cellStyle name="Input 3 3 4 2 2 5" xfId="19709"/>
    <cellStyle name="Input 3 3 4 2 2 6" xfId="20731"/>
    <cellStyle name="Input 3 3 4 2 2 7" xfId="21742"/>
    <cellStyle name="Input 3 3 4 2 2 8" xfId="22713"/>
    <cellStyle name="Input 3 3 4 2 2 9" xfId="23718"/>
    <cellStyle name="Input 3 3 4 2 20" xfId="36266"/>
    <cellStyle name="Input 3 3 4 2 21" xfId="37205"/>
    <cellStyle name="Input 3 3 4 2 3" xfId="16670"/>
    <cellStyle name="Input 3 3 4 2 4" xfId="17649"/>
    <cellStyle name="Input 3 3 4 2 5" xfId="18676"/>
    <cellStyle name="Input 3 3 4 2 6" xfId="19708"/>
    <cellStyle name="Input 3 3 4 2 7" xfId="20730"/>
    <cellStyle name="Input 3 3 4 2 8" xfId="21741"/>
    <cellStyle name="Input 3 3 4 2 9" xfId="22712"/>
    <cellStyle name="Input 3 3 4 3" xfId="4884"/>
    <cellStyle name="Input 3 3 4 3 10" xfId="23719"/>
    <cellStyle name="Input 3 3 4 3 11" xfId="24691"/>
    <cellStyle name="Input 3 3 4 3 12" xfId="25690"/>
    <cellStyle name="Input 3 3 4 3 13" xfId="28637"/>
    <cellStyle name="Input 3 3 4 3 14" xfId="29604"/>
    <cellStyle name="Input 3 3 4 3 15" xfId="30646"/>
    <cellStyle name="Input 3 3 4 3 16" xfId="31637"/>
    <cellStyle name="Input 3 3 4 3 17" xfId="32645"/>
    <cellStyle name="Input 3 3 4 3 18" xfId="33648"/>
    <cellStyle name="Input 3 3 4 3 19" xfId="34647"/>
    <cellStyle name="Input 3 3 4 3 2" xfId="4885"/>
    <cellStyle name="Input 3 3 4 3 2 10" xfId="24692"/>
    <cellStyle name="Input 3 3 4 3 2 11" xfId="25691"/>
    <cellStyle name="Input 3 3 4 3 2 12" xfId="28638"/>
    <cellStyle name="Input 3 3 4 3 2 13" xfId="29605"/>
    <cellStyle name="Input 3 3 4 3 2 14" xfId="30647"/>
    <cellStyle name="Input 3 3 4 3 2 15" xfId="31638"/>
    <cellStyle name="Input 3 3 4 3 2 16" xfId="32646"/>
    <cellStyle name="Input 3 3 4 3 2 17" xfId="33649"/>
    <cellStyle name="Input 3 3 4 3 2 18" xfId="34648"/>
    <cellStyle name="Input 3 3 4 3 2 19" xfId="36269"/>
    <cellStyle name="Input 3 3 4 3 2 2" xfId="16673"/>
    <cellStyle name="Input 3 3 4 3 2 20" xfId="37208"/>
    <cellStyle name="Input 3 3 4 3 2 3" xfId="17652"/>
    <cellStyle name="Input 3 3 4 3 2 4" xfId="18679"/>
    <cellStyle name="Input 3 3 4 3 2 5" xfId="19711"/>
    <cellStyle name="Input 3 3 4 3 2 6" xfId="20733"/>
    <cellStyle name="Input 3 3 4 3 2 7" xfId="21744"/>
    <cellStyle name="Input 3 3 4 3 2 8" xfId="22715"/>
    <cellStyle name="Input 3 3 4 3 2 9" xfId="23720"/>
    <cellStyle name="Input 3 3 4 3 20" xfId="36268"/>
    <cellStyle name="Input 3 3 4 3 21" xfId="37207"/>
    <cellStyle name="Input 3 3 4 3 3" xfId="16672"/>
    <cellStyle name="Input 3 3 4 3 4" xfId="17651"/>
    <cellStyle name="Input 3 3 4 3 5" xfId="18678"/>
    <cellStyle name="Input 3 3 4 3 6" xfId="19710"/>
    <cellStyle name="Input 3 3 4 3 7" xfId="20732"/>
    <cellStyle name="Input 3 3 4 3 8" xfId="21743"/>
    <cellStyle name="Input 3 3 4 3 9" xfId="22714"/>
    <cellStyle name="Input 3 3 4 4" xfId="4886"/>
    <cellStyle name="Input 3 3 4 4 10" xfId="23721"/>
    <cellStyle name="Input 3 3 4 4 11" xfId="24693"/>
    <cellStyle name="Input 3 3 4 4 12" xfId="25692"/>
    <cellStyle name="Input 3 3 4 4 13" xfId="28639"/>
    <cellStyle name="Input 3 3 4 4 14" xfId="29606"/>
    <cellStyle name="Input 3 3 4 4 15" xfId="30648"/>
    <cellStyle name="Input 3 3 4 4 16" xfId="31639"/>
    <cellStyle name="Input 3 3 4 4 17" xfId="32647"/>
    <cellStyle name="Input 3 3 4 4 18" xfId="33650"/>
    <cellStyle name="Input 3 3 4 4 19" xfId="34649"/>
    <cellStyle name="Input 3 3 4 4 2" xfId="4887"/>
    <cellStyle name="Input 3 3 4 4 2 10" xfId="24694"/>
    <cellStyle name="Input 3 3 4 4 2 11" xfId="25693"/>
    <cellStyle name="Input 3 3 4 4 2 12" xfId="28640"/>
    <cellStyle name="Input 3 3 4 4 2 13" xfId="29607"/>
    <cellStyle name="Input 3 3 4 4 2 14" xfId="30649"/>
    <cellStyle name="Input 3 3 4 4 2 15" xfId="31640"/>
    <cellStyle name="Input 3 3 4 4 2 16" xfId="32648"/>
    <cellStyle name="Input 3 3 4 4 2 17" xfId="33651"/>
    <cellStyle name="Input 3 3 4 4 2 18" xfId="34650"/>
    <cellStyle name="Input 3 3 4 4 2 19" xfId="36271"/>
    <cellStyle name="Input 3 3 4 4 2 2" xfId="16675"/>
    <cellStyle name="Input 3 3 4 4 2 20" xfId="37210"/>
    <cellStyle name="Input 3 3 4 4 2 3" xfId="17654"/>
    <cellStyle name="Input 3 3 4 4 2 4" xfId="18681"/>
    <cellStyle name="Input 3 3 4 4 2 5" xfId="19713"/>
    <cellStyle name="Input 3 3 4 4 2 6" xfId="20735"/>
    <cellStyle name="Input 3 3 4 4 2 7" xfId="21746"/>
    <cellStyle name="Input 3 3 4 4 2 8" xfId="22717"/>
    <cellStyle name="Input 3 3 4 4 2 9" xfId="23722"/>
    <cellStyle name="Input 3 3 4 4 20" xfId="36270"/>
    <cellStyle name="Input 3 3 4 4 21" xfId="37209"/>
    <cellStyle name="Input 3 3 4 4 3" xfId="16674"/>
    <cellStyle name="Input 3 3 4 4 4" xfId="17653"/>
    <cellStyle name="Input 3 3 4 4 5" xfId="18680"/>
    <cellStyle name="Input 3 3 4 4 6" xfId="19712"/>
    <cellStyle name="Input 3 3 4 4 7" xfId="20734"/>
    <cellStyle name="Input 3 3 4 4 8" xfId="21745"/>
    <cellStyle name="Input 3 3 4 4 9" xfId="22716"/>
    <cellStyle name="Input 3 3 4 5" xfId="4888"/>
    <cellStyle name="Input 3 3 4 5 10" xfId="24695"/>
    <cellStyle name="Input 3 3 4 5 11" xfId="25694"/>
    <cellStyle name="Input 3 3 4 5 12" xfId="28641"/>
    <cellStyle name="Input 3 3 4 5 13" xfId="29608"/>
    <cellStyle name="Input 3 3 4 5 14" xfId="30650"/>
    <cellStyle name="Input 3 3 4 5 15" xfId="31641"/>
    <cellStyle name="Input 3 3 4 5 16" xfId="32649"/>
    <cellStyle name="Input 3 3 4 5 17" xfId="33652"/>
    <cellStyle name="Input 3 3 4 5 18" xfId="34651"/>
    <cellStyle name="Input 3 3 4 5 19" xfId="36272"/>
    <cellStyle name="Input 3 3 4 5 2" xfId="16676"/>
    <cellStyle name="Input 3 3 4 5 20" xfId="37211"/>
    <cellStyle name="Input 3 3 4 5 3" xfId="17655"/>
    <cellStyle name="Input 3 3 4 5 4" xfId="18682"/>
    <cellStyle name="Input 3 3 4 5 5" xfId="19714"/>
    <cellStyle name="Input 3 3 4 5 6" xfId="20736"/>
    <cellStyle name="Input 3 3 4 5 7" xfId="21747"/>
    <cellStyle name="Input 3 3 4 5 8" xfId="22718"/>
    <cellStyle name="Input 3 3 4 5 9" xfId="23723"/>
    <cellStyle name="Input 3 3 4 6" xfId="13545"/>
    <cellStyle name="Input 3 3 4 7" xfId="15597"/>
    <cellStyle name="Input 3 3 4 8" xfId="13399"/>
    <cellStyle name="Input 3 3 4 9" xfId="14168"/>
    <cellStyle name="Input 3 3 5" xfId="4889"/>
    <cellStyle name="Input 3 3 5 10" xfId="17864"/>
    <cellStyle name="Input 3 3 5 11" xfId="20898"/>
    <cellStyle name="Input 3 3 5 12" xfId="26491"/>
    <cellStyle name="Input 3 3 5 13" xfId="27056"/>
    <cellStyle name="Input 3 3 5 14" xfId="26185"/>
    <cellStyle name="Input 3 3 5 15" xfId="26614"/>
    <cellStyle name="Input 3 3 5 16" xfId="26659"/>
    <cellStyle name="Input 3 3 5 17" xfId="26013"/>
    <cellStyle name="Input 3 3 5 18" xfId="35174"/>
    <cellStyle name="Input 3 3 5 19" xfId="35211"/>
    <cellStyle name="Input 3 3 5 2" xfId="4890"/>
    <cellStyle name="Input 3 3 5 2 10" xfId="23724"/>
    <cellStyle name="Input 3 3 5 2 11" xfId="24696"/>
    <cellStyle name="Input 3 3 5 2 12" xfId="25695"/>
    <cellStyle name="Input 3 3 5 2 13" xfId="28642"/>
    <cellStyle name="Input 3 3 5 2 14" xfId="29609"/>
    <cellStyle name="Input 3 3 5 2 15" xfId="30651"/>
    <cellStyle name="Input 3 3 5 2 16" xfId="31642"/>
    <cellStyle name="Input 3 3 5 2 17" xfId="32650"/>
    <cellStyle name="Input 3 3 5 2 18" xfId="33653"/>
    <cellStyle name="Input 3 3 5 2 19" xfId="34652"/>
    <cellStyle name="Input 3 3 5 2 2" xfId="4891"/>
    <cellStyle name="Input 3 3 5 2 2 10" xfId="24697"/>
    <cellStyle name="Input 3 3 5 2 2 11" xfId="25696"/>
    <cellStyle name="Input 3 3 5 2 2 12" xfId="28643"/>
    <cellStyle name="Input 3 3 5 2 2 13" xfId="29610"/>
    <cellStyle name="Input 3 3 5 2 2 14" xfId="30652"/>
    <cellStyle name="Input 3 3 5 2 2 15" xfId="31643"/>
    <cellStyle name="Input 3 3 5 2 2 16" xfId="32651"/>
    <cellStyle name="Input 3 3 5 2 2 17" xfId="33654"/>
    <cellStyle name="Input 3 3 5 2 2 18" xfId="34653"/>
    <cellStyle name="Input 3 3 5 2 2 19" xfId="36274"/>
    <cellStyle name="Input 3 3 5 2 2 2" xfId="16678"/>
    <cellStyle name="Input 3 3 5 2 2 20" xfId="37213"/>
    <cellStyle name="Input 3 3 5 2 2 3" xfId="17657"/>
    <cellStyle name="Input 3 3 5 2 2 4" xfId="18684"/>
    <cellStyle name="Input 3 3 5 2 2 5" xfId="19716"/>
    <cellStyle name="Input 3 3 5 2 2 6" xfId="20738"/>
    <cellStyle name="Input 3 3 5 2 2 7" xfId="21749"/>
    <cellStyle name="Input 3 3 5 2 2 8" xfId="22720"/>
    <cellStyle name="Input 3 3 5 2 2 9" xfId="23725"/>
    <cellStyle name="Input 3 3 5 2 20" xfId="36273"/>
    <cellStyle name="Input 3 3 5 2 21" xfId="37212"/>
    <cellStyle name="Input 3 3 5 2 3" xfId="16677"/>
    <cellStyle name="Input 3 3 5 2 4" xfId="17656"/>
    <cellStyle name="Input 3 3 5 2 5" xfId="18683"/>
    <cellStyle name="Input 3 3 5 2 6" xfId="19715"/>
    <cellStyle name="Input 3 3 5 2 7" xfId="20737"/>
    <cellStyle name="Input 3 3 5 2 8" xfId="21748"/>
    <cellStyle name="Input 3 3 5 2 9" xfId="22719"/>
    <cellStyle name="Input 3 3 5 3" xfId="4892"/>
    <cellStyle name="Input 3 3 5 3 10" xfId="23726"/>
    <cellStyle name="Input 3 3 5 3 11" xfId="24698"/>
    <cellStyle name="Input 3 3 5 3 12" xfId="25697"/>
    <cellStyle name="Input 3 3 5 3 13" xfId="28644"/>
    <cellStyle name="Input 3 3 5 3 14" xfId="29611"/>
    <cellStyle name="Input 3 3 5 3 15" xfId="30653"/>
    <cellStyle name="Input 3 3 5 3 16" xfId="31644"/>
    <cellStyle name="Input 3 3 5 3 17" xfId="32652"/>
    <cellStyle name="Input 3 3 5 3 18" xfId="33655"/>
    <cellStyle name="Input 3 3 5 3 19" xfId="34654"/>
    <cellStyle name="Input 3 3 5 3 2" xfId="4893"/>
    <cellStyle name="Input 3 3 5 3 2 10" xfId="24699"/>
    <cellStyle name="Input 3 3 5 3 2 11" xfId="25698"/>
    <cellStyle name="Input 3 3 5 3 2 12" xfId="28645"/>
    <cellStyle name="Input 3 3 5 3 2 13" xfId="29612"/>
    <cellStyle name="Input 3 3 5 3 2 14" xfId="30654"/>
    <cellStyle name="Input 3 3 5 3 2 15" xfId="31645"/>
    <cellStyle name="Input 3 3 5 3 2 16" xfId="32653"/>
    <cellStyle name="Input 3 3 5 3 2 17" xfId="33656"/>
    <cellStyle name="Input 3 3 5 3 2 18" xfId="34655"/>
    <cellStyle name="Input 3 3 5 3 2 19" xfId="36276"/>
    <cellStyle name="Input 3 3 5 3 2 2" xfId="16680"/>
    <cellStyle name="Input 3 3 5 3 2 20" xfId="37215"/>
    <cellStyle name="Input 3 3 5 3 2 3" xfId="17659"/>
    <cellStyle name="Input 3 3 5 3 2 4" xfId="18686"/>
    <cellStyle name="Input 3 3 5 3 2 5" xfId="19718"/>
    <cellStyle name="Input 3 3 5 3 2 6" xfId="20740"/>
    <cellStyle name="Input 3 3 5 3 2 7" xfId="21751"/>
    <cellStyle name="Input 3 3 5 3 2 8" xfId="22722"/>
    <cellStyle name="Input 3 3 5 3 2 9" xfId="23727"/>
    <cellStyle name="Input 3 3 5 3 20" xfId="36275"/>
    <cellStyle name="Input 3 3 5 3 21" xfId="37214"/>
    <cellStyle name="Input 3 3 5 3 3" xfId="16679"/>
    <cellStyle name="Input 3 3 5 3 4" xfId="17658"/>
    <cellStyle name="Input 3 3 5 3 5" xfId="18685"/>
    <cellStyle name="Input 3 3 5 3 6" xfId="19717"/>
    <cellStyle name="Input 3 3 5 3 7" xfId="20739"/>
    <cellStyle name="Input 3 3 5 3 8" xfId="21750"/>
    <cellStyle name="Input 3 3 5 3 9" xfId="22721"/>
    <cellStyle name="Input 3 3 5 4" xfId="4894"/>
    <cellStyle name="Input 3 3 5 4 10" xfId="23728"/>
    <cellStyle name="Input 3 3 5 4 11" xfId="24700"/>
    <cellStyle name="Input 3 3 5 4 12" xfId="25699"/>
    <cellStyle name="Input 3 3 5 4 13" xfId="28646"/>
    <cellStyle name="Input 3 3 5 4 14" xfId="29613"/>
    <cellStyle name="Input 3 3 5 4 15" xfId="30655"/>
    <cellStyle name="Input 3 3 5 4 16" xfId="31646"/>
    <cellStyle name="Input 3 3 5 4 17" xfId="32654"/>
    <cellStyle name="Input 3 3 5 4 18" xfId="33657"/>
    <cellStyle name="Input 3 3 5 4 19" xfId="34656"/>
    <cellStyle name="Input 3 3 5 4 2" xfId="4895"/>
    <cellStyle name="Input 3 3 5 4 2 10" xfId="24701"/>
    <cellStyle name="Input 3 3 5 4 2 11" xfId="25700"/>
    <cellStyle name="Input 3 3 5 4 2 12" xfId="28647"/>
    <cellStyle name="Input 3 3 5 4 2 13" xfId="29614"/>
    <cellStyle name="Input 3 3 5 4 2 14" xfId="30656"/>
    <cellStyle name="Input 3 3 5 4 2 15" xfId="31647"/>
    <cellStyle name="Input 3 3 5 4 2 16" xfId="32655"/>
    <cellStyle name="Input 3 3 5 4 2 17" xfId="33658"/>
    <cellStyle name="Input 3 3 5 4 2 18" xfId="34657"/>
    <cellStyle name="Input 3 3 5 4 2 19" xfId="36278"/>
    <cellStyle name="Input 3 3 5 4 2 2" xfId="16682"/>
    <cellStyle name="Input 3 3 5 4 2 20" xfId="37217"/>
    <cellStyle name="Input 3 3 5 4 2 3" xfId="17661"/>
    <cellStyle name="Input 3 3 5 4 2 4" xfId="18688"/>
    <cellStyle name="Input 3 3 5 4 2 5" xfId="19720"/>
    <cellStyle name="Input 3 3 5 4 2 6" xfId="20742"/>
    <cellStyle name="Input 3 3 5 4 2 7" xfId="21753"/>
    <cellStyle name="Input 3 3 5 4 2 8" xfId="22724"/>
    <cellStyle name="Input 3 3 5 4 2 9" xfId="23729"/>
    <cellStyle name="Input 3 3 5 4 20" xfId="36277"/>
    <cellStyle name="Input 3 3 5 4 21" xfId="37216"/>
    <cellStyle name="Input 3 3 5 4 3" xfId="16681"/>
    <cellStyle name="Input 3 3 5 4 4" xfId="17660"/>
    <cellStyle name="Input 3 3 5 4 5" xfId="18687"/>
    <cellStyle name="Input 3 3 5 4 6" xfId="19719"/>
    <cellStyle name="Input 3 3 5 4 7" xfId="20741"/>
    <cellStyle name="Input 3 3 5 4 8" xfId="21752"/>
    <cellStyle name="Input 3 3 5 4 9" xfId="22723"/>
    <cellStyle name="Input 3 3 5 5" xfId="4896"/>
    <cellStyle name="Input 3 3 5 5 10" xfId="24702"/>
    <cellStyle name="Input 3 3 5 5 11" xfId="25701"/>
    <cellStyle name="Input 3 3 5 5 12" xfId="28648"/>
    <cellStyle name="Input 3 3 5 5 13" xfId="29615"/>
    <cellStyle name="Input 3 3 5 5 14" xfId="30657"/>
    <cellStyle name="Input 3 3 5 5 15" xfId="31648"/>
    <cellStyle name="Input 3 3 5 5 16" xfId="32656"/>
    <cellStyle name="Input 3 3 5 5 17" xfId="33659"/>
    <cellStyle name="Input 3 3 5 5 18" xfId="34658"/>
    <cellStyle name="Input 3 3 5 5 19" xfId="36279"/>
    <cellStyle name="Input 3 3 5 5 2" xfId="16683"/>
    <cellStyle name="Input 3 3 5 5 20" xfId="37218"/>
    <cellStyle name="Input 3 3 5 5 3" xfId="17662"/>
    <cellStyle name="Input 3 3 5 5 4" xfId="18689"/>
    <cellStyle name="Input 3 3 5 5 5" xfId="19721"/>
    <cellStyle name="Input 3 3 5 5 6" xfId="20743"/>
    <cellStyle name="Input 3 3 5 5 7" xfId="21754"/>
    <cellStyle name="Input 3 3 5 5 8" xfId="22725"/>
    <cellStyle name="Input 3 3 5 5 9" xfId="23730"/>
    <cellStyle name="Input 3 3 5 6" xfId="14442"/>
    <cellStyle name="Input 3 3 5 7" xfId="14394"/>
    <cellStyle name="Input 3 3 5 8" xfId="15809"/>
    <cellStyle name="Input 3 3 5 9" xfId="14324"/>
    <cellStyle name="Input 3 3 6" xfId="4897"/>
    <cellStyle name="Input 3 3 6 10" xfId="23731"/>
    <cellStyle name="Input 3 3 6 11" xfId="24703"/>
    <cellStyle name="Input 3 3 6 12" xfId="25702"/>
    <cellStyle name="Input 3 3 6 13" xfId="28649"/>
    <cellStyle name="Input 3 3 6 14" xfId="29616"/>
    <cellStyle name="Input 3 3 6 15" xfId="30658"/>
    <cellStyle name="Input 3 3 6 16" xfId="31649"/>
    <cellStyle name="Input 3 3 6 17" xfId="32657"/>
    <cellStyle name="Input 3 3 6 18" xfId="33660"/>
    <cellStyle name="Input 3 3 6 19" xfId="34659"/>
    <cellStyle name="Input 3 3 6 2" xfId="4898"/>
    <cellStyle name="Input 3 3 6 2 10" xfId="24704"/>
    <cellStyle name="Input 3 3 6 2 11" xfId="25703"/>
    <cellStyle name="Input 3 3 6 2 12" xfId="28650"/>
    <cellStyle name="Input 3 3 6 2 13" xfId="29617"/>
    <cellStyle name="Input 3 3 6 2 14" xfId="30659"/>
    <cellStyle name="Input 3 3 6 2 15" xfId="31650"/>
    <cellStyle name="Input 3 3 6 2 16" xfId="32658"/>
    <cellStyle name="Input 3 3 6 2 17" xfId="33661"/>
    <cellStyle name="Input 3 3 6 2 18" xfId="34660"/>
    <cellStyle name="Input 3 3 6 2 19" xfId="36281"/>
    <cellStyle name="Input 3 3 6 2 2" xfId="16685"/>
    <cellStyle name="Input 3 3 6 2 20" xfId="37220"/>
    <cellStyle name="Input 3 3 6 2 3" xfId="17664"/>
    <cellStyle name="Input 3 3 6 2 4" xfId="18691"/>
    <cellStyle name="Input 3 3 6 2 5" xfId="19723"/>
    <cellStyle name="Input 3 3 6 2 6" xfId="20745"/>
    <cellStyle name="Input 3 3 6 2 7" xfId="21756"/>
    <cellStyle name="Input 3 3 6 2 8" xfId="22727"/>
    <cellStyle name="Input 3 3 6 2 9" xfId="23732"/>
    <cellStyle name="Input 3 3 6 20" xfId="36280"/>
    <cellStyle name="Input 3 3 6 21" xfId="37219"/>
    <cellStyle name="Input 3 3 6 3" xfId="16684"/>
    <cellStyle name="Input 3 3 6 4" xfId="17663"/>
    <cellStyle name="Input 3 3 6 5" xfId="18690"/>
    <cellStyle name="Input 3 3 6 6" xfId="19722"/>
    <cellStyle name="Input 3 3 6 7" xfId="20744"/>
    <cellStyle name="Input 3 3 6 8" xfId="21755"/>
    <cellStyle name="Input 3 3 6 9" xfId="22726"/>
    <cellStyle name="Input 3 3 7" xfId="4899"/>
    <cellStyle name="Input 3 3 7 10" xfId="23733"/>
    <cellStyle name="Input 3 3 7 11" xfId="24705"/>
    <cellStyle name="Input 3 3 7 12" xfId="25704"/>
    <cellStyle name="Input 3 3 7 13" xfId="28651"/>
    <cellStyle name="Input 3 3 7 14" xfId="29618"/>
    <cellStyle name="Input 3 3 7 15" xfId="30660"/>
    <cellStyle name="Input 3 3 7 16" xfId="31651"/>
    <cellStyle name="Input 3 3 7 17" xfId="32659"/>
    <cellStyle name="Input 3 3 7 18" xfId="33662"/>
    <cellStyle name="Input 3 3 7 19" xfId="34661"/>
    <cellStyle name="Input 3 3 7 2" xfId="4900"/>
    <cellStyle name="Input 3 3 7 2 10" xfId="24706"/>
    <cellStyle name="Input 3 3 7 2 11" xfId="25705"/>
    <cellStyle name="Input 3 3 7 2 12" xfId="28652"/>
    <cellStyle name="Input 3 3 7 2 13" xfId="29619"/>
    <cellStyle name="Input 3 3 7 2 14" xfId="30661"/>
    <cellStyle name="Input 3 3 7 2 15" xfId="31652"/>
    <cellStyle name="Input 3 3 7 2 16" xfId="32660"/>
    <cellStyle name="Input 3 3 7 2 17" xfId="33663"/>
    <cellStyle name="Input 3 3 7 2 18" xfId="34662"/>
    <cellStyle name="Input 3 3 7 2 19" xfId="36283"/>
    <cellStyle name="Input 3 3 7 2 2" xfId="16687"/>
    <cellStyle name="Input 3 3 7 2 20" xfId="37222"/>
    <cellStyle name="Input 3 3 7 2 3" xfId="17666"/>
    <cellStyle name="Input 3 3 7 2 4" xfId="18693"/>
    <cellStyle name="Input 3 3 7 2 5" xfId="19725"/>
    <cellStyle name="Input 3 3 7 2 6" xfId="20747"/>
    <cellStyle name="Input 3 3 7 2 7" xfId="21758"/>
    <cellStyle name="Input 3 3 7 2 8" xfId="22729"/>
    <cellStyle name="Input 3 3 7 2 9" xfId="23734"/>
    <cellStyle name="Input 3 3 7 20" xfId="36282"/>
    <cellStyle name="Input 3 3 7 21" xfId="37221"/>
    <cellStyle name="Input 3 3 7 3" xfId="16686"/>
    <cellStyle name="Input 3 3 7 4" xfId="17665"/>
    <cellStyle name="Input 3 3 7 5" xfId="18692"/>
    <cellStyle name="Input 3 3 7 6" xfId="19724"/>
    <cellStyle name="Input 3 3 7 7" xfId="20746"/>
    <cellStyle name="Input 3 3 7 8" xfId="21757"/>
    <cellStyle name="Input 3 3 7 9" xfId="22728"/>
    <cellStyle name="Input 3 3 8" xfId="4901"/>
    <cellStyle name="Input 3 3 8 10" xfId="23735"/>
    <cellStyle name="Input 3 3 8 11" xfId="24707"/>
    <cellStyle name="Input 3 3 8 12" xfId="25706"/>
    <cellStyle name="Input 3 3 8 13" xfId="28653"/>
    <cellStyle name="Input 3 3 8 14" xfId="29620"/>
    <cellStyle name="Input 3 3 8 15" xfId="30662"/>
    <cellStyle name="Input 3 3 8 16" xfId="31653"/>
    <cellStyle name="Input 3 3 8 17" xfId="32661"/>
    <cellStyle name="Input 3 3 8 18" xfId="33664"/>
    <cellStyle name="Input 3 3 8 19" xfId="34663"/>
    <cellStyle name="Input 3 3 8 2" xfId="4902"/>
    <cellStyle name="Input 3 3 8 2 10" xfId="24708"/>
    <cellStyle name="Input 3 3 8 2 11" xfId="25707"/>
    <cellStyle name="Input 3 3 8 2 12" xfId="28654"/>
    <cellStyle name="Input 3 3 8 2 13" xfId="29621"/>
    <cellStyle name="Input 3 3 8 2 14" xfId="30663"/>
    <cellStyle name="Input 3 3 8 2 15" xfId="31654"/>
    <cellStyle name="Input 3 3 8 2 16" xfId="32662"/>
    <cellStyle name="Input 3 3 8 2 17" xfId="33665"/>
    <cellStyle name="Input 3 3 8 2 18" xfId="34664"/>
    <cellStyle name="Input 3 3 8 2 19" xfId="36285"/>
    <cellStyle name="Input 3 3 8 2 2" xfId="16689"/>
    <cellStyle name="Input 3 3 8 2 20" xfId="37224"/>
    <cellStyle name="Input 3 3 8 2 3" xfId="17668"/>
    <cellStyle name="Input 3 3 8 2 4" xfId="18695"/>
    <cellStyle name="Input 3 3 8 2 5" xfId="19727"/>
    <cellStyle name="Input 3 3 8 2 6" xfId="20749"/>
    <cellStyle name="Input 3 3 8 2 7" xfId="21760"/>
    <cellStyle name="Input 3 3 8 2 8" xfId="22731"/>
    <cellStyle name="Input 3 3 8 2 9" xfId="23736"/>
    <cellStyle name="Input 3 3 8 20" xfId="36284"/>
    <cellStyle name="Input 3 3 8 21" xfId="37223"/>
    <cellStyle name="Input 3 3 8 3" xfId="16688"/>
    <cellStyle name="Input 3 3 8 4" xfId="17667"/>
    <cellStyle name="Input 3 3 8 5" xfId="18694"/>
    <cellStyle name="Input 3 3 8 6" xfId="19726"/>
    <cellStyle name="Input 3 3 8 7" xfId="20748"/>
    <cellStyle name="Input 3 3 8 8" xfId="21759"/>
    <cellStyle name="Input 3 3 8 9" xfId="22730"/>
    <cellStyle name="Input 3 3 9" xfId="4903"/>
    <cellStyle name="Input 3 3 9 10" xfId="24709"/>
    <cellStyle name="Input 3 3 9 11" xfId="25708"/>
    <cellStyle name="Input 3 3 9 12" xfId="28655"/>
    <cellStyle name="Input 3 3 9 13" xfId="29622"/>
    <cellStyle name="Input 3 3 9 14" xfId="30664"/>
    <cellStyle name="Input 3 3 9 15" xfId="31655"/>
    <cellStyle name="Input 3 3 9 16" xfId="32663"/>
    <cellStyle name="Input 3 3 9 17" xfId="33666"/>
    <cellStyle name="Input 3 3 9 18" xfId="34665"/>
    <cellStyle name="Input 3 3 9 19" xfId="36286"/>
    <cellStyle name="Input 3 3 9 2" xfId="16690"/>
    <cellStyle name="Input 3 3 9 20" xfId="37225"/>
    <cellStyle name="Input 3 3 9 3" xfId="17669"/>
    <cellStyle name="Input 3 3 9 4" xfId="18696"/>
    <cellStyle name="Input 3 3 9 5" xfId="19728"/>
    <cellStyle name="Input 3 3 9 6" xfId="20750"/>
    <cellStyle name="Input 3 3 9 7" xfId="21761"/>
    <cellStyle name="Input 3 3 9 8" xfId="22732"/>
    <cellStyle name="Input 3 3 9 9" xfId="23737"/>
    <cellStyle name="Input 3 4" xfId="4904"/>
    <cellStyle name="Input 3 4 10" xfId="15838"/>
    <cellStyle name="Input 3 4 11" xfId="13667"/>
    <cellStyle name="Input 3 4 12" xfId="18848"/>
    <cellStyle name="Input 3 4 13" xfId="18887"/>
    <cellStyle name="Input 3 4 14" xfId="15229"/>
    <cellStyle name="Input 3 4 15" xfId="15256"/>
    <cellStyle name="Input 3 4 16" xfId="26077"/>
    <cellStyle name="Input 3 4 17" xfId="26235"/>
    <cellStyle name="Input 3 4 18" xfId="25938"/>
    <cellStyle name="Input 3 4 19" xfId="25898"/>
    <cellStyle name="Input 3 4 2" xfId="4905"/>
    <cellStyle name="Input 3 4 2 10" xfId="18845"/>
    <cellStyle name="Input 3 4 2 11" xfId="13696"/>
    <cellStyle name="Input 3 4 2 12" xfId="26299"/>
    <cellStyle name="Input 3 4 2 13" xfId="27735"/>
    <cellStyle name="Input 3 4 2 14" xfId="26114"/>
    <cellStyle name="Input 3 4 2 15" xfId="26536"/>
    <cellStyle name="Input 3 4 2 16" xfId="27624"/>
    <cellStyle name="Input 3 4 2 17" xfId="26863"/>
    <cellStyle name="Input 3 4 2 18" xfId="34995"/>
    <cellStyle name="Input 3 4 2 19" xfId="35460"/>
    <cellStyle name="Input 3 4 2 2" xfId="4906"/>
    <cellStyle name="Input 3 4 2 2 10" xfId="23738"/>
    <cellStyle name="Input 3 4 2 2 11" xfId="24710"/>
    <cellStyle name="Input 3 4 2 2 12" xfId="25709"/>
    <cellStyle name="Input 3 4 2 2 13" xfId="28656"/>
    <cellStyle name="Input 3 4 2 2 14" xfId="29623"/>
    <cellStyle name="Input 3 4 2 2 15" xfId="30665"/>
    <cellStyle name="Input 3 4 2 2 16" xfId="31656"/>
    <cellStyle name="Input 3 4 2 2 17" xfId="32664"/>
    <cellStyle name="Input 3 4 2 2 18" xfId="33667"/>
    <cellStyle name="Input 3 4 2 2 19" xfId="34666"/>
    <cellStyle name="Input 3 4 2 2 2" xfId="4907"/>
    <cellStyle name="Input 3 4 2 2 2 10" xfId="24711"/>
    <cellStyle name="Input 3 4 2 2 2 11" xfId="25710"/>
    <cellStyle name="Input 3 4 2 2 2 12" xfId="28657"/>
    <cellStyle name="Input 3 4 2 2 2 13" xfId="29624"/>
    <cellStyle name="Input 3 4 2 2 2 14" xfId="30666"/>
    <cellStyle name="Input 3 4 2 2 2 15" xfId="31657"/>
    <cellStyle name="Input 3 4 2 2 2 16" xfId="32665"/>
    <cellStyle name="Input 3 4 2 2 2 17" xfId="33668"/>
    <cellStyle name="Input 3 4 2 2 2 18" xfId="34667"/>
    <cellStyle name="Input 3 4 2 2 2 19" xfId="36288"/>
    <cellStyle name="Input 3 4 2 2 2 2" xfId="16692"/>
    <cellStyle name="Input 3 4 2 2 2 20" xfId="37227"/>
    <cellStyle name="Input 3 4 2 2 2 3" xfId="17671"/>
    <cellStyle name="Input 3 4 2 2 2 4" xfId="18698"/>
    <cellStyle name="Input 3 4 2 2 2 5" xfId="19730"/>
    <cellStyle name="Input 3 4 2 2 2 6" xfId="20752"/>
    <cellStyle name="Input 3 4 2 2 2 7" xfId="21763"/>
    <cellStyle name="Input 3 4 2 2 2 8" xfId="22734"/>
    <cellStyle name="Input 3 4 2 2 2 9" xfId="23739"/>
    <cellStyle name="Input 3 4 2 2 20" xfId="36287"/>
    <cellStyle name="Input 3 4 2 2 21" xfId="37226"/>
    <cellStyle name="Input 3 4 2 2 3" xfId="16691"/>
    <cellStyle name="Input 3 4 2 2 4" xfId="17670"/>
    <cellStyle name="Input 3 4 2 2 5" xfId="18697"/>
    <cellStyle name="Input 3 4 2 2 6" xfId="19729"/>
    <cellStyle name="Input 3 4 2 2 7" xfId="20751"/>
    <cellStyle name="Input 3 4 2 2 8" xfId="21762"/>
    <cellStyle name="Input 3 4 2 2 9" xfId="22733"/>
    <cellStyle name="Input 3 4 2 3" xfId="4908"/>
    <cellStyle name="Input 3 4 2 3 10" xfId="23740"/>
    <cellStyle name="Input 3 4 2 3 11" xfId="24712"/>
    <cellStyle name="Input 3 4 2 3 12" xfId="25711"/>
    <cellStyle name="Input 3 4 2 3 13" xfId="28658"/>
    <cellStyle name="Input 3 4 2 3 14" xfId="29625"/>
    <cellStyle name="Input 3 4 2 3 15" xfId="30667"/>
    <cellStyle name="Input 3 4 2 3 16" xfId="31658"/>
    <cellStyle name="Input 3 4 2 3 17" xfId="32666"/>
    <cellStyle name="Input 3 4 2 3 18" xfId="33669"/>
    <cellStyle name="Input 3 4 2 3 19" xfId="34668"/>
    <cellStyle name="Input 3 4 2 3 2" xfId="4909"/>
    <cellStyle name="Input 3 4 2 3 2 10" xfId="24713"/>
    <cellStyle name="Input 3 4 2 3 2 11" xfId="25712"/>
    <cellStyle name="Input 3 4 2 3 2 12" xfId="28659"/>
    <cellStyle name="Input 3 4 2 3 2 13" xfId="29626"/>
    <cellStyle name="Input 3 4 2 3 2 14" xfId="30668"/>
    <cellStyle name="Input 3 4 2 3 2 15" xfId="31659"/>
    <cellStyle name="Input 3 4 2 3 2 16" xfId="32667"/>
    <cellStyle name="Input 3 4 2 3 2 17" xfId="33670"/>
    <cellStyle name="Input 3 4 2 3 2 18" xfId="34669"/>
    <cellStyle name="Input 3 4 2 3 2 19" xfId="36290"/>
    <cellStyle name="Input 3 4 2 3 2 2" xfId="16694"/>
    <cellStyle name="Input 3 4 2 3 2 20" xfId="37229"/>
    <cellStyle name="Input 3 4 2 3 2 3" xfId="17673"/>
    <cellStyle name="Input 3 4 2 3 2 4" xfId="18700"/>
    <cellStyle name="Input 3 4 2 3 2 5" xfId="19732"/>
    <cellStyle name="Input 3 4 2 3 2 6" xfId="20754"/>
    <cellStyle name="Input 3 4 2 3 2 7" xfId="21765"/>
    <cellStyle name="Input 3 4 2 3 2 8" xfId="22736"/>
    <cellStyle name="Input 3 4 2 3 2 9" xfId="23741"/>
    <cellStyle name="Input 3 4 2 3 20" xfId="36289"/>
    <cellStyle name="Input 3 4 2 3 21" xfId="37228"/>
    <cellStyle name="Input 3 4 2 3 3" xfId="16693"/>
    <cellStyle name="Input 3 4 2 3 4" xfId="17672"/>
    <cellStyle name="Input 3 4 2 3 5" xfId="18699"/>
    <cellStyle name="Input 3 4 2 3 6" xfId="19731"/>
    <cellStyle name="Input 3 4 2 3 7" xfId="20753"/>
    <cellStyle name="Input 3 4 2 3 8" xfId="21764"/>
    <cellStyle name="Input 3 4 2 3 9" xfId="22735"/>
    <cellStyle name="Input 3 4 2 4" xfId="4910"/>
    <cellStyle name="Input 3 4 2 4 10" xfId="23742"/>
    <cellStyle name="Input 3 4 2 4 11" xfId="24714"/>
    <cellStyle name="Input 3 4 2 4 12" xfId="25713"/>
    <cellStyle name="Input 3 4 2 4 13" xfId="28660"/>
    <cellStyle name="Input 3 4 2 4 14" xfId="29627"/>
    <cellStyle name="Input 3 4 2 4 15" xfId="30669"/>
    <cellStyle name="Input 3 4 2 4 16" xfId="31660"/>
    <cellStyle name="Input 3 4 2 4 17" xfId="32668"/>
    <cellStyle name="Input 3 4 2 4 18" xfId="33671"/>
    <cellStyle name="Input 3 4 2 4 19" xfId="34670"/>
    <cellStyle name="Input 3 4 2 4 2" xfId="4911"/>
    <cellStyle name="Input 3 4 2 4 2 10" xfId="24715"/>
    <cellStyle name="Input 3 4 2 4 2 11" xfId="25714"/>
    <cellStyle name="Input 3 4 2 4 2 12" xfId="28661"/>
    <cellStyle name="Input 3 4 2 4 2 13" xfId="29628"/>
    <cellStyle name="Input 3 4 2 4 2 14" xfId="30670"/>
    <cellStyle name="Input 3 4 2 4 2 15" xfId="31661"/>
    <cellStyle name="Input 3 4 2 4 2 16" xfId="32669"/>
    <cellStyle name="Input 3 4 2 4 2 17" xfId="33672"/>
    <cellStyle name="Input 3 4 2 4 2 18" xfId="34671"/>
    <cellStyle name="Input 3 4 2 4 2 19" xfId="36292"/>
    <cellStyle name="Input 3 4 2 4 2 2" xfId="16696"/>
    <cellStyle name="Input 3 4 2 4 2 20" xfId="37231"/>
    <cellStyle name="Input 3 4 2 4 2 3" xfId="17675"/>
    <cellStyle name="Input 3 4 2 4 2 4" xfId="18702"/>
    <cellStyle name="Input 3 4 2 4 2 5" xfId="19734"/>
    <cellStyle name="Input 3 4 2 4 2 6" xfId="20756"/>
    <cellStyle name="Input 3 4 2 4 2 7" xfId="21767"/>
    <cellStyle name="Input 3 4 2 4 2 8" xfId="22738"/>
    <cellStyle name="Input 3 4 2 4 2 9" xfId="23743"/>
    <cellStyle name="Input 3 4 2 4 20" xfId="36291"/>
    <cellStyle name="Input 3 4 2 4 21" xfId="37230"/>
    <cellStyle name="Input 3 4 2 4 3" xfId="16695"/>
    <cellStyle name="Input 3 4 2 4 4" xfId="17674"/>
    <cellStyle name="Input 3 4 2 4 5" xfId="18701"/>
    <cellStyle name="Input 3 4 2 4 6" xfId="19733"/>
    <cellStyle name="Input 3 4 2 4 7" xfId="20755"/>
    <cellStyle name="Input 3 4 2 4 8" xfId="21766"/>
    <cellStyle name="Input 3 4 2 4 9" xfId="22737"/>
    <cellStyle name="Input 3 4 2 5" xfId="4912"/>
    <cellStyle name="Input 3 4 2 5 10" xfId="24716"/>
    <cellStyle name="Input 3 4 2 5 11" xfId="25715"/>
    <cellStyle name="Input 3 4 2 5 12" xfId="28662"/>
    <cellStyle name="Input 3 4 2 5 13" xfId="29629"/>
    <cellStyle name="Input 3 4 2 5 14" xfId="30671"/>
    <cellStyle name="Input 3 4 2 5 15" xfId="31662"/>
    <cellStyle name="Input 3 4 2 5 16" xfId="32670"/>
    <cellStyle name="Input 3 4 2 5 17" xfId="33673"/>
    <cellStyle name="Input 3 4 2 5 18" xfId="34672"/>
    <cellStyle name="Input 3 4 2 5 19" xfId="36293"/>
    <cellStyle name="Input 3 4 2 5 2" xfId="16697"/>
    <cellStyle name="Input 3 4 2 5 20" xfId="37232"/>
    <cellStyle name="Input 3 4 2 5 3" xfId="17676"/>
    <cellStyle name="Input 3 4 2 5 4" xfId="18703"/>
    <cellStyle name="Input 3 4 2 5 5" xfId="19735"/>
    <cellStyle name="Input 3 4 2 5 6" xfId="20757"/>
    <cellStyle name="Input 3 4 2 5 7" xfId="21768"/>
    <cellStyle name="Input 3 4 2 5 8" xfId="22739"/>
    <cellStyle name="Input 3 4 2 5 9" xfId="23744"/>
    <cellStyle name="Input 3 4 2 6" xfId="13717"/>
    <cellStyle name="Input 3 4 2 7" xfId="15591"/>
    <cellStyle name="Input 3 4 2 8" xfId="15743"/>
    <cellStyle name="Input 3 4 2 9" xfId="14167"/>
    <cellStyle name="Input 3 4 20" xfId="26441"/>
    <cellStyle name="Input 3 4 21" xfId="27548"/>
    <cellStyle name="Input 3 4 22" xfId="34938"/>
    <cellStyle name="Input 3 4 23" xfId="34926"/>
    <cellStyle name="Input 3 4 3" xfId="4913"/>
    <cellStyle name="Input 3 4 3 10" xfId="14958"/>
    <cellStyle name="Input 3 4 3 11" xfId="20902"/>
    <cellStyle name="Input 3 4 3 12" xfId="26379"/>
    <cellStyle name="Input 3 4 3 13" xfId="27129"/>
    <cellStyle name="Input 3 4 3 14" xfId="25924"/>
    <cellStyle name="Input 3 4 3 15" xfId="26769"/>
    <cellStyle name="Input 3 4 3 16" xfId="26955"/>
    <cellStyle name="Input 3 4 3 17" xfId="26840"/>
    <cellStyle name="Input 3 4 3 18" xfId="35070"/>
    <cellStyle name="Input 3 4 3 19" xfId="35285"/>
    <cellStyle name="Input 3 4 3 2" xfId="4914"/>
    <cellStyle name="Input 3 4 3 2 10" xfId="23745"/>
    <cellStyle name="Input 3 4 3 2 11" xfId="24717"/>
    <cellStyle name="Input 3 4 3 2 12" xfId="25716"/>
    <cellStyle name="Input 3 4 3 2 13" xfId="28663"/>
    <cellStyle name="Input 3 4 3 2 14" xfId="29630"/>
    <cellStyle name="Input 3 4 3 2 15" xfId="30672"/>
    <cellStyle name="Input 3 4 3 2 16" xfId="31663"/>
    <cellStyle name="Input 3 4 3 2 17" xfId="32671"/>
    <cellStyle name="Input 3 4 3 2 18" xfId="33674"/>
    <cellStyle name="Input 3 4 3 2 19" xfId="34673"/>
    <cellStyle name="Input 3 4 3 2 2" xfId="4915"/>
    <cellStyle name="Input 3 4 3 2 2 10" xfId="24718"/>
    <cellStyle name="Input 3 4 3 2 2 11" xfId="25717"/>
    <cellStyle name="Input 3 4 3 2 2 12" xfId="28664"/>
    <cellStyle name="Input 3 4 3 2 2 13" xfId="29631"/>
    <cellStyle name="Input 3 4 3 2 2 14" xfId="30673"/>
    <cellStyle name="Input 3 4 3 2 2 15" xfId="31664"/>
    <cellStyle name="Input 3 4 3 2 2 16" xfId="32672"/>
    <cellStyle name="Input 3 4 3 2 2 17" xfId="33675"/>
    <cellStyle name="Input 3 4 3 2 2 18" xfId="34674"/>
    <cellStyle name="Input 3 4 3 2 2 19" xfId="36295"/>
    <cellStyle name="Input 3 4 3 2 2 2" xfId="16699"/>
    <cellStyle name="Input 3 4 3 2 2 20" xfId="37234"/>
    <cellStyle name="Input 3 4 3 2 2 3" xfId="17678"/>
    <cellStyle name="Input 3 4 3 2 2 4" xfId="18705"/>
    <cellStyle name="Input 3 4 3 2 2 5" xfId="19737"/>
    <cellStyle name="Input 3 4 3 2 2 6" xfId="20759"/>
    <cellStyle name="Input 3 4 3 2 2 7" xfId="21770"/>
    <cellStyle name="Input 3 4 3 2 2 8" xfId="22741"/>
    <cellStyle name="Input 3 4 3 2 2 9" xfId="23746"/>
    <cellStyle name="Input 3 4 3 2 20" xfId="36294"/>
    <cellStyle name="Input 3 4 3 2 21" xfId="37233"/>
    <cellStyle name="Input 3 4 3 2 3" xfId="16698"/>
    <cellStyle name="Input 3 4 3 2 4" xfId="17677"/>
    <cellStyle name="Input 3 4 3 2 5" xfId="18704"/>
    <cellStyle name="Input 3 4 3 2 6" xfId="19736"/>
    <cellStyle name="Input 3 4 3 2 7" xfId="20758"/>
    <cellStyle name="Input 3 4 3 2 8" xfId="21769"/>
    <cellStyle name="Input 3 4 3 2 9" xfId="22740"/>
    <cellStyle name="Input 3 4 3 3" xfId="4916"/>
    <cellStyle name="Input 3 4 3 3 10" xfId="23747"/>
    <cellStyle name="Input 3 4 3 3 11" xfId="24719"/>
    <cellStyle name="Input 3 4 3 3 12" xfId="25718"/>
    <cellStyle name="Input 3 4 3 3 13" xfId="28665"/>
    <cellStyle name="Input 3 4 3 3 14" xfId="29632"/>
    <cellStyle name="Input 3 4 3 3 15" xfId="30674"/>
    <cellStyle name="Input 3 4 3 3 16" xfId="31665"/>
    <cellStyle name="Input 3 4 3 3 17" xfId="32673"/>
    <cellStyle name="Input 3 4 3 3 18" xfId="33676"/>
    <cellStyle name="Input 3 4 3 3 19" xfId="34675"/>
    <cellStyle name="Input 3 4 3 3 2" xfId="4917"/>
    <cellStyle name="Input 3 4 3 3 2 10" xfId="24720"/>
    <cellStyle name="Input 3 4 3 3 2 11" xfId="25719"/>
    <cellStyle name="Input 3 4 3 3 2 12" xfId="28666"/>
    <cellStyle name="Input 3 4 3 3 2 13" xfId="29633"/>
    <cellStyle name="Input 3 4 3 3 2 14" xfId="30675"/>
    <cellStyle name="Input 3 4 3 3 2 15" xfId="31666"/>
    <cellStyle name="Input 3 4 3 3 2 16" xfId="32674"/>
    <cellStyle name="Input 3 4 3 3 2 17" xfId="33677"/>
    <cellStyle name="Input 3 4 3 3 2 18" xfId="34676"/>
    <cellStyle name="Input 3 4 3 3 2 19" xfId="36297"/>
    <cellStyle name="Input 3 4 3 3 2 2" xfId="16701"/>
    <cellStyle name="Input 3 4 3 3 2 20" xfId="37236"/>
    <cellStyle name="Input 3 4 3 3 2 3" xfId="17680"/>
    <cellStyle name="Input 3 4 3 3 2 4" xfId="18707"/>
    <cellStyle name="Input 3 4 3 3 2 5" xfId="19739"/>
    <cellStyle name="Input 3 4 3 3 2 6" xfId="20761"/>
    <cellStyle name="Input 3 4 3 3 2 7" xfId="21772"/>
    <cellStyle name="Input 3 4 3 3 2 8" xfId="22743"/>
    <cellStyle name="Input 3 4 3 3 2 9" xfId="23748"/>
    <cellStyle name="Input 3 4 3 3 20" xfId="36296"/>
    <cellStyle name="Input 3 4 3 3 21" xfId="37235"/>
    <cellStyle name="Input 3 4 3 3 3" xfId="16700"/>
    <cellStyle name="Input 3 4 3 3 4" xfId="17679"/>
    <cellStyle name="Input 3 4 3 3 5" xfId="18706"/>
    <cellStyle name="Input 3 4 3 3 6" xfId="19738"/>
    <cellStyle name="Input 3 4 3 3 7" xfId="20760"/>
    <cellStyle name="Input 3 4 3 3 8" xfId="21771"/>
    <cellStyle name="Input 3 4 3 3 9" xfId="22742"/>
    <cellStyle name="Input 3 4 3 4" xfId="4918"/>
    <cellStyle name="Input 3 4 3 4 10" xfId="23749"/>
    <cellStyle name="Input 3 4 3 4 11" xfId="24721"/>
    <cellStyle name="Input 3 4 3 4 12" xfId="25720"/>
    <cellStyle name="Input 3 4 3 4 13" xfId="28667"/>
    <cellStyle name="Input 3 4 3 4 14" xfId="29634"/>
    <cellStyle name="Input 3 4 3 4 15" xfId="30676"/>
    <cellStyle name="Input 3 4 3 4 16" xfId="31667"/>
    <cellStyle name="Input 3 4 3 4 17" xfId="32675"/>
    <cellStyle name="Input 3 4 3 4 18" xfId="33678"/>
    <cellStyle name="Input 3 4 3 4 19" xfId="34677"/>
    <cellStyle name="Input 3 4 3 4 2" xfId="4919"/>
    <cellStyle name="Input 3 4 3 4 2 10" xfId="24722"/>
    <cellStyle name="Input 3 4 3 4 2 11" xfId="25721"/>
    <cellStyle name="Input 3 4 3 4 2 12" xfId="28668"/>
    <cellStyle name="Input 3 4 3 4 2 13" xfId="29635"/>
    <cellStyle name="Input 3 4 3 4 2 14" xfId="30677"/>
    <cellStyle name="Input 3 4 3 4 2 15" xfId="31668"/>
    <cellStyle name="Input 3 4 3 4 2 16" xfId="32676"/>
    <cellStyle name="Input 3 4 3 4 2 17" xfId="33679"/>
    <cellStyle name="Input 3 4 3 4 2 18" xfId="34678"/>
    <cellStyle name="Input 3 4 3 4 2 19" xfId="36299"/>
    <cellStyle name="Input 3 4 3 4 2 2" xfId="16703"/>
    <cellStyle name="Input 3 4 3 4 2 20" xfId="37238"/>
    <cellStyle name="Input 3 4 3 4 2 3" xfId="17682"/>
    <cellStyle name="Input 3 4 3 4 2 4" xfId="18709"/>
    <cellStyle name="Input 3 4 3 4 2 5" xfId="19741"/>
    <cellStyle name="Input 3 4 3 4 2 6" xfId="20763"/>
    <cellStyle name="Input 3 4 3 4 2 7" xfId="21774"/>
    <cellStyle name="Input 3 4 3 4 2 8" xfId="22745"/>
    <cellStyle name="Input 3 4 3 4 2 9" xfId="23750"/>
    <cellStyle name="Input 3 4 3 4 20" xfId="36298"/>
    <cellStyle name="Input 3 4 3 4 21" xfId="37237"/>
    <cellStyle name="Input 3 4 3 4 3" xfId="16702"/>
    <cellStyle name="Input 3 4 3 4 4" xfId="17681"/>
    <cellStyle name="Input 3 4 3 4 5" xfId="18708"/>
    <cellStyle name="Input 3 4 3 4 6" xfId="19740"/>
    <cellStyle name="Input 3 4 3 4 7" xfId="20762"/>
    <cellStyle name="Input 3 4 3 4 8" xfId="21773"/>
    <cellStyle name="Input 3 4 3 4 9" xfId="22744"/>
    <cellStyle name="Input 3 4 3 5" xfId="4920"/>
    <cellStyle name="Input 3 4 3 5 10" xfId="24723"/>
    <cellStyle name="Input 3 4 3 5 11" xfId="25722"/>
    <cellStyle name="Input 3 4 3 5 12" xfId="28669"/>
    <cellStyle name="Input 3 4 3 5 13" xfId="29636"/>
    <cellStyle name="Input 3 4 3 5 14" xfId="30678"/>
    <cellStyle name="Input 3 4 3 5 15" xfId="31669"/>
    <cellStyle name="Input 3 4 3 5 16" xfId="32677"/>
    <cellStyle name="Input 3 4 3 5 17" xfId="33680"/>
    <cellStyle name="Input 3 4 3 5 18" xfId="34679"/>
    <cellStyle name="Input 3 4 3 5 19" xfId="36300"/>
    <cellStyle name="Input 3 4 3 5 2" xfId="16704"/>
    <cellStyle name="Input 3 4 3 5 20" xfId="37239"/>
    <cellStyle name="Input 3 4 3 5 3" xfId="17683"/>
    <cellStyle name="Input 3 4 3 5 4" xfId="18710"/>
    <cellStyle name="Input 3 4 3 5 5" xfId="19742"/>
    <cellStyle name="Input 3 4 3 5 6" xfId="20764"/>
    <cellStyle name="Input 3 4 3 5 7" xfId="21775"/>
    <cellStyle name="Input 3 4 3 5 8" xfId="22746"/>
    <cellStyle name="Input 3 4 3 5 9" xfId="23751"/>
    <cellStyle name="Input 3 4 3 6" xfId="15409"/>
    <cellStyle name="Input 3 4 3 7" xfId="14004"/>
    <cellStyle name="Input 3 4 3 8" xfId="15837"/>
    <cellStyle name="Input 3 4 3 9" xfId="14523"/>
    <cellStyle name="Input 3 4 4" xfId="4921"/>
    <cellStyle name="Input 3 4 4 10" xfId="14954"/>
    <cellStyle name="Input 3 4 4 11" xfId="15649"/>
    <cellStyle name="Input 3 4 4 12" xfId="26357"/>
    <cellStyle name="Input 3 4 4 13" xfId="26036"/>
    <cellStyle name="Input 3 4 4 14" xfId="26822"/>
    <cellStyle name="Input 3 4 4 15" xfId="26543"/>
    <cellStyle name="Input 3 4 4 16" xfId="26965"/>
    <cellStyle name="Input 3 4 4 17" xfId="27590"/>
    <cellStyle name="Input 3 4 4 18" xfId="35049"/>
    <cellStyle name="Input 3 4 4 19" xfId="35436"/>
    <cellStyle name="Input 3 4 4 2" xfId="4922"/>
    <cellStyle name="Input 3 4 4 2 10" xfId="23752"/>
    <cellStyle name="Input 3 4 4 2 11" xfId="24724"/>
    <cellStyle name="Input 3 4 4 2 12" xfId="25723"/>
    <cellStyle name="Input 3 4 4 2 13" xfId="28670"/>
    <cellStyle name="Input 3 4 4 2 14" xfId="29637"/>
    <cellStyle name="Input 3 4 4 2 15" xfId="30679"/>
    <cellStyle name="Input 3 4 4 2 16" xfId="31670"/>
    <cellStyle name="Input 3 4 4 2 17" xfId="32678"/>
    <cellStyle name="Input 3 4 4 2 18" xfId="33681"/>
    <cellStyle name="Input 3 4 4 2 19" xfId="34680"/>
    <cellStyle name="Input 3 4 4 2 2" xfId="4923"/>
    <cellStyle name="Input 3 4 4 2 2 10" xfId="24725"/>
    <cellStyle name="Input 3 4 4 2 2 11" xfId="25724"/>
    <cellStyle name="Input 3 4 4 2 2 12" xfId="28671"/>
    <cellStyle name="Input 3 4 4 2 2 13" xfId="29638"/>
    <cellStyle name="Input 3 4 4 2 2 14" xfId="30680"/>
    <cellStyle name="Input 3 4 4 2 2 15" xfId="31671"/>
    <cellStyle name="Input 3 4 4 2 2 16" xfId="32679"/>
    <cellStyle name="Input 3 4 4 2 2 17" xfId="33682"/>
    <cellStyle name="Input 3 4 4 2 2 18" xfId="34681"/>
    <cellStyle name="Input 3 4 4 2 2 19" xfId="36302"/>
    <cellStyle name="Input 3 4 4 2 2 2" xfId="16706"/>
    <cellStyle name="Input 3 4 4 2 2 20" xfId="37241"/>
    <cellStyle name="Input 3 4 4 2 2 3" xfId="17685"/>
    <cellStyle name="Input 3 4 4 2 2 4" xfId="18712"/>
    <cellStyle name="Input 3 4 4 2 2 5" xfId="19744"/>
    <cellStyle name="Input 3 4 4 2 2 6" xfId="20766"/>
    <cellStyle name="Input 3 4 4 2 2 7" xfId="21777"/>
    <cellStyle name="Input 3 4 4 2 2 8" xfId="22748"/>
    <cellStyle name="Input 3 4 4 2 2 9" xfId="23753"/>
    <cellStyle name="Input 3 4 4 2 20" xfId="36301"/>
    <cellStyle name="Input 3 4 4 2 21" xfId="37240"/>
    <cellStyle name="Input 3 4 4 2 3" xfId="16705"/>
    <cellStyle name="Input 3 4 4 2 4" xfId="17684"/>
    <cellStyle name="Input 3 4 4 2 5" xfId="18711"/>
    <cellStyle name="Input 3 4 4 2 6" xfId="19743"/>
    <cellStyle name="Input 3 4 4 2 7" xfId="20765"/>
    <cellStyle name="Input 3 4 4 2 8" xfId="21776"/>
    <cellStyle name="Input 3 4 4 2 9" xfId="22747"/>
    <cellStyle name="Input 3 4 4 3" xfId="4924"/>
    <cellStyle name="Input 3 4 4 3 10" xfId="23754"/>
    <cellStyle name="Input 3 4 4 3 11" xfId="24726"/>
    <cellStyle name="Input 3 4 4 3 12" xfId="25725"/>
    <cellStyle name="Input 3 4 4 3 13" xfId="28672"/>
    <cellStyle name="Input 3 4 4 3 14" xfId="29639"/>
    <cellStyle name="Input 3 4 4 3 15" xfId="30681"/>
    <cellStyle name="Input 3 4 4 3 16" xfId="31672"/>
    <cellStyle name="Input 3 4 4 3 17" xfId="32680"/>
    <cellStyle name="Input 3 4 4 3 18" xfId="33683"/>
    <cellStyle name="Input 3 4 4 3 19" xfId="34682"/>
    <cellStyle name="Input 3 4 4 3 2" xfId="4925"/>
    <cellStyle name="Input 3 4 4 3 2 10" xfId="24727"/>
    <cellStyle name="Input 3 4 4 3 2 11" xfId="25726"/>
    <cellStyle name="Input 3 4 4 3 2 12" xfId="28673"/>
    <cellStyle name="Input 3 4 4 3 2 13" xfId="29640"/>
    <cellStyle name="Input 3 4 4 3 2 14" xfId="30682"/>
    <cellStyle name="Input 3 4 4 3 2 15" xfId="31673"/>
    <cellStyle name="Input 3 4 4 3 2 16" xfId="32681"/>
    <cellStyle name="Input 3 4 4 3 2 17" xfId="33684"/>
    <cellStyle name="Input 3 4 4 3 2 18" xfId="34683"/>
    <cellStyle name="Input 3 4 4 3 2 19" xfId="36304"/>
    <cellStyle name="Input 3 4 4 3 2 2" xfId="16708"/>
    <cellStyle name="Input 3 4 4 3 2 20" xfId="37243"/>
    <cellStyle name="Input 3 4 4 3 2 3" xfId="17687"/>
    <cellStyle name="Input 3 4 4 3 2 4" xfId="18714"/>
    <cellStyle name="Input 3 4 4 3 2 5" xfId="19746"/>
    <cellStyle name="Input 3 4 4 3 2 6" xfId="20768"/>
    <cellStyle name="Input 3 4 4 3 2 7" xfId="21779"/>
    <cellStyle name="Input 3 4 4 3 2 8" xfId="22750"/>
    <cellStyle name="Input 3 4 4 3 2 9" xfId="23755"/>
    <cellStyle name="Input 3 4 4 3 20" xfId="36303"/>
    <cellStyle name="Input 3 4 4 3 21" xfId="37242"/>
    <cellStyle name="Input 3 4 4 3 3" xfId="16707"/>
    <cellStyle name="Input 3 4 4 3 4" xfId="17686"/>
    <cellStyle name="Input 3 4 4 3 5" xfId="18713"/>
    <cellStyle name="Input 3 4 4 3 6" xfId="19745"/>
    <cellStyle name="Input 3 4 4 3 7" xfId="20767"/>
    <cellStyle name="Input 3 4 4 3 8" xfId="21778"/>
    <cellStyle name="Input 3 4 4 3 9" xfId="22749"/>
    <cellStyle name="Input 3 4 4 4" xfId="4926"/>
    <cellStyle name="Input 3 4 4 4 10" xfId="23756"/>
    <cellStyle name="Input 3 4 4 4 11" xfId="24728"/>
    <cellStyle name="Input 3 4 4 4 12" xfId="25727"/>
    <cellStyle name="Input 3 4 4 4 13" xfId="28674"/>
    <cellStyle name="Input 3 4 4 4 14" xfId="29641"/>
    <cellStyle name="Input 3 4 4 4 15" xfId="30683"/>
    <cellStyle name="Input 3 4 4 4 16" xfId="31674"/>
    <cellStyle name="Input 3 4 4 4 17" xfId="32682"/>
    <cellStyle name="Input 3 4 4 4 18" xfId="33685"/>
    <cellStyle name="Input 3 4 4 4 19" xfId="34684"/>
    <cellStyle name="Input 3 4 4 4 2" xfId="4927"/>
    <cellStyle name="Input 3 4 4 4 2 10" xfId="24729"/>
    <cellStyle name="Input 3 4 4 4 2 11" xfId="25728"/>
    <cellStyle name="Input 3 4 4 4 2 12" xfId="28675"/>
    <cellStyle name="Input 3 4 4 4 2 13" xfId="29642"/>
    <cellStyle name="Input 3 4 4 4 2 14" xfId="30684"/>
    <cellStyle name="Input 3 4 4 4 2 15" xfId="31675"/>
    <cellStyle name="Input 3 4 4 4 2 16" xfId="32683"/>
    <cellStyle name="Input 3 4 4 4 2 17" xfId="33686"/>
    <cellStyle name="Input 3 4 4 4 2 18" xfId="34685"/>
    <cellStyle name="Input 3 4 4 4 2 19" xfId="36306"/>
    <cellStyle name="Input 3 4 4 4 2 2" xfId="16710"/>
    <cellStyle name="Input 3 4 4 4 2 20" xfId="37245"/>
    <cellStyle name="Input 3 4 4 4 2 3" xfId="17689"/>
    <cellStyle name="Input 3 4 4 4 2 4" xfId="18716"/>
    <cellStyle name="Input 3 4 4 4 2 5" xfId="19748"/>
    <cellStyle name="Input 3 4 4 4 2 6" xfId="20770"/>
    <cellStyle name="Input 3 4 4 4 2 7" xfId="21781"/>
    <cellStyle name="Input 3 4 4 4 2 8" xfId="22752"/>
    <cellStyle name="Input 3 4 4 4 2 9" xfId="23757"/>
    <cellStyle name="Input 3 4 4 4 20" xfId="36305"/>
    <cellStyle name="Input 3 4 4 4 21" xfId="37244"/>
    <cellStyle name="Input 3 4 4 4 3" xfId="16709"/>
    <cellStyle name="Input 3 4 4 4 4" xfId="17688"/>
    <cellStyle name="Input 3 4 4 4 5" xfId="18715"/>
    <cellStyle name="Input 3 4 4 4 6" xfId="19747"/>
    <cellStyle name="Input 3 4 4 4 7" xfId="20769"/>
    <cellStyle name="Input 3 4 4 4 8" xfId="21780"/>
    <cellStyle name="Input 3 4 4 4 9" xfId="22751"/>
    <cellStyle name="Input 3 4 4 5" xfId="4928"/>
    <cellStyle name="Input 3 4 4 5 10" xfId="24730"/>
    <cellStyle name="Input 3 4 4 5 11" xfId="25729"/>
    <cellStyle name="Input 3 4 4 5 12" xfId="28676"/>
    <cellStyle name="Input 3 4 4 5 13" xfId="29643"/>
    <cellStyle name="Input 3 4 4 5 14" xfId="30685"/>
    <cellStyle name="Input 3 4 4 5 15" xfId="31676"/>
    <cellStyle name="Input 3 4 4 5 16" xfId="32684"/>
    <cellStyle name="Input 3 4 4 5 17" xfId="33687"/>
    <cellStyle name="Input 3 4 4 5 18" xfId="34686"/>
    <cellStyle name="Input 3 4 4 5 19" xfId="36307"/>
    <cellStyle name="Input 3 4 4 5 2" xfId="16711"/>
    <cellStyle name="Input 3 4 4 5 20" xfId="37246"/>
    <cellStyle name="Input 3 4 4 5 3" xfId="17690"/>
    <cellStyle name="Input 3 4 4 5 4" xfId="18717"/>
    <cellStyle name="Input 3 4 4 5 5" xfId="19749"/>
    <cellStyle name="Input 3 4 4 5 6" xfId="20771"/>
    <cellStyle name="Input 3 4 4 5 7" xfId="21782"/>
    <cellStyle name="Input 3 4 4 5 8" xfId="22753"/>
    <cellStyle name="Input 3 4 4 5 9" xfId="23758"/>
    <cellStyle name="Input 3 4 4 6" xfId="13754"/>
    <cellStyle name="Input 3 4 4 7" xfId="14549"/>
    <cellStyle name="Input 3 4 4 8" xfId="13824"/>
    <cellStyle name="Input 3 4 4 9" xfId="15571"/>
    <cellStyle name="Input 3 4 5" xfId="4929"/>
    <cellStyle name="Input 3 4 5 10" xfId="13566"/>
    <cellStyle name="Input 3 4 5 11" xfId="13954"/>
    <cellStyle name="Input 3 4 5 12" xfId="26445"/>
    <cellStyle name="Input 3 4 5 13" xfId="27087"/>
    <cellStyle name="Input 3 4 5 14" xfId="27842"/>
    <cellStyle name="Input 3 4 5 15" xfId="27371"/>
    <cellStyle name="Input 3 4 5 16" xfId="30844"/>
    <cellStyle name="Input 3 4 5 17" xfId="26262"/>
    <cellStyle name="Input 3 4 5 18" xfId="35128"/>
    <cellStyle name="Input 3 4 5 19" xfId="35243"/>
    <cellStyle name="Input 3 4 5 2" xfId="4930"/>
    <cellStyle name="Input 3 4 5 2 10" xfId="23759"/>
    <cellStyle name="Input 3 4 5 2 11" xfId="24731"/>
    <cellStyle name="Input 3 4 5 2 12" xfId="25730"/>
    <cellStyle name="Input 3 4 5 2 13" xfId="28677"/>
    <cellStyle name="Input 3 4 5 2 14" xfId="29644"/>
    <cellStyle name="Input 3 4 5 2 15" xfId="30686"/>
    <cellStyle name="Input 3 4 5 2 16" xfId="31677"/>
    <cellStyle name="Input 3 4 5 2 17" xfId="32685"/>
    <cellStyle name="Input 3 4 5 2 18" xfId="33688"/>
    <cellStyle name="Input 3 4 5 2 19" xfId="34687"/>
    <cellStyle name="Input 3 4 5 2 2" xfId="4931"/>
    <cellStyle name="Input 3 4 5 2 2 10" xfId="24732"/>
    <cellStyle name="Input 3 4 5 2 2 11" xfId="25731"/>
    <cellStyle name="Input 3 4 5 2 2 12" xfId="28678"/>
    <cellStyle name="Input 3 4 5 2 2 13" xfId="29645"/>
    <cellStyle name="Input 3 4 5 2 2 14" xfId="30687"/>
    <cellStyle name="Input 3 4 5 2 2 15" xfId="31678"/>
    <cellStyle name="Input 3 4 5 2 2 16" xfId="32686"/>
    <cellStyle name="Input 3 4 5 2 2 17" xfId="33689"/>
    <cellStyle name="Input 3 4 5 2 2 18" xfId="34688"/>
    <cellStyle name="Input 3 4 5 2 2 19" xfId="36309"/>
    <cellStyle name="Input 3 4 5 2 2 2" xfId="16713"/>
    <cellStyle name="Input 3 4 5 2 2 20" xfId="37248"/>
    <cellStyle name="Input 3 4 5 2 2 3" xfId="17692"/>
    <cellStyle name="Input 3 4 5 2 2 4" xfId="18719"/>
    <cellStyle name="Input 3 4 5 2 2 5" xfId="19751"/>
    <cellStyle name="Input 3 4 5 2 2 6" xfId="20773"/>
    <cellStyle name="Input 3 4 5 2 2 7" xfId="21784"/>
    <cellStyle name="Input 3 4 5 2 2 8" xfId="22755"/>
    <cellStyle name="Input 3 4 5 2 2 9" xfId="23760"/>
    <cellStyle name="Input 3 4 5 2 20" xfId="36308"/>
    <cellStyle name="Input 3 4 5 2 21" xfId="37247"/>
    <cellStyle name="Input 3 4 5 2 3" xfId="16712"/>
    <cellStyle name="Input 3 4 5 2 4" xfId="17691"/>
    <cellStyle name="Input 3 4 5 2 5" xfId="18718"/>
    <cellStyle name="Input 3 4 5 2 6" xfId="19750"/>
    <cellStyle name="Input 3 4 5 2 7" xfId="20772"/>
    <cellStyle name="Input 3 4 5 2 8" xfId="21783"/>
    <cellStyle name="Input 3 4 5 2 9" xfId="22754"/>
    <cellStyle name="Input 3 4 5 3" xfId="4932"/>
    <cellStyle name="Input 3 4 5 3 10" xfId="23761"/>
    <cellStyle name="Input 3 4 5 3 11" xfId="24733"/>
    <cellStyle name="Input 3 4 5 3 12" xfId="25732"/>
    <cellStyle name="Input 3 4 5 3 13" xfId="28679"/>
    <cellStyle name="Input 3 4 5 3 14" xfId="29646"/>
    <cellStyle name="Input 3 4 5 3 15" xfId="30688"/>
    <cellStyle name="Input 3 4 5 3 16" xfId="31679"/>
    <cellStyle name="Input 3 4 5 3 17" xfId="32687"/>
    <cellStyle name="Input 3 4 5 3 18" xfId="33690"/>
    <cellStyle name="Input 3 4 5 3 19" xfId="34689"/>
    <cellStyle name="Input 3 4 5 3 2" xfId="4933"/>
    <cellStyle name="Input 3 4 5 3 2 10" xfId="24734"/>
    <cellStyle name="Input 3 4 5 3 2 11" xfId="25733"/>
    <cellStyle name="Input 3 4 5 3 2 12" xfId="28680"/>
    <cellStyle name="Input 3 4 5 3 2 13" xfId="29647"/>
    <cellStyle name="Input 3 4 5 3 2 14" xfId="30689"/>
    <cellStyle name="Input 3 4 5 3 2 15" xfId="31680"/>
    <cellStyle name="Input 3 4 5 3 2 16" xfId="32688"/>
    <cellStyle name="Input 3 4 5 3 2 17" xfId="33691"/>
    <cellStyle name="Input 3 4 5 3 2 18" xfId="34690"/>
    <cellStyle name="Input 3 4 5 3 2 19" xfId="36311"/>
    <cellStyle name="Input 3 4 5 3 2 2" xfId="16715"/>
    <cellStyle name="Input 3 4 5 3 2 20" xfId="37250"/>
    <cellStyle name="Input 3 4 5 3 2 3" xfId="17694"/>
    <cellStyle name="Input 3 4 5 3 2 4" xfId="18721"/>
    <cellStyle name="Input 3 4 5 3 2 5" xfId="19753"/>
    <cellStyle name="Input 3 4 5 3 2 6" xfId="20775"/>
    <cellStyle name="Input 3 4 5 3 2 7" xfId="21786"/>
    <cellStyle name="Input 3 4 5 3 2 8" xfId="22757"/>
    <cellStyle name="Input 3 4 5 3 2 9" xfId="23762"/>
    <cellStyle name="Input 3 4 5 3 20" xfId="36310"/>
    <cellStyle name="Input 3 4 5 3 21" xfId="37249"/>
    <cellStyle name="Input 3 4 5 3 3" xfId="16714"/>
    <cellStyle name="Input 3 4 5 3 4" xfId="17693"/>
    <cellStyle name="Input 3 4 5 3 5" xfId="18720"/>
    <cellStyle name="Input 3 4 5 3 6" xfId="19752"/>
    <cellStyle name="Input 3 4 5 3 7" xfId="20774"/>
    <cellStyle name="Input 3 4 5 3 8" xfId="21785"/>
    <cellStyle name="Input 3 4 5 3 9" xfId="22756"/>
    <cellStyle name="Input 3 4 5 4" xfId="4934"/>
    <cellStyle name="Input 3 4 5 4 10" xfId="23763"/>
    <cellStyle name="Input 3 4 5 4 11" xfId="24735"/>
    <cellStyle name="Input 3 4 5 4 12" xfId="25734"/>
    <cellStyle name="Input 3 4 5 4 13" xfId="28681"/>
    <cellStyle name="Input 3 4 5 4 14" xfId="29648"/>
    <cellStyle name="Input 3 4 5 4 15" xfId="30690"/>
    <cellStyle name="Input 3 4 5 4 16" xfId="31681"/>
    <cellStyle name="Input 3 4 5 4 17" xfId="32689"/>
    <cellStyle name="Input 3 4 5 4 18" xfId="33692"/>
    <cellStyle name="Input 3 4 5 4 19" xfId="34691"/>
    <cellStyle name="Input 3 4 5 4 2" xfId="4935"/>
    <cellStyle name="Input 3 4 5 4 2 10" xfId="24736"/>
    <cellStyle name="Input 3 4 5 4 2 11" xfId="25735"/>
    <cellStyle name="Input 3 4 5 4 2 12" xfId="28682"/>
    <cellStyle name="Input 3 4 5 4 2 13" xfId="29649"/>
    <cellStyle name="Input 3 4 5 4 2 14" xfId="30691"/>
    <cellStyle name="Input 3 4 5 4 2 15" xfId="31682"/>
    <cellStyle name="Input 3 4 5 4 2 16" xfId="32690"/>
    <cellStyle name="Input 3 4 5 4 2 17" xfId="33693"/>
    <cellStyle name="Input 3 4 5 4 2 18" xfId="34692"/>
    <cellStyle name="Input 3 4 5 4 2 19" xfId="36313"/>
    <cellStyle name="Input 3 4 5 4 2 2" xfId="16717"/>
    <cellStyle name="Input 3 4 5 4 2 20" xfId="37252"/>
    <cellStyle name="Input 3 4 5 4 2 3" xfId="17696"/>
    <cellStyle name="Input 3 4 5 4 2 4" xfId="18723"/>
    <cellStyle name="Input 3 4 5 4 2 5" xfId="19755"/>
    <cellStyle name="Input 3 4 5 4 2 6" xfId="20777"/>
    <cellStyle name="Input 3 4 5 4 2 7" xfId="21788"/>
    <cellStyle name="Input 3 4 5 4 2 8" xfId="22759"/>
    <cellStyle name="Input 3 4 5 4 2 9" xfId="23764"/>
    <cellStyle name="Input 3 4 5 4 20" xfId="36312"/>
    <cellStyle name="Input 3 4 5 4 21" xfId="37251"/>
    <cellStyle name="Input 3 4 5 4 3" xfId="16716"/>
    <cellStyle name="Input 3 4 5 4 4" xfId="17695"/>
    <cellStyle name="Input 3 4 5 4 5" xfId="18722"/>
    <cellStyle name="Input 3 4 5 4 6" xfId="19754"/>
    <cellStyle name="Input 3 4 5 4 7" xfId="20776"/>
    <cellStyle name="Input 3 4 5 4 8" xfId="21787"/>
    <cellStyle name="Input 3 4 5 4 9" xfId="22758"/>
    <cellStyle name="Input 3 4 5 5" xfId="4936"/>
    <cellStyle name="Input 3 4 5 5 10" xfId="24737"/>
    <cellStyle name="Input 3 4 5 5 11" xfId="25736"/>
    <cellStyle name="Input 3 4 5 5 12" xfId="28683"/>
    <cellStyle name="Input 3 4 5 5 13" xfId="29650"/>
    <cellStyle name="Input 3 4 5 5 14" xfId="30692"/>
    <cellStyle name="Input 3 4 5 5 15" xfId="31683"/>
    <cellStyle name="Input 3 4 5 5 16" xfId="32691"/>
    <cellStyle name="Input 3 4 5 5 17" xfId="33694"/>
    <cellStyle name="Input 3 4 5 5 18" xfId="34693"/>
    <cellStyle name="Input 3 4 5 5 19" xfId="36314"/>
    <cellStyle name="Input 3 4 5 5 2" xfId="16718"/>
    <cellStyle name="Input 3 4 5 5 20" xfId="37253"/>
    <cellStyle name="Input 3 4 5 5 3" xfId="17697"/>
    <cellStyle name="Input 3 4 5 5 4" xfId="18724"/>
    <cellStyle name="Input 3 4 5 5 5" xfId="19756"/>
    <cellStyle name="Input 3 4 5 5 6" xfId="20778"/>
    <cellStyle name="Input 3 4 5 5 7" xfId="21789"/>
    <cellStyle name="Input 3 4 5 5 8" xfId="22760"/>
    <cellStyle name="Input 3 4 5 5 9" xfId="23765"/>
    <cellStyle name="Input 3 4 5 6" xfId="13556"/>
    <cellStyle name="Input 3 4 5 7" xfId="15174"/>
    <cellStyle name="Input 3 4 5 8" xfId="18911"/>
    <cellStyle name="Input 3 4 5 9" xfId="15038"/>
    <cellStyle name="Input 3 4 6" xfId="4937"/>
    <cellStyle name="Input 3 4 6 10" xfId="23766"/>
    <cellStyle name="Input 3 4 6 11" xfId="24738"/>
    <cellStyle name="Input 3 4 6 12" xfId="25737"/>
    <cellStyle name="Input 3 4 6 13" xfId="28684"/>
    <cellStyle name="Input 3 4 6 14" xfId="29651"/>
    <cellStyle name="Input 3 4 6 15" xfId="30693"/>
    <cellStyle name="Input 3 4 6 16" xfId="31684"/>
    <cellStyle name="Input 3 4 6 17" xfId="32692"/>
    <cellStyle name="Input 3 4 6 18" xfId="33695"/>
    <cellStyle name="Input 3 4 6 19" xfId="34694"/>
    <cellStyle name="Input 3 4 6 2" xfId="4938"/>
    <cellStyle name="Input 3 4 6 2 10" xfId="24739"/>
    <cellStyle name="Input 3 4 6 2 11" xfId="25738"/>
    <cellStyle name="Input 3 4 6 2 12" xfId="28685"/>
    <cellStyle name="Input 3 4 6 2 13" xfId="29652"/>
    <cellStyle name="Input 3 4 6 2 14" xfId="30694"/>
    <cellStyle name="Input 3 4 6 2 15" xfId="31685"/>
    <cellStyle name="Input 3 4 6 2 16" xfId="32693"/>
    <cellStyle name="Input 3 4 6 2 17" xfId="33696"/>
    <cellStyle name="Input 3 4 6 2 18" xfId="34695"/>
    <cellStyle name="Input 3 4 6 2 19" xfId="36316"/>
    <cellStyle name="Input 3 4 6 2 2" xfId="16720"/>
    <cellStyle name="Input 3 4 6 2 20" xfId="37255"/>
    <cellStyle name="Input 3 4 6 2 3" xfId="17699"/>
    <cellStyle name="Input 3 4 6 2 4" xfId="18726"/>
    <cellStyle name="Input 3 4 6 2 5" xfId="19758"/>
    <cellStyle name="Input 3 4 6 2 6" xfId="20780"/>
    <cellStyle name="Input 3 4 6 2 7" xfId="21791"/>
    <cellStyle name="Input 3 4 6 2 8" xfId="22762"/>
    <cellStyle name="Input 3 4 6 2 9" xfId="23767"/>
    <cellStyle name="Input 3 4 6 20" xfId="36315"/>
    <cellStyle name="Input 3 4 6 21" xfId="37254"/>
    <cellStyle name="Input 3 4 6 3" xfId="16719"/>
    <cellStyle name="Input 3 4 6 4" xfId="17698"/>
    <cellStyle name="Input 3 4 6 5" xfId="18725"/>
    <cellStyle name="Input 3 4 6 6" xfId="19757"/>
    <cellStyle name="Input 3 4 6 7" xfId="20779"/>
    <cellStyle name="Input 3 4 6 8" xfId="21790"/>
    <cellStyle name="Input 3 4 6 9" xfId="22761"/>
    <cellStyle name="Input 3 4 7" xfId="4939"/>
    <cellStyle name="Input 3 4 7 10" xfId="23768"/>
    <cellStyle name="Input 3 4 7 11" xfId="24740"/>
    <cellStyle name="Input 3 4 7 12" xfId="25739"/>
    <cellStyle name="Input 3 4 7 13" xfId="28686"/>
    <cellStyle name="Input 3 4 7 14" xfId="29653"/>
    <cellStyle name="Input 3 4 7 15" xfId="30695"/>
    <cellStyle name="Input 3 4 7 16" xfId="31686"/>
    <cellStyle name="Input 3 4 7 17" xfId="32694"/>
    <cellStyle name="Input 3 4 7 18" xfId="33697"/>
    <cellStyle name="Input 3 4 7 19" xfId="34696"/>
    <cellStyle name="Input 3 4 7 2" xfId="4940"/>
    <cellStyle name="Input 3 4 7 2 10" xfId="24741"/>
    <cellStyle name="Input 3 4 7 2 11" xfId="25740"/>
    <cellStyle name="Input 3 4 7 2 12" xfId="28687"/>
    <cellStyle name="Input 3 4 7 2 13" xfId="29654"/>
    <cellStyle name="Input 3 4 7 2 14" xfId="30696"/>
    <cellStyle name="Input 3 4 7 2 15" xfId="31687"/>
    <cellStyle name="Input 3 4 7 2 16" xfId="32695"/>
    <cellStyle name="Input 3 4 7 2 17" xfId="33698"/>
    <cellStyle name="Input 3 4 7 2 18" xfId="34697"/>
    <cellStyle name="Input 3 4 7 2 19" xfId="36318"/>
    <cellStyle name="Input 3 4 7 2 2" xfId="16722"/>
    <cellStyle name="Input 3 4 7 2 20" xfId="37257"/>
    <cellStyle name="Input 3 4 7 2 3" xfId="17701"/>
    <cellStyle name="Input 3 4 7 2 4" xfId="18728"/>
    <cellStyle name="Input 3 4 7 2 5" xfId="19760"/>
    <cellStyle name="Input 3 4 7 2 6" xfId="20782"/>
    <cellStyle name="Input 3 4 7 2 7" xfId="21793"/>
    <cellStyle name="Input 3 4 7 2 8" xfId="22764"/>
    <cellStyle name="Input 3 4 7 2 9" xfId="23769"/>
    <cellStyle name="Input 3 4 7 20" xfId="36317"/>
    <cellStyle name="Input 3 4 7 21" xfId="37256"/>
    <cellStyle name="Input 3 4 7 3" xfId="16721"/>
    <cellStyle name="Input 3 4 7 4" xfId="17700"/>
    <cellStyle name="Input 3 4 7 5" xfId="18727"/>
    <cellStyle name="Input 3 4 7 6" xfId="19759"/>
    <cellStyle name="Input 3 4 7 7" xfId="20781"/>
    <cellStyle name="Input 3 4 7 8" xfId="21792"/>
    <cellStyle name="Input 3 4 7 9" xfId="22763"/>
    <cellStyle name="Input 3 4 8" xfId="4941"/>
    <cellStyle name="Input 3 4 8 10" xfId="23770"/>
    <cellStyle name="Input 3 4 8 11" xfId="24742"/>
    <cellStyle name="Input 3 4 8 12" xfId="25741"/>
    <cellStyle name="Input 3 4 8 13" xfId="28688"/>
    <cellStyle name="Input 3 4 8 14" xfId="29655"/>
    <cellStyle name="Input 3 4 8 15" xfId="30697"/>
    <cellStyle name="Input 3 4 8 16" xfId="31688"/>
    <cellStyle name="Input 3 4 8 17" xfId="32696"/>
    <cellStyle name="Input 3 4 8 18" xfId="33699"/>
    <cellStyle name="Input 3 4 8 19" xfId="34698"/>
    <cellStyle name="Input 3 4 8 2" xfId="4942"/>
    <cellStyle name="Input 3 4 8 2 10" xfId="24743"/>
    <cellStyle name="Input 3 4 8 2 11" xfId="25742"/>
    <cellStyle name="Input 3 4 8 2 12" xfId="28689"/>
    <cellStyle name="Input 3 4 8 2 13" xfId="29656"/>
    <cellStyle name="Input 3 4 8 2 14" xfId="30698"/>
    <cellStyle name="Input 3 4 8 2 15" xfId="31689"/>
    <cellStyle name="Input 3 4 8 2 16" xfId="32697"/>
    <cellStyle name="Input 3 4 8 2 17" xfId="33700"/>
    <cellStyle name="Input 3 4 8 2 18" xfId="34699"/>
    <cellStyle name="Input 3 4 8 2 19" xfId="36320"/>
    <cellStyle name="Input 3 4 8 2 2" xfId="16724"/>
    <cellStyle name="Input 3 4 8 2 20" xfId="37259"/>
    <cellStyle name="Input 3 4 8 2 3" xfId="17703"/>
    <cellStyle name="Input 3 4 8 2 4" xfId="18730"/>
    <cellStyle name="Input 3 4 8 2 5" xfId="19762"/>
    <cellStyle name="Input 3 4 8 2 6" xfId="20784"/>
    <cellStyle name="Input 3 4 8 2 7" xfId="21795"/>
    <cellStyle name="Input 3 4 8 2 8" xfId="22766"/>
    <cellStyle name="Input 3 4 8 2 9" xfId="23771"/>
    <cellStyle name="Input 3 4 8 20" xfId="36319"/>
    <cellStyle name="Input 3 4 8 21" xfId="37258"/>
    <cellStyle name="Input 3 4 8 3" xfId="16723"/>
    <cellStyle name="Input 3 4 8 4" xfId="17702"/>
    <cellStyle name="Input 3 4 8 5" xfId="18729"/>
    <cellStyle name="Input 3 4 8 6" xfId="19761"/>
    <cellStyle name="Input 3 4 8 7" xfId="20783"/>
    <cellStyle name="Input 3 4 8 8" xfId="21794"/>
    <cellStyle name="Input 3 4 8 9" xfId="22765"/>
    <cellStyle name="Input 3 4 9" xfId="4943"/>
    <cellStyle name="Input 3 4 9 10" xfId="24744"/>
    <cellStyle name="Input 3 4 9 11" xfId="25743"/>
    <cellStyle name="Input 3 4 9 12" xfId="28690"/>
    <cellStyle name="Input 3 4 9 13" xfId="29657"/>
    <cellStyle name="Input 3 4 9 14" xfId="30699"/>
    <cellStyle name="Input 3 4 9 15" xfId="31690"/>
    <cellStyle name="Input 3 4 9 16" xfId="32698"/>
    <cellStyle name="Input 3 4 9 17" xfId="33701"/>
    <cellStyle name="Input 3 4 9 18" xfId="34700"/>
    <cellStyle name="Input 3 4 9 19" xfId="36321"/>
    <cellStyle name="Input 3 4 9 2" xfId="16725"/>
    <cellStyle name="Input 3 4 9 20" xfId="37260"/>
    <cellStyle name="Input 3 4 9 3" xfId="17704"/>
    <cellStyle name="Input 3 4 9 4" xfId="18731"/>
    <cellStyle name="Input 3 4 9 5" xfId="19763"/>
    <cellStyle name="Input 3 4 9 6" xfId="20785"/>
    <cellStyle name="Input 3 4 9 7" xfId="21796"/>
    <cellStyle name="Input 3 4 9 8" xfId="22767"/>
    <cellStyle name="Input 3 4 9 9" xfId="23772"/>
    <cellStyle name="Input 3 5" xfId="4944"/>
    <cellStyle name="Input 3 5 10" xfId="23773"/>
    <cellStyle name="Input 3 5 11" xfId="24745"/>
    <cellStyle name="Input 3 5 12" xfId="25744"/>
    <cellStyle name="Input 3 5 13" xfId="28691"/>
    <cellStyle name="Input 3 5 14" xfId="29658"/>
    <cellStyle name="Input 3 5 15" xfId="30700"/>
    <cellStyle name="Input 3 5 16" xfId="31691"/>
    <cellStyle name="Input 3 5 17" xfId="32699"/>
    <cellStyle name="Input 3 5 18" xfId="33702"/>
    <cellStyle name="Input 3 5 19" xfId="34701"/>
    <cellStyle name="Input 3 5 2" xfId="4945"/>
    <cellStyle name="Input 3 5 2 10" xfId="24746"/>
    <cellStyle name="Input 3 5 2 11" xfId="25745"/>
    <cellStyle name="Input 3 5 2 12" xfId="28692"/>
    <cellStyle name="Input 3 5 2 13" xfId="29659"/>
    <cellStyle name="Input 3 5 2 14" xfId="30701"/>
    <cellStyle name="Input 3 5 2 15" xfId="31692"/>
    <cellStyle name="Input 3 5 2 16" xfId="32700"/>
    <cellStyle name="Input 3 5 2 17" xfId="33703"/>
    <cellStyle name="Input 3 5 2 18" xfId="34702"/>
    <cellStyle name="Input 3 5 2 19" xfId="36323"/>
    <cellStyle name="Input 3 5 2 2" xfId="16727"/>
    <cellStyle name="Input 3 5 2 20" xfId="37262"/>
    <cellStyle name="Input 3 5 2 3" xfId="17706"/>
    <cellStyle name="Input 3 5 2 4" xfId="18733"/>
    <cellStyle name="Input 3 5 2 5" xfId="19765"/>
    <cellStyle name="Input 3 5 2 6" xfId="20787"/>
    <cellStyle name="Input 3 5 2 7" xfId="21798"/>
    <cellStyle name="Input 3 5 2 8" xfId="22769"/>
    <cellStyle name="Input 3 5 2 9" xfId="23774"/>
    <cellStyle name="Input 3 5 20" xfId="36322"/>
    <cellStyle name="Input 3 5 21" xfId="37261"/>
    <cellStyle name="Input 3 5 3" xfId="16726"/>
    <cellStyle name="Input 3 5 4" xfId="17705"/>
    <cellStyle name="Input 3 5 5" xfId="18732"/>
    <cellStyle name="Input 3 5 6" xfId="19764"/>
    <cellStyle name="Input 3 5 7" xfId="20786"/>
    <cellStyle name="Input 3 5 8" xfId="21797"/>
    <cellStyle name="Input 3 5 9" xfId="22768"/>
    <cellStyle name="Input 3 6" xfId="4946"/>
    <cellStyle name="Input 3 6 10" xfId="23775"/>
    <cellStyle name="Input 3 6 11" xfId="24747"/>
    <cellStyle name="Input 3 6 12" xfId="25746"/>
    <cellStyle name="Input 3 6 13" xfId="28693"/>
    <cellStyle name="Input 3 6 14" xfId="29660"/>
    <cellStyle name="Input 3 6 15" xfId="30702"/>
    <cellStyle name="Input 3 6 16" xfId="31693"/>
    <cellStyle name="Input 3 6 17" xfId="32701"/>
    <cellStyle name="Input 3 6 18" xfId="33704"/>
    <cellStyle name="Input 3 6 19" xfId="34703"/>
    <cellStyle name="Input 3 6 2" xfId="4947"/>
    <cellStyle name="Input 3 6 2 10" xfId="24748"/>
    <cellStyle name="Input 3 6 2 11" xfId="25747"/>
    <cellStyle name="Input 3 6 2 12" xfId="28694"/>
    <cellStyle name="Input 3 6 2 13" xfId="29661"/>
    <cellStyle name="Input 3 6 2 14" xfId="30703"/>
    <cellStyle name="Input 3 6 2 15" xfId="31694"/>
    <cellStyle name="Input 3 6 2 16" xfId="32702"/>
    <cellStyle name="Input 3 6 2 17" xfId="33705"/>
    <cellStyle name="Input 3 6 2 18" xfId="34704"/>
    <cellStyle name="Input 3 6 2 19" xfId="36325"/>
    <cellStyle name="Input 3 6 2 2" xfId="16729"/>
    <cellStyle name="Input 3 6 2 20" xfId="37264"/>
    <cellStyle name="Input 3 6 2 3" xfId="17708"/>
    <cellStyle name="Input 3 6 2 4" xfId="18735"/>
    <cellStyle name="Input 3 6 2 5" xfId="19767"/>
    <cellStyle name="Input 3 6 2 6" xfId="20789"/>
    <cellStyle name="Input 3 6 2 7" xfId="21800"/>
    <cellStyle name="Input 3 6 2 8" xfId="22771"/>
    <cellStyle name="Input 3 6 2 9" xfId="23776"/>
    <cellStyle name="Input 3 6 20" xfId="36324"/>
    <cellStyle name="Input 3 6 21" xfId="37263"/>
    <cellStyle name="Input 3 6 3" xfId="16728"/>
    <cellStyle name="Input 3 6 4" xfId="17707"/>
    <cellStyle name="Input 3 6 5" xfId="18734"/>
    <cellStyle name="Input 3 6 6" xfId="19766"/>
    <cellStyle name="Input 3 6 7" xfId="20788"/>
    <cellStyle name="Input 3 6 8" xfId="21799"/>
    <cellStyle name="Input 3 6 9" xfId="22770"/>
    <cellStyle name="Input 3 7" xfId="4948"/>
    <cellStyle name="Input 3 7 10" xfId="23777"/>
    <cellStyle name="Input 3 7 11" xfId="24749"/>
    <cellStyle name="Input 3 7 12" xfId="25748"/>
    <cellStyle name="Input 3 7 13" xfId="28695"/>
    <cellStyle name="Input 3 7 14" xfId="29662"/>
    <cellStyle name="Input 3 7 15" xfId="30704"/>
    <cellStyle name="Input 3 7 16" xfId="31695"/>
    <cellStyle name="Input 3 7 17" xfId="32703"/>
    <cellStyle name="Input 3 7 18" xfId="33706"/>
    <cellStyle name="Input 3 7 19" xfId="34705"/>
    <cellStyle name="Input 3 7 2" xfId="4949"/>
    <cellStyle name="Input 3 7 2 10" xfId="24750"/>
    <cellStyle name="Input 3 7 2 11" xfId="25749"/>
    <cellStyle name="Input 3 7 2 12" xfId="28696"/>
    <cellStyle name="Input 3 7 2 13" xfId="29663"/>
    <cellStyle name="Input 3 7 2 14" xfId="30705"/>
    <cellStyle name="Input 3 7 2 15" xfId="31696"/>
    <cellStyle name="Input 3 7 2 16" xfId="32704"/>
    <cellStyle name="Input 3 7 2 17" xfId="33707"/>
    <cellStyle name="Input 3 7 2 18" xfId="34706"/>
    <cellStyle name="Input 3 7 2 19" xfId="36327"/>
    <cellStyle name="Input 3 7 2 2" xfId="16731"/>
    <cellStyle name="Input 3 7 2 20" xfId="37266"/>
    <cellStyle name="Input 3 7 2 3" xfId="17710"/>
    <cellStyle name="Input 3 7 2 4" xfId="18737"/>
    <cellStyle name="Input 3 7 2 5" xfId="19769"/>
    <cellStyle name="Input 3 7 2 6" xfId="20791"/>
    <cellStyle name="Input 3 7 2 7" xfId="21802"/>
    <cellStyle name="Input 3 7 2 8" xfId="22773"/>
    <cellStyle name="Input 3 7 2 9" xfId="23778"/>
    <cellStyle name="Input 3 7 20" xfId="36326"/>
    <cellStyle name="Input 3 7 21" xfId="37265"/>
    <cellStyle name="Input 3 7 3" xfId="16730"/>
    <cellStyle name="Input 3 7 4" xfId="17709"/>
    <cellStyle name="Input 3 7 5" xfId="18736"/>
    <cellStyle name="Input 3 7 6" xfId="19768"/>
    <cellStyle name="Input 3 7 7" xfId="20790"/>
    <cellStyle name="Input 3 7 8" xfId="21801"/>
    <cellStyle name="Input 3 7 9" xfId="22772"/>
    <cellStyle name="Input 3 8" xfId="4950"/>
    <cellStyle name="Input 3 8 10" xfId="24751"/>
    <cellStyle name="Input 3 8 11" xfId="25750"/>
    <cellStyle name="Input 3 8 12" xfId="28697"/>
    <cellStyle name="Input 3 8 13" xfId="29664"/>
    <cellStyle name="Input 3 8 14" xfId="30706"/>
    <cellStyle name="Input 3 8 15" xfId="31697"/>
    <cellStyle name="Input 3 8 16" xfId="32705"/>
    <cellStyle name="Input 3 8 17" xfId="33708"/>
    <cellStyle name="Input 3 8 18" xfId="34707"/>
    <cellStyle name="Input 3 8 19" xfId="36328"/>
    <cellStyle name="Input 3 8 2" xfId="16732"/>
    <cellStyle name="Input 3 8 20" xfId="37267"/>
    <cellStyle name="Input 3 8 3" xfId="17711"/>
    <cellStyle name="Input 3 8 4" xfId="18738"/>
    <cellStyle name="Input 3 8 5" xfId="19770"/>
    <cellStyle name="Input 3 8 6" xfId="20792"/>
    <cellStyle name="Input 3 8 7" xfId="21803"/>
    <cellStyle name="Input 3 8 8" xfId="22774"/>
    <cellStyle name="Input 3 8 9" xfId="23779"/>
    <cellStyle name="Input 3 9" xfId="4951"/>
    <cellStyle name="Input 3 9 10" xfId="24859"/>
    <cellStyle name="Input 3 9 11" xfId="25858"/>
    <cellStyle name="Input 3 9 12" xfId="28764"/>
    <cellStyle name="Input 3 9 13" xfId="29781"/>
    <cellStyle name="Input 3 9 14" xfId="30814"/>
    <cellStyle name="Input 3 9 15" xfId="31809"/>
    <cellStyle name="Input 3 9 16" xfId="32813"/>
    <cellStyle name="Input 3 9 17" xfId="33816"/>
    <cellStyle name="Input 3 9 18" xfId="34815"/>
    <cellStyle name="Input 3 9 19" xfId="36376"/>
    <cellStyle name="Input 3 9 2" xfId="16848"/>
    <cellStyle name="Input 3 9 20" xfId="37375"/>
    <cellStyle name="Input 3 9 3" xfId="17828"/>
    <cellStyle name="Input 3 9 4" xfId="18853"/>
    <cellStyle name="Input 3 9 5" xfId="19887"/>
    <cellStyle name="Input 3 9 6" xfId="20912"/>
    <cellStyle name="Input 3 9 7" xfId="21872"/>
    <cellStyle name="Input 3 9 8" xfId="22884"/>
    <cellStyle name="Input 3 9 9" xfId="23887"/>
    <cellStyle name="Input 4" xfId="4952"/>
    <cellStyle name="input(0)" xfId="144"/>
    <cellStyle name="Input(2)" xfId="145"/>
    <cellStyle name="Labels" xfId="4953"/>
    <cellStyle name="Labels - Style3" xfId="4954"/>
    <cellStyle name="Labels - Style3 10" xfId="4955"/>
    <cellStyle name="Labels - Style3 10 10" xfId="24752"/>
    <cellStyle name="Labels - Style3 10 11" xfId="25751"/>
    <cellStyle name="Labels - Style3 10 12" xfId="28698"/>
    <cellStyle name="Labels - Style3 10 13" xfId="29665"/>
    <cellStyle name="Labels - Style3 10 14" xfId="30707"/>
    <cellStyle name="Labels - Style3 10 15" xfId="31698"/>
    <cellStyle name="Labels - Style3 10 16" xfId="32706"/>
    <cellStyle name="Labels - Style3 10 17" xfId="33709"/>
    <cellStyle name="Labels - Style3 10 18" xfId="34708"/>
    <cellStyle name="Labels - Style3 10 19" xfId="36329"/>
    <cellStyle name="Labels - Style3 10 2" xfId="16733"/>
    <cellStyle name="Labels - Style3 10 20" xfId="37268"/>
    <cellStyle name="Labels - Style3 10 3" xfId="17712"/>
    <cellStyle name="Labels - Style3 10 4" xfId="18739"/>
    <cellStyle name="Labels - Style3 10 5" xfId="19771"/>
    <cellStyle name="Labels - Style3 10 6" xfId="20793"/>
    <cellStyle name="Labels - Style3 10 7" xfId="21804"/>
    <cellStyle name="Labels - Style3 10 8" xfId="22775"/>
    <cellStyle name="Labels - Style3 10 9" xfId="23780"/>
    <cellStyle name="Labels - Style3 11" xfId="15799"/>
    <cellStyle name="Labels - Style3 12" xfId="13827"/>
    <cellStyle name="Labels - Style3 13" xfId="14597"/>
    <cellStyle name="Labels - Style3 14" xfId="14145"/>
    <cellStyle name="Labels - Style3 15" xfId="26249"/>
    <cellStyle name="Labels - Style3 16" xfId="27749"/>
    <cellStyle name="Labels - Style3 17" xfId="31805"/>
    <cellStyle name="Labels - Style3 18" xfId="37486"/>
    <cellStyle name="Labels - Style3 2" xfId="4956"/>
    <cellStyle name="Labels - Style3 2 10" xfId="15604"/>
    <cellStyle name="Labels - Style3 2 11" xfId="27469"/>
    <cellStyle name="Labels - Style3 2 12" xfId="25935"/>
    <cellStyle name="Labels - Style3 2 13" xfId="29817"/>
    <cellStyle name="Labels - Style3 2 2" xfId="4957"/>
    <cellStyle name="Labels - Style3 2 2 10" xfId="23781"/>
    <cellStyle name="Labels - Style3 2 2 11" xfId="24753"/>
    <cellStyle name="Labels - Style3 2 2 12" xfId="25752"/>
    <cellStyle name="Labels - Style3 2 2 13" xfId="28699"/>
    <cellStyle name="Labels - Style3 2 2 14" xfId="29666"/>
    <cellStyle name="Labels - Style3 2 2 15" xfId="30708"/>
    <cellStyle name="Labels - Style3 2 2 16" xfId="31699"/>
    <cellStyle name="Labels - Style3 2 2 17" xfId="32707"/>
    <cellStyle name="Labels - Style3 2 2 18" xfId="33710"/>
    <cellStyle name="Labels - Style3 2 2 19" xfId="34709"/>
    <cellStyle name="Labels - Style3 2 2 2" xfId="4958"/>
    <cellStyle name="Labels - Style3 2 2 2 10" xfId="24754"/>
    <cellStyle name="Labels - Style3 2 2 2 11" xfId="25753"/>
    <cellStyle name="Labels - Style3 2 2 2 12" xfId="28700"/>
    <cellStyle name="Labels - Style3 2 2 2 13" xfId="29667"/>
    <cellStyle name="Labels - Style3 2 2 2 14" xfId="30709"/>
    <cellStyle name="Labels - Style3 2 2 2 15" xfId="31700"/>
    <cellStyle name="Labels - Style3 2 2 2 16" xfId="32708"/>
    <cellStyle name="Labels - Style3 2 2 2 17" xfId="33711"/>
    <cellStyle name="Labels - Style3 2 2 2 18" xfId="34710"/>
    <cellStyle name="Labels - Style3 2 2 2 19" xfId="36331"/>
    <cellStyle name="Labels - Style3 2 2 2 2" xfId="16735"/>
    <cellStyle name="Labels - Style3 2 2 2 20" xfId="37270"/>
    <cellStyle name="Labels - Style3 2 2 2 3" xfId="17714"/>
    <cellStyle name="Labels - Style3 2 2 2 4" xfId="18741"/>
    <cellStyle name="Labels - Style3 2 2 2 5" xfId="19773"/>
    <cellStyle name="Labels - Style3 2 2 2 6" xfId="20795"/>
    <cellStyle name="Labels - Style3 2 2 2 7" xfId="21806"/>
    <cellStyle name="Labels - Style3 2 2 2 8" xfId="22777"/>
    <cellStyle name="Labels - Style3 2 2 2 9" xfId="23782"/>
    <cellStyle name="Labels - Style3 2 2 20" xfId="36330"/>
    <cellStyle name="Labels - Style3 2 2 21" xfId="37269"/>
    <cellStyle name="Labels - Style3 2 2 3" xfId="16734"/>
    <cellStyle name="Labels - Style3 2 2 4" xfId="17713"/>
    <cellStyle name="Labels - Style3 2 2 5" xfId="18740"/>
    <cellStyle name="Labels - Style3 2 2 6" xfId="19772"/>
    <cellStyle name="Labels - Style3 2 2 7" xfId="20794"/>
    <cellStyle name="Labels - Style3 2 2 8" xfId="21805"/>
    <cellStyle name="Labels - Style3 2 2 9" xfId="22776"/>
    <cellStyle name="Labels - Style3 2 3" xfId="4959"/>
    <cellStyle name="Labels - Style3 2 3 10" xfId="23783"/>
    <cellStyle name="Labels - Style3 2 3 11" xfId="24755"/>
    <cellStyle name="Labels - Style3 2 3 12" xfId="25754"/>
    <cellStyle name="Labels - Style3 2 3 13" xfId="28701"/>
    <cellStyle name="Labels - Style3 2 3 14" xfId="29668"/>
    <cellStyle name="Labels - Style3 2 3 15" xfId="30710"/>
    <cellStyle name="Labels - Style3 2 3 16" xfId="31701"/>
    <cellStyle name="Labels - Style3 2 3 17" xfId="32709"/>
    <cellStyle name="Labels - Style3 2 3 18" xfId="33712"/>
    <cellStyle name="Labels - Style3 2 3 19" xfId="34711"/>
    <cellStyle name="Labels - Style3 2 3 2" xfId="4960"/>
    <cellStyle name="Labels - Style3 2 3 2 10" xfId="24756"/>
    <cellStyle name="Labels - Style3 2 3 2 11" xfId="25755"/>
    <cellStyle name="Labels - Style3 2 3 2 12" xfId="28702"/>
    <cellStyle name="Labels - Style3 2 3 2 13" xfId="29669"/>
    <cellStyle name="Labels - Style3 2 3 2 14" xfId="30711"/>
    <cellStyle name="Labels - Style3 2 3 2 15" xfId="31702"/>
    <cellStyle name="Labels - Style3 2 3 2 16" xfId="32710"/>
    <cellStyle name="Labels - Style3 2 3 2 17" xfId="33713"/>
    <cellStyle name="Labels - Style3 2 3 2 18" xfId="34712"/>
    <cellStyle name="Labels - Style3 2 3 2 19" xfId="36333"/>
    <cellStyle name="Labels - Style3 2 3 2 2" xfId="16737"/>
    <cellStyle name="Labels - Style3 2 3 2 20" xfId="37272"/>
    <cellStyle name="Labels - Style3 2 3 2 3" xfId="17716"/>
    <cellStyle name="Labels - Style3 2 3 2 4" xfId="18743"/>
    <cellStyle name="Labels - Style3 2 3 2 5" xfId="19775"/>
    <cellStyle name="Labels - Style3 2 3 2 6" xfId="20797"/>
    <cellStyle name="Labels - Style3 2 3 2 7" xfId="21808"/>
    <cellStyle name="Labels - Style3 2 3 2 8" xfId="22779"/>
    <cellStyle name="Labels - Style3 2 3 2 9" xfId="23784"/>
    <cellStyle name="Labels - Style3 2 3 20" xfId="36332"/>
    <cellStyle name="Labels - Style3 2 3 21" xfId="37271"/>
    <cellStyle name="Labels - Style3 2 3 3" xfId="16736"/>
    <cellStyle name="Labels - Style3 2 3 4" xfId="17715"/>
    <cellStyle name="Labels - Style3 2 3 5" xfId="18742"/>
    <cellStyle name="Labels - Style3 2 3 6" xfId="19774"/>
    <cellStyle name="Labels - Style3 2 3 7" xfId="20796"/>
    <cellStyle name="Labels - Style3 2 3 8" xfId="21807"/>
    <cellStyle name="Labels - Style3 2 3 9" xfId="22778"/>
    <cellStyle name="Labels - Style3 2 4" xfId="4961"/>
    <cellStyle name="Labels - Style3 2 4 10" xfId="23785"/>
    <cellStyle name="Labels - Style3 2 4 11" xfId="24757"/>
    <cellStyle name="Labels - Style3 2 4 12" xfId="25756"/>
    <cellStyle name="Labels - Style3 2 4 13" xfId="28703"/>
    <cellStyle name="Labels - Style3 2 4 14" xfId="29670"/>
    <cellStyle name="Labels - Style3 2 4 15" xfId="30712"/>
    <cellStyle name="Labels - Style3 2 4 16" xfId="31703"/>
    <cellStyle name="Labels - Style3 2 4 17" xfId="32711"/>
    <cellStyle name="Labels - Style3 2 4 18" xfId="33714"/>
    <cellStyle name="Labels - Style3 2 4 19" xfId="34713"/>
    <cellStyle name="Labels - Style3 2 4 2" xfId="4962"/>
    <cellStyle name="Labels - Style3 2 4 2 10" xfId="24758"/>
    <cellStyle name="Labels - Style3 2 4 2 11" xfId="25757"/>
    <cellStyle name="Labels - Style3 2 4 2 12" xfId="28704"/>
    <cellStyle name="Labels - Style3 2 4 2 13" xfId="29671"/>
    <cellStyle name="Labels - Style3 2 4 2 14" xfId="30713"/>
    <cellStyle name="Labels - Style3 2 4 2 15" xfId="31704"/>
    <cellStyle name="Labels - Style3 2 4 2 16" xfId="32712"/>
    <cellStyle name="Labels - Style3 2 4 2 17" xfId="33715"/>
    <cellStyle name="Labels - Style3 2 4 2 18" xfId="34714"/>
    <cellStyle name="Labels - Style3 2 4 2 19" xfId="36335"/>
    <cellStyle name="Labels - Style3 2 4 2 2" xfId="16739"/>
    <cellStyle name="Labels - Style3 2 4 2 20" xfId="37274"/>
    <cellStyle name="Labels - Style3 2 4 2 3" xfId="17718"/>
    <cellStyle name="Labels - Style3 2 4 2 4" xfId="18745"/>
    <cellStyle name="Labels - Style3 2 4 2 5" xfId="19777"/>
    <cellStyle name="Labels - Style3 2 4 2 6" xfId="20799"/>
    <cellStyle name="Labels - Style3 2 4 2 7" xfId="21810"/>
    <cellStyle name="Labels - Style3 2 4 2 8" xfId="22781"/>
    <cellStyle name="Labels - Style3 2 4 2 9" xfId="23786"/>
    <cellStyle name="Labels - Style3 2 4 20" xfId="36334"/>
    <cellStyle name="Labels - Style3 2 4 21" xfId="37273"/>
    <cellStyle name="Labels - Style3 2 4 3" xfId="16738"/>
    <cellStyle name="Labels - Style3 2 4 4" xfId="17717"/>
    <cellStyle name="Labels - Style3 2 4 5" xfId="18744"/>
    <cellStyle name="Labels - Style3 2 4 6" xfId="19776"/>
    <cellStyle name="Labels - Style3 2 4 7" xfId="20798"/>
    <cellStyle name="Labels - Style3 2 4 8" xfId="21809"/>
    <cellStyle name="Labels - Style3 2 4 9" xfId="22780"/>
    <cellStyle name="Labels - Style3 2 5" xfId="4963"/>
    <cellStyle name="Labels - Style3 2 5 10" xfId="23787"/>
    <cellStyle name="Labels - Style3 2 5 11" xfId="24759"/>
    <cellStyle name="Labels - Style3 2 5 12" xfId="25758"/>
    <cellStyle name="Labels - Style3 2 5 13" xfId="28705"/>
    <cellStyle name="Labels - Style3 2 5 14" xfId="29672"/>
    <cellStyle name="Labels - Style3 2 5 15" xfId="30714"/>
    <cellStyle name="Labels - Style3 2 5 16" xfId="31705"/>
    <cellStyle name="Labels - Style3 2 5 17" xfId="32713"/>
    <cellStyle name="Labels - Style3 2 5 18" xfId="33716"/>
    <cellStyle name="Labels - Style3 2 5 19" xfId="34715"/>
    <cellStyle name="Labels - Style3 2 5 2" xfId="4964"/>
    <cellStyle name="Labels - Style3 2 5 2 10" xfId="24760"/>
    <cellStyle name="Labels - Style3 2 5 2 11" xfId="25759"/>
    <cellStyle name="Labels - Style3 2 5 2 12" xfId="28706"/>
    <cellStyle name="Labels - Style3 2 5 2 13" xfId="29673"/>
    <cellStyle name="Labels - Style3 2 5 2 14" xfId="30715"/>
    <cellStyle name="Labels - Style3 2 5 2 15" xfId="31706"/>
    <cellStyle name="Labels - Style3 2 5 2 16" xfId="32714"/>
    <cellStyle name="Labels - Style3 2 5 2 17" xfId="33717"/>
    <cellStyle name="Labels - Style3 2 5 2 18" xfId="34716"/>
    <cellStyle name="Labels - Style3 2 5 2 19" xfId="36337"/>
    <cellStyle name="Labels - Style3 2 5 2 2" xfId="16741"/>
    <cellStyle name="Labels - Style3 2 5 2 20" xfId="37276"/>
    <cellStyle name="Labels - Style3 2 5 2 3" xfId="17720"/>
    <cellStyle name="Labels - Style3 2 5 2 4" xfId="18747"/>
    <cellStyle name="Labels - Style3 2 5 2 5" xfId="19779"/>
    <cellStyle name="Labels - Style3 2 5 2 6" xfId="20801"/>
    <cellStyle name="Labels - Style3 2 5 2 7" xfId="21812"/>
    <cellStyle name="Labels - Style3 2 5 2 8" xfId="22783"/>
    <cellStyle name="Labels - Style3 2 5 2 9" xfId="23788"/>
    <cellStyle name="Labels - Style3 2 5 20" xfId="36336"/>
    <cellStyle name="Labels - Style3 2 5 21" xfId="37275"/>
    <cellStyle name="Labels - Style3 2 5 3" xfId="16740"/>
    <cellStyle name="Labels - Style3 2 5 4" xfId="17719"/>
    <cellStyle name="Labels - Style3 2 5 5" xfId="18746"/>
    <cellStyle name="Labels - Style3 2 5 6" xfId="19778"/>
    <cellStyle name="Labels - Style3 2 5 7" xfId="20800"/>
    <cellStyle name="Labels - Style3 2 5 8" xfId="21811"/>
    <cellStyle name="Labels - Style3 2 5 9" xfId="22782"/>
    <cellStyle name="Labels - Style3 2 6" xfId="4965"/>
    <cellStyle name="Labels - Style3 2 6 10" xfId="24761"/>
    <cellStyle name="Labels - Style3 2 6 11" xfId="25760"/>
    <cellStyle name="Labels - Style3 2 6 12" xfId="28707"/>
    <cellStyle name="Labels - Style3 2 6 13" xfId="29674"/>
    <cellStyle name="Labels - Style3 2 6 14" xfId="30716"/>
    <cellStyle name="Labels - Style3 2 6 15" xfId="31707"/>
    <cellStyle name="Labels - Style3 2 6 16" xfId="32715"/>
    <cellStyle name="Labels - Style3 2 6 17" xfId="33718"/>
    <cellStyle name="Labels - Style3 2 6 18" xfId="34717"/>
    <cellStyle name="Labels - Style3 2 6 19" xfId="36338"/>
    <cellStyle name="Labels - Style3 2 6 2" xfId="16742"/>
    <cellStyle name="Labels - Style3 2 6 20" xfId="37277"/>
    <cellStyle name="Labels - Style3 2 6 3" xfId="17721"/>
    <cellStyle name="Labels - Style3 2 6 4" xfId="18748"/>
    <cellStyle name="Labels - Style3 2 6 5" xfId="19780"/>
    <cellStyle name="Labels - Style3 2 6 6" xfId="20802"/>
    <cellStyle name="Labels - Style3 2 6 7" xfId="21813"/>
    <cellStyle name="Labels - Style3 2 6 8" xfId="22784"/>
    <cellStyle name="Labels - Style3 2 6 9" xfId="23789"/>
    <cellStyle name="Labels - Style3 2 7" xfId="14038"/>
    <cellStyle name="Labels - Style3 2 8" xfId="15547"/>
    <cellStyle name="Labels - Style3 2 9" xfId="15358"/>
    <cellStyle name="Labels - Style3 3" xfId="4966"/>
    <cellStyle name="Labels - Style3 3 10" xfId="14290"/>
    <cellStyle name="Labels - Style3 3 11" xfId="27276"/>
    <cellStyle name="Labels - Style3 3 12" xfId="26964"/>
    <cellStyle name="Labels - Style3 3 13" xfId="26592"/>
    <cellStyle name="Labels - Style3 3 2" xfId="4967"/>
    <cellStyle name="Labels - Style3 3 2 10" xfId="23790"/>
    <cellStyle name="Labels - Style3 3 2 11" xfId="24762"/>
    <cellStyle name="Labels - Style3 3 2 12" xfId="25761"/>
    <cellStyle name="Labels - Style3 3 2 13" xfId="28708"/>
    <cellStyle name="Labels - Style3 3 2 14" xfId="29675"/>
    <cellStyle name="Labels - Style3 3 2 15" xfId="30717"/>
    <cellStyle name="Labels - Style3 3 2 16" xfId="31708"/>
    <cellStyle name="Labels - Style3 3 2 17" xfId="32716"/>
    <cellStyle name="Labels - Style3 3 2 18" xfId="33719"/>
    <cellStyle name="Labels - Style3 3 2 19" xfId="34718"/>
    <cellStyle name="Labels - Style3 3 2 2" xfId="4968"/>
    <cellStyle name="Labels - Style3 3 2 2 10" xfId="24763"/>
    <cellStyle name="Labels - Style3 3 2 2 11" xfId="25762"/>
    <cellStyle name="Labels - Style3 3 2 2 12" xfId="28709"/>
    <cellStyle name="Labels - Style3 3 2 2 13" xfId="29676"/>
    <cellStyle name="Labels - Style3 3 2 2 14" xfId="30718"/>
    <cellStyle name="Labels - Style3 3 2 2 15" xfId="31709"/>
    <cellStyle name="Labels - Style3 3 2 2 16" xfId="32717"/>
    <cellStyle name="Labels - Style3 3 2 2 17" xfId="33720"/>
    <cellStyle name="Labels - Style3 3 2 2 18" xfId="34719"/>
    <cellStyle name="Labels - Style3 3 2 2 19" xfId="36340"/>
    <cellStyle name="Labels - Style3 3 2 2 2" xfId="16744"/>
    <cellStyle name="Labels - Style3 3 2 2 20" xfId="37279"/>
    <cellStyle name="Labels - Style3 3 2 2 3" xfId="17723"/>
    <cellStyle name="Labels - Style3 3 2 2 4" xfId="18750"/>
    <cellStyle name="Labels - Style3 3 2 2 5" xfId="19782"/>
    <cellStyle name="Labels - Style3 3 2 2 6" xfId="20804"/>
    <cellStyle name="Labels - Style3 3 2 2 7" xfId="21815"/>
    <cellStyle name="Labels - Style3 3 2 2 8" xfId="22786"/>
    <cellStyle name="Labels - Style3 3 2 2 9" xfId="23791"/>
    <cellStyle name="Labels - Style3 3 2 20" xfId="36339"/>
    <cellStyle name="Labels - Style3 3 2 21" xfId="37278"/>
    <cellStyle name="Labels - Style3 3 2 3" xfId="16743"/>
    <cellStyle name="Labels - Style3 3 2 4" xfId="17722"/>
    <cellStyle name="Labels - Style3 3 2 5" xfId="18749"/>
    <cellStyle name="Labels - Style3 3 2 6" xfId="19781"/>
    <cellStyle name="Labels - Style3 3 2 7" xfId="20803"/>
    <cellStyle name="Labels - Style3 3 2 8" xfId="21814"/>
    <cellStyle name="Labels - Style3 3 2 9" xfId="22785"/>
    <cellStyle name="Labels - Style3 3 3" xfId="4969"/>
    <cellStyle name="Labels - Style3 3 3 10" xfId="23792"/>
    <cellStyle name="Labels - Style3 3 3 11" xfId="24764"/>
    <cellStyle name="Labels - Style3 3 3 12" xfId="25763"/>
    <cellStyle name="Labels - Style3 3 3 13" xfId="28710"/>
    <cellStyle name="Labels - Style3 3 3 14" xfId="29677"/>
    <cellStyle name="Labels - Style3 3 3 15" xfId="30719"/>
    <cellStyle name="Labels - Style3 3 3 16" xfId="31710"/>
    <cellStyle name="Labels - Style3 3 3 17" xfId="32718"/>
    <cellStyle name="Labels - Style3 3 3 18" xfId="33721"/>
    <cellStyle name="Labels - Style3 3 3 19" xfId="34720"/>
    <cellStyle name="Labels - Style3 3 3 2" xfId="4970"/>
    <cellStyle name="Labels - Style3 3 3 2 10" xfId="24765"/>
    <cellStyle name="Labels - Style3 3 3 2 11" xfId="25764"/>
    <cellStyle name="Labels - Style3 3 3 2 12" xfId="28711"/>
    <cellStyle name="Labels - Style3 3 3 2 13" xfId="29678"/>
    <cellStyle name="Labels - Style3 3 3 2 14" xfId="30720"/>
    <cellStyle name="Labels - Style3 3 3 2 15" xfId="31711"/>
    <cellStyle name="Labels - Style3 3 3 2 16" xfId="32719"/>
    <cellStyle name="Labels - Style3 3 3 2 17" xfId="33722"/>
    <cellStyle name="Labels - Style3 3 3 2 18" xfId="34721"/>
    <cellStyle name="Labels - Style3 3 3 2 19" xfId="36342"/>
    <cellStyle name="Labels - Style3 3 3 2 2" xfId="16746"/>
    <cellStyle name="Labels - Style3 3 3 2 20" xfId="37281"/>
    <cellStyle name="Labels - Style3 3 3 2 3" xfId="17725"/>
    <cellStyle name="Labels - Style3 3 3 2 4" xfId="18752"/>
    <cellStyle name="Labels - Style3 3 3 2 5" xfId="19784"/>
    <cellStyle name="Labels - Style3 3 3 2 6" xfId="20806"/>
    <cellStyle name="Labels - Style3 3 3 2 7" xfId="21817"/>
    <cellStyle name="Labels - Style3 3 3 2 8" xfId="22788"/>
    <cellStyle name="Labels - Style3 3 3 2 9" xfId="23793"/>
    <cellStyle name="Labels - Style3 3 3 20" xfId="36341"/>
    <cellStyle name="Labels - Style3 3 3 21" xfId="37280"/>
    <cellStyle name="Labels - Style3 3 3 3" xfId="16745"/>
    <cellStyle name="Labels - Style3 3 3 4" xfId="17724"/>
    <cellStyle name="Labels - Style3 3 3 5" xfId="18751"/>
    <cellStyle name="Labels - Style3 3 3 6" xfId="19783"/>
    <cellStyle name="Labels - Style3 3 3 7" xfId="20805"/>
    <cellStyle name="Labels - Style3 3 3 8" xfId="21816"/>
    <cellStyle name="Labels - Style3 3 3 9" xfId="22787"/>
    <cellStyle name="Labels - Style3 3 4" xfId="4971"/>
    <cellStyle name="Labels - Style3 3 4 10" xfId="23794"/>
    <cellStyle name="Labels - Style3 3 4 11" xfId="24766"/>
    <cellStyle name="Labels - Style3 3 4 12" xfId="25765"/>
    <cellStyle name="Labels - Style3 3 4 13" xfId="28712"/>
    <cellStyle name="Labels - Style3 3 4 14" xfId="29679"/>
    <cellStyle name="Labels - Style3 3 4 15" xfId="30721"/>
    <cellStyle name="Labels - Style3 3 4 16" xfId="31712"/>
    <cellStyle name="Labels - Style3 3 4 17" xfId="32720"/>
    <cellStyle name="Labels - Style3 3 4 18" xfId="33723"/>
    <cellStyle name="Labels - Style3 3 4 19" xfId="34722"/>
    <cellStyle name="Labels - Style3 3 4 2" xfId="4972"/>
    <cellStyle name="Labels - Style3 3 4 2 10" xfId="24767"/>
    <cellStyle name="Labels - Style3 3 4 2 11" xfId="25766"/>
    <cellStyle name="Labels - Style3 3 4 2 12" xfId="28713"/>
    <cellStyle name="Labels - Style3 3 4 2 13" xfId="29680"/>
    <cellStyle name="Labels - Style3 3 4 2 14" xfId="30722"/>
    <cellStyle name="Labels - Style3 3 4 2 15" xfId="31713"/>
    <cellStyle name="Labels - Style3 3 4 2 16" xfId="32721"/>
    <cellStyle name="Labels - Style3 3 4 2 17" xfId="33724"/>
    <cellStyle name="Labels - Style3 3 4 2 18" xfId="34723"/>
    <cellStyle name="Labels - Style3 3 4 2 19" xfId="36344"/>
    <cellStyle name="Labels - Style3 3 4 2 2" xfId="16748"/>
    <cellStyle name="Labels - Style3 3 4 2 20" xfId="37283"/>
    <cellStyle name="Labels - Style3 3 4 2 3" xfId="17727"/>
    <cellStyle name="Labels - Style3 3 4 2 4" xfId="18754"/>
    <cellStyle name="Labels - Style3 3 4 2 5" xfId="19786"/>
    <cellStyle name="Labels - Style3 3 4 2 6" xfId="20808"/>
    <cellStyle name="Labels - Style3 3 4 2 7" xfId="21819"/>
    <cellStyle name="Labels - Style3 3 4 2 8" xfId="22790"/>
    <cellStyle name="Labels - Style3 3 4 2 9" xfId="23795"/>
    <cellStyle name="Labels - Style3 3 4 20" xfId="36343"/>
    <cellStyle name="Labels - Style3 3 4 21" xfId="37282"/>
    <cellStyle name="Labels - Style3 3 4 3" xfId="16747"/>
    <cellStyle name="Labels - Style3 3 4 4" xfId="17726"/>
    <cellStyle name="Labels - Style3 3 4 5" xfId="18753"/>
    <cellStyle name="Labels - Style3 3 4 6" xfId="19785"/>
    <cellStyle name="Labels - Style3 3 4 7" xfId="20807"/>
    <cellStyle name="Labels - Style3 3 4 8" xfId="21818"/>
    <cellStyle name="Labels - Style3 3 4 9" xfId="22789"/>
    <cellStyle name="Labels - Style3 3 5" xfId="4973"/>
    <cellStyle name="Labels - Style3 3 5 10" xfId="23796"/>
    <cellStyle name="Labels - Style3 3 5 11" xfId="24768"/>
    <cellStyle name="Labels - Style3 3 5 12" xfId="25767"/>
    <cellStyle name="Labels - Style3 3 5 13" xfId="28714"/>
    <cellStyle name="Labels - Style3 3 5 14" xfId="29681"/>
    <cellStyle name="Labels - Style3 3 5 15" xfId="30723"/>
    <cellStyle name="Labels - Style3 3 5 16" xfId="31714"/>
    <cellStyle name="Labels - Style3 3 5 17" xfId="32722"/>
    <cellStyle name="Labels - Style3 3 5 18" xfId="33725"/>
    <cellStyle name="Labels - Style3 3 5 19" xfId="34724"/>
    <cellStyle name="Labels - Style3 3 5 2" xfId="4974"/>
    <cellStyle name="Labels - Style3 3 5 2 10" xfId="24769"/>
    <cellStyle name="Labels - Style3 3 5 2 11" xfId="25768"/>
    <cellStyle name="Labels - Style3 3 5 2 12" xfId="28715"/>
    <cellStyle name="Labels - Style3 3 5 2 13" xfId="29682"/>
    <cellStyle name="Labels - Style3 3 5 2 14" xfId="30724"/>
    <cellStyle name="Labels - Style3 3 5 2 15" xfId="31715"/>
    <cellStyle name="Labels - Style3 3 5 2 16" xfId="32723"/>
    <cellStyle name="Labels - Style3 3 5 2 17" xfId="33726"/>
    <cellStyle name="Labels - Style3 3 5 2 18" xfId="34725"/>
    <cellStyle name="Labels - Style3 3 5 2 19" xfId="36346"/>
    <cellStyle name="Labels - Style3 3 5 2 2" xfId="16750"/>
    <cellStyle name="Labels - Style3 3 5 2 20" xfId="37285"/>
    <cellStyle name="Labels - Style3 3 5 2 3" xfId="17729"/>
    <cellStyle name="Labels - Style3 3 5 2 4" xfId="18756"/>
    <cellStyle name="Labels - Style3 3 5 2 5" xfId="19788"/>
    <cellStyle name="Labels - Style3 3 5 2 6" xfId="20810"/>
    <cellStyle name="Labels - Style3 3 5 2 7" xfId="21821"/>
    <cellStyle name="Labels - Style3 3 5 2 8" xfId="22792"/>
    <cellStyle name="Labels - Style3 3 5 2 9" xfId="23797"/>
    <cellStyle name="Labels - Style3 3 5 20" xfId="36345"/>
    <cellStyle name="Labels - Style3 3 5 21" xfId="37284"/>
    <cellStyle name="Labels - Style3 3 5 3" xfId="16749"/>
    <cellStyle name="Labels - Style3 3 5 4" xfId="17728"/>
    <cellStyle name="Labels - Style3 3 5 5" xfId="18755"/>
    <cellStyle name="Labels - Style3 3 5 6" xfId="19787"/>
    <cellStyle name="Labels - Style3 3 5 7" xfId="20809"/>
    <cellStyle name="Labels - Style3 3 5 8" xfId="21820"/>
    <cellStyle name="Labels - Style3 3 5 9" xfId="22791"/>
    <cellStyle name="Labels - Style3 3 6" xfId="4975"/>
    <cellStyle name="Labels - Style3 3 6 10" xfId="24770"/>
    <cellStyle name="Labels - Style3 3 6 11" xfId="25769"/>
    <cellStyle name="Labels - Style3 3 6 12" xfId="28716"/>
    <cellStyle name="Labels - Style3 3 6 13" xfId="29683"/>
    <cellStyle name="Labels - Style3 3 6 14" xfId="30725"/>
    <cellStyle name="Labels - Style3 3 6 15" xfId="31716"/>
    <cellStyle name="Labels - Style3 3 6 16" xfId="32724"/>
    <cellStyle name="Labels - Style3 3 6 17" xfId="33727"/>
    <cellStyle name="Labels - Style3 3 6 18" xfId="34726"/>
    <cellStyle name="Labels - Style3 3 6 19" xfId="36347"/>
    <cellStyle name="Labels - Style3 3 6 2" xfId="16751"/>
    <cellStyle name="Labels - Style3 3 6 20" xfId="37286"/>
    <cellStyle name="Labels - Style3 3 6 3" xfId="17730"/>
    <cellStyle name="Labels - Style3 3 6 4" xfId="18757"/>
    <cellStyle name="Labels - Style3 3 6 5" xfId="19789"/>
    <cellStyle name="Labels - Style3 3 6 6" xfId="20811"/>
    <cellStyle name="Labels - Style3 3 6 7" xfId="21822"/>
    <cellStyle name="Labels - Style3 3 6 8" xfId="22793"/>
    <cellStyle name="Labels - Style3 3 6 9" xfId="23798"/>
    <cellStyle name="Labels - Style3 3 7" xfId="13541"/>
    <cellStyle name="Labels - Style3 3 8" xfId="14691"/>
    <cellStyle name="Labels - Style3 3 9" xfId="15342"/>
    <cellStyle name="Labels - Style3 4" xfId="4976"/>
    <cellStyle name="Labels - Style3 4 10" xfId="14702"/>
    <cellStyle name="Labels - Style3 4 11" xfId="25947"/>
    <cellStyle name="Labels - Style3 4 12" xfId="26966"/>
    <cellStyle name="Labels - Style3 4 13" xfId="26046"/>
    <cellStyle name="Labels - Style3 4 2" xfId="4977"/>
    <cellStyle name="Labels - Style3 4 2 10" xfId="23799"/>
    <cellStyle name="Labels - Style3 4 2 11" xfId="24771"/>
    <cellStyle name="Labels - Style3 4 2 12" xfId="25770"/>
    <cellStyle name="Labels - Style3 4 2 13" xfId="28717"/>
    <cellStyle name="Labels - Style3 4 2 14" xfId="29684"/>
    <cellStyle name="Labels - Style3 4 2 15" xfId="30726"/>
    <cellStyle name="Labels - Style3 4 2 16" xfId="31717"/>
    <cellStyle name="Labels - Style3 4 2 17" xfId="32725"/>
    <cellStyle name="Labels - Style3 4 2 18" xfId="33728"/>
    <cellStyle name="Labels - Style3 4 2 19" xfId="34727"/>
    <cellStyle name="Labels - Style3 4 2 2" xfId="4978"/>
    <cellStyle name="Labels - Style3 4 2 2 10" xfId="24772"/>
    <cellStyle name="Labels - Style3 4 2 2 11" xfId="25771"/>
    <cellStyle name="Labels - Style3 4 2 2 12" xfId="28718"/>
    <cellStyle name="Labels - Style3 4 2 2 13" xfId="29685"/>
    <cellStyle name="Labels - Style3 4 2 2 14" xfId="30727"/>
    <cellStyle name="Labels - Style3 4 2 2 15" xfId="31718"/>
    <cellStyle name="Labels - Style3 4 2 2 16" xfId="32726"/>
    <cellStyle name="Labels - Style3 4 2 2 17" xfId="33729"/>
    <cellStyle name="Labels - Style3 4 2 2 18" xfId="34728"/>
    <cellStyle name="Labels - Style3 4 2 2 19" xfId="36349"/>
    <cellStyle name="Labels - Style3 4 2 2 2" xfId="16753"/>
    <cellStyle name="Labels - Style3 4 2 2 20" xfId="37288"/>
    <cellStyle name="Labels - Style3 4 2 2 3" xfId="17732"/>
    <cellStyle name="Labels - Style3 4 2 2 4" xfId="18759"/>
    <cellStyle name="Labels - Style3 4 2 2 5" xfId="19791"/>
    <cellStyle name="Labels - Style3 4 2 2 6" xfId="20813"/>
    <cellStyle name="Labels - Style3 4 2 2 7" xfId="21824"/>
    <cellStyle name="Labels - Style3 4 2 2 8" xfId="22795"/>
    <cellStyle name="Labels - Style3 4 2 2 9" xfId="23800"/>
    <cellStyle name="Labels - Style3 4 2 20" xfId="36348"/>
    <cellStyle name="Labels - Style3 4 2 21" xfId="37287"/>
    <cellStyle name="Labels - Style3 4 2 3" xfId="16752"/>
    <cellStyle name="Labels - Style3 4 2 4" xfId="17731"/>
    <cellStyle name="Labels - Style3 4 2 5" xfId="18758"/>
    <cellStyle name="Labels - Style3 4 2 6" xfId="19790"/>
    <cellStyle name="Labels - Style3 4 2 7" xfId="20812"/>
    <cellStyle name="Labels - Style3 4 2 8" xfId="21823"/>
    <cellStyle name="Labels - Style3 4 2 9" xfId="22794"/>
    <cellStyle name="Labels - Style3 4 3" xfId="4979"/>
    <cellStyle name="Labels - Style3 4 3 10" xfId="23801"/>
    <cellStyle name="Labels - Style3 4 3 11" xfId="24773"/>
    <cellStyle name="Labels - Style3 4 3 12" xfId="25772"/>
    <cellStyle name="Labels - Style3 4 3 13" xfId="28719"/>
    <cellStyle name="Labels - Style3 4 3 14" xfId="29686"/>
    <cellStyle name="Labels - Style3 4 3 15" xfId="30728"/>
    <cellStyle name="Labels - Style3 4 3 16" xfId="31719"/>
    <cellStyle name="Labels - Style3 4 3 17" xfId="32727"/>
    <cellStyle name="Labels - Style3 4 3 18" xfId="33730"/>
    <cellStyle name="Labels - Style3 4 3 19" xfId="34729"/>
    <cellStyle name="Labels - Style3 4 3 2" xfId="4980"/>
    <cellStyle name="Labels - Style3 4 3 2 10" xfId="24774"/>
    <cellStyle name="Labels - Style3 4 3 2 11" xfId="25773"/>
    <cellStyle name="Labels - Style3 4 3 2 12" xfId="28720"/>
    <cellStyle name="Labels - Style3 4 3 2 13" xfId="29687"/>
    <cellStyle name="Labels - Style3 4 3 2 14" xfId="30729"/>
    <cellStyle name="Labels - Style3 4 3 2 15" xfId="31720"/>
    <cellStyle name="Labels - Style3 4 3 2 16" xfId="32728"/>
    <cellStyle name="Labels - Style3 4 3 2 17" xfId="33731"/>
    <cellStyle name="Labels - Style3 4 3 2 18" xfId="34730"/>
    <cellStyle name="Labels - Style3 4 3 2 19" xfId="36351"/>
    <cellStyle name="Labels - Style3 4 3 2 2" xfId="16755"/>
    <cellStyle name="Labels - Style3 4 3 2 20" xfId="37290"/>
    <cellStyle name="Labels - Style3 4 3 2 3" xfId="17734"/>
    <cellStyle name="Labels - Style3 4 3 2 4" xfId="18761"/>
    <cellStyle name="Labels - Style3 4 3 2 5" xfId="19793"/>
    <cellStyle name="Labels - Style3 4 3 2 6" xfId="20815"/>
    <cellStyle name="Labels - Style3 4 3 2 7" xfId="21826"/>
    <cellStyle name="Labels - Style3 4 3 2 8" xfId="22797"/>
    <cellStyle name="Labels - Style3 4 3 2 9" xfId="23802"/>
    <cellStyle name="Labels - Style3 4 3 20" xfId="36350"/>
    <cellStyle name="Labels - Style3 4 3 21" xfId="37289"/>
    <cellStyle name="Labels - Style3 4 3 3" xfId="16754"/>
    <cellStyle name="Labels - Style3 4 3 4" xfId="17733"/>
    <cellStyle name="Labels - Style3 4 3 5" xfId="18760"/>
    <cellStyle name="Labels - Style3 4 3 6" xfId="19792"/>
    <cellStyle name="Labels - Style3 4 3 7" xfId="20814"/>
    <cellStyle name="Labels - Style3 4 3 8" xfId="21825"/>
    <cellStyle name="Labels - Style3 4 3 9" xfId="22796"/>
    <cellStyle name="Labels - Style3 4 4" xfId="4981"/>
    <cellStyle name="Labels - Style3 4 4 10" xfId="23803"/>
    <cellStyle name="Labels - Style3 4 4 11" xfId="24775"/>
    <cellStyle name="Labels - Style3 4 4 12" xfId="25774"/>
    <cellStyle name="Labels - Style3 4 4 13" xfId="28721"/>
    <cellStyle name="Labels - Style3 4 4 14" xfId="29688"/>
    <cellStyle name="Labels - Style3 4 4 15" xfId="30730"/>
    <cellStyle name="Labels - Style3 4 4 16" xfId="31721"/>
    <cellStyle name="Labels - Style3 4 4 17" xfId="32729"/>
    <cellStyle name="Labels - Style3 4 4 18" xfId="33732"/>
    <cellStyle name="Labels - Style3 4 4 19" xfId="34731"/>
    <cellStyle name="Labels - Style3 4 4 2" xfId="4982"/>
    <cellStyle name="Labels - Style3 4 4 2 10" xfId="24776"/>
    <cellStyle name="Labels - Style3 4 4 2 11" xfId="25775"/>
    <cellStyle name="Labels - Style3 4 4 2 12" xfId="28722"/>
    <cellStyle name="Labels - Style3 4 4 2 13" xfId="29689"/>
    <cellStyle name="Labels - Style3 4 4 2 14" xfId="30731"/>
    <cellStyle name="Labels - Style3 4 4 2 15" xfId="31722"/>
    <cellStyle name="Labels - Style3 4 4 2 16" xfId="32730"/>
    <cellStyle name="Labels - Style3 4 4 2 17" xfId="33733"/>
    <cellStyle name="Labels - Style3 4 4 2 18" xfId="34732"/>
    <cellStyle name="Labels - Style3 4 4 2 19" xfId="36353"/>
    <cellStyle name="Labels - Style3 4 4 2 2" xfId="16757"/>
    <cellStyle name="Labels - Style3 4 4 2 20" xfId="37292"/>
    <cellStyle name="Labels - Style3 4 4 2 3" xfId="17736"/>
    <cellStyle name="Labels - Style3 4 4 2 4" xfId="18763"/>
    <cellStyle name="Labels - Style3 4 4 2 5" xfId="19795"/>
    <cellStyle name="Labels - Style3 4 4 2 6" xfId="20817"/>
    <cellStyle name="Labels - Style3 4 4 2 7" xfId="21828"/>
    <cellStyle name="Labels - Style3 4 4 2 8" xfId="22799"/>
    <cellStyle name="Labels - Style3 4 4 2 9" xfId="23804"/>
    <cellStyle name="Labels - Style3 4 4 20" xfId="36352"/>
    <cellStyle name="Labels - Style3 4 4 21" xfId="37291"/>
    <cellStyle name="Labels - Style3 4 4 3" xfId="16756"/>
    <cellStyle name="Labels - Style3 4 4 4" xfId="17735"/>
    <cellStyle name="Labels - Style3 4 4 5" xfId="18762"/>
    <cellStyle name="Labels - Style3 4 4 6" xfId="19794"/>
    <cellStyle name="Labels - Style3 4 4 7" xfId="20816"/>
    <cellStyle name="Labels - Style3 4 4 8" xfId="21827"/>
    <cellStyle name="Labels - Style3 4 4 9" xfId="22798"/>
    <cellStyle name="Labels - Style3 4 5" xfId="4983"/>
    <cellStyle name="Labels - Style3 4 5 10" xfId="23805"/>
    <cellStyle name="Labels - Style3 4 5 11" xfId="24777"/>
    <cellStyle name="Labels - Style3 4 5 12" xfId="25776"/>
    <cellStyle name="Labels - Style3 4 5 13" xfId="28723"/>
    <cellStyle name="Labels - Style3 4 5 14" xfId="29690"/>
    <cellStyle name="Labels - Style3 4 5 15" xfId="30732"/>
    <cellStyle name="Labels - Style3 4 5 16" xfId="31723"/>
    <cellStyle name="Labels - Style3 4 5 17" xfId="32731"/>
    <cellStyle name="Labels - Style3 4 5 18" xfId="33734"/>
    <cellStyle name="Labels - Style3 4 5 19" xfId="34733"/>
    <cellStyle name="Labels - Style3 4 5 2" xfId="4984"/>
    <cellStyle name="Labels - Style3 4 5 2 10" xfId="24778"/>
    <cellStyle name="Labels - Style3 4 5 2 11" xfId="25777"/>
    <cellStyle name="Labels - Style3 4 5 2 12" xfId="28724"/>
    <cellStyle name="Labels - Style3 4 5 2 13" xfId="29691"/>
    <cellStyle name="Labels - Style3 4 5 2 14" xfId="30733"/>
    <cellStyle name="Labels - Style3 4 5 2 15" xfId="31724"/>
    <cellStyle name="Labels - Style3 4 5 2 16" xfId="32732"/>
    <cellStyle name="Labels - Style3 4 5 2 17" xfId="33735"/>
    <cellStyle name="Labels - Style3 4 5 2 18" xfId="34734"/>
    <cellStyle name="Labels - Style3 4 5 2 19" xfId="36355"/>
    <cellStyle name="Labels - Style3 4 5 2 2" xfId="16759"/>
    <cellStyle name="Labels - Style3 4 5 2 20" xfId="37294"/>
    <cellStyle name="Labels - Style3 4 5 2 3" xfId="17738"/>
    <cellStyle name="Labels - Style3 4 5 2 4" xfId="18765"/>
    <cellStyle name="Labels - Style3 4 5 2 5" xfId="19797"/>
    <cellStyle name="Labels - Style3 4 5 2 6" xfId="20819"/>
    <cellStyle name="Labels - Style3 4 5 2 7" xfId="21830"/>
    <cellStyle name="Labels - Style3 4 5 2 8" xfId="22801"/>
    <cellStyle name="Labels - Style3 4 5 2 9" xfId="23806"/>
    <cellStyle name="Labels - Style3 4 5 20" xfId="36354"/>
    <cellStyle name="Labels - Style3 4 5 21" xfId="37293"/>
    <cellStyle name="Labels - Style3 4 5 3" xfId="16758"/>
    <cellStyle name="Labels - Style3 4 5 4" xfId="17737"/>
    <cellStyle name="Labels - Style3 4 5 5" xfId="18764"/>
    <cellStyle name="Labels - Style3 4 5 6" xfId="19796"/>
    <cellStyle name="Labels - Style3 4 5 7" xfId="20818"/>
    <cellStyle name="Labels - Style3 4 5 8" xfId="21829"/>
    <cellStyle name="Labels - Style3 4 5 9" xfId="22800"/>
    <cellStyle name="Labels - Style3 4 6" xfId="4985"/>
    <cellStyle name="Labels - Style3 4 6 10" xfId="24779"/>
    <cellStyle name="Labels - Style3 4 6 11" xfId="25778"/>
    <cellStyle name="Labels - Style3 4 6 12" xfId="28725"/>
    <cellStyle name="Labels - Style3 4 6 13" xfId="29692"/>
    <cellStyle name="Labels - Style3 4 6 14" xfId="30734"/>
    <cellStyle name="Labels - Style3 4 6 15" xfId="31725"/>
    <cellStyle name="Labels - Style3 4 6 16" xfId="32733"/>
    <cellStyle name="Labels - Style3 4 6 17" xfId="33736"/>
    <cellStyle name="Labels - Style3 4 6 18" xfId="34735"/>
    <cellStyle name="Labels - Style3 4 6 19" xfId="36356"/>
    <cellStyle name="Labels - Style3 4 6 2" xfId="16760"/>
    <cellStyle name="Labels - Style3 4 6 20" xfId="37295"/>
    <cellStyle name="Labels - Style3 4 6 3" xfId="17739"/>
    <cellStyle name="Labels - Style3 4 6 4" xfId="18766"/>
    <cellStyle name="Labels - Style3 4 6 5" xfId="19798"/>
    <cellStyle name="Labels - Style3 4 6 6" xfId="20820"/>
    <cellStyle name="Labels - Style3 4 6 7" xfId="21831"/>
    <cellStyle name="Labels - Style3 4 6 8" xfId="22802"/>
    <cellStyle name="Labels - Style3 4 6 9" xfId="23807"/>
    <cellStyle name="Labels - Style3 4 7" xfId="14042"/>
    <cellStyle name="Labels - Style3 4 8" xfId="13512"/>
    <cellStyle name="Labels - Style3 4 9" xfId="14985"/>
    <cellStyle name="Labels - Style3 5" xfId="4986"/>
    <cellStyle name="Labels - Style3 5 10" xfId="15614"/>
    <cellStyle name="Labels - Style3 5 11" xfId="29825"/>
    <cellStyle name="Labels - Style3 5 12" xfId="27528"/>
    <cellStyle name="Labels - Style3 5 13" xfId="27200"/>
    <cellStyle name="Labels - Style3 5 2" xfId="4987"/>
    <cellStyle name="Labels - Style3 5 2 10" xfId="23808"/>
    <cellStyle name="Labels - Style3 5 2 11" xfId="24780"/>
    <cellStyle name="Labels - Style3 5 2 12" xfId="25779"/>
    <cellStyle name="Labels - Style3 5 2 13" xfId="28726"/>
    <cellStyle name="Labels - Style3 5 2 14" xfId="29693"/>
    <cellStyle name="Labels - Style3 5 2 15" xfId="30735"/>
    <cellStyle name="Labels - Style3 5 2 16" xfId="31726"/>
    <cellStyle name="Labels - Style3 5 2 17" xfId="32734"/>
    <cellStyle name="Labels - Style3 5 2 18" xfId="33737"/>
    <cellStyle name="Labels - Style3 5 2 19" xfId="34736"/>
    <cellStyle name="Labels - Style3 5 2 2" xfId="4988"/>
    <cellStyle name="Labels - Style3 5 2 2 10" xfId="24781"/>
    <cellStyle name="Labels - Style3 5 2 2 11" xfId="25780"/>
    <cellStyle name="Labels - Style3 5 2 2 12" xfId="28727"/>
    <cellStyle name="Labels - Style3 5 2 2 13" xfId="29694"/>
    <cellStyle name="Labels - Style3 5 2 2 14" xfId="30736"/>
    <cellStyle name="Labels - Style3 5 2 2 15" xfId="31727"/>
    <cellStyle name="Labels - Style3 5 2 2 16" xfId="32735"/>
    <cellStyle name="Labels - Style3 5 2 2 17" xfId="33738"/>
    <cellStyle name="Labels - Style3 5 2 2 18" xfId="34737"/>
    <cellStyle name="Labels - Style3 5 2 2 19" xfId="36358"/>
    <cellStyle name="Labels - Style3 5 2 2 2" xfId="16762"/>
    <cellStyle name="Labels - Style3 5 2 2 20" xfId="37297"/>
    <cellStyle name="Labels - Style3 5 2 2 3" xfId="17741"/>
    <cellStyle name="Labels - Style3 5 2 2 4" xfId="18768"/>
    <cellStyle name="Labels - Style3 5 2 2 5" xfId="19800"/>
    <cellStyle name="Labels - Style3 5 2 2 6" xfId="20822"/>
    <cellStyle name="Labels - Style3 5 2 2 7" xfId="21833"/>
    <cellStyle name="Labels - Style3 5 2 2 8" xfId="22804"/>
    <cellStyle name="Labels - Style3 5 2 2 9" xfId="23809"/>
    <cellStyle name="Labels - Style3 5 2 20" xfId="36357"/>
    <cellStyle name="Labels - Style3 5 2 21" xfId="37296"/>
    <cellStyle name="Labels - Style3 5 2 3" xfId="16761"/>
    <cellStyle name="Labels - Style3 5 2 4" xfId="17740"/>
    <cellStyle name="Labels - Style3 5 2 5" xfId="18767"/>
    <cellStyle name="Labels - Style3 5 2 6" xfId="19799"/>
    <cellStyle name="Labels - Style3 5 2 7" xfId="20821"/>
    <cellStyle name="Labels - Style3 5 2 8" xfId="21832"/>
    <cellStyle name="Labels - Style3 5 2 9" xfId="22803"/>
    <cellStyle name="Labels - Style3 5 3" xfId="4989"/>
    <cellStyle name="Labels - Style3 5 3 10" xfId="23810"/>
    <cellStyle name="Labels - Style3 5 3 11" xfId="24782"/>
    <cellStyle name="Labels - Style3 5 3 12" xfId="25781"/>
    <cellStyle name="Labels - Style3 5 3 13" xfId="28728"/>
    <cellStyle name="Labels - Style3 5 3 14" xfId="29695"/>
    <cellStyle name="Labels - Style3 5 3 15" xfId="30737"/>
    <cellStyle name="Labels - Style3 5 3 16" xfId="31728"/>
    <cellStyle name="Labels - Style3 5 3 17" xfId="32736"/>
    <cellStyle name="Labels - Style3 5 3 18" xfId="33739"/>
    <cellStyle name="Labels - Style3 5 3 19" xfId="34738"/>
    <cellStyle name="Labels - Style3 5 3 2" xfId="4990"/>
    <cellStyle name="Labels - Style3 5 3 2 10" xfId="24783"/>
    <cellStyle name="Labels - Style3 5 3 2 11" xfId="25782"/>
    <cellStyle name="Labels - Style3 5 3 2 12" xfId="28729"/>
    <cellStyle name="Labels - Style3 5 3 2 13" xfId="29696"/>
    <cellStyle name="Labels - Style3 5 3 2 14" xfId="30738"/>
    <cellStyle name="Labels - Style3 5 3 2 15" xfId="31729"/>
    <cellStyle name="Labels - Style3 5 3 2 16" xfId="32737"/>
    <cellStyle name="Labels - Style3 5 3 2 17" xfId="33740"/>
    <cellStyle name="Labels - Style3 5 3 2 18" xfId="34739"/>
    <cellStyle name="Labels - Style3 5 3 2 19" xfId="36360"/>
    <cellStyle name="Labels - Style3 5 3 2 2" xfId="16764"/>
    <cellStyle name="Labels - Style3 5 3 2 20" xfId="37299"/>
    <cellStyle name="Labels - Style3 5 3 2 3" xfId="17743"/>
    <cellStyle name="Labels - Style3 5 3 2 4" xfId="18770"/>
    <cellStyle name="Labels - Style3 5 3 2 5" xfId="19802"/>
    <cellStyle name="Labels - Style3 5 3 2 6" xfId="20824"/>
    <cellStyle name="Labels - Style3 5 3 2 7" xfId="21835"/>
    <cellStyle name="Labels - Style3 5 3 2 8" xfId="22806"/>
    <cellStyle name="Labels - Style3 5 3 2 9" xfId="23811"/>
    <cellStyle name="Labels - Style3 5 3 20" xfId="36359"/>
    <cellStyle name="Labels - Style3 5 3 21" xfId="37298"/>
    <cellStyle name="Labels - Style3 5 3 3" xfId="16763"/>
    <cellStyle name="Labels - Style3 5 3 4" xfId="17742"/>
    <cellStyle name="Labels - Style3 5 3 5" xfId="18769"/>
    <cellStyle name="Labels - Style3 5 3 6" xfId="19801"/>
    <cellStyle name="Labels - Style3 5 3 7" xfId="20823"/>
    <cellStyle name="Labels - Style3 5 3 8" xfId="21834"/>
    <cellStyle name="Labels - Style3 5 3 9" xfId="22805"/>
    <cellStyle name="Labels - Style3 5 4" xfId="4991"/>
    <cellStyle name="Labels - Style3 5 4 10" xfId="23812"/>
    <cellStyle name="Labels - Style3 5 4 11" xfId="24784"/>
    <cellStyle name="Labels - Style3 5 4 12" xfId="25783"/>
    <cellStyle name="Labels - Style3 5 4 13" xfId="28730"/>
    <cellStyle name="Labels - Style3 5 4 14" xfId="29697"/>
    <cellStyle name="Labels - Style3 5 4 15" xfId="30739"/>
    <cellStyle name="Labels - Style3 5 4 16" xfId="31730"/>
    <cellStyle name="Labels - Style3 5 4 17" xfId="32738"/>
    <cellStyle name="Labels - Style3 5 4 18" xfId="33741"/>
    <cellStyle name="Labels - Style3 5 4 19" xfId="34740"/>
    <cellStyle name="Labels - Style3 5 4 2" xfId="4992"/>
    <cellStyle name="Labels - Style3 5 4 2 10" xfId="24785"/>
    <cellStyle name="Labels - Style3 5 4 2 11" xfId="25784"/>
    <cellStyle name="Labels - Style3 5 4 2 12" xfId="28731"/>
    <cellStyle name="Labels - Style3 5 4 2 13" xfId="29698"/>
    <cellStyle name="Labels - Style3 5 4 2 14" xfId="30740"/>
    <cellStyle name="Labels - Style3 5 4 2 15" xfId="31731"/>
    <cellStyle name="Labels - Style3 5 4 2 16" xfId="32739"/>
    <cellStyle name="Labels - Style3 5 4 2 17" xfId="33742"/>
    <cellStyle name="Labels - Style3 5 4 2 18" xfId="34741"/>
    <cellStyle name="Labels - Style3 5 4 2 19" xfId="36362"/>
    <cellStyle name="Labels - Style3 5 4 2 2" xfId="16766"/>
    <cellStyle name="Labels - Style3 5 4 2 20" xfId="37301"/>
    <cellStyle name="Labels - Style3 5 4 2 3" xfId="17745"/>
    <cellStyle name="Labels - Style3 5 4 2 4" xfId="18772"/>
    <cellStyle name="Labels - Style3 5 4 2 5" xfId="19804"/>
    <cellStyle name="Labels - Style3 5 4 2 6" xfId="20826"/>
    <cellStyle name="Labels - Style3 5 4 2 7" xfId="21837"/>
    <cellStyle name="Labels - Style3 5 4 2 8" xfId="22808"/>
    <cellStyle name="Labels - Style3 5 4 2 9" xfId="23813"/>
    <cellStyle name="Labels - Style3 5 4 20" xfId="36361"/>
    <cellStyle name="Labels - Style3 5 4 21" xfId="37300"/>
    <cellStyle name="Labels - Style3 5 4 3" xfId="16765"/>
    <cellStyle name="Labels - Style3 5 4 4" xfId="17744"/>
    <cellStyle name="Labels - Style3 5 4 5" xfId="18771"/>
    <cellStyle name="Labels - Style3 5 4 6" xfId="19803"/>
    <cellStyle name="Labels - Style3 5 4 7" xfId="20825"/>
    <cellStyle name="Labels - Style3 5 4 8" xfId="21836"/>
    <cellStyle name="Labels - Style3 5 4 9" xfId="22807"/>
    <cellStyle name="Labels - Style3 5 5" xfId="4993"/>
    <cellStyle name="Labels - Style3 5 5 10" xfId="23814"/>
    <cellStyle name="Labels - Style3 5 5 11" xfId="24786"/>
    <cellStyle name="Labels - Style3 5 5 12" xfId="25785"/>
    <cellStyle name="Labels - Style3 5 5 13" xfId="28732"/>
    <cellStyle name="Labels - Style3 5 5 14" xfId="29699"/>
    <cellStyle name="Labels - Style3 5 5 15" xfId="30741"/>
    <cellStyle name="Labels - Style3 5 5 16" xfId="31732"/>
    <cellStyle name="Labels - Style3 5 5 17" xfId="32740"/>
    <cellStyle name="Labels - Style3 5 5 18" xfId="33743"/>
    <cellStyle name="Labels - Style3 5 5 19" xfId="34742"/>
    <cellStyle name="Labels - Style3 5 5 2" xfId="4994"/>
    <cellStyle name="Labels - Style3 5 5 2 10" xfId="24787"/>
    <cellStyle name="Labels - Style3 5 5 2 11" xfId="25786"/>
    <cellStyle name="Labels - Style3 5 5 2 12" xfId="28733"/>
    <cellStyle name="Labels - Style3 5 5 2 13" xfId="29700"/>
    <cellStyle name="Labels - Style3 5 5 2 14" xfId="30742"/>
    <cellStyle name="Labels - Style3 5 5 2 15" xfId="31733"/>
    <cellStyle name="Labels - Style3 5 5 2 16" xfId="32741"/>
    <cellStyle name="Labels - Style3 5 5 2 17" xfId="33744"/>
    <cellStyle name="Labels - Style3 5 5 2 18" xfId="34743"/>
    <cellStyle name="Labels - Style3 5 5 2 19" xfId="36364"/>
    <cellStyle name="Labels - Style3 5 5 2 2" xfId="16768"/>
    <cellStyle name="Labels - Style3 5 5 2 20" xfId="37303"/>
    <cellStyle name="Labels - Style3 5 5 2 3" xfId="17747"/>
    <cellStyle name="Labels - Style3 5 5 2 4" xfId="18774"/>
    <cellStyle name="Labels - Style3 5 5 2 5" xfId="19806"/>
    <cellStyle name="Labels - Style3 5 5 2 6" xfId="20828"/>
    <cellStyle name="Labels - Style3 5 5 2 7" xfId="21839"/>
    <cellStyle name="Labels - Style3 5 5 2 8" xfId="22810"/>
    <cellStyle name="Labels - Style3 5 5 2 9" xfId="23815"/>
    <cellStyle name="Labels - Style3 5 5 20" xfId="36363"/>
    <cellStyle name="Labels - Style3 5 5 21" xfId="37302"/>
    <cellStyle name="Labels - Style3 5 5 3" xfId="16767"/>
    <cellStyle name="Labels - Style3 5 5 4" xfId="17746"/>
    <cellStyle name="Labels - Style3 5 5 5" xfId="18773"/>
    <cellStyle name="Labels - Style3 5 5 6" xfId="19805"/>
    <cellStyle name="Labels - Style3 5 5 7" xfId="20827"/>
    <cellStyle name="Labels - Style3 5 5 8" xfId="21838"/>
    <cellStyle name="Labels - Style3 5 5 9" xfId="22809"/>
    <cellStyle name="Labels - Style3 5 6" xfId="4995"/>
    <cellStyle name="Labels - Style3 5 6 10" xfId="24788"/>
    <cellStyle name="Labels - Style3 5 6 11" xfId="25787"/>
    <cellStyle name="Labels - Style3 5 6 12" xfId="28734"/>
    <cellStyle name="Labels - Style3 5 6 13" xfId="29701"/>
    <cellStyle name="Labels - Style3 5 6 14" xfId="30743"/>
    <cellStyle name="Labels - Style3 5 6 15" xfId="31734"/>
    <cellStyle name="Labels - Style3 5 6 16" xfId="32742"/>
    <cellStyle name="Labels - Style3 5 6 17" xfId="33745"/>
    <cellStyle name="Labels - Style3 5 6 18" xfId="34744"/>
    <cellStyle name="Labels - Style3 5 6 19" xfId="36365"/>
    <cellStyle name="Labels - Style3 5 6 2" xfId="16769"/>
    <cellStyle name="Labels - Style3 5 6 20" xfId="37304"/>
    <cellStyle name="Labels - Style3 5 6 3" xfId="17748"/>
    <cellStyle name="Labels - Style3 5 6 4" xfId="18775"/>
    <cellStyle name="Labels - Style3 5 6 5" xfId="19807"/>
    <cellStyle name="Labels - Style3 5 6 6" xfId="20829"/>
    <cellStyle name="Labels - Style3 5 6 7" xfId="21840"/>
    <cellStyle name="Labels - Style3 5 6 8" xfId="22811"/>
    <cellStyle name="Labels - Style3 5 6 9" xfId="23816"/>
    <cellStyle name="Labels - Style3 5 7" xfId="15163"/>
    <cellStyle name="Labels - Style3 5 8" xfId="13697"/>
    <cellStyle name="Labels - Style3 5 9" xfId="14947"/>
    <cellStyle name="Labels - Style3 6" xfId="4996"/>
    <cellStyle name="Labels - Style3 6 10" xfId="23817"/>
    <cellStyle name="Labels - Style3 6 11" xfId="24789"/>
    <cellStyle name="Labels - Style3 6 12" xfId="25788"/>
    <cellStyle name="Labels - Style3 6 13" xfId="28735"/>
    <cellStyle name="Labels - Style3 6 14" xfId="29702"/>
    <cellStyle name="Labels - Style3 6 15" xfId="30744"/>
    <cellStyle name="Labels - Style3 6 16" xfId="31735"/>
    <cellStyle name="Labels - Style3 6 17" xfId="32743"/>
    <cellStyle name="Labels - Style3 6 18" xfId="33746"/>
    <cellStyle name="Labels - Style3 6 19" xfId="34745"/>
    <cellStyle name="Labels - Style3 6 2" xfId="4997"/>
    <cellStyle name="Labels - Style3 6 2 10" xfId="24790"/>
    <cellStyle name="Labels - Style3 6 2 11" xfId="25789"/>
    <cellStyle name="Labels - Style3 6 2 12" xfId="28736"/>
    <cellStyle name="Labels - Style3 6 2 13" xfId="29703"/>
    <cellStyle name="Labels - Style3 6 2 14" xfId="30745"/>
    <cellStyle name="Labels - Style3 6 2 15" xfId="31736"/>
    <cellStyle name="Labels - Style3 6 2 16" xfId="32744"/>
    <cellStyle name="Labels - Style3 6 2 17" xfId="33747"/>
    <cellStyle name="Labels - Style3 6 2 18" xfId="34746"/>
    <cellStyle name="Labels - Style3 6 2 19" xfId="36367"/>
    <cellStyle name="Labels - Style3 6 2 2" xfId="16771"/>
    <cellStyle name="Labels - Style3 6 2 20" xfId="37306"/>
    <cellStyle name="Labels - Style3 6 2 3" xfId="17750"/>
    <cellStyle name="Labels - Style3 6 2 4" xfId="18777"/>
    <cellStyle name="Labels - Style3 6 2 5" xfId="19809"/>
    <cellStyle name="Labels - Style3 6 2 6" xfId="20831"/>
    <cellStyle name="Labels - Style3 6 2 7" xfId="21842"/>
    <cellStyle name="Labels - Style3 6 2 8" xfId="22813"/>
    <cellStyle name="Labels - Style3 6 2 9" xfId="23818"/>
    <cellStyle name="Labels - Style3 6 20" xfId="36366"/>
    <cellStyle name="Labels - Style3 6 21" xfId="37305"/>
    <cellStyle name="Labels - Style3 6 3" xfId="16770"/>
    <cellStyle name="Labels - Style3 6 4" xfId="17749"/>
    <cellStyle name="Labels - Style3 6 5" xfId="18776"/>
    <cellStyle name="Labels - Style3 6 6" xfId="19808"/>
    <cellStyle name="Labels - Style3 6 7" xfId="20830"/>
    <cellStyle name="Labels - Style3 6 8" xfId="21841"/>
    <cellStyle name="Labels - Style3 6 9" xfId="22812"/>
    <cellStyle name="Labels - Style3 7" xfId="4998"/>
    <cellStyle name="Labels - Style3 7 10" xfId="23819"/>
    <cellStyle name="Labels - Style3 7 11" xfId="24791"/>
    <cellStyle name="Labels - Style3 7 12" xfId="25790"/>
    <cellStyle name="Labels - Style3 7 13" xfId="28737"/>
    <cellStyle name="Labels - Style3 7 14" xfId="29704"/>
    <cellStyle name="Labels - Style3 7 15" xfId="30746"/>
    <cellStyle name="Labels - Style3 7 16" xfId="31737"/>
    <cellStyle name="Labels - Style3 7 17" xfId="32745"/>
    <cellStyle name="Labels - Style3 7 18" xfId="33748"/>
    <cellStyle name="Labels - Style3 7 19" xfId="34747"/>
    <cellStyle name="Labels - Style3 7 2" xfId="4999"/>
    <cellStyle name="Labels - Style3 7 2 10" xfId="24792"/>
    <cellStyle name="Labels - Style3 7 2 11" xfId="25791"/>
    <cellStyle name="Labels - Style3 7 2 12" xfId="28738"/>
    <cellStyle name="Labels - Style3 7 2 13" xfId="29705"/>
    <cellStyle name="Labels - Style3 7 2 14" xfId="30747"/>
    <cellStyle name="Labels - Style3 7 2 15" xfId="31738"/>
    <cellStyle name="Labels - Style3 7 2 16" xfId="32746"/>
    <cellStyle name="Labels - Style3 7 2 17" xfId="33749"/>
    <cellStyle name="Labels - Style3 7 2 18" xfId="34748"/>
    <cellStyle name="Labels - Style3 7 2 19" xfId="36369"/>
    <cellStyle name="Labels - Style3 7 2 2" xfId="16773"/>
    <cellStyle name="Labels - Style3 7 2 20" xfId="37308"/>
    <cellStyle name="Labels - Style3 7 2 3" xfId="17752"/>
    <cellStyle name="Labels - Style3 7 2 4" xfId="18779"/>
    <cellStyle name="Labels - Style3 7 2 5" xfId="19811"/>
    <cellStyle name="Labels - Style3 7 2 6" xfId="20833"/>
    <cellStyle name="Labels - Style3 7 2 7" xfId="21844"/>
    <cellStyle name="Labels - Style3 7 2 8" xfId="22815"/>
    <cellStyle name="Labels - Style3 7 2 9" xfId="23820"/>
    <cellStyle name="Labels - Style3 7 20" xfId="36368"/>
    <cellStyle name="Labels - Style3 7 21" xfId="37307"/>
    <cellStyle name="Labels - Style3 7 3" xfId="16772"/>
    <cellStyle name="Labels - Style3 7 4" xfId="17751"/>
    <cellStyle name="Labels - Style3 7 5" xfId="18778"/>
    <cellStyle name="Labels - Style3 7 6" xfId="19810"/>
    <cellStyle name="Labels - Style3 7 7" xfId="20832"/>
    <cellStyle name="Labels - Style3 7 8" xfId="21843"/>
    <cellStyle name="Labels - Style3 7 9" xfId="22814"/>
    <cellStyle name="Labels - Style3 8" xfId="5000"/>
    <cellStyle name="Labels - Style3 8 10" xfId="23821"/>
    <cellStyle name="Labels - Style3 8 11" xfId="24793"/>
    <cellStyle name="Labels - Style3 8 12" xfId="25792"/>
    <cellStyle name="Labels - Style3 8 13" xfId="28739"/>
    <cellStyle name="Labels - Style3 8 14" xfId="29706"/>
    <cellStyle name="Labels - Style3 8 15" xfId="30748"/>
    <cellStyle name="Labels - Style3 8 16" xfId="31739"/>
    <cellStyle name="Labels - Style3 8 17" xfId="32747"/>
    <cellStyle name="Labels - Style3 8 18" xfId="33750"/>
    <cellStyle name="Labels - Style3 8 19" xfId="34749"/>
    <cellStyle name="Labels - Style3 8 2" xfId="5001"/>
    <cellStyle name="Labels - Style3 8 2 10" xfId="24794"/>
    <cellStyle name="Labels - Style3 8 2 11" xfId="25793"/>
    <cellStyle name="Labels - Style3 8 2 12" xfId="28740"/>
    <cellStyle name="Labels - Style3 8 2 13" xfId="29707"/>
    <cellStyle name="Labels - Style3 8 2 14" xfId="30749"/>
    <cellStyle name="Labels - Style3 8 2 15" xfId="31740"/>
    <cellStyle name="Labels - Style3 8 2 16" xfId="32748"/>
    <cellStyle name="Labels - Style3 8 2 17" xfId="33751"/>
    <cellStyle name="Labels - Style3 8 2 18" xfId="34750"/>
    <cellStyle name="Labels - Style3 8 2 19" xfId="36371"/>
    <cellStyle name="Labels - Style3 8 2 2" xfId="16775"/>
    <cellStyle name="Labels - Style3 8 2 20" xfId="37310"/>
    <cellStyle name="Labels - Style3 8 2 3" xfId="17754"/>
    <cellStyle name="Labels - Style3 8 2 4" xfId="18781"/>
    <cellStyle name="Labels - Style3 8 2 5" xfId="19813"/>
    <cellStyle name="Labels - Style3 8 2 6" xfId="20835"/>
    <cellStyle name="Labels - Style3 8 2 7" xfId="21846"/>
    <cellStyle name="Labels - Style3 8 2 8" xfId="22817"/>
    <cellStyle name="Labels - Style3 8 2 9" xfId="23822"/>
    <cellStyle name="Labels - Style3 8 20" xfId="36370"/>
    <cellStyle name="Labels - Style3 8 21" xfId="37309"/>
    <cellStyle name="Labels - Style3 8 3" xfId="16774"/>
    <cellStyle name="Labels - Style3 8 4" xfId="17753"/>
    <cellStyle name="Labels - Style3 8 5" xfId="18780"/>
    <cellStyle name="Labels - Style3 8 6" xfId="19812"/>
    <cellStyle name="Labels - Style3 8 7" xfId="20834"/>
    <cellStyle name="Labels - Style3 8 8" xfId="21845"/>
    <cellStyle name="Labels - Style3 8 9" xfId="22816"/>
    <cellStyle name="Labels - Style3 9" xfId="5002"/>
    <cellStyle name="Labels - Style3 9 10" xfId="23823"/>
    <cellStyle name="Labels - Style3 9 11" xfId="24795"/>
    <cellStyle name="Labels - Style3 9 12" xfId="25794"/>
    <cellStyle name="Labels - Style3 9 13" xfId="28741"/>
    <cellStyle name="Labels - Style3 9 14" xfId="29708"/>
    <cellStyle name="Labels - Style3 9 15" xfId="30750"/>
    <cellStyle name="Labels - Style3 9 16" xfId="31741"/>
    <cellStyle name="Labels - Style3 9 17" xfId="32749"/>
    <cellStyle name="Labels - Style3 9 18" xfId="33752"/>
    <cellStyle name="Labels - Style3 9 19" xfId="34751"/>
    <cellStyle name="Labels - Style3 9 2" xfId="5003"/>
    <cellStyle name="Labels - Style3 9 2 10" xfId="24796"/>
    <cellStyle name="Labels - Style3 9 2 11" xfId="25795"/>
    <cellStyle name="Labels - Style3 9 2 12" xfId="28742"/>
    <cellStyle name="Labels - Style3 9 2 13" xfId="29709"/>
    <cellStyle name="Labels - Style3 9 2 14" xfId="30751"/>
    <cellStyle name="Labels - Style3 9 2 15" xfId="31742"/>
    <cellStyle name="Labels - Style3 9 2 16" xfId="32750"/>
    <cellStyle name="Labels - Style3 9 2 17" xfId="33753"/>
    <cellStyle name="Labels - Style3 9 2 18" xfId="34752"/>
    <cellStyle name="Labels - Style3 9 2 19" xfId="36373"/>
    <cellStyle name="Labels - Style3 9 2 2" xfId="16777"/>
    <cellStyle name="Labels - Style3 9 2 20" xfId="37312"/>
    <cellStyle name="Labels - Style3 9 2 3" xfId="17756"/>
    <cellStyle name="Labels - Style3 9 2 4" xfId="18783"/>
    <cellStyle name="Labels - Style3 9 2 5" xfId="19815"/>
    <cellStyle name="Labels - Style3 9 2 6" xfId="20837"/>
    <cellStyle name="Labels - Style3 9 2 7" xfId="21848"/>
    <cellStyle name="Labels - Style3 9 2 8" xfId="22819"/>
    <cellStyle name="Labels - Style3 9 2 9" xfId="23824"/>
    <cellStyle name="Labels - Style3 9 20" xfId="36372"/>
    <cellStyle name="Labels - Style3 9 21" xfId="37311"/>
    <cellStyle name="Labels - Style3 9 3" xfId="16776"/>
    <cellStyle name="Labels - Style3 9 4" xfId="17755"/>
    <cellStyle name="Labels - Style3 9 5" xfId="18782"/>
    <cellStyle name="Labels - Style3 9 6" xfId="19814"/>
    <cellStyle name="Labels - Style3 9 7" xfId="20836"/>
    <cellStyle name="Labels - Style3 9 8" xfId="21847"/>
    <cellStyle name="Labels - Style3 9 9" xfId="22818"/>
    <cellStyle name="Labels 10" xfId="5004"/>
    <cellStyle name="Labels 10 10" xfId="24797"/>
    <cellStyle name="Labels 10 11" xfId="25796"/>
    <cellStyle name="Labels 10 12" xfId="29710"/>
    <cellStyle name="Labels 10 13" xfId="30752"/>
    <cellStyle name="Labels 10 14" xfId="31743"/>
    <cellStyle name="Labels 10 15" xfId="32751"/>
    <cellStyle name="Labels 10 16" xfId="33754"/>
    <cellStyle name="Labels 10 17" xfId="34753"/>
    <cellStyle name="Labels 10 18" xfId="37313"/>
    <cellStyle name="Labels 10 2" xfId="5005"/>
    <cellStyle name="Labels 10 2 10" xfId="25797"/>
    <cellStyle name="Labels 10 2 11" xfId="29711"/>
    <cellStyle name="Labels 10 2 12" xfId="30753"/>
    <cellStyle name="Labels 10 2 13" xfId="31744"/>
    <cellStyle name="Labels 10 2 14" xfId="32752"/>
    <cellStyle name="Labels 10 2 15" xfId="33755"/>
    <cellStyle name="Labels 10 2 16" xfId="34754"/>
    <cellStyle name="Labels 10 2 17" xfId="37314"/>
    <cellStyle name="Labels 10 2 2" xfId="16779"/>
    <cellStyle name="Labels 10 2 3" xfId="17758"/>
    <cellStyle name="Labels 10 2 4" xfId="18785"/>
    <cellStyle name="Labels 10 2 5" xfId="19817"/>
    <cellStyle name="Labels 10 2 6" xfId="20839"/>
    <cellStyle name="Labels 10 2 7" xfId="22821"/>
    <cellStyle name="Labels 10 2 8" xfId="23826"/>
    <cellStyle name="Labels 10 2 9" xfId="24798"/>
    <cellStyle name="Labels 10 3" xfId="16778"/>
    <cellStyle name="Labels 10 4" xfId="17757"/>
    <cellStyle name="Labels 10 5" xfId="18784"/>
    <cellStyle name="Labels 10 6" xfId="19816"/>
    <cellStyle name="Labels 10 7" xfId="20838"/>
    <cellStyle name="Labels 10 8" xfId="22820"/>
    <cellStyle name="Labels 10 9" xfId="23825"/>
    <cellStyle name="Labels 11" xfId="5006"/>
    <cellStyle name="Labels 11 10" xfId="24799"/>
    <cellStyle name="Labels 11 11" xfId="25798"/>
    <cellStyle name="Labels 11 12" xfId="29712"/>
    <cellStyle name="Labels 11 13" xfId="30754"/>
    <cellStyle name="Labels 11 14" xfId="31745"/>
    <cellStyle name="Labels 11 15" xfId="32753"/>
    <cellStyle name="Labels 11 16" xfId="33756"/>
    <cellStyle name="Labels 11 17" xfId="34755"/>
    <cellStyle name="Labels 11 18" xfId="37315"/>
    <cellStyle name="Labels 11 2" xfId="5007"/>
    <cellStyle name="Labels 11 2 10" xfId="25799"/>
    <cellStyle name="Labels 11 2 11" xfId="29713"/>
    <cellStyle name="Labels 11 2 12" xfId="30755"/>
    <cellStyle name="Labels 11 2 13" xfId="31746"/>
    <cellStyle name="Labels 11 2 14" xfId="32754"/>
    <cellStyle name="Labels 11 2 15" xfId="33757"/>
    <cellStyle name="Labels 11 2 16" xfId="34756"/>
    <cellStyle name="Labels 11 2 17" xfId="37316"/>
    <cellStyle name="Labels 11 2 2" xfId="16781"/>
    <cellStyle name="Labels 11 2 3" xfId="17760"/>
    <cellStyle name="Labels 11 2 4" xfId="18787"/>
    <cellStyle name="Labels 11 2 5" xfId="19819"/>
    <cellStyle name="Labels 11 2 6" xfId="20841"/>
    <cellStyle name="Labels 11 2 7" xfId="22823"/>
    <cellStyle name="Labels 11 2 8" xfId="23828"/>
    <cellStyle name="Labels 11 2 9" xfId="24800"/>
    <cellStyle name="Labels 11 3" xfId="16780"/>
    <cellStyle name="Labels 11 4" xfId="17759"/>
    <cellStyle name="Labels 11 5" xfId="18786"/>
    <cellStyle name="Labels 11 6" xfId="19818"/>
    <cellStyle name="Labels 11 7" xfId="20840"/>
    <cellStyle name="Labels 11 8" xfId="22822"/>
    <cellStyle name="Labels 11 9" xfId="23827"/>
    <cellStyle name="Labels 12" xfId="5008"/>
    <cellStyle name="Labels 12 10" xfId="24801"/>
    <cellStyle name="Labels 12 11" xfId="25800"/>
    <cellStyle name="Labels 12 12" xfId="29714"/>
    <cellStyle name="Labels 12 13" xfId="30756"/>
    <cellStyle name="Labels 12 14" xfId="31747"/>
    <cellStyle name="Labels 12 15" xfId="32755"/>
    <cellStyle name="Labels 12 16" xfId="33758"/>
    <cellStyle name="Labels 12 17" xfId="34757"/>
    <cellStyle name="Labels 12 18" xfId="37317"/>
    <cellStyle name="Labels 12 2" xfId="5009"/>
    <cellStyle name="Labels 12 2 10" xfId="25801"/>
    <cellStyle name="Labels 12 2 11" xfId="29715"/>
    <cellStyle name="Labels 12 2 12" xfId="30757"/>
    <cellStyle name="Labels 12 2 13" xfId="31748"/>
    <cellStyle name="Labels 12 2 14" xfId="32756"/>
    <cellStyle name="Labels 12 2 15" xfId="33759"/>
    <cellStyle name="Labels 12 2 16" xfId="34758"/>
    <cellStyle name="Labels 12 2 17" xfId="37318"/>
    <cellStyle name="Labels 12 2 2" xfId="16783"/>
    <cellStyle name="Labels 12 2 3" xfId="17762"/>
    <cellStyle name="Labels 12 2 4" xfId="18789"/>
    <cellStyle name="Labels 12 2 5" xfId="19821"/>
    <cellStyle name="Labels 12 2 6" xfId="20843"/>
    <cellStyle name="Labels 12 2 7" xfId="22825"/>
    <cellStyle name="Labels 12 2 8" xfId="23830"/>
    <cellStyle name="Labels 12 2 9" xfId="24802"/>
    <cellStyle name="Labels 12 3" xfId="16782"/>
    <cellStyle name="Labels 12 4" xfId="17761"/>
    <cellStyle name="Labels 12 5" xfId="18788"/>
    <cellStyle name="Labels 12 6" xfId="19820"/>
    <cellStyle name="Labels 12 7" xfId="20842"/>
    <cellStyle name="Labels 12 8" xfId="22824"/>
    <cellStyle name="Labels 12 9" xfId="23829"/>
    <cellStyle name="Labels 13" xfId="5010"/>
    <cellStyle name="Labels 13 10" xfId="24803"/>
    <cellStyle name="Labels 13 11" xfId="25802"/>
    <cellStyle name="Labels 13 12" xfId="29716"/>
    <cellStyle name="Labels 13 13" xfId="30758"/>
    <cellStyle name="Labels 13 14" xfId="31749"/>
    <cellStyle name="Labels 13 15" xfId="32757"/>
    <cellStyle name="Labels 13 16" xfId="33760"/>
    <cellStyle name="Labels 13 17" xfId="34759"/>
    <cellStyle name="Labels 13 18" xfId="37319"/>
    <cellStyle name="Labels 13 2" xfId="5011"/>
    <cellStyle name="Labels 13 2 10" xfId="25803"/>
    <cellStyle name="Labels 13 2 11" xfId="29717"/>
    <cellStyle name="Labels 13 2 12" xfId="30759"/>
    <cellStyle name="Labels 13 2 13" xfId="31750"/>
    <cellStyle name="Labels 13 2 14" xfId="32758"/>
    <cellStyle name="Labels 13 2 15" xfId="33761"/>
    <cellStyle name="Labels 13 2 16" xfId="34760"/>
    <cellStyle name="Labels 13 2 17" xfId="37320"/>
    <cellStyle name="Labels 13 2 2" xfId="16785"/>
    <cellStyle name="Labels 13 2 3" xfId="17764"/>
    <cellStyle name="Labels 13 2 4" xfId="18791"/>
    <cellStyle name="Labels 13 2 5" xfId="19823"/>
    <cellStyle name="Labels 13 2 6" xfId="20845"/>
    <cellStyle name="Labels 13 2 7" xfId="22827"/>
    <cellStyle name="Labels 13 2 8" xfId="23832"/>
    <cellStyle name="Labels 13 2 9" xfId="24804"/>
    <cellStyle name="Labels 13 3" xfId="16784"/>
    <cellStyle name="Labels 13 4" xfId="17763"/>
    <cellStyle name="Labels 13 5" xfId="18790"/>
    <cellStyle name="Labels 13 6" xfId="19822"/>
    <cellStyle name="Labels 13 7" xfId="20844"/>
    <cellStyle name="Labels 13 8" xfId="22826"/>
    <cellStyle name="Labels 13 9" xfId="23831"/>
    <cellStyle name="Labels 14" xfId="5012"/>
    <cellStyle name="Labels 14 10" xfId="24805"/>
    <cellStyle name="Labels 14 11" xfId="25804"/>
    <cellStyle name="Labels 14 12" xfId="29718"/>
    <cellStyle name="Labels 14 13" xfId="30760"/>
    <cellStyle name="Labels 14 14" xfId="31751"/>
    <cellStyle name="Labels 14 15" xfId="32759"/>
    <cellStyle name="Labels 14 16" xfId="33762"/>
    <cellStyle name="Labels 14 17" xfId="34761"/>
    <cellStyle name="Labels 14 18" xfId="37321"/>
    <cellStyle name="Labels 14 2" xfId="5013"/>
    <cellStyle name="Labels 14 2 10" xfId="25805"/>
    <cellStyle name="Labels 14 2 11" xfId="29719"/>
    <cellStyle name="Labels 14 2 12" xfId="30761"/>
    <cellStyle name="Labels 14 2 13" xfId="31752"/>
    <cellStyle name="Labels 14 2 14" xfId="32760"/>
    <cellStyle name="Labels 14 2 15" xfId="33763"/>
    <cellStyle name="Labels 14 2 16" xfId="34762"/>
    <cellStyle name="Labels 14 2 17" xfId="37322"/>
    <cellStyle name="Labels 14 2 2" xfId="16787"/>
    <cellStyle name="Labels 14 2 3" xfId="17766"/>
    <cellStyle name="Labels 14 2 4" xfId="18793"/>
    <cellStyle name="Labels 14 2 5" xfId="19825"/>
    <cellStyle name="Labels 14 2 6" xfId="20847"/>
    <cellStyle name="Labels 14 2 7" xfId="22829"/>
    <cellStyle name="Labels 14 2 8" xfId="23834"/>
    <cellStyle name="Labels 14 2 9" xfId="24806"/>
    <cellStyle name="Labels 14 3" xfId="16786"/>
    <cellStyle name="Labels 14 4" xfId="17765"/>
    <cellStyle name="Labels 14 5" xfId="18792"/>
    <cellStyle name="Labels 14 6" xfId="19824"/>
    <cellStyle name="Labels 14 7" xfId="20846"/>
    <cellStyle name="Labels 14 8" xfId="22828"/>
    <cellStyle name="Labels 14 9" xfId="23833"/>
    <cellStyle name="Labels 15" xfId="5014"/>
    <cellStyle name="Labels 15 10" xfId="25806"/>
    <cellStyle name="Labels 15 11" xfId="29720"/>
    <cellStyle name="Labels 15 12" xfId="30762"/>
    <cellStyle name="Labels 15 13" xfId="31753"/>
    <cellStyle name="Labels 15 14" xfId="32761"/>
    <cellStyle name="Labels 15 15" xfId="33764"/>
    <cellStyle name="Labels 15 16" xfId="34763"/>
    <cellStyle name="Labels 15 17" xfId="37323"/>
    <cellStyle name="Labels 15 2" xfId="16788"/>
    <cellStyle name="Labels 15 3" xfId="17767"/>
    <cellStyle name="Labels 15 4" xfId="18794"/>
    <cellStyle name="Labels 15 5" xfId="19826"/>
    <cellStyle name="Labels 15 6" xfId="20848"/>
    <cellStyle name="Labels 15 7" xfId="22830"/>
    <cellStyle name="Labels 15 8" xfId="23835"/>
    <cellStyle name="Labels 15 9" xfId="24807"/>
    <cellStyle name="Labels 16" xfId="5015"/>
    <cellStyle name="Labels 16 10" xfId="25807"/>
    <cellStyle name="Labels 16 11" xfId="29721"/>
    <cellStyle name="Labels 16 12" xfId="30763"/>
    <cellStyle name="Labels 16 13" xfId="31754"/>
    <cellStyle name="Labels 16 14" xfId="32762"/>
    <cellStyle name="Labels 16 15" xfId="33765"/>
    <cellStyle name="Labels 16 16" xfId="34764"/>
    <cellStyle name="Labels 16 17" xfId="37324"/>
    <cellStyle name="Labels 16 2" xfId="16789"/>
    <cellStyle name="Labels 16 3" xfId="17768"/>
    <cellStyle name="Labels 16 4" xfId="18795"/>
    <cellStyle name="Labels 16 5" xfId="19827"/>
    <cellStyle name="Labels 16 6" xfId="20849"/>
    <cellStyle name="Labels 16 7" xfId="22831"/>
    <cellStyle name="Labels 16 8" xfId="23836"/>
    <cellStyle name="Labels 16 9" xfId="24808"/>
    <cellStyle name="Labels 17" xfId="5016"/>
    <cellStyle name="Labels 17 10" xfId="25808"/>
    <cellStyle name="Labels 17 11" xfId="29722"/>
    <cellStyle name="Labels 17 12" xfId="30764"/>
    <cellStyle name="Labels 17 13" xfId="31755"/>
    <cellStyle name="Labels 17 14" xfId="32763"/>
    <cellStyle name="Labels 17 15" xfId="33766"/>
    <cellStyle name="Labels 17 16" xfId="34765"/>
    <cellStyle name="Labels 17 17" xfId="37325"/>
    <cellStyle name="Labels 17 2" xfId="16790"/>
    <cellStyle name="Labels 17 3" xfId="17769"/>
    <cellStyle name="Labels 17 4" xfId="18796"/>
    <cellStyle name="Labels 17 5" xfId="19828"/>
    <cellStyle name="Labels 17 6" xfId="20850"/>
    <cellStyle name="Labels 17 7" xfId="22832"/>
    <cellStyle name="Labels 17 8" xfId="23837"/>
    <cellStyle name="Labels 17 9" xfId="24809"/>
    <cellStyle name="Labels 18" xfId="5017"/>
    <cellStyle name="Labels 18 10" xfId="25809"/>
    <cellStyle name="Labels 18 11" xfId="29723"/>
    <cellStyle name="Labels 18 12" xfId="30765"/>
    <cellStyle name="Labels 18 13" xfId="31756"/>
    <cellStyle name="Labels 18 14" xfId="32764"/>
    <cellStyle name="Labels 18 15" xfId="33767"/>
    <cellStyle name="Labels 18 16" xfId="34766"/>
    <cellStyle name="Labels 18 17" xfId="37326"/>
    <cellStyle name="Labels 18 2" xfId="16791"/>
    <cellStyle name="Labels 18 3" xfId="17770"/>
    <cellStyle name="Labels 18 4" xfId="18797"/>
    <cellStyle name="Labels 18 5" xfId="19829"/>
    <cellStyle name="Labels 18 6" xfId="20851"/>
    <cellStyle name="Labels 18 7" xfId="22833"/>
    <cellStyle name="Labels 18 8" xfId="23838"/>
    <cellStyle name="Labels 18 9" xfId="24810"/>
    <cellStyle name="Labels 19" xfId="15081"/>
    <cellStyle name="Labels 2" xfId="5018"/>
    <cellStyle name="Labels 2 10" xfId="18918"/>
    <cellStyle name="Labels 2 11" xfId="13586"/>
    <cellStyle name="Labels 2 12" xfId="21893"/>
    <cellStyle name="Labels 2 13" xfId="27257"/>
    <cellStyle name="Labels 2 14" xfId="25880"/>
    <cellStyle name="Labels 2 15" xfId="29823"/>
    <cellStyle name="Labels 2 16" xfId="30849"/>
    <cellStyle name="Labels 2 17" xfId="27767"/>
    <cellStyle name="Labels 2 18" xfId="35363"/>
    <cellStyle name="Labels 2 2" xfId="5019"/>
    <cellStyle name="Labels 2 2 10" xfId="20955"/>
    <cellStyle name="Labels 2 2 11" xfId="14173"/>
    <cellStyle name="Labels 2 2 12" xfId="27686"/>
    <cellStyle name="Labels 2 2 13" xfId="25978"/>
    <cellStyle name="Labels 2 2 14" xfId="26576"/>
    <cellStyle name="Labels 2 2 15" xfId="27769"/>
    <cellStyle name="Labels 2 2 16" xfId="26902"/>
    <cellStyle name="Labels 2 2 17" xfId="35248"/>
    <cellStyle name="Labels 2 2 2" xfId="5020"/>
    <cellStyle name="Labels 2 2 2 10" xfId="24811"/>
    <cellStyle name="Labels 2 2 2 11" xfId="25810"/>
    <cellStyle name="Labels 2 2 2 12" xfId="29724"/>
    <cellStyle name="Labels 2 2 2 13" xfId="30766"/>
    <cellStyle name="Labels 2 2 2 14" xfId="31757"/>
    <cellStyle name="Labels 2 2 2 15" xfId="32765"/>
    <cellStyle name="Labels 2 2 2 16" xfId="33768"/>
    <cellStyle name="Labels 2 2 2 17" xfId="34767"/>
    <cellStyle name="Labels 2 2 2 18" xfId="37327"/>
    <cellStyle name="Labels 2 2 2 2" xfId="5021"/>
    <cellStyle name="Labels 2 2 2 2 10" xfId="25811"/>
    <cellStyle name="Labels 2 2 2 2 11" xfId="29725"/>
    <cellStyle name="Labels 2 2 2 2 12" xfId="30767"/>
    <cellStyle name="Labels 2 2 2 2 13" xfId="31758"/>
    <cellStyle name="Labels 2 2 2 2 14" xfId="32766"/>
    <cellStyle name="Labels 2 2 2 2 15" xfId="33769"/>
    <cellStyle name="Labels 2 2 2 2 16" xfId="34768"/>
    <cellStyle name="Labels 2 2 2 2 17" xfId="37328"/>
    <cellStyle name="Labels 2 2 2 2 2" xfId="16793"/>
    <cellStyle name="Labels 2 2 2 2 3" xfId="17772"/>
    <cellStyle name="Labels 2 2 2 2 4" xfId="18799"/>
    <cellStyle name="Labels 2 2 2 2 5" xfId="19831"/>
    <cellStyle name="Labels 2 2 2 2 6" xfId="20853"/>
    <cellStyle name="Labels 2 2 2 2 7" xfId="22835"/>
    <cellStyle name="Labels 2 2 2 2 8" xfId="23840"/>
    <cellStyle name="Labels 2 2 2 2 9" xfId="24812"/>
    <cellStyle name="Labels 2 2 2 3" xfId="16792"/>
    <cellStyle name="Labels 2 2 2 4" xfId="17771"/>
    <cellStyle name="Labels 2 2 2 5" xfId="18798"/>
    <cellStyle name="Labels 2 2 2 6" xfId="19830"/>
    <cellStyle name="Labels 2 2 2 7" xfId="20852"/>
    <cellStyle name="Labels 2 2 2 8" xfId="22834"/>
    <cellStyle name="Labels 2 2 2 9" xfId="23839"/>
    <cellStyle name="Labels 2 2 3" xfId="5022"/>
    <cellStyle name="Labels 2 2 3 10" xfId="24813"/>
    <cellStyle name="Labels 2 2 3 11" xfId="25812"/>
    <cellStyle name="Labels 2 2 3 12" xfId="29726"/>
    <cellStyle name="Labels 2 2 3 13" xfId="30768"/>
    <cellStyle name="Labels 2 2 3 14" xfId="31759"/>
    <cellStyle name="Labels 2 2 3 15" xfId="32767"/>
    <cellStyle name="Labels 2 2 3 16" xfId="33770"/>
    <cellStyle name="Labels 2 2 3 17" xfId="34769"/>
    <cellStyle name="Labels 2 2 3 18" xfId="37329"/>
    <cellStyle name="Labels 2 2 3 2" xfId="5023"/>
    <cellStyle name="Labels 2 2 3 2 10" xfId="25813"/>
    <cellStyle name="Labels 2 2 3 2 11" xfId="29727"/>
    <cellStyle name="Labels 2 2 3 2 12" xfId="30769"/>
    <cellStyle name="Labels 2 2 3 2 13" xfId="31760"/>
    <cellStyle name="Labels 2 2 3 2 14" xfId="32768"/>
    <cellStyle name="Labels 2 2 3 2 15" xfId="33771"/>
    <cellStyle name="Labels 2 2 3 2 16" xfId="34770"/>
    <cellStyle name="Labels 2 2 3 2 17" xfId="37330"/>
    <cellStyle name="Labels 2 2 3 2 2" xfId="16795"/>
    <cellStyle name="Labels 2 2 3 2 3" xfId="17774"/>
    <cellStyle name="Labels 2 2 3 2 4" xfId="18801"/>
    <cellStyle name="Labels 2 2 3 2 5" xfId="19833"/>
    <cellStyle name="Labels 2 2 3 2 6" xfId="20855"/>
    <cellStyle name="Labels 2 2 3 2 7" xfId="22837"/>
    <cellStyle name="Labels 2 2 3 2 8" xfId="23842"/>
    <cellStyle name="Labels 2 2 3 2 9" xfId="24814"/>
    <cellStyle name="Labels 2 2 3 3" xfId="16794"/>
    <cellStyle name="Labels 2 2 3 4" xfId="17773"/>
    <cellStyle name="Labels 2 2 3 5" xfId="18800"/>
    <cellStyle name="Labels 2 2 3 6" xfId="19832"/>
    <cellStyle name="Labels 2 2 3 7" xfId="20854"/>
    <cellStyle name="Labels 2 2 3 8" xfId="22836"/>
    <cellStyle name="Labels 2 2 3 9" xfId="23841"/>
    <cellStyle name="Labels 2 2 4" xfId="5024"/>
    <cellStyle name="Labels 2 2 4 10" xfId="25814"/>
    <cellStyle name="Labels 2 2 4 11" xfId="29728"/>
    <cellStyle name="Labels 2 2 4 12" xfId="30770"/>
    <cellStyle name="Labels 2 2 4 13" xfId="31761"/>
    <cellStyle name="Labels 2 2 4 14" xfId="32769"/>
    <cellStyle name="Labels 2 2 4 15" xfId="33772"/>
    <cellStyle name="Labels 2 2 4 16" xfId="34771"/>
    <cellStyle name="Labels 2 2 4 17" xfId="37331"/>
    <cellStyle name="Labels 2 2 4 2" xfId="16796"/>
    <cellStyle name="Labels 2 2 4 3" xfId="17775"/>
    <cellStyle name="Labels 2 2 4 4" xfId="18802"/>
    <cellStyle name="Labels 2 2 4 5" xfId="19834"/>
    <cellStyle name="Labels 2 2 4 6" xfId="20856"/>
    <cellStyle name="Labels 2 2 4 7" xfId="22838"/>
    <cellStyle name="Labels 2 2 4 8" xfId="23843"/>
    <cellStyle name="Labels 2 2 4 9" xfId="24815"/>
    <cellStyle name="Labels 2 2 5" xfId="5025"/>
    <cellStyle name="Labels 2 2 5 10" xfId="25815"/>
    <cellStyle name="Labels 2 2 5 11" xfId="29729"/>
    <cellStyle name="Labels 2 2 5 12" xfId="30771"/>
    <cellStyle name="Labels 2 2 5 13" xfId="31762"/>
    <cellStyle name="Labels 2 2 5 14" xfId="32770"/>
    <cellStyle name="Labels 2 2 5 15" xfId="33773"/>
    <cellStyle name="Labels 2 2 5 16" xfId="34772"/>
    <cellStyle name="Labels 2 2 5 17" xfId="37332"/>
    <cellStyle name="Labels 2 2 5 2" xfId="16797"/>
    <cellStyle name="Labels 2 2 5 3" xfId="17776"/>
    <cellStyle name="Labels 2 2 5 4" xfId="18803"/>
    <cellStyle name="Labels 2 2 5 5" xfId="19835"/>
    <cellStyle name="Labels 2 2 5 6" xfId="20857"/>
    <cellStyle name="Labels 2 2 5 7" xfId="22839"/>
    <cellStyle name="Labels 2 2 5 8" xfId="23844"/>
    <cellStyle name="Labels 2 2 5 9" xfId="24816"/>
    <cellStyle name="Labels 2 2 6" xfId="13927"/>
    <cellStyle name="Labels 2 2 7" xfId="15807"/>
    <cellStyle name="Labels 2 2 8" xfId="13660"/>
    <cellStyle name="Labels 2 2 9" xfId="14242"/>
    <cellStyle name="Labels 2 3" xfId="5026"/>
    <cellStyle name="Labels 2 3 10" xfId="24817"/>
    <cellStyle name="Labels 2 3 11" xfId="25816"/>
    <cellStyle name="Labels 2 3 12" xfId="29730"/>
    <cellStyle name="Labels 2 3 13" xfId="30772"/>
    <cellStyle name="Labels 2 3 14" xfId="31763"/>
    <cellStyle name="Labels 2 3 15" xfId="32771"/>
    <cellStyle name="Labels 2 3 16" xfId="33774"/>
    <cellStyle name="Labels 2 3 17" xfId="34773"/>
    <cellStyle name="Labels 2 3 18" xfId="37333"/>
    <cellStyle name="Labels 2 3 2" xfId="5027"/>
    <cellStyle name="Labels 2 3 2 10" xfId="25817"/>
    <cellStyle name="Labels 2 3 2 11" xfId="29731"/>
    <cellStyle name="Labels 2 3 2 12" xfId="30773"/>
    <cellStyle name="Labels 2 3 2 13" xfId="31764"/>
    <cellStyle name="Labels 2 3 2 14" xfId="32772"/>
    <cellStyle name="Labels 2 3 2 15" xfId="33775"/>
    <cellStyle name="Labels 2 3 2 16" xfId="34774"/>
    <cellStyle name="Labels 2 3 2 17" xfId="37334"/>
    <cellStyle name="Labels 2 3 2 2" xfId="16799"/>
    <cellStyle name="Labels 2 3 2 3" xfId="17778"/>
    <cellStyle name="Labels 2 3 2 4" xfId="18805"/>
    <cellStyle name="Labels 2 3 2 5" xfId="19837"/>
    <cellStyle name="Labels 2 3 2 6" xfId="20859"/>
    <cellStyle name="Labels 2 3 2 7" xfId="22841"/>
    <cellStyle name="Labels 2 3 2 8" xfId="23846"/>
    <cellStyle name="Labels 2 3 2 9" xfId="24818"/>
    <cellStyle name="Labels 2 3 3" xfId="16798"/>
    <cellStyle name="Labels 2 3 4" xfId="17777"/>
    <cellStyle name="Labels 2 3 5" xfId="18804"/>
    <cellStyle name="Labels 2 3 6" xfId="19836"/>
    <cellStyle name="Labels 2 3 7" xfId="20858"/>
    <cellStyle name="Labels 2 3 8" xfId="22840"/>
    <cellStyle name="Labels 2 3 9" xfId="23845"/>
    <cellStyle name="Labels 2 4" xfId="5028"/>
    <cellStyle name="Labels 2 4 10" xfId="24819"/>
    <cellStyle name="Labels 2 4 11" xfId="25818"/>
    <cellStyle name="Labels 2 4 12" xfId="29732"/>
    <cellStyle name="Labels 2 4 13" xfId="30774"/>
    <cellStyle name="Labels 2 4 14" xfId="31765"/>
    <cellStyle name="Labels 2 4 15" xfId="32773"/>
    <cellStyle name="Labels 2 4 16" xfId="33776"/>
    <cellStyle name="Labels 2 4 17" xfId="34775"/>
    <cellStyle name="Labels 2 4 18" xfId="37335"/>
    <cellStyle name="Labels 2 4 2" xfId="5029"/>
    <cellStyle name="Labels 2 4 2 10" xfId="25819"/>
    <cellStyle name="Labels 2 4 2 11" xfId="29733"/>
    <cellStyle name="Labels 2 4 2 12" xfId="30775"/>
    <cellStyle name="Labels 2 4 2 13" xfId="31766"/>
    <cellStyle name="Labels 2 4 2 14" xfId="32774"/>
    <cellStyle name="Labels 2 4 2 15" xfId="33777"/>
    <cellStyle name="Labels 2 4 2 16" xfId="34776"/>
    <cellStyle name="Labels 2 4 2 17" xfId="37336"/>
    <cellStyle name="Labels 2 4 2 2" xfId="16801"/>
    <cellStyle name="Labels 2 4 2 3" xfId="17780"/>
    <cellStyle name="Labels 2 4 2 4" xfId="18807"/>
    <cellStyle name="Labels 2 4 2 5" xfId="19839"/>
    <cellStyle name="Labels 2 4 2 6" xfId="20861"/>
    <cellStyle name="Labels 2 4 2 7" xfId="22843"/>
    <cellStyle name="Labels 2 4 2 8" xfId="23848"/>
    <cellStyle name="Labels 2 4 2 9" xfId="24820"/>
    <cellStyle name="Labels 2 4 3" xfId="16800"/>
    <cellStyle name="Labels 2 4 4" xfId="17779"/>
    <cellStyle name="Labels 2 4 5" xfId="18806"/>
    <cellStyle name="Labels 2 4 6" xfId="19838"/>
    <cellStyle name="Labels 2 4 7" xfId="20860"/>
    <cellStyle name="Labels 2 4 8" xfId="22842"/>
    <cellStyle name="Labels 2 4 9" xfId="23847"/>
    <cellStyle name="Labels 2 5" xfId="5030"/>
    <cellStyle name="Labels 2 5 10" xfId="25820"/>
    <cellStyle name="Labels 2 5 11" xfId="29734"/>
    <cellStyle name="Labels 2 5 12" xfId="30776"/>
    <cellStyle name="Labels 2 5 13" xfId="31767"/>
    <cellStyle name="Labels 2 5 14" xfId="32775"/>
    <cellStyle name="Labels 2 5 15" xfId="33778"/>
    <cellStyle name="Labels 2 5 16" xfId="34777"/>
    <cellStyle name="Labels 2 5 17" xfId="37337"/>
    <cellStyle name="Labels 2 5 2" xfId="16802"/>
    <cellStyle name="Labels 2 5 3" xfId="17781"/>
    <cellStyle name="Labels 2 5 4" xfId="18808"/>
    <cellStyle name="Labels 2 5 5" xfId="19840"/>
    <cellStyle name="Labels 2 5 6" xfId="20862"/>
    <cellStyle name="Labels 2 5 7" xfId="22844"/>
    <cellStyle name="Labels 2 5 8" xfId="23849"/>
    <cellStyle name="Labels 2 5 9" xfId="24821"/>
    <cellStyle name="Labels 2 6" xfId="5031"/>
    <cellStyle name="Labels 2 6 10" xfId="25821"/>
    <cellStyle name="Labels 2 6 11" xfId="29735"/>
    <cellStyle name="Labels 2 6 12" xfId="30777"/>
    <cellStyle name="Labels 2 6 13" xfId="31768"/>
    <cellStyle name="Labels 2 6 14" xfId="32776"/>
    <cellStyle name="Labels 2 6 15" xfId="33779"/>
    <cellStyle name="Labels 2 6 16" xfId="34778"/>
    <cellStyle name="Labels 2 6 17" xfId="37338"/>
    <cellStyle name="Labels 2 6 2" xfId="16803"/>
    <cellStyle name="Labels 2 6 3" xfId="17782"/>
    <cellStyle name="Labels 2 6 4" xfId="18809"/>
    <cellStyle name="Labels 2 6 5" xfId="19841"/>
    <cellStyle name="Labels 2 6 6" xfId="20863"/>
    <cellStyle name="Labels 2 6 7" xfId="22845"/>
    <cellStyle name="Labels 2 6 8" xfId="23850"/>
    <cellStyle name="Labels 2 6 9" xfId="24822"/>
    <cellStyle name="Labels 2 7" xfId="13646"/>
    <cellStyle name="Labels 2 8" xfId="15159"/>
    <cellStyle name="Labels 2 9" xfId="13629"/>
    <cellStyle name="Labels 20" xfId="13391"/>
    <cellStyle name="Labels 21" xfId="14338"/>
    <cellStyle name="Labels 22" xfId="18909"/>
    <cellStyle name="Labels 23" xfId="19915"/>
    <cellStyle name="Labels 24" xfId="20952"/>
    <cellStyle name="Labels 25" xfId="21899"/>
    <cellStyle name="Labels 26" xfId="22906"/>
    <cellStyle name="Labels 27" xfId="23907"/>
    <cellStyle name="Labels 28" xfId="25992"/>
    <cellStyle name="Labels 29" xfId="26066"/>
    <cellStyle name="Labels 3" xfId="5032"/>
    <cellStyle name="Labels 3 10" xfId="15396"/>
    <cellStyle name="Labels 3 11" xfId="15448"/>
    <cellStyle name="Labels 3 12" xfId="27189"/>
    <cellStyle name="Labels 3 13" xfId="27513"/>
    <cellStyle name="Labels 3 14" xfId="29771"/>
    <cellStyle name="Labels 3 15" xfId="27298"/>
    <cellStyle name="Labels 3 16" xfId="26836"/>
    <cellStyle name="Labels 3 17" xfId="35343"/>
    <cellStyle name="Labels 3 2" xfId="5033"/>
    <cellStyle name="Labels 3 2 10" xfId="24823"/>
    <cellStyle name="Labels 3 2 11" xfId="25822"/>
    <cellStyle name="Labels 3 2 12" xfId="29736"/>
    <cellStyle name="Labels 3 2 13" xfId="30778"/>
    <cellStyle name="Labels 3 2 14" xfId="31769"/>
    <cellStyle name="Labels 3 2 15" xfId="32777"/>
    <cellStyle name="Labels 3 2 16" xfId="33780"/>
    <cellStyle name="Labels 3 2 17" xfId="34779"/>
    <cellStyle name="Labels 3 2 18" xfId="37339"/>
    <cellStyle name="Labels 3 2 2" xfId="5034"/>
    <cellStyle name="Labels 3 2 2 10" xfId="25823"/>
    <cellStyle name="Labels 3 2 2 11" xfId="29737"/>
    <cellStyle name="Labels 3 2 2 12" xfId="30779"/>
    <cellStyle name="Labels 3 2 2 13" xfId="31770"/>
    <cellStyle name="Labels 3 2 2 14" xfId="32778"/>
    <cellStyle name="Labels 3 2 2 15" xfId="33781"/>
    <cellStyle name="Labels 3 2 2 16" xfId="34780"/>
    <cellStyle name="Labels 3 2 2 17" xfId="37340"/>
    <cellStyle name="Labels 3 2 2 2" xfId="16805"/>
    <cellStyle name="Labels 3 2 2 3" xfId="17784"/>
    <cellStyle name="Labels 3 2 2 4" xfId="18811"/>
    <cellStyle name="Labels 3 2 2 5" xfId="19843"/>
    <cellStyle name="Labels 3 2 2 6" xfId="20865"/>
    <cellStyle name="Labels 3 2 2 7" xfId="22847"/>
    <cellStyle name="Labels 3 2 2 8" xfId="23852"/>
    <cellStyle name="Labels 3 2 2 9" xfId="24824"/>
    <cellStyle name="Labels 3 2 3" xfId="16804"/>
    <cellStyle name="Labels 3 2 4" xfId="17783"/>
    <cellStyle name="Labels 3 2 5" xfId="18810"/>
    <cellStyle name="Labels 3 2 6" xfId="19842"/>
    <cellStyle name="Labels 3 2 7" xfId="20864"/>
    <cellStyle name="Labels 3 2 8" xfId="22846"/>
    <cellStyle name="Labels 3 2 9" xfId="23851"/>
    <cellStyle name="Labels 3 3" xfId="5035"/>
    <cellStyle name="Labels 3 3 10" xfId="24825"/>
    <cellStyle name="Labels 3 3 11" xfId="25824"/>
    <cellStyle name="Labels 3 3 12" xfId="29738"/>
    <cellStyle name="Labels 3 3 13" xfId="30780"/>
    <cellStyle name="Labels 3 3 14" xfId="31771"/>
    <cellStyle name="Labels 3 3 15" xfId="32779"/>
    <cellStyle name="Labels 3 3 16" xfId="33782"/>
    <cellStyle name="Labels 3 3 17" xfId="34781"/>
    <cellStyle name="Labels 3 3 18" xfId="37341"/>
    <cellStyle name="Labels 3 3 2" xfId="5036"/>
    <cellStyle name="Labels 3 3 2 10" xfId="25825"/>
    <cellStyle name="Labels 3 3 2 11" xfId="29739"/>
    <cellStyle name="Labels 3 3 2 12" xfId="30781"/>
    <cellStyle name="Labels 3 3 2 13" xfId="31772"/>
    <cellStyle name="Labels 3 3 2 14" xfId="32780"/>
    <cellStyle name="Labels 3 3 2 15" xfId="33783"/>
    <cellStyle name="Labels 3 3 2 16" xfId="34782"/>
    <cellStyle name="Labels 3 3 2 17" xfId="37342"/>
    <cellStyle name="Labels 3 3 2 2" xfId="16807"/>
    <cellStyle name="Labels 3 3 2 3" xfId="17786"/>
    <cellStyle name="Labels 3 3 2 4" xfId="18813"/>
    <cellStyle name="Labels 3 3 2 5" xfId="19845"/>
    <cellStyle name="Labels 3 3 2 6" xfId="20867"/>
    <cellStyle name="Labels 3 3 2 7" xfId="22849"/>
    <cellStyle name="Labels 3 3 2 8" xfId="23854"/>
    <cellStyle name="Labels 3 3 2 9" xfId="24826"/>
    <cellStyle name="Labels 3 3 3" xfId="16806"/>
    <cellStyle name="Labels 3 3 4" xfId="17785"/>
    <cellStyle name="Labels 3 3 5" xfId="18812"/>
    <cellStyle name="Labels 3 3 6" xfId="19844"/>
    <cellStyle name="Labels 3 3 7" xfId="20866"/>
    <cellStyle name="Labels 3 3 8" xfId="22848"/>
    <cellStyle name="Labels 3 3 9" xfId="23853"/>
    <cellStyle name="Labels 3 4" xfId="5037"/>
    <cellStyle name="Labels 3 4 10" xfId="25826"/>
    <cellStyle name="Labels 3 4 11" xfId="29740"/>
    <cellStyle name="Labels 3 4 12" xfId="30782"/>
    <cellStyle name="Labels 3 4 13" xfId="31773"/>
    <cellStyle name="Labels 3 4 14" xfId="32781"/>
    <cellStyle name="Labels 3 4 15" xfId="33784"/>
    <cellStyle name="Labels 3 4 16" xfId="34783"/>
    <cellStyle name="Labels 3 4 17" xfId="37343"/>
    <cellStyle name="Labels 3 4 2" xfId="16808"/>
    <cellStyle name="Labels 3 4 3" xfId="17787"/>
    <cellStyle name="Labels 3 4 4" xfId="18814"/>
    <cellStyle name="Labels 3 4 5" xfId="19846"/>
    <cellStyle name="Labels 3 4 6" xfId="20868"/>
    <cellStyle name="Labels 3 4 7" xfId="22850"/>
    <cellStyle name="Labels 3 4 8" xfId="23855"/>
    <cellStyle name="Labels 3 4 9" xfId="24827"/>
    <cellStyle name="Labels 3 5" xfId="5038"/>
    <cellStyle name="Labels 3 5 10" xfId="25827"/>
    <cellStyle name="Labels 3 5 11" xfId="29741"/>
    <cellStyle name="Labels 3 5 12" xfId="30783"/>
    <cellStyle name="Labels 3 5 13" xfId="31774"/>
    <cellStyle name="Labels 3 5 14" xfId="32782"/>
    <cellStyle name="Labels 3 5 15" xfId="33785"/>
    <cellStyle name="Labels 3 5 16" xfId="34784"/>
    <cellStyle name="Labels 3 5 17" xfId="37344"/>
    <cellStyle name="Labels 3 5 2" xfId="16809"/>
    <cellStyle name="Labels 3 5 3" xfId="17788"/>
    <cellStyle name="Labels 3 5 4" xfId="18815"/>
    <cellStyle name="Labels 3 5 5" xfId="19847"/>
    <cellStyle name="Labels 3 5 6" xfId="20869"/>
    <cellStyle name="Labels 3 5 7" xfId="22851"/>
    <cellStyle name="Labels 3 5 8" xfId="23856"/>
    <cellStyle name="Labels 3 5 9" xfId="24828"/>
    <cellStyle name="Labels 3 6" xfId="13900"/>
    <cellStyle name="Labels 3 7" xfId="13709"/>
    <cellStyle name="Labels 3 8" xfId="14726"/>
    <cellStyle name="Labels 3 9" xfId="14811"/>
    <cellStyle name="Labels 30" xfId="28786"/>
    <cellStyle name="Labels 31" xfId="29801"/>
    <cellStyle name="Labels 32" xfId="30842"/>
    <cellStyle name="Labels 33" xfId="31830"/>
    <cellStyle name="Labels 34" xfId="26676"/>
    <cellStyle name="Labels 35" xfId="34869"/>
    <cellStyle name="Labels 36" xfId="34859"/>
    <cellStyle name="Labels 37" xfId="34932"/>
    <cellStyle name="Labels 38" xfId="37485"/>
    <cellStyle name="Labels 39" xfId="37501"/>
    <cellStyle name="Labels 4" xfId="5039"/>
    <cellStyle name="Labels 4 10" xfId="15770"/>
    <cellStyle name="Labels 4 11" xfId="20934"/>
    <cellStyle name="Labels 4 12" xfId="25932"/>
    <cellStyle name="Labels 4 13" xfId="25885"/>
    <cellStyle name="Labels 4 14" xfId="26762"/>
    <cellStyle name="Labels 4 15" xfId="29810"/>
    <cellStyle name="Labels 4 16" xfId="26263"/>
    <cellStyle name="Labels 4 17" xfId="34836"/>
    <cellStyle name="Labels 4 2" xfId="5040"/>
    <cellStyle name="Labels 4 2 10" xfId="24829"/>
    <cellStyle name="Labels 4 2 11" xfId="25828"/>
    <cellStyle name="Labels 4 2 12" xfId="29742"/>
    <cellStyle name="Labels 4 2 13" xfId="30784"/>
    <cellStyle name="Labels 4 2 14" xfId="31775"/>
    <cellStyle name="Labels 4 2 15" xfId="32783"/>
    <cellStyle name="Labels 4 2 16" xfId="33786"/>
    <cellStyle name="Labels 4 2 17" xfId="34785"/>
    <cellStyle name="Labels 4 2 18" xfId="37345"/>
    <cellStyle name="Labels 4 2 2" xfId="5041"/>
    <cellStyle name="Labels 4 2 2 10" xfId="25829"/>
    <cellStyle name="Labels 4 2 2 11" xfId="29743"/>
    <cellStyle name="Labels 4 2 2 12" xfId="30785"/>
    <cellStyle name="Labels 4 2 2 13" xfId="31776"/>
    <cellStyle name="Labels 4 2 2 14" xfId="32784"/>
    <cellStyle name="Labels 4 2 2 15" xfId="33787"/>
    <cellStyle name="Labels 4 2 2 16" xfId="34786"/>
    <cellStyle name="Labels 4 2 2 17" xfId="37346"/>
    <cellStyle name="Labels 4 2 2 2" xfId="16811"/>
    <cellStyle name="Labels 4 2 2 3" xfId="17790"/>
    <cellStyle name="Labels 4 2 2 4" xfId="18817"/>
    <cellStyle name="Labels 4 2 2 5" xfId="19849"/>
    <cellStyle name="Labels 4 2 2 6" xfId="20871"/>
    <cellStyle name="Labels 4 2 2 7" xfId="22853"/>
    <cellStyle name="Labels 4 2 2 8" xfId="23858"/>
    <cellStyle name="Labels 4 2 2 9" xfId="24830"/>
    <cellStyle name="Labels 4 2 3" xfId="16810"/>
    <cellStyle name="Labels 4 2 4" xfId="17789"/>
    <cellStyle name="Labels 4 2 5" xfId="18816"/>
    <cellStyle name="Labels 4 2 6" xfId="19848"/>
    <cellStyle name="Labels 4 2 7" xfId="20870"/>
    <cellStyle name="Labels 4 2 8" xfId="22852"/>
    <cellStyle name="Labels 4 2 9" xfId="23857"/>
    <cellStyle name="Labels 4 3" xfId="5042"/>
    <cellStyle name="Labels 4 3 10" xfId="24831"/>
    <cellStyle name="Labels 4 3 11" xfId="25830"/>
    <cellStyle name="Labels 4 3 12" xfId="29744"/>
    <cellStyle name="Labels 4 3 13" xfId="30786"/>
    <cellStyle name="Labels 4 3 14" xfId="31777"/>
    <cellStyle name="Labels 4 3 15" xfId="32785"/>
    <cellStyle name="Labels 4 3 16" xfId="33788"/>
    <cellStyle name="Labels 4 3 17" xfId="34787"/>
    <cellStyle name="Labels 4 3 18" xfId="37347"/>
    <cellStyle name="Labels 4 3 2" xfId="5043"/>
    <cellStyle name="Labels 4 3 2 10" xfId="25831"/>
    <cellStyle name="Labels 4 3 2 11" xfId="29745"/>
    <cellStyle name="Labels 4 3 2 12" xfId="30787"/>
    <cellStyle name="Labels 4 3 2 13" xfId="31778"/>
    <cellStyle name="Labels 4 3 2 14" xfId="32786"/>
    <cellStyle name="Labels 4 3 2 15" xfId="33789"/>
    <cellStyle name="Labels 4 3 2 16" xfId="34788"/>
    <cellStyle name="Labels 4 3 2 17" xfId="37348"/>
    <cellStyle name="Labels 4 3 2 2" xfId="16813"/>
    <cellStyle name="Labels 4 3 2 3" xfId="17792"/>
    <cellStyle name="Labels 4 3 2 4" xfId="18819"/>
    <cellStyle name="Labels 4 3 2 5" xfId="19851"/>
    <cellStyle name="Labels 4 3 2 6" xfId="20873"/>
    <cellStyle name="Labels 4 3 2 7" xfId="22855"/>
    <cellStyle name="Labels 4 3 2 8" xfId="23860"/>
    <cellStyle name="Labels 4 3 2 9" xfId="24832"/>
    <cellStyle name="Labels 4 3 3" xfId="16812"/>
    <cellStyle name="Labels 4 3 4" xfId="17791"/>
    <cellStyle name="Labels 4 3 5" xfId="18818"/>
    <cellStyle name="Labels 4 3 6" xfId="19850"/>
    <cellStyle name="Labels 4 3 7" xfId="20872"/>
    <cellStyle name="Labels 4 3 8" xfId="22854"/>
    <cellStyle name="Labels 4 3 9" xfId="23859"/>
    <cellStyle name="Labels 4 4" xfId="5044"/>
    <cellStyle name="Labels 4 4 10" xfId="25832"/>
    <cellStyle name="Labels 4 4 11" xfId="29746"/>
    <cellStyle name="Labels 4 4 12" xfId="30788"/>
    <cellStyle name="Labels 4 4 13" xfId="31779"/>
    <cellStyle name="Labels 4 4 14" xfId="32787"/>
    <cellStyle name="Labels 4 4 15" xfId="33790"/>
    <cellStyle name="Labels 4 4 16" xfId="34789"/>
    <cellStyle name="Labels 4 4 17" xfId="37349"/>
    <cellStyle name="Labels 4 4 2" xfId="16814"/>
    <cellStyle name="Labels 4 4 3" xfId="17793"/>
    <cellStyle name="Labels 4 4 4" xfId="18820"/>
    <cellStyle name="Labels 4 4 5" xfId="19852"/>
    <cellStyle name="Labels 4 4 6" xfId="20874"/>
    <cellStyle name="Labels 4 4 7" xfId="22856"/>
    <cellStyle name="Labels 4 4 8" xfId="23861"/>
    <cellStyle name="Labels 4 4 9" xfId="24833"/>
    <cellStyle name="Labels 4 5" xfId="5045"/>
    <cellStyle name="Labels 4 5 10" xfId="25833"/>
    <cellStyle name="Labels 4 5 11" xfId="29747"/>
    <cellStyle name="Labels 4 5 12" xfId="30789"/>
    <cellStyle name="Labels 4 5 13" xfId="31780"/>
    <cellStyle name="Labels 4 5 14" xfId="32788"/>
    <cellStyle name="Labels 4 5 15" xfId="33791"/>
    <cellStyle name="Labels 4 5 16" xfId="34790"/>
    <cellStyle name="Labels 4 5 17" xfId="37350"/>
    <cellStyle name="Labels 4 5 2" xfId="16815"/>
    <cellStyle name="Labels 4 5 3" xfId="17794"/>
    <cellStyle name="Labels 4 5 4" xfId="18821"/>
    <cellStyle name="Labels 4 5 5" xfId="19853"/>
    <cellStyle name="Labels 4 5 6" xfId="20875"/>
    <cellStyle name="Labels 4 5 7" xfId="22857"/>
    <cellStyle name="Labels 4 5 8" xfId="23862"/>
    <cellStyle name="Labels 4 5 9" xfId="24834"/>
    <cellStyle name="Labels 4 6" xfId="13913"/>
    <cellStyle name="Labels 4 7" xfId="13749"/>
    <cellStyle name="Labels 4 8" xfId="15245"/>
    <cellStyle name="Labels 4 9" xfId="15719"/>
    <cellStyle name="Labels 40" xfId="37478"/>
    <cellStyle name="Labels 41" xfId="37500"/>
    <cellStyle name="Labels 42" xfId="37487"/>
    <cellStyle name="Labels 43" xfId="37499"/>
    <cellStyle name="Labels 44" xfId="37488"/>
    <cellStyle name="Labels 45" xfId="37498"/>
    <cellStyle name="Labels 46" xfId="37489"/>
    <cellStyle name="Labels 47" xfId="37497"/>
    <cellStyle name="Labels 48" xfId="37490"/>
    <cellStyle name="Labels 49" xfId="37496"/>
    <cellStyle name="Labels 5" xfId="5046"/>
    <cellStyle name="Labels 5 10" xfId="15613"/>
    <cellStyle name="Labels 5 11" xfId="13410"/>
    <cellStyle name="Labels 5 12" xfId="27689"/>
    <cellStyle name="Labels 5 13" xfId="27347"/>
    <cellStyle name="Labels 5 14" xfId="27446"/>
    <cellStyle name="Labels 5 15" xfId="26947"/>
    <cellStyle name="Labels 5 16" xfId="34847"/>
    <cellStyle name="Labels 5 2" xfId="5047"/>
    <cellStyle name="Labels 5 2 10" xfId="24835"/>
    <cellStyle name="Labels 5 2 11" xfId="25834"/>
    <cellStyle name="Labels 5 2 12" xfId="29748"/>
    <cellStyle name="Labels 5 2 13" xfId="30790"/>
    <cellStyle name="Labels 5 2 14" xfId="31781"/>
    <cellStyle name="Labels 5 2 15" xfId="32789"/>
    <cellStyle name="Labels 5 2 16" xfId="33792"/>
    <cellStyle name="Labels 5 2 17" xfId="34791"/>
    <cellStyle name="Labels 5 2 18" xfId="37351"/>
    <cellStyle name="Labels 5 2 2" xfId="5048"/>
    <cellStyle name="Labels 5 2 2 10" xfId="25835"/>
    <cellStyle name="Labels 5 2 2 11" xfId="29749"/>
    <cellStyle name="Labels 5 2 2 12" xfId="30791"/>
    <cellStyle name="Labels 5 2 2 13" xfId="31782"/>
    <cellStyle name="Labels 5 2 2 14" xfId="32790"/>
    <cellStyle name="Labels 5 2 2 15" xfId="33793"/>
    <cellStyle name="Labels 5 2 2 16" xfId="34792"/>
    <cellStyle name="Labels 5 2 2 17" xfId="37352"/>
    <cellStyle name="Labels 5 2 2 2" xfId="16817"/>
    <cellStyle name="Labels 5 2 2 3" xfId="17796"/>
    <cellStyle name="Labels 5 2 2 4" xfId="18823"/>
    <cellStyle name="Labels 5 2 2 5" xfId="19855"/>
    <cellStyle name="Labels 5 2 2 6" xfId="20877"/>
    <cellStyle name="Labels 5 2 2 7" xfId="22859"/>
    <cellStyle name="Labels 5 2 2 8" xfId="23864"/>
    <cellStyle name="Labels 5 2 2 9" xfId="24836"/>
    <cellStyle name="Labels 5 2 3" xfId="16816"/>
    <cellStyle name="Labels 5 2 4" xfId="17795"/>
    <cellStyle name="Labels 5 2 5" xfId="18822"/>
    <cellStyle name="Labels 5 2 6" xfId="19854"/>
    <cellStyle name="Labels 5 2 7" xfId="20876"/>
    <cellStyle name="Labels 5 2 8" xfId="22858"/>
    <cellStyle name="Labels 5 2 9" xfId="23863"/>
    <cellStyle name="Labels 5 3" xfId="5049"/>
    <cellStyle name="Labels 5 3 10" xfId="24837"/>
    <cellStyle name="Labels 5 3 11" xfId="25836"/>
    <cellStyle name="Labels 5 3 12" xfId="29750"/>
    <cellStyle name="Labels 5 3 13" xfId="30792"/>
    <cellStyle name="Labels 5 3 14" xfId="31783"/>
    <cellStyle name="Labels 5 3 15" xfId="32791"/>
    <cellStyle name="Labels 5 3 16" xfId="33794"/>
    <cellStyle name="Labels 5 3 17" xfId="34793"/>
    <cellStyle name="Labels 5 3 18" xfId="37353"/>
    <cellStyle name="Labels 5 3 2" xfId="5050"/>
    <cellStyle name="Labels 5 3 2 10" xfId="25837"/>
    <cellStyle name="Labels 5 3 2 11" xfId="29751"/>
    <cellStyle name="Labels 5 3 2 12" xfId="30793"/>
    <cellStyle name="Labels 5 3 2 13" xfId="31784"/>
    <cellStyle name="Labels 5 3 2 14" xfId="32792"/>
    <cellStyle name="Labels 5 3 2 15" xfId="33795"/>
    <cellStyle name="Labels 5 3 2 16" xfId="34794"/>
    <cellStyle name="Labels 5 3 2 17" xfId="37354"/>
    <cellStyle name="Labels 5 3 2 2" xfId="16819"/>
    <cellStyle name="Labels 5 3 2 3" xfId="17798"/>
    <cellStyle name="Labels 5 3 2 4" xfId="18825"/>
    <cellStyle name="Labels 5 3 2 5" xfId="19857"/>
    <cellStyle name="Labels 5 3 2 6" xfId="20879"/>
    <cellStyle name="Labels 5 3 2 7" xfId="22861"/>
    <cellStyle name="Labels 5 3 2 8" xfId="23866"/>
    <cellStyle name="Labels 5 3 2 9" xfId="24838"/>
    <cellStyle name="Labels 5 3 3" xfId="16818"/>
    <cellStyle name="Labels 5 3 4" xfId="17797"/>
    <cellStyle name="Labels 5 3 5" xfId="18824"/>
    <cellStyle name="Labels 5 3 6" xfId="19856"/>
    <cellStyle name="Labels 5 3 7" xfId="20878"/>
    <cellStyle name="Labels 5 3 8" xfId="22860"/>
    <cellStyle name="Labels 5 3 9" xfId="23865"/>
    <cellStyle name="Labels 5 4" xfId="5051"/>
    <cellStyle name="Labels 5 4 10" xfId="25838"/>
    <cellStyle name="Labels 5 4 11" xfId="29752"/>
    <cellStyle name="Labels 5 4 12" xfId="30794"/>
    <cellStyle name="Labels 5 4 13" xfId="31785"/>
    <cellStyle name="Labels 5 4 14" xfId="32793"/>
    <cellStyle name="Labels 5 4 15" xfId="33796"/>
    <cellStyle name="Labels 5 4 16" xfId="34795"/>
    <cellStyle name="Labels 5 4 17" xfId="37355"/>
    <cellStyle name="Labels 5 4 2" xfId="16820"/>
    <cellStyle name="Labels 5 4 3" xfId="17799"/>
    <cellStyle name="Labels 5 4 4" xfId="18826"/>
    <cellStyle name="Labels 5 4 5" xfId="19858"/>
    <cellStyle name="Labels 5 4 6" xfId="20880"/>
    <cellStyle name="Labels 5 4 7" xfId="22862"/>
    <cellStyle name="Labels 5 4 8" xfId="23867"/>
    <cellStyle name="Labels 5 4 9" xfId="24839"/>
    <cellStyle name="Labels 5 5" xfId="5052"/>
    <cellStyle name="Labels 5 5 10" xfId="25839"/>
    <cellStyle name="Labels 5 5 11" xfId="29753"/>
    <cellStyle name="Labels 5 5 12" xfId="30795"/>
    <cellStyle name="Labels 5 5 13" xfId="31786"/>
    <cellStyle name="Labels 5 5 14" xfId="32794"/>
    <cellStyle name="Labels 5 5 15" xfId="33797"/>
    <cellStyle name="Labels 5 5 16" xfId="34796"/>
    <cellStyle name="Labels 5 5 17" xfId="37356"/>
    <cellStyle name="Labels 5 5 2" xfId="16821"/>
    <cellStyle name="Labels 5 5 3" xfId="17800"/>
    <cellStyle name="Labels 5 5 4" xfId="18827"/>
    <cellStyle name="Labels 5 5 5" xfId="19859"/>
    <cellStyle name="Labels 5 5 6" xfId="20881"/>
    <cellStyle name="Labels 5 5 7" xfId="22863"/>
    <cellStyle name="Labels 5 5 8" xfId="23868"/>
    <cellStyle name="Labels 5 5 9" xfId="24840"/>
    <cellStyle name="Labels 5 6" xfId="13548"/>
    <cellStyle name="Labels 5 7" xfId="14266"/>
    <cellStyle name="Labels 5 8" xfId="13919"/>
    <cellStyle name="Labels 5 9" xfId="15477"/>
    <cellStyle name="Labels 50" xfId="37491"/>
    <cellStyle name="Labels 51" xfId="37495"/>
    <cellStyle name="Labels 52" xfId="37492"/>
    <cellStyle name="Labels 53" xfId="37421"/>
    <cellStyle name="Labels 54" xfId="37518"/>
    <cellStyle name="Labels 55" xfId="37410"/>
    <cellStyle name="Labels 56" xfId="37493"/>
    <cellStyle name="Labels 57" xfId="37494"/>
    <cellStyle name="Labels 6" xfId="5053"/>
    <cellStyle name="Labels 6 10" xfId="14238"/>
    <cellStyle name="Labels 6 11" xfId="15306"/>
    <cellStyle name="Labels 6 12" xfId="27109"/>
    <cellStyle name="Labels 6 13" xfId="26148"/>
    <cellStyle name="Labels 6 14" xfId="26191"/>
    <cellStyle name="Labels 6 15" xfId="27636"/>
    <cellStyle name="Labels 6 16" xfId="26127"/>
    <cellStyle name="Labels 6 17" xfId="35264"/>
    <cellStyle name="Labels 6 2" xfId="5054"/>
    <cellStyle name="Labels 6 2 10" xfId="24841"/>
    <cellStyle name="Labels 6 2 11" xfId="25840"/>
    <cellStyle name="Labels 6 2 12" xfId="29754"/>
    <cellStyle name="Labels 6 2 13" xfId="30796"/>
    <cellStyle name="Labels 6 2 14" xfId="31787"/>
    <cellStyle name="Labels 6 2 15" xfId="32795"/>
    <cellStyle name="Labels 6 2 16" xfId="33798"/>
    <cellStyle name="Labels 6 2 17" xfId="34797"/>
    <cellStyle name="Labels 6 2 18" xfId="37357"/>
    <cellStyle name="Labels 6 2 2" xfId="5055"/>
    <cellStyle name="Labels 6 2 2 10" xfId="25841"/>
    <cellStyle name="Labels 6 2 2 11" xfId="29755"/>
    <cellStyle name="Labels 6 2 2 12" xfId="30797"/>
    <cellStyle name="Labels 6 2 2 13" xfId="31788"/>
    <cellStyle name="Labels 6 2 2 14" xfId="32796"/>
    <cellStyle name="Labels 6 2 2 15" xfId="33799"/>
    <cellStyle name="Labels 6 2 2 16" xfId="34798"/>
    <cellStyle name="Labels 6 2 2 17" xfId="37358"/>
    <cellStyle name="Labels 6 2 2 2" xfId="16823"/>
    <cellStyle name="Labels 6 2 2 3" xfId="17802"/>
    <cellStyle name="Labels 6 2 2 4" xfId="18829"/>
    <cellStyle name="Labels 6 2 2 5" xfId="19861"/>
    <cellStyle name="Labels 6 2 2 6" xfId="20883"/>
    <cellStyle name="Labels 6 2 2 7" xfId="22865"/>
    <cellStyle name="Labels 6 2 2 8" xfId="23870"/>
    <cellStyle name="Labels 6 2 2 9" xfId="24842"/>
    <cellStyle name="Labels 6 2 3" xfId="16822"/>
    <cellStyle name="Labels 6 2 4" xfId="17801"/>
    <cellStyle name="Labels 6 2 5" xfId="18828"/>
    <cellStyle name="Labels 6 2 6" xfId="19860"/>
    <cellStyle name="Labels 6 2 7" xfId="20882"/>
    <cellStyle name="Labels 6 2 8" xfId="22864"/>
    <cellStyle name="Labels 6 2 9" xfId="23869"/>
    <cellStyle name="Labels 6 3" xfId="5056"/>
    <cellStyle name="Labels 6 3 10" xfId="24843"/>
    <cellStyle name="Labels 6 3 11" xfId="25842"/>
    <cellStyle name="Labels 6 3 12" xfId="29756"/>
    <cellStyle name="Labels 6 3 13" xfId="30798"/>
    <cellStyle name="Labels 6 3 14" xfId="31789"/>
    <cellStyle name="Labels 6 3 15" xfId="32797"/>
    <cellStyle name="Labels 6 3 16" xfId="33800"/>
    <cellStyle name="Labels 6 3 17" xfId="34799"/>
    <cellStyle name="Labels 6 3 18" xfId="37359"/>
    <cellStyle name="Labels 6 3 2" xfId="5057"/>
    <cellStyle name="Labels 6 3 2 10" xfId="25843"/>
    <cellStyle name="Labels 6 3 2 11" xfId="29757"/>
    <cellStyle name="Labels 6 3 2 12" xfId="30799"/>
    <cellStyle name="Labels 6 3 2 13" xfId="31790"/>
    <cellStyle name="Labels 6 3 2 14" xfId="32798"/>
    <cellStyle name="Labels 6 3 2 15" xfId="33801"/>
    <cellStyle name="Labels 6 3 2 16" xfId="34800"/>
    <cellStyle name="Labels 6 3 2 17" xfId="37360"/>
    <cellStyle name="Labels 6 3 2 2" xfId="16825"/>
    <cellStyle name="Labels 6 3 2 3" xfId="17804"/>
    <cellStyle name="Labels 6 3 2 4" xfId="18831"/>
    <cellStyle name="Labels 6 3 2 5" xfId="19863"/>
    <cellStyle name="Labels 6 3 2 6" xfId="20885"/>
    <cellStyle name="Labels 6 3 2 7" xfId="22867"/>
    <cellStyle name="Labels 6 3 2 8" xfId="23872"/>
    <cellStyle name="Labels 6 3 2 9" xfId="24844"/>
    <cellStyle name="Labels 6 3 3" xfId="16824"/>
    <cellStyle name="Labels 6 3 4" xfId="17803"/>
    <cellStyle name="Labels 6 3 5" xfId="18830"/>
    <cellStyle name="Labels 6 3 6" xfId="19862"/>
    <cellStyle name="Labels 6 3 7" xfId="20884"/>
    <cellStyle name="Labels 6 3 8" xfId="22866"/>
    <cellStyle name="Labels 6 3 9" xfId="23871"/>
    <cellStyle name="Labels 6 4" xfId="5058"/>
    <cellStyle name="Labels 6 4 10" xfId="25844"/>
    <cellStyle name="Labels 6 4 11" xfId="29758"/>
    <cellStyle name="Labels 6 4 12" xfId="30800"/>
    <cellStyle name="Labels 6 4 13" xfId="31791"/>
    <cellStyle name="Labels 6 4 14" xfId="32799"/>
    <cellStyle name="Labels 6 4 15" xfId="33802"/>
    <cellStyle name="Labels 6 4 16" xfId="34801"/>
    <cellStyle name="Labels 6 4 17" xfId="37361"/>
    <cellStyle name="Labels 6 4 2" xfId="16826"/>
    <cellStyle name="Labels 6 4 3" xfId="17805"/>
    <cellStyle name="Labels 6 4 4" xfId="18832"/>
    <cellStyle name="Labels 6 4 5" xfId="19864"/>
    <cellStyle name="Labels 6 4 6" xfId="20886"/>
    <cellStyle name="Labels 6 4 7" xfId="22868"/>
    <cellStyle name="Labels 6 4 8" xfId="23873"/>
    <cellStyle name="Labels 6 4 9" xfId="24845"/>
    <cellStyle name="Labels 6 5" xfId="5059"/>
    <cellStyle name="Labels 6 5 10" xfId="25845"/>
    <cellStyle name="Labels 6 5 11" xfId="29759"/>
    <cellStyle name="Labels 6 5 12" xfId="30801"/>
    <cellStyle name="Labels 6 5 13" xfId="31792"/>
    <cellStyle name="Labels 6 5 14" xfId="32800"/>
    <cellStyle name="Labels 6 5 15" xfId="33803"/>
    <cellStyle name="Labels 6 5 16" xfId="34802"/>
    <cellStyle name="Labels 6 5 17" xfId="37362"/>
    <cellStyle name="Labels 6 5 2" xfId="16827"/>
    <cellStyle name="Labels 6 5 3" xfId="17806"/>
    <cellStyle name="Labels 6 5 4" xfId="18833"/>
    <cellStyle name="Labels 6 5 5" xfId="19865"/>
    <cellStyle name="Labels 6 5 6" xfId="20887"/>
    <cellStyle name="Labels 6 5 7" xfId="22869"/>
    <cellStyle name="Labels 6 5 8" xfId="23874"/>
    <cellStyle name="Labels 6 5 9" xfId="24846"/>
    <cellStyle name="Labels 6 6" xfId="13920"/>
    <cellStyle name="Labels 6 7" xfId="14055"/>
    <cellStyle name="Labels 6 8" xfId="14471"/>
    <cellStyle name="Labels 6 9" xfId="13472"/>
    <cellStyle name="Labels 7" xfId="5060"/>
    <cellStyle name="Labels 7 10" xfId="14508"/>
    <cellStyle name="Labels 7 11" xfId="15741"/>
    <cellStyle name="Labels 7 12" xfId="27681"/>
    <cellStyle name="Labels 7 13" xfId="30339"/>
    <cellStyle name="Labels 7 14" xfId="26501"/>
    <cellStyle name="Labels 7 15" xfId="26829"/>
    <cellStyle name="Labels 7 16" xfId="35405"/>
    <cellStyle name="Labels 7 2" xfId="5061"/>
    <cellStyle name="Labels 7 2 10" xfId="24847"/>
    <cellStyle name="Labels 7 2 11" xfId="25846"/>
    <cellStyle name="Labels 7 2 12" xfId="29760"/>
    <cellStyle name="Labels 7 2 13" xfId="30802"/>
    <cellStyle name="Labels 7 2 14" xfId="31793"/>
    <cellStyle name="Labels 7 2 15" xfId="32801"/>
    <cellStyle name="Labels 7 2 16" xfId="33804"/>
    <cellStyle name="Labels 7 2 17" xfId="34803"/>
    <cellStyle name="Labels 7 2 18" xfId="37363"/>
    <cellStyle name="Labels 7 2 2" xfId="5062"/>
    <cellStyle name="Labels 7 2 2 10" xfId="25847"/>
    <cellStyle name="Labels 7 2 2 11" xfId="29761"/>
    <cellStyle name="Labels 7 2 2 12" xfId="30803"/>
    <cellStyle name="Labels 7 2 2 13" xfId="31794"/>
    <cellStyle name="Labels 7 2 2 14" xfId="32802"/>
    <cellStyle name="Labels 7 2 2 15" xfId="33805"/>
    <cellStyle name="Labels 7 2 2 16" xfId="34804"/>
    <cellStyle name="Labels 7 2 2 17" xfId="37364"/>
    <cellStyle name="Labels 7 2 2 2" xfId="16829"/>
    <cellStyle name="Labels 7 2 2 3" xfId="17808"/>
    <cellStyle name="Labels 7 2 2 4" xfId="18835"/>
    <cellStyle name="Labels 7 2 2 5" xfId="19867"/>
    <cellStyle name="Labels 7 2 2 6" xfId="20889"/>
    <cellStyle name="Labels 7 2 2 7" xfId="22871"/>
    <cellStyle name="Labels 7 2 2 8" xfId="23876"/>
    <cellStyle name="Labels 7 2 2 9" xfId="24848"/>
    <cellStyle name="Labels 7 2 3" xfId="16828"/>
    <cellStyle name="Labels 7 2 4" xfId="17807"/>
    <cellStyle name="Labels 7 2 5" xfId="18834"/>
    <cellStyle name="Labels 7 2 6" xfId="19866"/>
    <cellStyle name="Labels 7 2 7" xfId="20888"/>
    <cellStyle name="Labels 7 2 8" xfId="22870"/>
    <cellStyle name="Labels 7 2 9" xfId="23875"/>
    <cellStyle name="Labels 7 3" xfId="5063"/>
    <cellStyle name="Labels 7 3 10" xfId="24849"/>
    <cellStyle name="Labels 7 3 11" xfId="25848"/>
    <cellStyle name="Labels 7 3 12" xfId="29762"/>
    <cellStyle name="Labels 7 3 13" xfId="30804"/>
    <cellStyle name="Labels 7 3 14" xfId="31795"/>
    <cellStyle name="Labels 7 3 15" xfId="32803"/>
    <cellStyle name="Labels 7 3 16" xfId="33806"/>
    <cellStyle name="Labels 7 3 17" xfId="34805"/>
    <cellStyle name="Labels 7 3 18" xfId="37365"/>
    <cellStyle name="Labels 7 3 2" xfId="5064"/>
    <cellStyle name="Labels 7 3 2 10" xfId="25849"/>
    <cellStyle name="Labels 7 3 2 11" xfId="29763"/>
    <cellStyle name="Labels 7 3 2 12" xfId="30805"/>
    <cellStyle name="Labels 7 3 2 13" xfId="31796"/>
    <cellStyle name="Labels 7 3 2 14" xfId="32804"/>
    <cellStyle name="Labels 7 3 2 15" xfId="33807"/>
    <cellStyle name="Labels 7 3 2 16" xfId="34806"/>
    <cellStyle name="Labels 7 3 2 17" xfId="37366"/>
    <cellStyle name="Labels 7 3 2 2" xfId="16831"/>
    <cellStyle name="Labels 7 3 2 3" xfId="17810"/>
    <cellStyle name="Labels 7 3 2 4" xfId="18837"/>
    <cellStyle name="Labels 7 3 2 5" xfId="19869"/>
    <cellStyle name="Labels 7 3 2 6" xfId="20891"/>
    <cellStyle name="Labels 7 3 2 7" xfId="22873"/>
    <cellStyle name="Labels 7 3 2 8" xfId="23878"/>
    <cellStyle name="Labels 7 3 2 9" xfId="24850"/>
    <cellStyle name="Labels 7 3 3" xfId="16830"/>
    <cellStyle name="Labels 7 3 4" xfId="17809"/>
    <cellStyle name="Labels 7 3 5" xfId="18836"/>
    <cellStyle name="Labels 7 3 6" xfId="19868"/>
    <cellStyle name="Labels 7 3 7" xfId="20890"/>
    <cellStyle name="Labels 7 3 8" xfId="22872"/>
    <cellStyle name="Labels 7 3 9" xfId="23877"/>
    <cellStyle name="Labels 7 4" xfId="5065"/>
    <cellStyle name="Labels 7 4 10" xfId="25850"/>
    <cellStyle name="Labels 7 4 11" xfId="29764"/>
    <cellStyle name="Labels 7 4 12" xfId="30806"/>
    <cellStyle name="Labels 7 4 13" xfId="31797"/>
    <cellStyle name="Labels 7 4 14" xfId="32805"/>
    <cellStyle name="Labels 7 4 15" xfId="33808"/>
    <cellStyle name="Labels 7 4 16" xfId="34807"/>
    <cellStyle name="Labels 7 4 17" xfId="37367"/>
    <cellStyle name="Labels 7 4 2" xfId="16832"/>
    <cellStyle name="Labels 7 4 3" xfId="17811"/>
    <cellStyle name="Labels 7 4 4" xfId="18838"/>
    <cellStyle name="Labels 7 4 5" xfId="19870"/>
    <cellStyle name="Labels 7 4 6" xfId="20892"/>
    <cellStyle name="Labels 7 4 7" xfId="22874"/>
    <cellStyle name="Labels 7 4 8" xfId="23879"/>
    <cellStyle name="Labels 7 4 9" xfId="24851"/>
    <cellStyle name="Labels 7 5" xfId="5066"/>
    <cellStyle name="Labels 7 5 10" xfId="25851"/>
    <cellStyle name="Labels 7 5 11" xfId="29765"/>
    <cellStyle name="Labels 7 5 12" xfId="30807"/>
    <cellStyle name="Labels 7 5 13" xfId="31798"/>
    <cellStyle name="Labels 7 5 14" xfId="32806"/>
    <cellStyle name="Labels 7 5 15" xfId="33809"/>
    <cellStyle name="Labels 7 5 16" xfId="34808"/>
    <cellStyle name="Labels 7 5 17" xfId="37368"/>
    <cellStyle name="Labels 7 5 2" xfId="16833"/>
    <cellStyle name="Labels 7 5 3" xfId="17812"/>
    <cellStyle name="Labels 7 5 4" xfId="18839"/>
    <cellStyle name="Labels 7 5 5" xfId="19871"/>
    <cellStyle name="Labels 7 5 6" xfId="20893"/>
    <cellStyle name="Labels 7 5 7" xfId="22875"/>
    <cellStyle name="Labels 7 5 8" xfId="23880"/>
    <cellStyle name="Labels 7 5 9" xfId="24852"/>
    <cellStyle name="Labels 7 6" xfId="15210"/>
    <cellStyle name="Labels 7 7" xfId="14091"/>
    <cellStyle name="Labels 7 8" xfId="15344"/>
    <cellStyle name="Labels 7 9" xfId="14406"/>
    <cellStyle name="Labels 8" xfId="5067"/>
    <cellStyle name="Labels 8 10" xfId="24853"/>
    <cellStyle name="Labels 8 11" xfId="25852"/>
    <cellStyle name="Labels 8 12" xfId="29766"/>
    <cellStyle name="Labels 8 13" xfId="30808"/>
    <cellStyle name="Labels 8 14" xfId="31799"/>
    <cellStyle name="Labels 8 15" xfId="32807"/>
    <cellStyle name="Labels 8 16" xfId="33810"/>
    <cellStyle name="Labels 8 17" xfId="34809"/>
    <cellStyle name="Labels 8 18" xfId="37369"/>
    <cellStyle name="Labels 8 2" xfId="5068"/>
    <cellStyle name="Labels 8 2 10" xfId="25853"/>
    <cellStyle name="Labels 8 2 11" xfId="29767"/>
    <cellStyle name="Labels 8 2 12" xfId="30809"/>
    <cellStyle name="Labels 8 2 13" xfId="31800"/>
    <cellStyle name="Labels 8 2 14" xfId="32808"/>
    <cellStyle name="Labels 8 2 15" xfId="33811"/>
    <cellStyle name="Labels 8 2 16" xfId="34810"/>
    <cellStyle name="Labels 8 2 17" xfId="37370"/>
    <cellStyle name="Labels 8 2 2" xfId="16835"/>
    <cellStyle name="Labels 8 2 3" xfId="17814"/>
    <cellStyle name="Labels 8 2 4" xfId="18841"/>
    <cellStyle name="Labels 8 2 5" xfId="19873"/>
    <cellStyle name="Labels 8 2 6" xfId="20895"/>
    <cellStyle name="Labels 8 2 7" xfId="22877"/>
    <cellStyle name="Labels 8 2 8" xfId="23882"/>
    <cellStyle name="Labels 8 2 9" xfId="24854"/>
    <cellStyle name="Labels 8 3" xfId="16834"/>
    <cellStyle name="Labels 8 4" xfId="17813"/>
    <cellStyle name="Labels 8 5" xfId="18840"/>
    <cellStyle name="Labels 8 6" xfId="19872"/>
    <cellStyle name="Labels 8 7" xfId="20894"/>
    <cellStyle name="Labels 8 8" xfId="22876"/>
    <cellStyle name="Labels 8 9" xfId="23881"/>
    <cellStyle name="Labels 9" xfId="5069"/>
    <cellStyle name="Labels 9 10" xfId="24855"/>
    <cellStyle name="Labels 9 11" xfId="25854"/>
    <cellStyle name="Labels 9 12" xfId="29768"/>
    <cellStyle name="Labels 9 13" xfId="30810"/>
    <cellStyle name="Labels 9 14" xfId="31801"/>
    <cellStyle name="Labels 9 15" xfId="32809"/>
    <cellStyle name="Labels 9 16" xfId="33812"/>
    <cellStyle name="Labels 9 17" xfId="34811"/>
    <cellStyle name="Labels 9 18" xfId="37371"/>
    <cellStyle name="Labels 9 2" xfId="5070"/>
    <cellStyle name="Labels 9 2 10" xfId="25855"/>
    <cellStyle name="Labels 9 2 11" xfId="29769"/>
    <cellStyle name="Labels 9 2 12" xfId="30811"/>
    <cellStyle name="Labels 9 2 13" xfId="31802"/>
    <cellStyle name="Labels 9 2 14" xfId="32810"/>
    <cellStyle name="Labels 9 2 15" xfId="33813"/>
    <cellStyle name="Labels 9 2 16" xfId="34812"/>
    <cellStyle name="Labels 9 2 17" xfId="37372"/>
    <cellStyle name="Labels 9 2 2" xfId="16837"/>
    <cellStyle name="Labels 9 2 3" xfId="17816"/>
    <cellStyle name="Labels 9 2 4" xfId="18843"/>
    <cellStyle name="Labels 9 2 5" xfId="19875"/>
    <cellStyle name="Labels 9 2 6" xfId="20897"/>
    <cellStyle name="Labels 9 2 7" xfId="22879"/>
    <cellStyle name="Labels 9 2 8" xfId="23884"/>
    <cellStyle name="Labels 9 2 9" xfId="24856"/>
    <cellStyle name="Labels 9 3" xfId="16836"/>
    <cellStyle name="Labels 9 4" xfId="17815"/>
    <cellStyle name="Labels 9 5" xfId="18842"/>
    <cellStyle name="Labels 9 6" xfId="19874"/>
    <cellStyle name="Labels 9 7" xfId="20896"/>
    <cellStyle name="Labels 9 8" xfId="22878"/>
    <cellStyle name="Labels 9 9" xfId="23883"/>
    <cellStyle name="Linked Cell" xfId="13359" builtinId="24" customBuiltin="1"/>
    <cellStyle name="Linked Cell 2" xfId="147"/>
    <cellStyle name="Linked Cell 2 2" xfId="334"/>
    <cellStyle name="Linked Cell 2 3" xfId="5071"/>
    <cellStyle name="Linked Cell 2 4" xfId="5072"/>
    <cellStyle name="Linked Cell 2_Rate Sheet" xfId="37429"/>
    <cellStyle name="Linked Cell 3" xfId="146"/>
    <cellStyle name="Linked Cell 3 2" xfId="5074"/>
    <cellStyle name="Linked Cell 3 3" xfId="5073"/>
    <cellStyle name="Linked Cell 4" xfId="5075"/>
    <cellStyle name="Neutral" xfId="13355" builtinId="28" customBuiltin="1"/>
    <cellStyle name="Neutral 2" xfId="149"/>
    <cellStyle name="Neutral 2 2" xfId="335"/>
    <cellStyle name="Neutral 2 2 2" xfId="5076"/>
    <cellStyle name="Neutral 2 3" xfId="5077"/>
    <cellStyle name="Neutral 2 4" xfId="5078"/>
    <cellStyle name="Neutral 2_Rate Sheet" xfId="37430"/>
    <cellStyle name="Neutral 3" xfId="148"/>
    <cellStyle name="Neutral 3 2" xfId="5080"/>
    <cellStyle name="Neutral 3 3" xfId="5079"/>
    <cellStyle name="Neutral 4" xfId="5081"/>
    <cellStyle name="New_normal" xfId="150"/>
    <cellStyle name="Normal" xfId="0" builtinId="0"/>
    <cellStyle name="Normal - Style1" xfId="151"/>
    <cellStyle name="Normal - Style2" xfId="152"/>
    <cellStyle name="Normal - Style3" xfId="153"/>
    <cellStyle name="Normal - Style4" xfId="154"/>
    <cellStyle name="Normal - Style5" xfId="155"/>
    <cellStyle name="Normal - Style6" xfId="5082"/>
    <cellStyle name="Normal - Style7" xfId="5083"/>
    <cellStyle name="Normal - Style8" xfId="5084"/>
    <cellStyle name="Normal 10" xfId="156"/>
    <cellStyle name="Normal 10 10" xfId="5085"/>
    <cellStyle name="Normal 10 11" xfId="5086"/>
    <cellStyle name="Normal 10 2" xfId="17"/>
    <cellStyle name="Normal 10 2 2" xfId="337"/>
    <cellStyle name="Normal 10 2 2 2" xfId="5087"/>
    <cellStyle name="Normal 10 2 2 2 2" xfId="5088"/>
    <cellStyle name="Normal 10 2 2 2 2 2" xfId="5089"/>
    <cellStyle name="Normal 10 2 2 2 2 2 2" xfId="5090"/>
    <cellStyle name="Normal 10 2 2 2 2 2 2 2" xfId="5091"/>
    <cellStyle name="Normal 10 2 2 2 2 2 2 3" xfId="5092"/>
    <cellStyle name="Normal 10 2 2 2 2 2 3" xfId="5093"/>
    <cellStyle name="Normal 10 2 2 2 2 2 3 2" xfId="5094"/>
    <cellStyle name="Normal 10 2 2 2 2 2 3 3" xfId="5095"/>
    <cellStyle name="Normal 10 2 2 2 2 2 4" xfId="5096"/>
    <cellStyle name="Normal 10 2 2 2 2 2 5" xfId="5097"/>
    <cellStyle name="Normal 10 2 2 2 2 3" xfId="5098"/>
    <cellStyle name="Normal 10 2 2 2 2 3 2" xfId="5099"/>
    <cellStyle name="Normal 10 2 2 2 2 3 3" xfId="5100"/>
    <cellStyle name="Normal 10 2 2 2 2 4" xfId="5101"/>
    <cellStyle name="Normal 10 2 2 2 2 4 2" xfId="5102"/>
    <cellStyle name="Normal 10 2 2 2 2 4 3" xfId="5103"/>
    <cellStyle name="Normal 10 2 2 2 2 5" xfId="5104"/>
    <cellStyle name="Normal 10 2 2 2 2 6" xfId="5105"/>
    <cellStyle name="Normal 10 2 2 2 3" xfId="5106"/>
    <cellStyle name="Normal 10 2 2 2 3 2" xfId="5107"/>
    <cellStyle name="Normal 10 2 2 2 3 2 2" xfId="5108"/>
    <cellStyle name="Normal 10 2 2 2 3 2 3" xfId="5109"/>
    <cellStyle name="Normal 10 2 2 2 3 3" xfId="5110"/>
    <cellStyle name="Normal 10 2 2 2 3 3 2" xfId="5111"/>
    <cellStyle name="Normal 10 2 2 2 3 3 3" xfId="5112"/>
    <cellStyle name="Normal 10 2 2 2 3 4" xfId="5113"/>
    <cellStyle name="Normal 10 2 2 2 3 5" xfId="5114"/>
    <cellStyle name="Normal 10 2 2 2 4" xfId="5115"/>
    <cellStyle name="Normal 10 2 2 2 4 2" xfId="5116"/>
    <cellStyle name="Normal 10 2 2 2 4 3" xfId="5117"/>
    <cellStyle name="Normal 10 2 2 2 5" xfId="5118"/>
    <cellStyle name="Normal 10 2 2 2 5 2" xfId="5119"/>
    <cellStyle name="Normal 10 2 2 2 5 3" xfId="5120"/>
    <cellStyle name="Normal 10 2 2 2 6" xfId="5121"/>
    <cellStyle name="Normal 10 2 2 2 7" xfId="5122"/>
    <cellStyle name="Normal 10 2 2 3" xfId="5123"/>
    <cellStyle name="Normal 10 2 2 3 2" xfId="5124"/>
    <cellStyle name="Normal 10 2 2 3 2 2" xfId="5125"/>
    <cellStyle name="Normal 10 2 2 3 2 2 2" xfId="5126"/>
    <cellStyle name="Normal 10 2 2 3 2 2 3" xfId="5127"/>
    <cellStyle name="Normal 10 2 2 3 2 3" xfId="5128"/>
    <cellStyle name="Normal 10 2 2 3 2 3 2" xfId="5129"/>
    <cellStyle name="Normal 10 2 2 3 2 3 3" xfId="5130"/>
    <cellStyle name="Normal 10 2 2 3 2 4" xfId="5131"/>
    <cellStyle name="Normal 10 2 2 3 2 5" xfId="5132"/>
    <cellStyle name="Normal 10 2 2 3 3" xfId="5133"/>
    <cellStyle name="Normal 10 2 2 3 3 2" xfId="5134"/>
    <cellStyle name="Normal 10 2 2 3 3 3" xfId="5135"/>
    <cellStyle name="Normal 10 2 2 3 4" xfId="5136"/>
    <cellStyle name="Normal 10 2 2 3 4 2" xfId="5137"/>
    <cellStyle name="Normal 10 2 2 3 4 3" xfId="5138"/>
    <cellStyle name="Normal 10 2 2 3 5" xfId="5139"/>
    <cellStyle name="Normal 10 2 2 3 6" xfId="5140"/>
    <cellStyle name="Normal 10 2 2 4" xfId="5141"/>
    <cellStyle name="Normal 10 2 2 4 2" xfId="5142"/>
    <cellStyle name="Normal 10 2 2 4 2 2" xfId="5143"/>
    <cellStyle name="Normal 10 2 2 4 2 3" xfId="5144"/>
    <cellStyle name="Normal 10 2 2 4 3" xfId="5145"/>
    <cellStyle name="Normal 10 2 2 4 3 2" xfId="5146"/>
    <cellStyle name="Normal 10 2 2 4 3 3" xfId="5147"/>
    <cellStyle name="Normal 10 2 2 4 4" xfId="5148"/>
    <cellStyle name="Normal 10 2 2 4 5" xfId="5149"/>
    <cellStyle name="Normal 10 2 2 5" xfId="5150"/>
    <cellStyle name="Normal 10 2 2 5 2" xfId="5151"/>
    <cellStyle name="Normal 10 2 2 5 3" xfId="5152"/>
    <cellStyle name="Normal 10 2 2 6" xfId="5153"/>
    <cellStyle name="Normal 10 2 2 6 2" xfId="5154"/>
    <cellStyle name="Normal 10 2 2 6 3" xfId="5155"/>
    <cellStyle name="Normal 10 2 2 7" xfId="5156"/>
    <cellStyle name="Normal 10 2 2 8" xfId="5157"/>
    <cellStyle name="Normal 10 2 3" xfId="336"/>
    <cellStyle name="Normal 10 2 3 2" xfId="5158"/>
    <cellStyle name="Normal 10 2 3 2 2" xfId="5159"/>
    <cellStyle name="Normal 10 2 3 2 2 2" xfId="5160"/>
    <cellStyle name="Normal 10 2 3 2 2 2 2" xfId="5161"/>
    <cellStyle name="Normal 10 2 3 2 2 2 3" xfId="5162"/>
    <cellStyle name="Normal 10 2 3 2 2 3" xfId="5163"/>
    <cellStyle name="Normal 10 2 3 2 2 3 2" xfId="5164"/>
    <cellStyle name="Normal 10 2 3 2 2 3 3" xfId="5165"/>
    <cellStyle name="Normal 10 2 3 2 2 4" xfId="5166"/>
    <cellStyle name="Normal 10 2 3 2 2 5" xfId="5167"/>
    <cellStyle name="Normal 10 2 3 2 3" xfId="5168"/>
    <cellStyle name="Normal 10 2 3 2 3 2" xfId="5169"/>
    <cellStyle name="Normal 10 2 3 2 3 3" xfId="5170"/>
    <cellStyle name="Normal 10 2 3 2 4" xfId="5171"/>
    <cellStyle name="Normal 10 2 3 2 4 2" xfId="5172"/>
    <cellStyle name="Normal 10 2 3 2 4 3" xfId="5173"/>
    <cellStyle name="Normal 10 2 3 2 5" xfId="5174"/>
    <cellStyle name="Normal 10 2 3 2 6" xfId="5175"/>
    <cellStyle name="Normal 10 2 3 3" xfId="5176"/>
    <cellStyle name="Normal 10 2 3 3 2" xfId="5177"/>
    <cellStyle name="Normal 10 2 3 3 2 2" xfId="5178"/>
    <cellStyle name="Normal 10 2 3 3 2 3" xfId="5179"/>
    <cellStyle name="Normal 10 2 3 3 3" xfId="5180"/>
    <cellStyle name="Normal 10 2 3 3 3 2" xfId="5181"/>
    <cellStyle name="Normal 10 2 3 3 3 3" xfId="5182"/>
    <cellStyle name="Normal 10 2 3 3 4" xfId="5183"/>
    <cellStyle name="Normal 10 2 3 3 5" xfId="5184"/>
    <cellStyle name="Normal 10 2 3 4" xfId="5185"/>
    <cellStyle name="Normal 10 2 3 4 2" xfId="5186"/>
    <cellStyle name="Normal 10 2 3 4 3" xfId="5187"/>
    <cellStyle name="Normal 10 2 3 5" xfId="5188"/>
    <cellStyle name="Normal 10 2 3 5 2" xfId="5189"/>
    <cellStyle name="Normal 10 2 3 5 3" xfId="5190"/>
    <cellStyle name="Normal 10 2 3 6" xfId="5191"/>
    <cellStyle name="Normal 10 2 3 7" xfId="5192"/>
    <cellStyle name="Normal 10 2 4" xfId="5193"/>
    <cellStyle name="Normal 10 2 4 2" xfId="5194"/>
    <cellStyle name="Normal 10 2 4 2 2" xfId="5195"/>
    <cellStyle name="Normal 10 2 4 2 2 2" xfId="5196"/>
    <cellStyle name="Normal 10 2 4 2 2 3" xfId="5197"/>
    <cellStyle name="Normal 10 2 4 2 3" xfId="5198"/>
    <cellStyle name="Normal 10 2 4 2 3 2" xfId="5199"/>
    <cellStyle name="Normal 10 2 4 2 3 3" xfId="5200"/>
    <cellStyle name="Normal 10 2 4 2 4" xfId="5201"/>
    <cellStyle name="Normal 10 2 4 2 5" xfId="5202"/>
    <cellStyle name="Normal 10 2 4 3" xfId="5203"/>
    <cellStyle name="Normal 10 2 4 3 2" xfId="5204"/>
    <cellStyle name="Normal 10 2 4 3 3" xfId="5205"/>
    <cellStyle name="Normal 10 2 4 4" xfId="5206"/>
    <cellStyle name="Normal 10 2 4 4 2" xfId="5207"/>
    <cellStyle name="Normal 10 2 4 4 3" xfId="5208"/>
    <cellStyle name="Normal 10 2 4 5" xfId="5209"/>
    <cellStyle name="Normal 10 2 4 6" xfId="5210"/>
    <cellStyle name="Normal 10 2 5" xfId="5211"/>
    <cellStyle name="Normal 10 2 5 2" xfId="5212"/>
    <cellStyle name="Normal 10 2 5 2 2" xfId="5213"/>
    <cellStyle name="Normal 10 2 5 2 3" xfId="5214"/>
    <cellStyle name="Normal 10 2 5 3" xfId="5215"/>
    <cellStyle name="Normal 10 2 5 3 2" xfId="5216"/>
    <cellStyle name="Normal 10 2 5 3 3" xfId="5217"/>
    <cellStyle name="Normal 10 2 5 4" xfId="5218"/>
    <cellStyle name="Normal 10 2 5 5" xfId="5219"/>
    <cellStyle name="Normal 10 2 6" xfId="5220"/>
    <cellStyle name="Normal 10 2 6 2" xfId="5221"/>
    <cellStyle name="Normal 10 2 6 3" xfId="5222"/>
    <cellStyle name="Normal 10 2 7" xfId="5223"/>
    <cellStyle name="Normal 10 2 7 2" xfId="5224"/>
    <cellStyle name="Normal 10 2 7 3" xfId="5225"/>
    <cellStyle name="Normal 10 2 8" xfId="5226"/>
    <cellStyle name="Normal 10 2 9" xfId="5227"/>
    <cellStyle name="Normal 10 3" xfId="5228"/>
    <cellStyle name="Normal 10 3 2" xfId="5229"/>
    <cellStyle name="Normal 10 3 2 2" xfId="5230"/>
    <cellStyle name="Normal 10 3 2 2 2" xfId="5231"/>
    <cellStyle name="Normal 10 3 2 2 2 2" xfId="5232"/>
    <cellStyle name="Normal 10 3 2 2 2 2 2" xfId="5233"/>
    <cellStyle name="Normal 10 3 2 2 2 2 3" xfId="5234"/>
    <cellStyle name="Normal 10 3 2 2 2 3" xfId="5235"/>
    <cellStyle name="Normal 10 3 2 2 2 3 2" xfId="5236"/>
    <cellStyle name="Normal 10 3 2 2 2 3 3" xfId="5237"/>
    <cellStyle name="Normal 10 3 2 2 2 4" xfId="5238"/>
    <cellStyle name="Normal 10 3 2 2 2 5" xfId="5239"/>
    <cellStyle name="Normal 10 3 2 2 3" xfId="5240"/>
    <cellStyle name="Normal 10 3 2 2 3 2" xfId="5241"/>
    <cellStyle name="Normal 10 3 2 2 3 3" xfId="5242"/>
    <cellStyle name="Normal 10 3 2 2 4" xfId="5243"/>
    <cellStyle name="Normal 10 3 2 2 4 2" xfId="5244"/>
    <cellStyle name="Normal 10 3 2 2 4 3" xfId="5245"/>
    <cellStyle name="Normal 10 3 2 2 5" xfId="5246"/>
    <cellStyle name="Normal 10 3 2 2 6" xfId="5247"/>
    <cellStyle name="Normal 10 3 2 3" xfId="5248"/>
    <cellStyle name="Normal 10 3 2 3 2" xfId="5249"/>
    <cellStyle name="Normal 10 3 2 3 2 2" xfId="5250"/>
    <cellStyle name="Normal 10 3 2 3 2 3" xfId="5251"/>
    <cellStyle name="Normal 10 3 2 3 3" xfId="5252"/>
    <cellStyle name="Normal 10 3 2 3 3 2" xfId="5253"/>
    <cellStyle name="Normal 10 3 2 3 3 3" xfId="5254"/>
    <cellStyle name="Normal 10 3 2 3 4" xfId="5255"/>
    <cellStyle name="Normal 10 3 2 3 5" xfId="5256"/>
    <cellStyle name="Normal 10 3 2 4" xfId="5257"/>
    <cellStyle name="Normal 10 3 2 4 2" xfId="5258"/>
    <cellStyle name="Normal 10 3 2 4 3" xfId="5259"/>
    <cellStyle name="Normal 10 3 2 5" xfId="5260"/>
    <cellStyle name="Normal 10 3 2 5 2" xfId="5261"/>
    <cellStyle name="Normal 10 3 2 5 3" xfId="5262"/>
    <cellStyle name="Normal 10 3 2 6" xfId="5263"/>
    <cellStyle name="Normal 10 3 2 7" xfId="5264"/>
    <cellStyle name="Normal 10 3 3" xfId="5265"/>
    <cellStyle name="Normal 10 3 3 2" xfId="5266"/>
    <cellStyle name="Normal 10 3 3 2 2" xfId="5267"/>
    <cellStyle name="Normal 10 3 3 2 2 2" xfId="5268"/>
    <cellStyle name="Normal 10 3 3 2 2 3" xfId="5269"/>
    <cellStyle name="Normal 10 3 3 2 3" xfId="5270"/>
    <cellStyle name="Normal 10 3 3 2 3 2" xfId="5271"/>
    <cellStyle name="Normal 10 3 3 2 3 3" xfId="5272"/>
    <cellStyle name="Normal 10 3 3 2 4" xfId="5273"/>
    <cellStyle name="Normal 10 3 3 2 5" xfId="5274"/>
    <cellStyle name="Normal 10 3 3 3" xfId="5275"/>
    <cellStyle name="Normal 10 3 3 3 2" xfId="5276"/>
    <cellStyle name="Normal 10 3 3 3 3" xfId="5277"/>
    <cellStyle name="Normal 10 3 3 4" xfId="5278"/>
    <cellStyle name="Normal 10 3 3 4 2" xfId="5279"/>
    <cellStyle name="Normal 10 3 3 4 3" xfId="5280"/>
    <cellStyle name="Normal 10 3 3 5" xfId="5281"/>
    <cellStyle name="Normal 10 3 3 6" xfId="5282"/>
    <cellStyle name="Normal 10 3 4" xfId="5283"/>
    <cellStyle name="Normal 10 3 4 2" xfId="5284"/>
    <cellStyle name="Normal 10 3 4 2 2" xfId="5285"/>
    <cellStyle name="Normal 10 3 4 2 3" xfId="5286"/>
    <cellStyle name="Normal 10 3 4 3" xfId="5287"/>
    <cellStyle name="Normal 10 3 4 3 2" xfId="5288"/>
    <cellStyle name="Normal 10 3 4 3 3" xfId="5289"/>
    <cellStyle name="Normal 10 3 4 4" xfId="5290"/>
    <cellStyle name="Normal 10 3 4 5" xfId="5291"/>
    <cellStyle name="Normal 10 3 5" xfId="5292"/>
    <cellStyle name="Normal 10 3 5 2" xfId="5293"/>
    <cellStyle name="Normal 10 3 5 3" xfId="5294"/>
    <cellStyle name="Normal 10 3 6" xfId="5295"/>
    <cellStyle name="Normal 10 3 6 2" xfId="5296"/>
    <cellStyle name="Normal 10 3 6 3" xfId="5297"/>
    <cellStyle name="Normal 10 3 7" xfId="5298"/>
    <cellStyle name="Normal 10 3 8" xfId="5299"/>
    <cellStyle name="Normal 10 4" xfId="5300"/>
    <cellStyle name="Normal 10 4 2" xfId="5301"/>
    <cellStyle name="Normal 10 4 2 2" xfId="5302"/>
    <cellStyle name="Normal 10 4 2 2 2" xfId="5303"/>
    <cellStyle name="Normal 10 4 2 2 2 2" xfId="5304"/>
    <cellStyle name="Normal 10 4 2 2 2 2 2" xfId="5305"/>
    <cellStyle name="Normal 10 4 2 2 2 2 3" xfId="5306"/>
    <cellStyle name="Normal 10 4 2 2 2 3" xfId="5307"/>
    <cellStyle name="Normal 10 4 2 2 2 3 2" xfId="5308"/>
    <cellStyle name="Normal 10 4 2 2 2 3 3" xfId="5309"/>
    <cellStyle name="Normal 10 4 2 2 2 4" xfId="5310"/>
    <cellStyle name="Normal 10 4 2 2 2 5" xfId="5311"/>
    <cellStyle name="Normal 10 4 2 2 3" xfId="5312"/>
    <cellStyle name="Normal 10 4 2 2 3 2" xfId="5313"/>
    <cellStyle name="Normal 10 4 2 2 3 3" xfId="5314"/>
    <cellStyle name="Normal 10 4 2 2 4" xfId="5315"/>
    <cellStyle name="Normal 10 4 2 2 4 2" xfId="5316"/>
    <cellStyle name="Normal 10 4 2 2 4 3" xfId="5317"/>
    <cellStyle name="Normal 10 4 2 2 5" xfId="5318"/>
    <cellStyle name="Normal 10 4 2 2 6" xfId="5319"/>
    <cellStyle name="Normal 10 4 2 3" xfId="5320"/>
    <cellStyle name="Normal 10 4 2 3 2" xfId="5321"/>
    <cellStyle name="Normal 10 4 2 3 2 2" xfId="5322"/>
    <cellStyle name="Normal 10 4 2 3 2 3" xfId="5323"/>
    <cellStyle name="Normal 10 4 2 3 3" xfId="5324"/>
    <cellStyle name="Normal 10 4 2 3 3 2" xfId="5325"/>
    <cellStyle name="Normal 10 4 2 3 3 3" xfId="5326"/>
    <cellStyle name="Normal 10 4 2 3 4" xfId="5327"/>
    <cellStyle name="Normal 10 4 2 3 5" xfId="5328"/>
    <cellStyle name="Normal 10 4 2 4" xfId="5329"/>
    <cellStyle name="Normal 10 4 2 4 2" xfId="5330"/>
    <cellStyle name="Normal 10 4 2 4 3" xfId="5331"/>
    <cellStyle name="Normal 10 4 2 5" xfId="5332"/>
    <cellStyle name="Normal 10 4 2 5 2" xfId="5333"/>
    <cellStyle name="Normal 10 4 2 5 3" xfId="5334"/>
    <cellStyle name="Normal 10 4 2 6" xfId="5335"/>
    <cellStyle name="Normal 10 4 2 7" xfId="5336"/>
    <cellStyle name="Normal 10 4 3" xfId="5337"/>
    <cellStyle name="Normal 10 4 3 2" xfId="5338"/>
    <cellStyle name="Normal 10 4 3 2 2" xfId="5339"/>
    <cellStyle name="Normal 10 4 3 2 2 2" xfId="5340"/>
    <cellStyle name="Normal 10 4 3 2 2 3" xfId="5341"/>
    <cellStyle name="Normal 10 4 3 2 3" xfId="5342"/>
    <cellStyle name="Normal 10 4 3 2 3 2" xfId="5343"/>
    <cellStyle name="Normal 10 4 3 2 3 3" xfId="5344"/>
    <cellStyle name="Normal 10 4 3 2 4" xfId="5345"/>
    <cellStyle name="Normal 10 4 3 2 5" xfId="5346"/>
    <cellStyle name="Normal 10 4 3 3" xfId="5347"/>
    <cellStyle name="Normal 10 4 3 3 2" xfId="5348"/>
    <cellStyle name="Normal 10 4 3 3 3" xfId="5349"/>
    <cellStyle name="Normal 10 4 3 4" xfId="5350"/>
    <cellStyle name="Normal 10 4 3 4 2" xfId="5351"/>
    <cellStyle name="Normal 10 4 3 4 3" xfId="5352"/>
    <cellStyle name="Normal 10 4 3 5" xfId="5353"/>
    <cellStyle name="Normal 10 4 3 6" xfId="5354"/>
    <cellStyle name="Normal 10 4 4" xfId="5355"/>
    <cellStyle name="Normal 10 4 4 2" xfId="5356"/>
    <cellStyle name="Normal 10 4 4 2 2" xfId="5357"/>
    <cellStyle name="Normal 10 4 4 2 3" xfId="5358"/>
    <cellStyle name="Normal 10 4 4 3" xfId="5359"/>
    <cellStyle name="Normal 10 4 4 3 2" xfId="5360"/>
    <cellStyle name="Normal 10 4 4 3 3" xfId="5361"/>
    <cellStyle name="Normal 10 4 4 4" xfId="5362"/>
    <cellStyle name="Normal 10 4 4 5" xfId="5363"/>
    <cellStyle name="Normal 10 4 5" xfId="5364"/>
    <cellStyle name="Normal 10 4 5 2" xfId="5365"/>
    <cellStyle name="Normal 10 4 5 3" xfId="5366"/>
    <cellStyle name="Normal 10 4 6" xfId="5367"/>
    <cellStyle name="Normal 10 4 6 2" xfId="5368"/>
    <cellStyle name="Normal 10 4 6 3" xfId="5369"/>
    <cellStyle name="Normal 10 4 7" xfId="5370"/>
    <cellStyle name="Normal 10 4 8" xfId="5371"/>
    <cellStyle name="Normal 10 5" xfId="5372"/>
    <cellStyle name="Normal 10 5 2" xfId="5373"/>
    <cellStyle name="Normal 10 5 2 2" xfId="5374"/>
    <cellStyle name="Normal 10 5 2 2 2" xfId="5375"/>
    <cellStyle name="Normal 10 5 2 2 2 2" xfId="5376"/>
    <cellStyle name="Normal 10 5 2 2 2 3" xfId="5377"/>
    <cellStyle name="Normal 10 5 2 2 3" xfId="5378"/>
    <cellStyle name="Normal 10 5 2 2 3 2" xfId="5379"/>
    <cellStyle name="Normal 10 5 2 2 3 3" xfId="5380"/>
    <cellStyle name="Normal 10 5 2 2 4" xfId="5381"/>
    <cellStyle name="Normal 10 5 2 2 5" xfId="5382"/>
    <cellStyle name="Normal 10 5 2 3" xfId="5383"/>
    <cellStyle name="Normal 10 5 2 3 2" xfId="5384"/>
    <cellStyle name="Normal 10 5 2 3 3" xfId="5385"/>
    <cellStyle name="Normal 10 5 2 4" xfId="5386"/>
    <cellStyle name="Normal 10 5 2 4 2" xfId="5387"/>
    <cellStyle name="Normal 10 5 2 4 3" xfId="5388"/>
    <cellStyle name="Normal 10 5 2 5" xfId="5389"/>
    <cellStyle name="Normal 10 5 2 6" xfId="5390"/>
    <cellStyle name="Normal 10 5 3" xfId="5391"/>
    <cellStyle name="Normal 10 5 3 2" xfId="5392"/>
    <cellStyle name="Normal 10 5 3 2 2" xfId="5393"/>
    <cellStyle name="Normal 10 5 3 2 3" xfId="5394"/>
    <cellStyle name="Normal 10 5 3 3" xfId="5395"/>
    <cellStyle name="Normal 10 5 3 3 2" xfId="5396"/>
    <cellStyle name="Normal 10 5 3 3 3" xfId="5397"/>
    <cellStyle name="Normal 10 5 3 4" xfId="5398"/>
    <cellStyle name="Normal 10 5 3 5" xfId="5399"/>
    <cellStyle name="Normal 10 5 4" xfId="5400"/>
    <cellStyle name="Normal 10 5 4 2" xfId="5401"/>
    <cellStyle name="Normal 10 5 4 3" xfId="5402"/>
    <cellStyle name="Normal 10 5 5" xfId="5403"/>
    <cellStyle name="Normal 10 5 5 2" xfId="5404"/>
    <cellStyle name="Normal 10 5 5 3" xfId="5405"/>
    <cellStyle name="Normal 10 5 6" xfId="5406"/>
    <cellStyle name="Normal 10 5 7" xfId="5407"/>
    <cellStyle name="Normal 10 6" xfId="5408"/>
    <cellStyle name="Normal 10 6 2" xfId="5409"/>
    <cellStyle name="Normal 10 6 2 2" xfId="5410"/>
    <cellStyle name="Normal 10 6 2 2 2" xfId="5411"/>
    <cellStyle name="Normal 10 6 2 2 3" xfId="5412"/>
    <cellStyle name="Normal 10 6 2 3" xfId="5413"/>
    <cellStyle name="Normal 10 6 2 3 2" xfId="5414"/>
    <cellStyle name="Normal 10 6 2 3 3" xfId="5415"/>
    <cellStyle name="Normal 10 6 2 4" xfId="5416"/>
    <cellStyle name="Normal 10 6 2 5" xfId="5417"/>
    <cellStyle name="Normal 10 6 3" xfId="5418"/>
    <cellStyle name="Normal 10 6 3 2" xfId="5419"/>
    <cellStyle name="Normal 10 6 3 3" xfId="5420"/>
    <cellStyle name="Normal 10 6 4" xfId="5421"/>
    <cellStyle name="Normal 10 6 4 2" xfId="5422"/>
    <cellStyle name="Normal 10 6 4 3" xfId="5423"/>
    <cellStyle name="Normal 10 6 5" xfId="5424"/>
    <cellStyle name="Normal 10 6 6" xfId="5425"/>
    <cellStyle name="Normal 10 7" xfId="5426"/>
    <cellStyle name="Normal 10 7 2" xfId="5427"/>
    <cellStyle name="Normal 10 7 2 2" xfId="5428"/>
    <cellStyle name="Normal 10 7 2 3" xfId="5429"/>
    <cellStyle name="Normal 10 7 3" xfId="5430"/>
    <cellStyle name="Normal 10 7 3 2" xfId="5431"/>
    <cellStyle name="Normal 10 7 3 3" xfId="5432"/>
    <cellStyle name="Normal 10 7 4" xfId="5433"/>
    <cellStyle name="Normal 10 7 5" xfId="5434"/>
    <cellStyle name="Normal 10 8" xfId="5435"/>
    <cellStyle name="Normal 10 8 2" xfId="5436"/>
    <cellStyle name="Normal 10 8 3" xfId="5437"/>
    <cellStyle name="Normal 10 9" xfId="5438"/>
    <cellStyle name="Normal 10 9 2" xfId="5439"/>
    <cellStyle name="Normal 10 9 3" xfId="5440"/>
    <cellStyle name="Normal 10_2112 DF Schedule" xfId="338"/>
    <cellStyle name="Normal 100" xfId="5441"/>
    <cellStyle name="Normal 100 2" xfId="5442"/>
    <cellStyle name="Normal 100 3" xfId="5443"/>
    <cellStyle name="Normal 101" xfId="5444"/>
    <cellStyle name="Normal 101 2" xfId="5445"/>
    <cellStyle name="Normal 102" xfId="5446"/>
    <cellStyle name="Normal 102 2" xfId="5447"/>
    <cellStyle name="Normal 103" xfId="5448"/>
    <cellStyle name="Normal 103 2" xfId="5449"/>
    <cellStyle name="Normal 104" xfId="5450"/>
    <cellStyle name="Normal 104 2" xfId="5451"/>
    <cellStyle name="Normal 105" xfId="5452"/>
    <cellStyle name="Normal 105 2" xfId="5453"/>
    <cellStyle name="Normal 106" xfId="5454"/>
    <cellStyle name="Normal 107" xfId="5455"/>
    <cellStyle name="Normal 107 2" xfId="5456"/>
    <cellStyle name="Normal 108" xfId="5457"/>
    <cellStyle name="Normal 108 2" xfId="5458"/>
    <cellStyle name="Normal 109" xfId="5459"/>
    <cellStyle name="Normal 109 2" xfId="5460"/>
    <cellStyle name="Normal 109 2 2" xfId="5461"/>
    <cellStyle name="Normal 109 3" xfId="5462"/>
    <cellStyle name="Normal 109 4" xfId="5463"/>
    <cellStyle name="Normal 11" xfId="157"/>
    <cellStyle name="Normal 11 10" xfId="5464"/>
    <cellStyle name="Normal 11 11" xfId="5465"/>
    <cellStyle name="Normal 11 12" xfId="5466"/>
    <cellStyle name="Normal 11 2" xfId="5467"/>
    <cellStyle name="Normal 11 2 2" xfId="5468"/>
    <cellStyle name="Normal 11 2 2 2" xfId="5469"/>
    <cellStyle name="Normal 11 2 2 2 2" xfId="5470"/>
    <cellStyle name="Normal 11 2 2 2 2 2" xfId="5471"/>
    <cellStyle name="Normal 11 2 2 2 2 2 2" xfId="5472"/>
    <cellStyle name="Normal 11 2 2 2 2 2 2 2" xfId="5473"/>
    <cellStyle name="Normal 11 2 2 2 2 2 2 3" xfId="5474"/>
    <cellStyle name="Normal 11 2 2 2 2 2 3" xfId="5475"/>
    <cellStyle name="Normal 11 2 2 2 2 2 3 2" xfId="5476"/>
    <cellStyle name="Normal 11 2 2 2 2 2 3 3" xfId="5477"/>
    <cellStyle name="Normal 11 2 2 2 2 2 4" xfId="5478"/>
    <cellStyle name="Normal 11 2 2 2 2 2 5" xfId="5479"/>
    <cellStyle name="Normal 11 2 2 2 2 3" xfId="5480"/>
    <cellStyle name="Normal 11 2 2 2 2 3 2" xfId="5481"/>
    <cellStyle name="Normal 11 2 2 2 2 3 3" xfId="5482"/>
    <cellStyle name="Normal 11 2 2 2 2 4" xfId="5483"/>
    <cellStyle name="Normal 11 2 2 2 2 4 2" xfId="5484"/>
    <cellStyle name="Normal 11 2 2 2 2 4 3" xfId="5485"/>
    <cellStyle name="Normal 11 2 2 2 2 5" xfId="5486"/>
    <cellStyle name="Normal 11 2 2 2 2 6" xfId="5487"/>
    <cellStyle name="Normal 11 2 2 2 3" xfId="5488"/>
    <cellStyle name="Normal 11 2 2 2 3 2" xfId="5489"/>
    <cellStyle name="Normal 11 2 2 2 3 2 2" xfId="5490"/>
    <cellStyle name="Normal 11 2 2 2 3 2 3" xfId="5491"/>
    <cellStyle name="Normal 11 2 2 2 3 3" xfId="5492"/>
    <cellStyle name="Normal 11 2 2 2 3 3 2" xfId="5493"/>
    <cellStyle name="Normal 11 2 2 2 3 3 3" xfId="5494"/>
    <cellStyle name="Normal 11 2 2 2 3 4" xfId="5495"/>
    <cellStyle name="Normal 11 2 2 2 3 5" xfId="5496"/>
    <cellStyle name="Normal 11 2 2 2 3 6" xfId="34870"/>
    <cellStyle name="Normal 11 2 2 2 4" xfId="5497"/>
    <cellStyle name="Normal 11 2 2 2 4 2" xfId="5498"/>
    <cellStyle name="Normal 11 2 2 2 4 3" xfId="5499"/>
    <cellStyle name="Normal 11 2 2 2 5" xfId="5500"/>
    <cellStyle name="Normal 11 2 2 2 5 2" xfId="5501"/>
    <cellStyle name="Normal 11 2 2 2 5 3" xfId="5502"/>
    <cellStyle name="Normal 11 2 2 2 6" xfId="5503"/>
    <cellStyle name="Normal 11 2 2 2 7" xfId="5504"/>
    <cellStyle name="Normal 11 2 2 3" xfId="5505"/>
    <cellStyle name="Normal 11 2 2 3 2" xfId="5506"/>
    <cellStyle name="Normal 11 2 2 3 2 2" xfId="5507"/>
    <cellStyle name="Normal 11 2 2 3 2 2 2" xfId="5508"/>
    <cellStyle name="Normal 11 2 2 3 2 2 3" xfId="5509"/>
    <cellStyle name="Normal 11 2 2 3 2 3" xfId="5510"/>
    <cellStyle name="Normal 11 2 2 3 2 3 2" xfId="5511"/>
    <cellStyle name="Normal 11 2 2 3 2 3 3" xfId="5512"/>
    <cellStyle name="Normal 11 2 2 3 2 4" xfId="5513"/>
    <cellStyle name="Normal 11 2 2 3 2 5" xfId="5514"/>
    <cellStyle name="Normal 11 2 2 3 3" xfId="5515"/>
    <cellStyle name="Normal 11 2 2 3 3 2" xfId="5516"/>
    <cellStyle name="Normal 11 2 2 3 3 3" xfId="5517"/>
    <cellStyle name="Normal 11 2 2 3 4" xfId="5518"/>
    <cellStyle name="Normal 11 2 2 3 4 2" xfId="5519"/>
    <cellStyle name="Normal 11 2 2 3 4 3" xfId="5520"/>
    <cellStyle name="Normal 11 2 2 3 5" xfId="5521"/>
    <cellStyle name="Normal 11 2 2 3 6" xfId="5522"/>
    <cellStyle name="Normal 11 2 2 4" xfId="5523"/>
    <cellStyle name="Normal 11 2 2 4 2" xfId="5524"/>
    <cellStyle name="Normal 11 2 2 4 2 2" xfId="5525"/>
    <cellStyle name="Normal 11 2 2 4 2 3" xfId="5526"/>
    <cellStyle name="Normal 11 2 2 4 3" xfId="5527"/>
    <cellStyle name="Normal 11 2 2 4 3 2" xfId="5528"/>
    <cellStyle name="Normal 11 2 2 4 3 3" xfId="5529"/>
    <cellStyle name="Normal 11 2 2 4 4" xfId="5530"/>
    <cellStyle name="Normal 11 2 2 4 5" xfId="5531"/>
    <cellStyle name="Normal 11 2 2 5" xfId="5532"/>
    <cellStyle name="Normal 11 2 2 5 2" xfId="5533"/>
    <cellStyle name="Normal 11 2 2 5 3" xfId="5534"/>
    <cellStyle name="Normal 11 2 2 6" xfId="5535"/>
    <cellStyle name="Normal 11 2 2 6 2" xfId="5536"/>
    <cellStyle name="Normal 11 2 2 6 3" xfId="5537"/>
    <cellStyle name="Normal 11 2 2 7" xfId="5538"/>
    <cellStyle name="Normal 11 2 2 8" xfId="5539"/>
    <cellStyle name="Normal 11 2 3" xfId="5540"/>
    <cellStyle name="Normal 11 2 3 2" xfId="5541"/>
    <cellStyle name="Normal 11 2 3 2 2" xfId="5542"/>
    <cellStyle name="Normal 11 2 3 2 2 2" xfId="5543"/>
    <cellStyle name="Normal 11 2 3 2 2 2 2" xfId="5544"/>
    <cellStyle name="Normal 11 2 3 2 2 2 3" xfId="5545"/>
    <cellStyle name="Normal 11 2 3 2 2 3" xfId="5546"/>
    <cellStyle name="Normal 11 2 3 2 2 3 2" xfId="5547"/>
    <cellStyle name="Normal 11 2 3 2 2 3 3" xfId="5548"/>
    <cellStyle name="Normal 11 2 3 2 2 4" xfId="5549"/>
    <cellStyle name="Normal 11 2 3 2 2 5" xfId="5550"/>
    <cellStyle name="Normal 11 2 3 2 3" xfId="5551"/>
    <cellStyle name="Normal 11 2 3 2 3 2" xfId="5552"/>
    <cellStyle name="Normal 11 2 3 2 3 3" xfId="5553"/>
    <cellStyle name="Normal 11 2 3 2 4" xfId="5554"/>
    <cellStyle name="Normal 11 2 3 2 4 2" xfId="5555"/>
    <cellStyle name="Normal 11 2 3 2 4 3" xfId="5556"/>
    <cellStyle name="Normal 11 2 3 2 5" xfId="5557"/>
    <cellStyle name="Normal 11 2 3 2 6" xfId="5558"/>
    <cellStyle name="Normal 11 2 3 3" xfId="5559"/>
    <cellStyle name="Normal 11 2 3 3 2" xfId="5560"/>
    <cellStyle name="Normal 11 2 3 3 2 2" xfId="5561"/>
    <cellStyle name="Normal 11 2 3 3 2 3" xfId="5562"/>
    <cellStyle name="Normal 11 2 3 3 3" xfId="5563"/>
    <cellStyle name="Normal 11 2 3 3 3 2" xfId="5564"/>
    <cellStyle name="Normal 11 2 3 3 3 3" xfId="5565"/>
    <cellStyle name="Normal 11 2 3 3 4" xfId="5566"/>
    <cellStyle name="Normal 11 2 3 3 5" xfId="5567"/>
    <cellStyle name="Normal 11 2 3 4" xfId="5568"/>
    <cellStyle name="Normal 11 2 3 4 2" xfId="5569"/>
    <cellStyle name="Normal 11 2 3 4 3" xfId="5570"/>
    <cellStyle name="Normal 11 2 3 5" xfId="5571"/>
    <cellStyle name="Normal 11 2 3 5 2" xfId="5572"/>
    <cellStyle name="Normal 11 2 3 5 3" xfId="5573"/>
    <cellStyle name="Normal 11 2 3 6" xfId="5574"/>
    <cellStyle name="Normal 11 2 3 7" xfId="5575"/>
    <cellStyle name="Normal 11 2 4" xfId="5576"/>
    <cellStyle name="Normal 11 2 4 2" xfId="5577"/>
    <cellStyle name="Normal 11 2 4 2 2" xfId="5578"/>
    <cellStyle name="Normal 11 2 4 2 2 2" xfId="5579"/>
    <cellStyle name="Normal 11 2 4 2 2 3" xfId="5580"/>
    <cellStyle name="Normal 11 2 4 2 3" xfId="5581"/>
    <cellStyle name="Normal 11 2 4 2 3 2" xfId="5582"/>
    <cellStyle name="Normal 11 2 4 2 3 3" xfId="5583"/>
    <cellStyle name="Normal 11 2 4 2 4" xfId="5584"/>
    <cellStyle name="Normal 11 2 4 2 5" xfId="5585"/>
    <cellStyle name="Normal 11 2 4 3" xfId="5586"/>
    <cellStyle name="Normal 11 2 4 3 2" xfId="5587"/>
    <cellStyle name="Normal 11 2 4 3 3" xfId="5588"/>
    <cellStyle name="Normal 11 2 4 4" xfId="5589"/>
    <cellStyle name="Normal 11 2 4 4 2" xfId="5590"/>
    <cellStyle name="Normal 11 2 4 4 3" xfId="5591"/>
    <cellStyle name="Normal 11 2 4 5" xfId="5592"/>
    <cellStyle name="Normal 11 2 4 6" xfId="5593"/>
    <cellStyle name="Normal 11 2 5" xfId="5594"/>
    <cellStyle name="Normal 11 2 5 2" xfId="5595"/>
    <cellStyle name="Normal 11 2 5 2 2" xfId="5596"/>
    <cellStyle name="Normal 11 2 5 2 3" xfId="5597"/>
    <cellStyle name="Normal 11 2 5 3" xfId="5598"/>
    <cellStyle name="Normal 11 2 5 3 2" xfId="5599"/>
    <cellStyle name="Normal 11 2 5 3 3" xfId="5600"/>
    <cellStyle name="Normal 11 2 5 4" xfId="5601"/>
    <cellStyle name="Normal 11 2 5 5" xfId="5602"/>
    <cellStyle name="Normal 11 2 6" xfId="5603"/>
    <cellStyle name="Normal 11 2 6 2" xfId="5604"/>
    <cellStyle name="Normal 11 2 6 3" xfId="5605"/>
    <cellStyle name="Normal 11 2 7" xfId="5606"/>
    <cellStyle name="Normal 11 2 7 2" xfId="5607"/>
    <cellStyle name="Normal 11 2 7 3" xfId="5608"/>
    <cellStyle name="Normal 11 2 8" xfId="5609"/>
    <cellStyle name="Normal 11 2 9" xfId="5610"/>
    <cellStyle name="Normal 11 3" xfId="5611"/>
    <cellStyle name="Normal 11 3 2" xfId="5612"/>
    <cellStyle name="Normal 11 3 2 2" xfId="5613"/>
    <cellStyle name="Normal 11 3 2 2 2" xfId="5614"/>
    <cellStyle name="Normal 11 3 2 2 2 2" xfId="5615"/>
    <cellStyle name="Normal 11 3 2 2 2 2 2" xfId="5616"/>
    <cellStyle name="Normal 11 3 2 2 2 2 3" xfId="5617"/>
    <cellStyle name="Normal 11 3 2 2 2 3" xfId="5618"/>
    <cellStyle name="Normal 11 3 2 2 2 3 2" xfId="5619"/>
    <cellStyle name="Normal 11 3 2 2 2 3 3" xfId="5620"/>
    <cellStyle name="Normal 11 3 2 2 2 4" xfId="5621"/>
    <cellStyle name="Normal 11 3 2 2 2 5" xfId="5622"/>
    <cellStyle name="Normal 11 3 2 2 3" xfId="5623"/>
    <cellStyle name="Normal 11 3 2 2 3 2" xfId="5624"/>
    <cellStyle name="Normal 11 3 2 2 3 3" xfId="5625"/>
    <cellStyle name="Normal 11 3 2 2 4" xfId="5626"/>
    <cellStyle name="Normal 11 3 2 2 4 2" xfId="5627"/>
    <cellStyle name="Normal 11 3 2 2 4 3" xfId="5628"/>
    <cellStyle name="Normal 11 3 2 2 5" xfId="5629"/>
    <cellStyle name="Normal 11 3 2 2 6" xfId="5630"/>
    <cellStyle name="Normal 11 3 2 3" xfId="5631"/>
    <cellStyle name="Normal 11 3 2 3 2" xfId="5632"/>
    <cellStyle name="Normal 11 3 2 3 2 2" xfId="5633"/>
    <cellStyle name="Normal 11 3 2 3 2 3" xfId="5634"/>
    <cellStyle name="Normal 11 3 2 3 3" xfId="5635"/>
    <cellStyle name="Normal 11 3 2 3 3 2" xfId="5636"/>
    <cellStyle name="Normal 11 3 2 3 3 3" xfId="5637"/>
    <cellStyle name="Normal 11 3 2 3 4" xfId="5638"/>
    <cellStyle name="Normal 11 3 2 3 5" xfId="5639"/>
    <cellStyle name="Normal 11 3 2 4" xfId="5640"/>
    <cellStyle name="Normal 11 3 2 4 2" xfId="5641"/>
    <cellStyle name="Normal 11 3 2 4 3" xfId="5642"/>
    <cellStyle name="Normal 11 3 2 5" xfId="5643"/>
    <cellStyle name="Normal 11 3 2 5 2" xfId="5644"/>
    <cellStyle name="Normal 11 3 2 5 3" xfId="5645"/>
    <cellStyle name="Normal 11 3 2 6" xfId="5646"/>
    <cellStyle name="Normal 11 3 2 7" xfId="5647"/>
    <cellStyle name="Normal 11 3 3" xfId="5648"/>
    <cellStyle name="Normal 11 3 3 2" xfId="5649"/>
    <cellStyle name="Normal 11 3 3 2 2" xfId="5650"/>
    <cellStyle name="Normal 11 3 3 2 2 2" xfId="5651"/>
    <cellStyle name="Normal 11 3 3 2 2 3" xfId="5652"/>
    <cellStyle name="Normal 11 3 3 2 3" xfId="5653"/>
    <cellStyle name="Normal 11 3 3 2 3 2" xfId="5654"/>
    <cellStyle name="Normal 11 3 3 2 3 3" xfId="5655"/>
    <cellStyle name="Normal 11 3 3 2 4" xfId="5656"/>
    <cellStyle name="Normal 11 3 3 2 5" xfId="5657"/>
    <cellStyle name="Normal 11 3 3 3" xfId="5658"/>
    <cellStyle name="Normal 11 3 3 3 2" xfId="5659"/>
    <cellStyle name="Normal 11 3 3 3 3" xfId="5660"/>
    <cellStyle name="Normal 11 3 3 4" xfId="5661"/>
    <cellStyle name="Normal 11 3 3 4 2" xfId="5662"/>
    <cellStyle name="Normal 11 3 3 4 3" xfId="5663"/>
    <cellStyle name="Normal 11 3 3 5" xfId="5664"/>
    <cellStyle name="Normal 11 3 3 6" xfId="5665"/>
    <cellStyle name="Normal 11 3 4" xfId="5666"/>
    <cellStyle name="Normal 11 3 4 2" xfId="5667"/>
    <cellStyle name="Normal 11 3 4 2 2" xfId="5668"/>
    <cellStyle name="Normal 11 3 4 2 3" xfId="5669"/>
    <cellStyle name="Normal 11 3 4 3" xfId="5670"/>
    <cellStyle name="Normal 11 3 4 3 2" xfId="5671"/>
    <cellStyle name="Normal 11 3 4 3 3" xfId="5672"/>
    <cellStyle name="Normal 11 3 4 4" xfId="5673"/>
    <cellStyle name="Normal 11 3 4 5" xfId="5674"/>
    <cellStyle name="Normal 11 3 5" xfId="5675"/>
    <cellStyle name="Normal 11 3 5 2" xfId="5676"/>
    <cellStyle name="Normal 11 3 5 3" xfId="5677"/>
    <cellStyle name="Normal 11 3 6" xfId="5678"/>
    <cellStyle name="Normal 11 3 6 2" xfId="5679"/>
    <cellStyle name="Normal 11 3 6 3" xfId="5680"/>
    <cellStyle name="Normal 11 3 7" xfId="5681"/>
    <cellStyle name="Normal 11 3 8" xfId="5682"/>
    <cellStyle name="Normal 11 4" xfId="5683"/>
    <cellStyle name="Normal 11 4 2" xfId="5684"/>
    <cellStyle name="Normal 11 4 2 2" xfId="5685"/>
    <cellStyle name="Normal 11 4 2 2 2" xfId="5686"/>
    <cellStyle name="Normal 11 4 2 2 2 2" xfId="5687"/>
    <cellStyle name="Normal 11 4 2 2 2 2 2" xfId="5688"/>
    <cellStyle name="Normal 11 4 2 2 2 2 3" xfId="5689"/>
    <cellStyle name="Normal 11 4 2 2 2 3" xfId="5690"/>
    <cellStyle name="Normal 11 4 2 2 2 3 2" xfId="5691"/>
    <cellStyle name="Normal 11 4 2 2 2 3 3" xfId="5692"/>
    <cellStyle name="Normal 11 4 2 2 2 4" xfId="5693"/>
    <cellStyle name="Normal 11 4 2 2 2 5" xfId="5694"/>
    <cellStyle name="Normal 11 4 2 2 3" xfId="5695"/>
    <cellStyle name="Normal 11 4 2 2 3 2" xfId="5696"/>
    <cellStyle name="Normal 11 4 2 2 3 3" xfId="5697"/>
    <cellStyle name="Normal 11 4 2 2 4" xfId="5698"/>
    <cellStyle name="Normal 11 4 2 2 4 2" xfId="5699"/>
    <cellStyle name="Normal 11 4 2 2 4 3" xfId="5700"/>
    <cellStyle name="Normal 11 4 2 2 5" xfId="5701"/>
    <cellStyle name="Normal 11 4 2 2 6" xfId="5702"/>
    <cellStyle name="Normal 11 4 2 3" xfId="5703"/>
    <cellStyle name="Normal 11 4 2 3 2" xfId="5704"/>
    <cellStyle name="Normal 11 4 2 3 2 2" xfId="5705"/>
    <cellStyle name="Normal 11 4 2 3 2 3" xfId="5706"/>
    <cellStyle name="Normal 11 4 2 3 3" xfId="5707"/>
    <cellStyle name="Normal 11 4 2 3 3 2" xfId="5708"/>
    <cellStyle name="Normal 11 4 2 3 3 3" xfId="5709"/>
    <cellStyle name="Normal 11 4 2 3 4" xfId="5710"/>
    <cellStyle name="Normal 11 4 2 3 5" xfId="5711"/>
    <cellStyle name="Normal 11 4 2 4" xfId="5712"/>
    <cellStyle name="Normal 11 4 2 4 2" xfId="5713"/>
    <cellStyle name="Normal 11 4 2 4 3" xfId="5714"/>
    <cellStyle name="Normal 11 4 2 5" xfId="5715"/>
    <cellStyle name="Normal 11 4 2 5 2" xfId="5716"/>
    <cellStyle name="Normal 11 4 2 5 3" xfId="5717"/>
    <cellStyle name="Normal 11 4 2 6" xfId="5718"/>
    <cellStyle name="Normal 11 4 2 7" xfId="5719"/>
    <cellStyle name="Normal 11 4 3" xfId="5720"/>
    <cellStyle name="Normal 11 4 3 2" xfId="5721"/>
    <cellStyle name="Normal 11 4 3 2 2" xfId="5722"/>
    <cellStyle name="Normal 11 4 3 2 2 2" xfId="5723"/>
    <cellStyle name="Normal 11 4 3 2 2 3" xfId="5724"/>
    <cellStyle name="Normal 11 4 3 2 3" xfId="5725"/>
    <cellStyle name="Normal 11 4 3 2 3 2" xfId="5726"/>
    <cellStyle name="Normal 11 4 3 2 3 3" xfId="5727"/>
    <cellStyle name="Normal 11 4 3 2 4" xfId="5728"/>
    <cellStyle name="Normal 11 4 3 2 5" xfId="5729"/>
    <cellStyle name="Normal 11 4 3 3" xfId="5730"/>
    <cellStyle name="Normal 11 4 3 3 2" xfId="5731"/>
    <cellStyle name="Normal 11 4 3 3 3" xfId="5732"/>
    <cellStyle name="Normal 11 4 3 4" xfId="5733"/>
    <cellStyle name="Normal 11 4 3 4 2" xfId="5734"/>
    <cellStyle name="Normal 11 4 3 4 3" xfId="5735"/>
    <cellStyle name="Normal 11 4 3 5" xfId="5736"/>
    <cellStyle name="Normal 11 4 3 6" xfId="5737"/>
    <cellStyle name="Normal 11 4 4" xfId="5738"/>
    <cellStyle name="Normal 11 4 4 2" xfId="5739"/>
    <cellStyle name="Normal 11 4 4 2 2" xfId="5740"/>
    <cellStyle name="Normal 11 4 4 2 3" xfId="5741"/>
    <cellStyle name="Normal 11 4 4 3" xfId="5742"/>
    <cellStyle name="Normal 11 4 4 3 2" xfId="5743"/>
    <cellStyle name="Normal 11 4 4 3 3" xfId="5744"/>
    <cellStyle name="Normal 11 4 4 4" xfId="5745"/>
    <cellStyle name="Normal 11 4 4 5" xfId="5746"/>
    <cellStyle name="Normal 11 4 5" xfId="5747"/>
    <cellStyle name="Normal 11 4 5 2" xfId="5748"/>
    <cellStyle name="Normal 11 4 5 3" xfId="5749"/>
    <cellStyle name="Normal 11 4 6" xfId="5750"/>
    <cellStyle name="Normal 11 4 6 2" xfId="5751"/>
    <cellStyle name="Normal 11 4 6 3" xfId="5752"/>
    <cellStyle name="Normal 11 4 7" xfId="5753"/>
    <cellStyle name="Normal 11 4 8" xfId="5754"/>
    <cellStyle name="Normal 11 5" xfId="5755"/>
    <cellStyle name="Normal 11 5 10" xfId="5756"/>
    <cellStyle name="Normal 11 5 10 2" xfId="5757"/>
    <cellStyle name="Normal 11 5 10 3" xfId="5758"/>
    <cellStyle name="Normal 11 5 11" xfId="5759"/>
    <cellStyle name="Normal 11 5 11 2" xfId="5760"/>
    <cellStyle name="Normal 11 5 12" xfId="5761"/>
    <cellStyle name="Normal 11 5 12 2" xfId="5762"/>
    <cellStyle name="Normal 11 5 13" xfId="5763"/>
    <cellStyle name="Normal 11 5 14" xfId="5764"/>
    <cellStyle name="Normal 11 5 15" xfId="5765"/>
    <cellStyle name="Normal 11 5 16" xfId="5766"/>
    <cellStyle name="Normal 11 5 17" xfId="5767"/>
    <cellStyle name="Normal 11 5 18" xfId="5768"/>
    <cellStyle name="Normal 11 5 19" xfId="5769"/>
    <cellStyle name="Normal 11 5 19 2" xfId="5770"/>
    <cellStyle name="Normal 11 5 19 3" xfId="5771"/>
    <cellStyle name="Normal 11 5 19 4" xfId="5772"/>
    <cellStyle name="Normal 11 5 19 5" xfId="5773"/>
    <cellStyle name="Normal 11 5 19 6" xfId="5774"/>
    <cellStyle name="Normal 11 5 2" xfId="5775"/>
    <cellStyle name="Normal 11 5 2 2" xfId="5776"/>
    <cellStyle name="Normal 11 5 2 2 2" xfId="5777"/>
    <cellStyle name="Normal 11 5 2 2 2 2" xfId="5778"/>
    <cellStyle name="Normal 11 5 2 2 2 3" xfId="5779"/>
    <cellStyle name="Normal 11 5 2 2 3" xfId="5780"/>
    <cellStyle name="Normal 11 5 2 2 3 2" xfId="5781"/>
    <cellStyle name="Normal 11 5 2 2 3 3" xfId="5782"/>
    <cellStyle name="Normal 11 5 2 2 4" xfId="5783"/>
    <cellStyle name="Normal 11 5 2 2 5" xfId="5784"/>
    <cellStyle name="Normal 11 5 2 3" xfId="5785"/>
    <cellStyle name="Normal 11 5 2 3 2" xfId="5786"/>
    <cellStyle name="Normal 11 5 2 3 3" xfId="5787"/>
    <cellStyle name="Normal 11 5 2 4" xfId="5788"/>
    <cellStyle name="Normal 11 5 2 4 2" xfId="5789"/>
    <cellStyle name="Normal 11 5 2 4 3" xfId="5790"/>
    <cellStyle name="Normal 11 5 2 5" xfId="5791"/>
    <cellStyle name="Normal 11 5 2 6" xfId="5792"/>
    <cellStyle name="Normal 11 5 20" xfId="5793"/>
    <cellStyle name="Normal 11 5 21" xfId="5794"/>
    <cellStyle name="Normal 11 5 22" xfId="5795"/>
    <cellStyle name="Normal 11 5 23" xfId="5796"/>
    <cellStyle name="Normal 11 5 24" xfId="5797"/>
    <cellStyle name="Normal 11 5 25" xfId="5798"/>
    <cellStyle name="Normal 11 5 26" xfId="5799"/>
    <cellStyle name="Normal 11 5 27" xfId="5800"/>
    <cellStyle name="Normal 11 5 28" xfId="5801"/>
    <cellStyle name="Normal 11 5 3" xfId="5802"/>
    <cellStyle name="Normal 11 5 3 2" xfId="5803"/>
    <cellStyle name="Normal 11 5 3 2 2" xfId="5804"/>
    <cellStyle name="Normal 11 5 3 2 2 2" xfId="5805"/>
    <cellStyle name="Normal 11 5 3 2 2 3" xfId="5806"/>
    <cellStyle name="Normal 11 5 3 2 3" xfId="5807"/>
    <cellStyle name="Normal 11 5 3 2 3 2" xfId="5808"/>
    <cellStyle name="Normal 11 5 3 2 3 3" xfId="5809"/>
    <cellStyle name="Normal 11 5 3 2 4" xfId="5810"/>
    <cellStyle name="Normal 11 5 3 2 5" xfId="5811"/>
    <cellStyle name="Normal 11 5 3 3" xfId="5812"/>
    <cellStyle name="Normal 11 5 3 3 2" xfId="5813"/>
    <cellStyle name="Normal 11 5 3 3 3" xfId="5814"/>
    <cellStyle name="Normal 11 5 3 3 4" xfId="5815"/>
    <cellStyle name="Normal 11 5 3 3 5" xfId="5816"/>
    <cellStyle name="Normal 11 5 3 4" xfId="5817"/>
    <cellStyle name="Normal 11 5 3 4 2" xfId="5818"/>
    <cellStyle name="Normal 11 5 3 4 3" xfId="5819"/>
    <cellStyle name="Normal 11 5 3 5" xfId="5820"/>
    <cellStyle name="Normal 11 5 3 5 2" xfId="5821"/>
    <cellStyle name="Normal 11 5 3 5 3" xfId="5822"/>
    <cellStyle name="Normal 11 5 3 6" xfId="5823"/>
    <cellStyle name="Normal 11 5 3 7" xfId="5824"/>
    <cellStyle name="Normal 11 5 4" xfId="5825"/>
    <cellStyle name="Normal 11 5 4 2" xfId="5826"/>
    <cellStyle name="Normal 11 5 4 2 2" xfId="5827"/>
    <cellStyle name="Normal 11 5 4 2 3" xfId="5828"/>
    <cellStyle name="Normal 11 5 4 2 4" xfId="5829"/>
    <cellStyle name="Normal 11 5 4 2 5" xfId="5830"/>
    <cellStyle name="Normal 11 5 4 3" xfId="5831"/>
    <cellStyle name="Normal 11 5 4 3 2" xfId="5832"/>
    <cellStyle name="Normal 11 5 4 3 3" xfId="5833"/>
    <cellStyle name="Normal 11 5 4 4" xfId="5834"/>
    <cellStyle name="Normal 11 5 4 4 2" xfId="5835"/>
    <cellStyle name="Normal 11 5 4 4 3" xfId="5836"/>
    <cellStyle name="Normal 11 5 4 5" xfId="5837"/>
    <cellStyle name="Normal 11 5 4 6" xfId="5838"/>
    <cellStyle name="Normal 11 5 5" xfId="5839"/>
    <cellStyle name="Normal 11 5 5 2" xfId="5840"/>
    <cellStyle name="Normal 11 5 5 2 2" xfId="5841"/>
    <cellStyle name="Normal 11 5 5 2 3" xfId="5842"/>
    <cellStyle name="Normal 11 5 5 2 4" xfId="5843"/>
    <cellStyle name="Normal 11 5 5 2 5" xfId="5844"/>
    <cellStyle name="Normal 11 5 5 3" xfId="5845"/>
    <cellStyle name="Normal 11 5 5 3 2" xfId="5846"/>
    <cellStyle name="Normal 11 5 5 3 3" xfId="5847"/>
    <cellStyle name="Normal 11 5 5 4" xfId="5848"/>
    <cellStyle name="Normal 11 5 5 4 2" xfId="5849"/>
    <cellStyle name="Normal 11 5 5 4 3" xfId="5850"/>
    <cellStyle name="Normal 11 5 5 5" xfId="5851"/>
    <cellStyle name="Normal 11 5 5 6" xfId="5852"/>
    <cellStyle name="Normal 11 5 6" xfId="5853"/>
    <cellStyle name="Normal 11 5 6 2" xfId="5854"/>
    <cellStyle name="Normal 11 5 6 2 2" xfId="5855"/>
    <cellStyle name="Normal 11 5 6 2 3" xfId="5856"/>
    <cellStyle name="Normal 11 5 6 2 4" xfId="5857"/>
    <cellStyle name="Normal 11 5 6 2 5" xfId="5858"/>
    <cellStyle name="Normal 11 5 6 3" xfId="5859"/>
    <cellStyle name="Normal 11 5 6 3 2" xfId="5860"/>
    <cellStyle name="Normal 11 5 6 3 3" xfId="5861"/>
    <cellStyle name="Normal 11 5 6 4" xfId="5862"/>
    <cellStyle name="Normal 11 5 6 4 2" xfId="5863"/>
    <cellStyle name="Normal 11 5 6 4 3" xfId="5864"/>
    <cellStyle name="Normal 11 5 6 5" xfId="5865"/>
    <cellStyle name="Normal 11 5 6 5 2" xfId="5866"/>
    <cellStyle name="Normal 11 5 6 6" xfId="5867"/>
    <cellStyle name="Normal 11 5 6 7" xfId="5868"/>
    <cellStyle name="Normal 11 5 7" xfId="5869"/>
    <cellStyle name="Normal 11 5 7 2" xfId="5870"/>
    <cellStyle name="Normal 11 5 7 2 2" xfId="5871"/>
    <cellStyle name="Normal 11 5 7 2 3" xfId="5872"/>
    <cellStyle name="Normal 11 5 7 3" xfId="5873"/>
    <cellStyle name="Normal 11 5 7 3 2" xfId="5874"/>
    <cellStyle name="Normal 11 5 7 3 3" xfId="5875"/>
    <cellStyle name="Normal 11 5 7 4" xfId="5876"/>
    <cellStyle name="Normal 11 5 7 4 2" xfId="5877"/>
    <cellStyle name="Normal 11 5 7 5" xfId="5878"/>
    <cellStyle name="Normal 11 5 7 6" xfId="5879"/>
    <cellStyle name="Normal 11 5 8" xfId="5880"/>
    <cellStyle name="Normal 11 5 8 2" xfId="5881"/>
    <cellStyle name="Normal 11 5 8 3" xfId="5882"/>
    <cellStyle name="Normal 11 5 8 4" xfId="5883"/>
    <cellStyle name="Normal 11 5 8 5" xfId="5884"/>
    <cellStyle name="Normal 11 5 9" xfId="5885"/>
    <cellStyle name="Normal 11 5 9 2" xfId="5886"/>
    <cellStyle name="Normal 11 5 9 3" xfId="5887"/>
    <cellStyle name="Normal 11 5_10070" xfId="5888"/>
    <cellStyle name="Normal 11 6" xfId="5889"/>
    <cellStyle name="Normal 11 6 2" xfId="5890"/>
    <cellStyle name="Normal 11 6 2 2" xfId="5891"/>
    <cellStyle name="Normal 11 6 2 2 2" xfId="5892"/>
    <cellStyle name="Normal 11 6 2 2 3" xfId="5893"/>
    <cellStyle name="Normal 11 6 2 3" xfId="5894"/>
    <cellStyle name="Normal 11 6 2 3 2" xfId="5895"/>
    <cellStyle name="Normal 11 6 2 3 3" xfId="5896"/>
    <cellStyle name="Normal 11 6 2 4" xfId="5897"/>
    <cellStyle name="Normal 11 6 2 5" xfId="5898"/>
    <cellStyle name="Normal 11 6 3" xfId="5899"/>
    <cellStyle name="Normal 11 6 3 2" xfId="5900"/>
    <cellStyle name="Normal 11 6 3 3" xfId="5901"/>
    <cellStyle name="Normal 11 6 4" xfId="5902"/>
    <cellStyle name="Normal 11 6 4 2" xfId="5903"/>
    <cellStyle name="Normal 11 6 4 3" xfId="5904"/>
    <cellStyle name="Normal 11 6 5" xfId="5905"/>
    <cellStyle name="Normal 11 6 6" xfId="5906"/>
    <cellStyle name="Normal 11 7" xfId="5907"/>
    <cellStyle name="Normal 11 7 2" xfId="5908"/>
    <cellStyle name="Normal 11 7 2 2" xfId="5909"/>
    <cellStyle name="Normal 11 7 2 3" xfId="5910"/>
    <cellStyle name="Normal 11 7 3" xfId="5911"/>
    <cellStyle name="Normal 11 7 3 2" xfId="5912"/>
    <cellStyle name="Normal 11 7 3 3" xfId="5913"/>
    <cellStyle name="Normal 11 7 4" xfId="5914"/>
    <cellStyle name="Normal 11 7 5" xfId="5915"/>
    <cellStyle name="Normal 11 8" xfId="5916"/>
    <cellStyle name="Normal 11 8 2" xfId="5917"/>
    <cellStyle name="Normal 11 8 3" xfId="5918"/>
    <cellStyle name="Normal 11 9" xfId="5919"/>
    <cellStyle name="Normal 11 9 2" xfId="5920"/>
    <cellStyle name="Normal 11 9 3" xfId="5921"/>
    <cellStyle name="Normal 11_2180" xfId="5922"/>
    <cellStyle name="Normal 110" xfId="5923"/>
    <cellStyle name="Normal 110 2" xfId="5924"/>
    <cellStyle name="Normal 111" xfId="5925"/>
    <cellStyle name="Normal 111 2" xfId="5926"/>
    <cellStyle name="Normal 111 3" xfId="5927"/>
    <cellStyle name="Normal 112" xfId="5928"/>
    <cellStyle name="Normal 112 2" xfId="5929"/>
    <cellStyle name="Normal 112 3" xfId="5930"/>
    <cellStyle name="Normal 113" xfId="5931"/>
    <cellStyle name="Normal 113 2" xfId="5932"/>
    <cellStyle name="Normal 113 3" xfId="5933"/>
    <cellStyle name="Normal 113 4" xfId="5934"/>
    <cellStyle name="Normal 114" xfId="5935"/>
    <cellStyle name="Normal 114 2" xfId="5936"/>
    <cellStyle name="Normal 115" xfId="5937"/>
    <cellStyle name="Normal 116" xfId="5938"/>
    <cellStyle name="Normal 117" xfId="5939"/>
    <cellStyle name="Normal 117 2" xfId="5940"/>
    <cellStyle name="Normal 118" xfId="5941"/>
    <cellStyle name="Normal 118 2" xfId="5942"/>
    <cellStyle name="Normal 119" xfId="5943"/>
    <cellStyle name="Normal 12" xfId="158"/>
    <cellStyle name="Normal 12 10" xfId="5944"/>
    <cellStyle name="Normal 12 11" xfId="5945"/>
    <cellStyle name="Normal 12 2" xfId="339"/>
    <cellStyle name="Normal 12 2 2" xfId="5946"/>
    <cellStyle name="Normal 12 2 2 2" xfId="5947"/>
    <cellStyle name="Normal 12 2 2 2 2" xfId="5948"/>
    <cellStyle name="Normal 12 2 2 2 2 2" xfId="5949"/>
    <cellStyle name="Normal 12 2 2 2 2 2 2" xfId="5950"/>
    <cellStyle name="Normal 12 2 2 2 2 2 2 2" xfId="5951"/>
    <cellStyle name="Normal 12 2 2 2 2 2 2 3" xfId="5952"/>
    <cellStyle name="Normal 12 2 2 2 2 2 3" xfId="5953"/>
    <cellStyle name="Normal 12 2 2 2 2 2 3 2" xfId="5954"/>
    <cellStyle name="Normal 12 2 2 2 2 2 3 3" xfId="5955"/>
    <cellStyle name="Normal 12 2 2 2 2 2 4" xfId="5956"/>
    <cellStyle name="Normal 12 2 2 2 2 2 5" xfId="5957"/>
    <cellStyle name="Normal 12 2 2 2 2 3" xfId="5958"/>
    <cellStyle name="Normal 12 2 2 2 2 3 2" xfId="5959"/>
    <cellStyle name="Normal 12 2 2 2 2 3 3" xfId="5960"/>
    <cellStyle name="Normal 12 2 2 2 2 4" xfId="5961"/>
    <cellStyle name="Normal 12 2 2 2 2 4 2" xfId="5962"/>
    <cellStyle name="Normal 12 2 2 2 2 4 3" xfId="5963"/>
    <cellStyle name="Normal 12 2 2 2 2 5" xfId="5964"/>
    <cellStyle name="Normal 12 2 2 2 2 6" xfId="5965"/>
    <cellStyle name="Normal 12 2 2 2 3" xfId="5966"/>
    <cellStyle name="Normal 12 2 2 2 3 2" xfId="5967"/>
    <cellStyle name="Normal 12 2 2 2 3 2 2" xfId="5968"/>
    <cellStyle name="Normal 12 2 2 2 3 2 3" xfId="5969"/>
    <cellStyle name="Normal 12 2 2 2 3 3" xfId="5970"/>
    <cellStyle name="Normal 12 2 2 2 3 3 2" xfId="5971"/>
    <cellStyle name="Normal 12 2 2 2 3 3 3" xfId="5972"/>
    <cellStyle name="Normal 12 2 2 2 3 4" xfId="5973"/>
    <cellStyle name="Normal 12 2 2 2 3 5" xfId="5974"/>
    <cellStyle name="Normal 12 2 2 2 3 6" xfId="34871"/>
    <cellStyle name="Normal 12 2 2 2 4" xfId="5975"/>
    <cellStyle name="Normal 12 2 2 2 4 2" xfId="5976"/>
    <cellStyle name="Normal 12 2 2 2 4 3" xfId="5977"/>
    <cellStyle name="Normal 12 2 2 2 5" xfId="5978"/>
    <cellStyle name="Normal 12 2 2 2 5 2" xfId="5979"/>
    <cellStyle name="Normal 12 2 2 2 5 3" xfId="5980"/>
    <cellStyle name="Normal 12 2 2 2 6" xfId="5981"/>
    <cellStyle name="Normal 12 2 2 2 7" xfId="5982"/>
    <cellStyle name="Normal 12 2 2 3" xfId="5983"/>
    <cellStyle name="Normal 12 2 2 3 2" xfId="5984"/>
    <cellStyle name="Normal 12 2 2 3 2 2" xfId="5985"/>
    <cellStyle name="Normal 12 2 2 3 2 2 2" xfId="5986"/>
    <cellStyle name="Normal 12 2 2 3 2 2 3" xfId="5987"/>
    <cellStyle name="Normal 12 2 2 3 2 3" xfId="5988"/>
    <cellStyle name="Normal 12 2 2 3 2 3 2" xfId="5989"/>
    <cellStyle name="Normal 12 2 2 3 2 3 3" xfId="5990"/>
    <cellStyle name="Normal 12 2 2 3 2 4" xfId="5991"/>
    <cellStyle name="Normal 12 2 2 3 2 5" xfId="5992"/>
    <cellStyle name="Normal 12 2 2 3 3" xfId="5993"/>
    <cellStyle name="Normal 12 2 2 3 3 2" xfId="5994"/>
    <cellStyle name="Normal 12 2 2 3 3 3" xfId="5995"/>
    <cellStyle name="Normal 12 2 2 3 4" xfId="5996"/>
    <cellStyle name="Normal 12 2 2 3 4 2" xfId="5997"/>
    <cellStyle name="Normal 12 2 2 3 4 3" xfId="5998"/>
    <cellStyle name="Normal 12 2 2 3 5" xfId="5999"/>
    <cellStyle name="Normal 12 2 2 3 6" xfId="6000"/>
    <cellStyle name="Normal 12 2 2 4" xfId="6001"/>
    <cellStyle name="Normal 12 2 2 4 2" xfId="6002"/>
    <cellStyle name="Normal 12 2 2 4 2 2" xfId="6003"/>
    <cellStyle name="Normal 12 2 2 4 2 3" xfId="6004"/>
    <cellStyle name="Normal 12 2 2 4 3" xfId="6005"/>
    <cellStyle name="Normal 12 2 2 4 3 2" xfId="6006"/>
    <cellStyle name="Normal 12 2 2 4 3 3" xfId="6007"/>
    <cellStyle name="Normal 12 2 2 4 4" xfId="6008"/>
    <cellStyle name="Normal 12 2 2 4 5" xfId="6009"/>
    <cellStyle name="Normal 12 2 2 5" xfId="6010"/>
    <cellStyle name="Normal 12 2 2 5 2" xfId="6011"/>
    <cellStyle name="Normal 12 2 2 5 3" xfId="6012"/>
    <cellStyle name="Normal 12 2 2 6" xfId="6013"/>
    <cellStyle name="Normal 12 2 2 6 2" xfId="6014"/>
    <cellStyle name="Normal 12 2 2 6 3" xfId="6015"/>
    <cellStyle name="Normal 12 2 2 7" xfId="6016"/>
    <cellStyle name="Normal 12 2 2 8" xfId="6017"/>
    <cellStyle name="Normal 12 2 3" xfId="6018"/>
    <cellStyle name="Normal 12 2 3 2" xfId="6019"/>
    <cellStyle name="Normal 12 2 3 2 2" xfId="6020"/>
    <cellStyle name="Normal 12 2 3 2 2 2" xfId="6021"/>
    <cellStyle name="Normal 12 2 3 2 2 2 2" xfId="6022"/>
    <cellStyle name="Normal 12 2 3 2 2 2 3" xfId="6023"/>
    <cellStyle name="Normal 12 2 3 2 2 3" xfId="6024"/>
    <cellStyle name="Normal 12 2 3 2 2 3 2" xfId="6025"/>
    <cellStyle name="Normal 12 2 3 2 2 3 3" xfId="6026"/>
    <cellStyle name="Normal 12 2 3 2 2 4" xfId="6027"/>
    <cellStyle name="Normal 12 2 3 2 2 5" xfId="6028"/>
    <cellStyle name="Normal 12 2 3 2 3" xfId="6029"/>
    <cellStyle name="Normal 12 2 3 2 3 2" xfId="6030"/>
    <cellStyle name="Normal 12 2 3 2 3 3" xfId="6031"/>
    <cellStyle name="Normal 12 2 3 2 4" xfId="6032"/>
    <cellStyle name="Normal 12 2 3 2 4 2" xfId="6033"/>
    <cellStyle name="Normal 12 2 3 2 4 3" xfId="6034"/>
    <cellStyle name="Normal 12 2 3 2 5" xfId="6035"/>
    <cellStyle name="Normal 12 2 3 2 6" xfId="6036"/>
    <cellStyle name="Normal 12 2 3 3" xfId="6037"/>
    <cellStyle name="Normal 12 2 3 3 2" xfId="6038"/>
    <cellStyle name="Normal 12 2 3 3 2 2" xfId="6039"/>
    <cellStyle name="Normal 12 2 3 3 2 3" xfId="6040"/>
    <cellStyle name="Normal 12 2 3 3 3" xfId="6041"/>
    <cellStyle name="Normal 12 2 3 3 3 2" xfId="6042"/>
    <cellStyle name="Normal 12 2 3 3 3 3" xfId="6043"/>
    <cellStyle name="Normal 12 2 3 3 4" xfId="6044"/>
    <cellStyle name="Normal 12 2 3 3 5" xfId="6045"/>
    <cellStyle name="Normal 12 2 3 4" xfId="6046"/>
    <cellStyle name="Normal 12 2 3 4 2" xfId="6047"/>
    <cellStyle name="Normal 12 2 3 4 3" xfId="6048"/>
    <cellStyle name="Normal 12 2 3 5" xfId="6049"/>
    <cellStyle name="Normal 12 2 3 5 2" xfId="6050"/>
    <cellStyle name="Normal 12 2 3 5 3" xfId="6051"/>
    <cellStyle name="Normal 12 2 3 6" xfId="6052"/>
    <cellStyle name="Normal 12 2 3 7" xfId="6053"/>
    <cellStyle name="Normal 12 2 4" xfId="6054"/>
    <cellStyle name="Normal 12 2 4 2" xfId="6055"/>
    <cellStyle name="Normal 12 2 4 2 2" xfId="6056"/>
    <cellStyle name="Normal 12 2 4 2 2 2" xfId="6057"/>
    <cellStyle name="Normal 12 2 4 2 2 3" xfId="6058"/>
    <cellStyle name="Normal 12 2 4 2 3" xfId="6059"/>
    <cellStyle name="Normal 12 2 4 2 3 2" xfId="6060"/>
    <cellStyle name="Normal 12 2 4 2 3 3" xfId="6061"/>
    <cellStyle name="Normal 12 2 4 2 4" xfId="6062"/>
    <cellStyle name="Normal 12 2 4 2 5" xfId="6063"/>
    <cellStyle name="Normal 12 2 4 3" xfId="6064"/>
    <cellStyle name="Normal 12 2 4 3 2" xfId="6065"/>
    <cellStyle name="Normal 12 2 4 3 3" xfId="6066"/>
    <cellStyle name="Normal 12 2 4 4" xfId="6067"/>
    <cellStyle name="Normal 12 2 4 4 2" xfId="6068"/>
    <cellStyle name="Normal 12 2 4 4 3" xfId="6069"/>
    <cellStyle name="Normal 12 2 4 5" xfId="6070"/>
    <cellStyle name="Normal 12 2 4 6" xfId="6071"/>
    <cellStyle name="Normal 12 2 5" xfId="6072"/>
    <cellStyle name="Normal 12 2 5 2" xfId="6073"/>
    <cellStyle name="Normal 12 2 5 2 2" xfId="6074"/>
    <cellStyle name="Normal 12 2 5 2 3" xfId="6075"/>
    <cellStyle name="Normal 12 2 5 3" xfId="6076"/>
    <cellStyle name="Normal 12 2 5 3 2" xfId="6077"/>
    <cellStyle name="Normal 12 2 5 3 3" xfId="6078"/>
    <cellStyle name="Normal 12 2 5 4" xfId="6079"/>
    <cellStyle name="Normal 12 2 5 5" xfId="6080"/>
    <cellStyle name="Normal 12 2 6" xfId="6081"/>
    <cellStyle name="Normal 12 2 6 2" xfId="6082"/>
    <cellStyle name="Normal 12 2 6 3" xfId="6083"/>
    <cellStyle name="Normal 12 2 7" xfId="6084"/>
    <cellStyle name="Normal 12 2 7 2" xfId="6085"/>
    <cellStyle name="Normal 12 2 7 3" xfId="6086"/>
    <cellStyle name="Normal 12 2 8" xfId="6087"/>
    <cellStyle name="Normal 12 2 9" xfId="6088"/>
    <cellStyle name="Normal 12 3" xfId="6089"/>
    <cellStyle name="Normal 12 3 2" xfId="6090"/>
    <cellStyle name="Normal 12 3 2 2" xfId="6091"/>
    <cellStyle name="Normal 12 3 2 2 2" xfId="6092"/>
    <cellStyle name="Normal 12 3 2 2 2 2" xfId="6093"/>
    <cellStyle name="Normal 12 3 2 2 2 2 2" xfId="6094"/>
    <cellStyle name="Normal 12 3 2 2 2 2 3" xfId="6095"/>
    <cellStyle name="Normal 12 3 2 2 2 3" xfId="6096"/>
    <cellStyle name="Normal 12 3 2 2 2 3 2" xfId="6097"/>
    <cellStyle name="Normal 12 3 2 2 2 3 3" xfId="6098"/>
    <cellStyle name="Normal 12 3 2 2 2 4" xfId="6099"/>
    <cellStyle name="Normal 12 3 2 2 2 5" xfId="6100"/>
    <cellStyle name="Normal 12 3 2 2 3" xfId="6101"/>
    <cellStyle name="Normal 12 3 2 2 3 2" xfId="6102"/>
    <cellStyle name="Normal 12 3 2 2 3 3" xfId="6103"/>
    <cellStyle name="Normal 12 3 2 2 4" xfId="6104"/>
    <cellStyle name="Normal 12 3 2 2 4 2" xfId="6105"/>
    <cellStyle name="Normal 12 3 2 2 4 3" xfId="6106"/>
    <cellStyle name="Normal 12 3 2 2 5" xfId="6107"/>
    <cellStyle name="Normal 12 3 2 2 6" xfId="6108"/>
    <cellStyle name="Normal 12 3 2 3" xfId="6109"/>
    <cellStyle name="Normal 12 3 2 3 2" xfId="6110"/>
    <cellStyle name="Normal 12 3 2 3 2 2" xfId="6111"/>
    <cellStyle name="Normal 12 3 2 3 2 3" xfId="6112"/>
    <cellStyle name="Normal 12 3 2 3 3" xfId="6113"/>
    <cellStyle name="Normal 12 3 2 3 3 2" xfId="6114"/>
    <cellStyle name="Normal 12 3 2 3 3 3" xfId="6115"/>
    <cellStyle name="Normal 12 3 2 3 4" xfId="6116"/>
    <cellStyle name="Normal 12 3 2 3 5" xfId="6117"/>
    <cellStyle name="Normal 12 3 2 4" xfId="6118"/>
    <cellStyle name="Normal 12 3 2 4 2" xfId="6119"/>
    <cellStyle name="Normal 12 3 2 4 3" xfId="6120"/>
    <cellStyle name="Normal 12 3 2 5" xfId="6121"/>
    <cellStyle name="Normal 12 3 2 5 2" xfId="6122"/>
    <cellStyle name="Normal 12 3 2 5 3" xfId="6123"/>
    <cellStyle name="Normal 12 3 2 6" xfId="6124"/>
    <cellStyle name="Normal 12 3 2 7" xfId="6125"/>
    <cellStyle name="Normal 12 3 3" xfId="6126"/>
    <cellStyle name="Normal 12 3 3 2" xfId="6127"/>
    <cellStyle name="Normal 12 3 3 2 2" xfId="6128"/>
    <cellStyle name="Normal 12 3 3 2 2 2" xfId="6129"/>
    <cellStyle name="Normal 12 3 3 2 2 3" xfId="6130"/>
    <cellStyle name="Normal 12 3 3 2 3" xfId="6131"/>
    <cellStyle name="Normal 12 3 3 2 3 2" xfId="6132"/>
    <cellStyle name="Normal 12 3 3 2 3 3" xfId="6133"/>
    <cellStyle name="Normal 12 3 3 2 4" xfId="6134"/>
    <cellStyle name="Normal 12 3 3 2 5" xfId="6135"/>
    <cellStyle name="Normal 12 3 3 3" xfId="6136"/>
    <cellStyle name="Normal 12 3 3 3 2" xfId="6137"/>
    <cellStyle name="Normal 12 3 3 3 3" xfId="6138"/>
    <cellStyle name="Normal 12 3 3 4" xfId="6139"/>
    <cellStyle name="Normal 12 3 3 4 2" xfId="6140"/>
    <cellStyle name="Normal 12 3 3 4 3" xfId="6141"/>
    <cellStyle name="Normal 12 3 3 5" xfId="6142"/>
    <cellStyle name="Normal 12 3 3 6" xfId="6143"/>
    <cellStyle name="Normal 12 3 4" xfId="6144"/>
    <cellStyle name="Normal 12 3 4 2" xfId="6145"/>
    <cellStyle name="Normal 12 3 4 2 2" xfId="6146"/>
    <cellStyle name="Normal 12 3 4 2 3" xfId="6147"/>
    <cellStyle name="Normal 12 3 4 3" xfId="6148"/>
    <cellStyle name="Normal 12 3 4 3 2" xfId="6149"/>
    <cellStyle name="Normal 12 3 4 3 3" xfId="6150"/>
    <cellStyle name="Normal 12 3 4 4" xfId="6151"/>
    <cellStyle name="Normal 12 3 4 5" xfId="6152"/>
    <cellStyle name="Normal 12 3 5" xfId="6153"/>
    <cellStyle name="Normal 12 3 5 2" xfId="6154"/>
    <cellStyle name="Normal 12 3 5 3" xfId="6155"/>
    <cellStyle name="Normal 12 3 6" xfId="6156"/>
    <cellStyle name="Normal 12 3 6 2" xfId="6157"/>
    <cellStyle name="Normal 12 3 6 3" xfId="6158"/>
    <cellStyle name="Normal 12 3 7" xfId="6159"/>
    <cellStyle name="Normal 12 3 8" xfId="6160"/>
    <cellStyle name="Normal 12 4" xfId="6161"/>
    <cellStyle name="Normal 12 4 2" xfId="6162"/>
    <cellStyle name="Normal 12 4 2 2" xfId="6163"/>
    <cellStyle name="Normal 12 4 2 2 2" xfId="6164"/>
    <cellStyle name="Normal 12 4 2 2 2 2" xfId="6165"/>
    <cellStyle name="Normal 12 4 2 2 2 2 2" xfId="6166"/>
    <cellStyle name="Normal 12 4 2 2 2 2 3" xfId="6167"/>
    <cellStyle name="Normal 12 4 2 2 2 3" xfId="6168"/>
    <cellStyle name="Normal 12 4 2 2 2 3 2" xfId="6169"/>
    <cellStyle name="Normal 12 4 2 2 2 3 3" xfId="6170"/>
    <cellStyle name="Normal 12 4 2 2 2 4" xfId="6171"/>
    <cellStyle name="Normal 12 4 2 2 2 5" xfId="6172"/>
    <cellStyle name="Normal 12 4 2 2 3" xfId="6173"/>
    <cellStyle name="Normal 12 4 2 2 3 2" xfId="6174"/>
    <cellStyle name="Normal 12 4 2 2 3 3" xfId="6175"/>
    <cellStyle name="Normal 12 4 2 2 4" xfId="6176"/>
    <cellStyle name="Normal 12 4 2 2 4 2" xfId="6177"/>
    <cellStyle name="Normal 12 4 2 2 4 3" xfId="6178"/>
    <cellStyle name="Normal 12 4 2 2 5" xfId="6179"/>
    <cellStyle name="Normal 12 4 2 2 6" xfId="6180"/>
    <cellStyle name="Normal 12 4 2 3" xfId="6181"/>
    <cellStyle name="Normal 12 4 2 3 2" xfId="6182"/>
    <cellStyle name="Normal 12 4 2 3 2 2" xfId="6183"/>
    <cellStyle name="Normal 12 4 2 3 2 3" xfId="6184"/>
    <cellStyle name="Normal 12 4 2 3 3" xfId="6185"/>
    <cellStyle name="Normal 12 4 2 3 3 2" xfId="6186"/>
    <cellStyle name="Normal 12 4 2 3 3 3" xfId="6187"/>
    <cellStyle name="Normal 12 4 2 3 4" xfId="6188"/>
    <cellStyle name="Normal 12 4 2 3 5" xfId="6189"/>
    <cellStyle name="Normal 12 4 2 4" xfId="6190"/>
    <cellStyle name="Normal 12 4 2 4 2" xfId="6191"/>
    <cellStyle name="Normal 12 4 2 4 3" xfId="6192"/>
    <cellStyle name="Normal 12 4 2 5" xfId="6193"/>
    <cellStyle name="Normal 12 4 2 5 2" xfId="6194"/>
    <cellStyle name="Normal 12 4 2 5 3" xfId="6195"/>
    <cellStyle name="Normal 12 4 2 6" xfId="6196"/>
    <cellStyle name="Normal 12 4 2 7" xfId="6197"/>
    <cellStyle name="Normal 12 4 3" xfId="6198"/>
    <cellStyle name="Normal 12 4 3 2" xfId="6199"/>
    <cellStyle name="Normal 12 4 3 2 2" xfId="6200"/>
    <cellStyle name="Normal 12 4 3 2 2 2" xfId="6201"/>
    <cellStyle name="Normal 12 4 3 2 2 3" xfId="6202"/>
    <cellStyle name="Normal 12 4 3 2 3" xfId="6203"/>
    <cellStyle name="Normal 12 4 3 2 3 2" xfId="6204"/>
    <cellStyle name="Normal 12 4 3 2 3 3" xfId="6205"/>
    <cellStyle name="Normal 12 4 3 2 4" xfId="6206"/>
    <cellStyle name="Normal 12 4 3 2 5" xfId="6207"/>
    <cellStyle name="Normal 12 4 3 3" xfId="6208"/>
    <cellStyle name="Normal 12 4 3 3 2" xfId="6209"/>
    <cellStyle name="Normal 12 4 3 3 3" xfId="6210"/>
    <cellStyle name="Normal 12 4 3 4" xfId="6211"/>
    <cellStyle name="Normal 12 4 3 4 2" xfId="6212"/>
    <cellStyle name="Normal 12 4 3 4 3" xfId="6213"/>
    <cellStyle name="Normal 12 4 3 5" xfId="6214"/>
    <cellStyle name="Normal 12 4 3 6" xfId="6215"/>
    <cellStyle name="Normal 12 4 4" xfId="6216"/>
    <cellStyle name="Normal 12 4 4 2" xfId="6217"/>
    <cellStyle name="Normal 12 4 4 2 2" xfId="6218"/>
    <cellStyle name="Normal 12 4 4 2 3" xfId="6219"/>
    <cellStyle name="Normal 12 4 4 3" xfId="6220"/>
    <cellStyle name="Normal 12 4 4 3 2" xfId="6221"/>
    <cellStyle name="Normal 12 4 4 3 3" xfId="6222"/>
    <cellStyle name="Normal 12 4 4 4" xfId="6223"/>
    <cellStyle name="Normal 12 4 4 5" xfId="6224"/>
    <cellStyle name="Normal 12 4 5" xfId="6225"/>
    <cellStyle name="Normal 12 4 5 2" xfId="6226"/>
    <cellStyle name="Normal 12 4 5 3" xfId="6227"/>
    <cellStyle name="Normal 12 4 6" xfId="6228"/>
    <cellStyle name="Normal 12 4 6 2" xfId="6229"/>
    <cellStyle name="Normal 12 4 6 3" xfId="6230"/>
    <cellStyle name="Normal 12 4 7" xfId="6231"/>
    <cellStyle name="Normal 12 4 8" xfId="6232"/>
    <cellStyle name="Normal 12 5" xfId="6233"/>
    <cellStyle name="Normal 12 5 2" xfId="6234"/>
    <cellStyle name="Normal 12 5 2 2" xfId="6235"/>
    <cellStyle name="Normal 12 5 2 2 2" xfId="6236"/>
    <cellStyle name="Normal 12 5 2 2 2 2" xfId="6237"/>
    <cellStyle name="Normal 12 5 2 2 2 3" xfId="6238"/>
    <cellStyle name="Normal 12 5 2 2 3" xfId="6239"/>
    <cellStyle name="Normal 12 5 2 2 3 2" xfId="6240"/>
    <cellStyle name="Normal 12 5 2 2 3 3" xfId="6241"/>
    <cellStyle name="Normal 12 5 2 2 4" xfId="6242"/>
    <cellStyle name="Normal 12 5 2 2 5" xfId="6243"/>
    <cellStyle name="Normal 12 5 2 3" xfId="6244"/>
    <cellStyle name="Normal 12 5 2 3 2" xfId="6245"/>
    <cellStyle name="Normal 12 5 2 3 3" xfId="6246"/>
    <cellStyle name="Normal 12 5 2 4" xfId="6247"/>
    <cellStyle name="Normal 12 5 2 4 2" xfId="6248"/>
    <cellStyle name="Normal 12 5 2 4 3" xfId="6249"/>
    <cellStyle name="Normal 12 5 2 5" xfId="6250"/>
    <cellStyle name="Normal 12 5 2 6" xfId="6251"/>
    <cellStyle name="Normal 12 5 3" xfId="6252"/>
    <cellStyle name="Normal 12 5 3 2" xfId="6253"/>
    <cellStyle name="Normal 12 5 3 2 2" xfId="6254"/>
    <cellStyle name="Normal 12 5 3 2 3" xfId="6255"/>
    <cellStyle name="Normal 12 5 3 3" xfId="6256"/>
    <cellStyle name="Normal 12 5 3 3 2" xfId="6257"/>
    <cellStyle name="Normal 12 5 3 3 3" xfId="6258"/>
    <cellStyle name="Normal 12 5 3 4" xfId="6259"/>
    <cellStyle name="Normal 12 5 3 5" xfId="6260"/>
    <cellStyle name="Normal 12 5 4" xfId="6261"/>
    <cellStyle name="Normal 12 5 4 2" xfId="6262"/>
    <cellStyle name="Normal 12 5 4 3" xfId="6263"/>
    <cellStyle name="Normal 12 5 5" xfId="6264"/>
    <cellStyle name="Normal 12 5 5 2" xfId="6265"/>
    <cellStyle name="Normal 12 5 5 3" xfId="6266"/>
    <cellStyle name="Normal 12 5 6" xfId="6267"/>
    <cellStyle name="Normal 12 5 7" xfId="6268"/>
    <cellStyle name="Normal 12 6" xfId="6269"/>
    <cellStyle name="Normal 12 6 2" xfId="6270"/>
    <cellStyle name="Normal 12 6 2 2" xfId="6271"/>
    <cellStyle name="Normal 12 6 2 2 2" xfId="6272"/>
    <cellStyle name="Normal 12 6 2 2 3" xfId="6273"/>
    <cellStyle name="Normal 12 6 2 3" xfId="6274"/>
    <cellStyle name="Normal 12 6 2 3 2" xfId="6275"/>
    <cellStyle name="Normal 12 6 2 3 3" xfId="6276"/>
    <cellStyle name="Normal 12 6 2 4" xfId="6277"/>
    <cellStyle name="Normal 12 6 2 5" xfId="6278"/>
    <cellStyle name="Normal 12 6 3" xfId="6279"/>
    <cellStyle name="Normal 12 6 3 2" xfId="6280"/>
    <cellStyle name="Normal 12 6 3 3" xfId="6281"/>
    <cellStyle name="Normal 12 6 4" xfId="6282"/>
    <cellStyle name="Normal 12 6 4 2" xfId="6283"/>
    <cellStyle name="Normal 12 6 4 3" xfId="6284"/>
    <cellStyle name="Normal 12 6 5" xfId="6285"/>
    <cellStyle name="Normal 12 6 6" xfId="6286"/>
    <cellStyle name="Normal 12 7" xfId="6287"/>
    <cellStyle name="Normal 12 7 2" xfId="6288"/>
    <cellStyle name="Normal 12 7 2 2" xfId="6289"/>
    <cellStyle name="Normal 12 7 2 3" xfId="6290"/>
    <cellStyle name="Normal 12 7 3" xfId="6291"/>
    <cellStyle name="Normal 12 7 3 2" xfId="6292"/>
    <cellStyle name="Normal 12 7 3 3" xfId="6293"/>
    <cellStyle name="Normal 12 7 4" xfId="6294"/>
    <cellStyle name="Normal 12 7 5" xfId="6295"/>
    <cellStyle name="Normal 12 8" xfId="6296"/>
    <cellStyle name="Normal 12 8 2" xfId="6297"/>
    <cellStyle name="Normal 12 8 3" xfId="6298"/>
    <cellStyle name="Normal 12 9" xfId="6299"/>
    <cellStyle name="Normal 12 9 2" xfId="6300"/>
    <cellStyle name="Normal 12 9 3" xfId="6301"/>
    <cellStyle name="Normal 12_2180" xfId="6302"/>
    <cellStyle name="Normal 120" xfId="6303"/>
    <cellStyle name="Normal 121" xfId="6304"/>
    <cellStyle name="Normal 122" xfId="6305"/>
    <cellStyle name="Normal 123" xfId="6306"/>
    <cellStyle name="Normal 124" xfId="6307"/>
    <cellStyle name="Normal 125" xfId="6308"/>
    <cellStyle name="Normal 126" xfId="6309"/>
    <cellStyle name="Normal 127" xfId="6310"/>
    <cellStyle name="Normal 128" xfId="6311"/>
    <cellStyle name="Normal 128 2" xfId="6312"/>
    <cellStyle name="Normal 129" xfId="6313"/>
    <cellStyle name="Normal 13" xfId="159"/>
    <cellStyle name="Normal 13 10" xfId="6314"/>
    <cellStyle name="Normal 13 11" xfId="6315"/>
    <cellStyle name="Normal 13 2" xfId="340"/>
    <cellStyle name="Normal 13 2 2" xfId="6316"/>
    <cellStyle name="Normal 13 2 2 2" xfId="6317"/>
    <cellStyle name="Normal 13 2 2 2 2" xfId="6318"/>
    <cellStyle name="Normal 13 2 2 2 2 2" xfId="6319"/>
    <cellStyle name="Normal 13 2 2 2 2 2 2" xfId="6320"/>
    <cellStyle name="Normal 13 2 2 2 2 2 2 2" xfId="6321"/>
    <cellStyle name="Normal 13 2 2 2 2 2 2 3" xfId="6322"/>
    <cellStyle name="Normal 13 2 2 2 2 2 3" xfId="6323"/>
    <cellStyle name="Normal 13 2 2 2 2 2 3 2" xfId="6324"/>
    <cellStyle name="Normal 13 2 2 2 2 2 3 3" xfId="6325"/>
    <cellStyle name="Normal 13 2 2 2 2 2 4" xfId="6326"/>
    <cellStyle name="Normal 13 2 2 2 2 2 5" xfId="6327"/>
    <cellStyle name="Normal 13 2 2 2 2 3" xfId="6328"/>
    <cellStyle name="Normal 13 2 2 2 2 3 2" xfId="6329"/>
    <cellStyle name="Normal 13 2 2 2 2 3 3" xfId="6330"/>
    <cellStyle name="Normal 13 2 2 2 2 4" xfId="6331"/>
    <cellStyle name="Normal 13 2 2 2 2 4 2" xfId="6332"/>
    <cellStyle name="Normal 13 2 2 2 2 4 3" xfId="6333"/>
    <cellStyle name="Normal 13 2 2 2 2 5" xfId="6334"/>
    <cellStyle name="Normal 13 2 2 2 2 6" xfId="6335"/>
    <cellStyle name="Normal 13 2 2 2 3" xfId="6336"/>
    <cellStyle name="Normal 13 2 2 2 3 2" xfId="6337"/>
    <cellStyle name="Normal 13 2 2 2 3 2 2" xfId="6338"/>
    <cellStyle name="Normal 13 2 2 2 3 2 3" xfId="6339"/>
    <cellStyle name="Normal 13 2 2 2 3 3" xfId="6340"/>
    <cellStyle name="Normal 13 2 2 2 3 3 2" xfId="6341"/>
    <cellStyle name="Normal 13 2 2 2 3 3 3" xfId="6342"/>
    <cellStyle name="Normal 13 2 2 2 3 4" xfId="6343"/>
    <cellStyle name="Normal 13 2 2 2 3 5" xfId="6344"/>
    <cellStyle name="Normal 13 2 2 2 3 6" xfId="34876"/>
    <cellStyle name="Normal 13 2 2 2 4" xfId="6345"/>
    <cellStyle name="Normal 13 2 2 2 4 2" xfId="6346"/>
    <cellStyle name="Normal 13 2 2 2 4 3" xfId="6347"/>
    <cellStyle name="Normal 13 2 2 2 5" xfId="6348"/>
    <cellStyle name="Normal 13 2 2 2 5 2" xfId="6349"/>
    <cellStyle name="Normal 13 2 2 2 5 3" xfId="6350"/>
    <cellStyle name="Normal 13 2 2 2 6" xfId="6351"/>
    <cellStyle name="Normal 13 2 2 2 7" xfId="6352"/>
    <cellStyle name="Normal 13 2 2 3" xfId="6353"/>
    <cellStyle name="Normal 13 2 2 3 2" xfId="6354"/>
    <cellStyle name="Normal 13 2 2 3 2 2" xfId="6355"/>
    <cellStyle name="Normal 13 2 2 3 2 2 2" xfId="6356"/>
    <cellStyle name="Normal 13 2 2 3 2 2 3" xfId="6357"/>
    <cellStyle name="Normal 13 2 2 3 2 3" xfId="6358"/>
    <cellStyle name="Normal 13 2 2 3 2 3 2" xfId="6359"/>
    <cellStyle name="Normal 13 2 2 3 2 3 3" xfId="6360"/>
    <cellStyle name="Normal 13 2 2 3 2 4" xfId="6361"/>
    <cellStyle name="Normal 13 2 2 3 2 5" xfId="6362"/>
    <cellStyle name="Normal 13 2 2 3 3" xfId="6363"/>
    <cellStyle name="Normal 13 2 2 3 3 2" xfId="6364"/>
    <cellStyle name="Normal 13 2 2 3 3 3" xfId="6365"/>
    <cellStyle name="Normal 13 2 2 3 4" xfId="6366"/>
    <cellStyle name="Normal 13 2 2 3 4 2" xfId="6367"/>
    <cellStyle name="Normal 13 2 2 3 4 3" xfId="6368"/>
    <cellStyle name="Normal 13 2 2 3 5" xfId="6369"/>
    <cellStyle name="Normal 13 2 2 3 6" xfId="6370"/>
    <cellStyle name="Normal 13 2 2 4" xfId="6371"/>
    <cellStyle name="Normal 13 2 2 4 2" xfId="6372"/>
    <cellStyle name="Normal 13 2 2 4 2 2" xfId="6373"/>
    <cellStyle name="Normal 13 2 2 4 2 3" xfId="6374"/>
    <cellStyle name="Normal 13 2 2 4 3" xfId="6375"/>
    <cellStyle name="Normal 13 2 2 4 3 2" xfId="6376"/>
    <cellStyle name="Normal 13 2 2 4 3 3" xfId="6377"/>
    <cellStyle name="Normal 13 2 2 4 4" xfId="6378"/>
    <cellStyle name="Normal 13 2 2 4 5" xfId="6379"/>
    <cellStyle name="Normal 13 2 2 5" xfId="6380"/>
    <cellStyle name="Normal 13 2 2 5 2" xfId="6381"/>
    <cellStyle name="Normal 13 2 2 5 3" xfId="6382"/>
    <cellStyle name="Normal 13 2 2 6" xfId="6383"/>
    <cellStyle name="Normal 13 2 2 6 2" xfId="6384"/>
    <cellStyle name="Normal 13 2 2 6 3" xfId="6385"/>
    <cellStyle name="Normal 13 2 2 7" xfId="6386"/>
    <cellStyle name="Normal 13 2 2 8" xfId="6387"/>
    <cellStyle name="Normal 13 2 3" xfId="6388"/>
    <cellStyle name="Normal 13 2 3 2" xfId="6389"/>
    <cellStyle name="Normal 13 2 3 2 2" xfId="6390"/>
    <cellStyle name="Normal 13 2 3 2 2 2" xfId="6391"/>
    <cellStyle name="Normal 13 2 3 2 2 2 2" xfId="6392"/>
    <cellStyle name="Normal 13 2 3 2 2 2 3" xfId="6393"/>
    <cellStyle name="Normal 13 2 3 2 2 3" xfId="6394"/>
    <cellStyle name="Normal 13 2 3 2 2 3 2" xfId="6395"/>
    <cellStyle name="Normal 13 2 3 2 2 3 3" xfId="6396"/>
    <cellStyle name="Normal 13 2 3 2 2 4" xfId="6397"/>
    <cellStyle name="Normal 13 2 3 2 2 5" xfId="6398"/>
    <cellStyle name="Normal 13 2 3 2 3" xfId="6399"/>
    <cellStyle name="Normal 13 2 3 2 3 2" xfId="6400"/>
    <cellStyle name="Normal 13 2 3 2 3 3" xfId="6401"/>
    <cellStyle name="Normal 13 2 3 2 4" xfId="6402"/>
    <cellStyle name="Normal 13 2 3 2 4 2" xfId="6403"/>
    <cellStyle name="Normal 13 2 3 2 4 3" xfId="6404"/>
    <cellStyle name="Normal 13 2 3 2 5" xfId="6405"/>
    <cellStyle name="Normal 13 2 3 2 6" xfId="6406"/>
    <cellStyle name="Normal 13 2 3 3" xfId="6407"/>
    <cellStyle name="Normal 13 2 3 3 2" xfId="6408"/>
    <cellStyle name="Normal 13 2 3 3 2 2" xfId="6409"/>
    <cellStyle name="Normal 13 2 3 3 2 3" xfId="6410"/>
    <cellStyle name="Normal 13 2 3 3 3" xfId="6411"/>
    <cellStyle name="Normal 13 2 3 3 3 2" xfId="6412"/>
    <cellStyle name="Normal 13 2 3 3 3 3" xfId="6413"/>
    <cellStyle name="Normal 13 2 3 3 4" xfId="6414"/>
    <cellStyle name="Normal 13 2 3 3 5" xfId="6415"/>
    <cellStyle name="Normal 13 2 3 4" xfId="6416"/>
    <cellStyle name="Normal 13 2 3 4 2" xfId="6417"/>
    <cellStyle name="Normal 13 2 3 4 3" xfId="6418"/>
    <cellStyle name="Normal 13 2 3 5" xfId="6419"/>
    <cellStyle name="Normal 13 2 3 5 2" xfId="6420"/>
    <cellStyle name="Normal 13 2 3 5 3" xfId="6421"/>
    <cellStyle name="Normal 13 2 3 6" xfId="6422"/>
    <cellStyle name="Normal 13 2 3 7" xfId="6423"/>
    <cellStyle name="Normal 13 2 4" xfId="6424"/>
    <cellStyle name="Normal 13 2 4 2" xfId="6425"/>
    <cellStyle name="Normal 13 2 4 2 2" xfId="6426"/>
    <cellStyle name="Normal 13 2 4 2 2 2" xfId="6427"/>
    <cellStyle name="Normal 13 2 4 2 2 3" xfId="6428"/>
    <cellStyle name="Normal 13 2 4 2 3" xfId="6429"/>
    <cellStyle name="Normal 13 2 4 2 3 2" xfId="6430"/>
    <cellStyle name="Normal 13 2 4 2 3 3" xfId="6431"/>
    <cellStyle name="Normal 13 2 4 2 4" xfId="6432"/>
    <cellStyle name="Normal 13 2 4 2 5" xfId="6433"/>
    <cellStyle name="Normal 13 2 4 3" xfId="6434"/>
    <cellStyle name="Normal 13 2 4 3 2" xfId="6435"/>
    <cellStyle name="Normal 13 2 4 3 3" xfId="6436"/>
    <cellStyle name="Normal 13 2 4 4" xfId="6437"/>
    <cellStyle name="Normal 13 2 4 4 2" xfId="6438"/>
    <cellStyle name="Normal 13 2 4 4 3" xfId="6439"/>
    <cellStyle name="Normal 13 2 4 5" xfId="6440"/>
    <cellStyle name="Normal 13 2 4 6" xfId="6441"/>
    <cellStyle name="Normal 13 2 5" xfId="6442"/>
    <cellStyle name="Normal 13 2 5 2" xfId="6443"/>
    <cellStyle name="Normal 13 2 5 2 2" xfId="6444"/>
    <cellStyle name="Normal 13 2 5 2 3" xfId="6445"/>
    <cellStyle name="Normal 13 2 5 3" xfId="6446"/>
    <cellStyle name="Normal 13 2 5 3 2" xfId="6447"/>
    <cellStyle name="Normal 13 2 5 3 3" xfId="6448"/>
    <cellStyle name="Normal 13 2 5 4" xfId="6449"/>
    <cellStyle name="Normal 13 2 5 5" xfId="6450"/>
    <cellStyle name="Normal 13 2 6" xfId="6451"/>
    <cellStyle name="Normal 13 2 6 2" xfId="6452"/>
    <cellStyle name="Normal 13 2 6 3" xfId="6453"/>
    <cellStyle name="Normal 13 2 7" xfId="6454"/>
    <cellStyle name="Normal 13 2 7 2" xfId="6455"/>
    <cellStyle name="Normal 13 2 7 3" xfId="6456"/>
    <cellStyle name="Normal 13 2 8" xfId="6457"/>
    <cellStyle name="Normal 13 2 9" xfId="6458"/>
    <cellStyle name="Normal 13 3" xfId="6459"/>
    <cellStyle name="Normal 13 3 2" xfId="6460"/>
    <cellStyle name="Normal 13 3 2 2" xfId="6461"/>
    <cellStyle name="Normal 13 3 2 2 2" xfId="6462"/>
    <cellStyle name="Normal 13 3 2 2 2 2" xfId="6463"/>
    <cellStyle name="Normal 13 3 2 2 2 2 2" xfId="6464"/>
    <cellStyle name="Normal 13 3 2 2 2 2 3" xfId="6465"/>
    <cellStyle name="Normal 13 3 2 2 2 3" xfId="6466"/>
    <cellStyle name="Normal 13 3 2 2 2 3 2" xfId="6467"/>
    <cellStyle name="Normal 13 3 2 2 2 3 3" xfId="6468"/>
    <cellStyle name="Normal 13 3 2 2 2 4" xfId="6469"/>
    <cellStyle name="Normal 13 3 2 2 2 5" xfId="6470"/>
    <cellStyle name="Normal 13 3 2 2 3" xfId="6471"/>
    <cellStyle name="Normal 13 3 2 2 3 2" xfId="6472"/>
    <cellStyle name="Normal 13 3 2 2 3 3" xfId="6473"/>
    <cellStyle name="Normal 13 3 2 2 4" xfId="6474"/>
    <cellStyle name="Normal 13 3 2 2 4 2" xfId="6475"/>
    <cellStyle name="Normal 13 3 2 2 4 3" xfId="6476"/>
    <cellStyle name="Normal 13 3 2 2 5" xfId="6477"/>
    <cellStyle name="Normal 13 3 2 2 6" xfId="6478"/>
    <cellStyle name="Normal 13 3 2 3" xfId="6479"/>
    <cellStyle name="Normal 13 3 2 3 2" xfId="6480"/>
    <cellStyle name="Normal 13 3 2 3 2 2" xfId="6481"/>
    <cellStyle name="Normal 13 3 2 3 2 3" xfId="6482"/>
    <cellStyle name="Normal 13 3 2 3 3" xfId="6483"/>
    <cellStyle name="Normal 13 3 2 3 3 2" xfId="6484"/>
    <cellStyle name="Normal 13 3 2 3 3 3" xfId="6485"/>
    <cellStyle name="Normal 13 3 2 3 4" xfId="6486"/>
    <cellStyle name="Normal 13 3 2 3 5" xfId="6487"/>
    <cellStyle name="Normal 13 3 2 4" xfId="6488"/>
    <cellStyle name="Normal 13 3 2 4 2" xfId="6489"/>
    <cellStyle name="Normal 13 3 2 4 3" xfId="6490"/>
    <cellStyle name="Normal 13 3 2 5" xfId="6491"/>
    <cellStyle name="Normal 13 3 2 5 2" xfId="6492"/>
    <cellStyle name="Normal 13 3 2 5 3" xfId="6493"/>
    <cellStyle name="Normal 13 3 2 6" xfId="6494"/>
    <cellStyle name="Normal 13 3 2 7" xfId="6495"/>
    <cellStyle name="Normal 13 3 3" xfId="6496"/>
    <cellStyle name="Normal 13 3 3 2" xfId="6497"/>
    <cellStyle name="Normal 13 3 3 2 2" xfId="6498"/>
    <cellStyle name="Normal 13 3 3 2 2 2" xfId="6499"/>
    <cellStyle name="Normal 13 3 3 2 2 3" xfId="6500"/>
    <cellStyle name="Normal 13 3 3 2 3" xfId="6501"/>
    <cellStyle name="Normal 13 3 3 2 3 2" xfId="6502"/>
    <cellStyle name="Normal 13 3 3 2 3 3" xfId="6503"/>
    <cellStyle name="Normal 13 3 3 2 4" xfId="6504"/>
    <cellStyle name="Normal 13 3 3 2 5" xfId="6505"/>
    <cellStyle name="Normal 13 3 3 3" xfId="6506"/>
    <cellStyle name="Normal 13 3 3 3 2" xfId="6507"/>
    <cellStyle name="Normal 13 3 3 3 3" xfId="6508"/>
    <cellStyle name="Normal 13 3 3 4" xfId="6509"/>
    <cellStyle name="Normal 13 3 3 4 2" xfId="6510"/>
    <cellStyle name="Normal 13 3 3 4 3" xfId="6511"/>
    <cellStyle name="Normal 13 3 3 5" xfId="6512"/>
    <cellStyle name="Normal 13 3 3 6" xfId="6513"/>
    <cellStyle name="Normal 13 3 4" xfId="6514"/>
    <cellStyle name="Normal 13 3 4 2" xfId="6515"/>
    <cellStyle name="Normal 13 3 4 2 2" xfId="6516"/>
    <cellStyle name="Normal 13 3 4 2 3" xfId="6517"/>
    <cellStyle name="Normal 13 3 4 3" xfId="6518"/>
    <cellStyle name="Normal 13 3 4 3 2" xfId="6519"/>
    <cellStyle name="Normal 13 3 4 3 3" xfId="6520"/>
    <cellStyle name="Normal 13 3 4 4" xfId="6521"/>
    <cellStyle name="Normal 13 3 4 5" xfId="6522"/>
    <cellStyle name="Normal 13 3 5" xfId="6523"/>
    <cellStyle name="Normal 13 3 5 2" xfId="6524"/>
    <cellStyle name="Normal 13 3 5 3" xfId="6525"/>
    <cellStyle name="Normal 13 3 6" xfId="6526"/>
    <cellStyle name="Normal 13 3 6 2" xfId="6527"/>
    <cellStyle name="Normal 13 3 6 3" xfId="6528"/>
    <cellStyle name="Normal 13 3 7" xfId="6529"/>
    <cellStyle name="Normal 13 3 8" xfId="6530"/>
    <cellStyle name="Normal 13 4" xfId="6531"/>
    <cellStyle name="Normal 13 4 2" xfId="6532"/>
    <cellStyle name="Normal 13 4 2 2" xfId="6533"/>
    <cellStyle name="Normal 13 4 2 2 2" xfId="6534"/>
    <cellStyle name="Normal 13 4 2 2 2 2" xfId="6535"/>
    <cellStyle name="Normal 13 4 2 2 2 2 2" xfId="6536"/>
    <cellStyle name="Normal 13 4 2 2 2 2 3" xfId="6537"/>
    <cellStyle name="Normal 13 4 2 2 2 3" xfId="6538"/>
    <cellStyle name="Normal 13 4 2 2 2 3 2" xfId="6539"/>
    <cellStyle name="Normal 13 4 2 2 2 3 3" xfId="6540"/>
    <cellStyle name="Normal 13 4 2 2 2 4" xfId="6541"/>
    <cellStyle name="Normal 13 4 2 2 2 5" xfId="6542"/>
    <cellStyle name="Normal 13 4 2 2 3" xfId="6543"/>
    <cellStyle name="Normal 13 4 2 2 3 2" xfId="6544"/>
    <cellStyle name="Normal 13 4 2 2 3 3" xfId="6545"/>
    <cellStyle name="Normal 13 4 2 2 4" xfId="6546"/>
    <cellStyle name="Normal 13 4 2 2 4 2" xfId="6547"/>
    <cellStyle name="Normal 13 4 2 2 4 3" xfId="6548"/>
    <cellStyle name="Normal 13 4 2 2 5" xfId="6549"/>
    <cellStyle name="Normal 13 4 2 2 6" xfId="6550"/>
    <cellStyle name="Normal 13 4 2 3" xfId="6551"/>
    <cellStyle name="Normal 13 4 2 3 2" xfId="6552"/>
    <cellStyle name="Normal 13 4 2 3 2 2" xfId="6553"/>
    <cellStyle name="Normal 13 4 2 3 2 3" xfId="6554"/>
    <cellStyle name="Normal 13 4 2 3 3" xfId="6555"/>
    <cellStyle name="Normal 13 4 2 3 3 2" xfId="6556"/>
    <cellStyle name="Normal 13 4 2 3 3 3" xfId="6557"/>
    <cellStyle name="Normal 13 4 2 3 4" xfId="6558"/>
    <cellStyle name="Normal 13 4 2 3 5" xfId="6559"/>
    <cellStyle name="Normal 13 4 2 4" xfId="6560"/>
    <cellStyle name="Normal 13 4 2 4 2" xfId="6561"/>
    <cellStyle name="Normal 13 4 2 4 3" xfId="6562"/>
    <cellStyle name="Normal 13 4 2 5" xfId="6563"/>
    <cellStyle name="Normal 13 4 2 5 2" xfId="6564"/>
    <cellStyle name="Normal 13 4 2 5 3" xfId="6565"/>
    <cellStyle name="Normal 13 4 2 6" xfId="6566"/>
    <cellStyle name="Normal 13 4 2 7" xfId="6567"/>
    <cellStyle name="Normal 13 4 3" xfId="6568"/>
    <cellStyle name="Normal 13 4 3 2" xfId="6569"/>
    <cellStyle name="Normal 13 4 3 2 2" xfId="6570"/>
    <cellStyle name="Normal 13 4 3 2 2 2" xfId="6571"/>
    <cellStyle name="Normal 13 4 3 2 2 3" xfId="6572"/>
    <cellStyle name="Normal 13 4 3 2 3" xfId="6573"/>
    <cellStyle name="Normal 13 4 3 2 3 2" xfId="6574"/>
    <cellStyle name="Normal 13 4 3 2 3 3" xfId="6575"/>
    <cellStyle name="Normal 13 4 3 2 4" xfId="6576"/>
    <cellStyle name="Normal 13 4 3 2 5" xfId="6577"/>
    <cellStyle name="Normal 13 4 3 3" xfId="6578"/>
    <cellStyle name="Normal 13 4 3 3 2" xfId="6579"/>
    <cellStyle name="Normal 13 4 3 3 3" xfId="6580"/>
    <cellStyle name="Normal 13 4 3 4" xfId="6581"/>
    <cellStyle name="Normal 13 4 3 4 2" xfId="6582"/>
    <cellStyle name="Normal 13 4 3 4 3" xfId="6583"/>
    <cellStyle name="Normal 13 4 3 5" xfId="6584"/>
    <cellStyle name="Normal 13 4 3 6" xfId="6585"/>
    <cellStyle name="Normal 13 4 4" xfId="6586"/>
    <cellStyle name="Normal 13 4 4 2" xfId="6587"/>
    <cellStyle name="Normal 13 4 4 2 2" xfId="6588"/>
    <cellStyle name="Normal 13 4 4 2 3" xfId="6589"/>
    <cellStyle name="Normal 13 4 4 3" xfId="6590"/>
    <cellStyle name="Normal 13 4 4 3 2" xfId="6591"/>
    <cellStyle name="Normal 13 4 4 3 3" xfId="6592"/>
    <cellStyle name="Normal 13 4 4 4" xfId="6593"/>
    <cellStyle name="Normal 13 4 4 5" xfId="6594"/>
    <cellStyle name="Normal 13 4 5" xfId="6595"/>
    <cellStyle name="Normal 13 4 5 2" xfId="6596"/>
    <cellStyle name="Normal 13 4 5 3" xfId="6597"/>
    <cellStyle name="Normal 13 4 6" xfId="6598"/>
    <cellStyle name="Normal 13 4 6 2" xfId="6599"/>
    <cellStyle name="Normal 13 4 6 3" xfId="6600"/>
    <cellStyle name="Normal 13 4 7" xfId="6601"/>
    <cellStyle name="Normal 13 4 8" xfId="6602"/>
    <cellStyle name="Normal 13 5" xfId="6603"/>
    <cellStyle name="Normal 13 5 2" xfId="6604"/>
    <cellStyle name="Normal 13 5 2 2" xfId="6605"/>
    <cellStyle name="Normal 13 5 2 2 2" xfId="6606"/>
    <cellStyle name="Normal 13 5 2 2 2 2" xfId="6607"/>
    <cellStyle name="Normal 13 5 2 2 2 3" xfId="6608"/>
    <cellStyle name="Normal 13 5 2 2 3" xfId="6609"/>
    <cellStyle name="Normal 13 5 2 2 3 2" xfId="6610"/>
    <cellStyle name="Normal 13 5 2 2 3 3" xfId="6611"/>
    <cellStyle name="Normal 13 5 2 2 4" xfId="6612"/>
    <cellStyle name="Normal 13 5 2 2 5" xfId="6613"/>
    <cellStyle name="Normal 13 5 2 3" xfId="6614"/>
    <cellStyle name="Normal 13 5 2 3 2" xfId="6615"/>
    <cellStyle name="Normal 13 5 2 3 3" xfId="6616"/>
    <cellStyle name="Normal 13 5 2 4" xfId="6617"/>
    <cellStyle name="Normal 13 5 2 4 2" xfId="6618"/>
    <cellStyle name="Normal 13 5 2 4 3" xfId="6619"/>
    <cellStyle name="Normal 13 5 2 5" xfId="6620"/>
    <cellStyle name="Normal 13 5 2 6" xfId="6621"/>
    <cellStyle name="Normal 13 5 3" xfId="6622"/>
    <cellStyle name="Normal 13 5 3 2" xfId="6623"/>
    <cellStyle name="Normal 13 5 3 2 2" xfId="6624"/>
    <cellStyle name="Normal 13 5 3 2 3" xfId="6625"/>
    <cellStyle name="Normal 13 5 3 3" xfId="6626"/>
    <cellStyle name="Normal 13 5 3 3 2" xfId="6627"/>
    <cellStyle name="Normal 13 5 3 3 3" xfId="6628"/>
    <cellStyle name="Normal 13 5 3 4" xfId="6629"/>
    <cellStyle name="Normal 13 5 3 5" xfId="6630"/>
    <cellStyle name="Normal 13 5 4" xfId="6631"/>
    <cellStyle name="Normal 13 5 4 2" xfId="6632"/>
    <cellStyle name="Normal 13 5 4 3" xfId="6633"/>
    <cellStyle name="Normal 13 5 5" xfId="6634"/>
    <cellStyle name="Normal 13 5 5 2" xfId="6635"/>
    <cellStyle name="Normal 13 5 5 3" xfId="6636"/>
    <cellStyle name="Normal 13 5 6" xfId="6637"/>
    <cellStyle name="Normal 13 5 7" xfId="6638"/>
    <cellStyle name="Normal 13 6" xfId="6639"/>
    <cellStyle name="Normal 13 6 2" xfId="6640"/>
    <cellStyle name="Normal 13 6 2 2" xfId="6641"/>
    <cellStyle name="Normal 13 6 2 2 2" xfId="6642"/>
    <cellStyle name="Normal 13 6 2 2 3" xfId="6643"/>
    <cellStyle name="Normal 13 6 2 3" xfId="6644"/>
    <cellStyle name="Normal 13 6 2 3 2" xfId="6645"/>
    <cellStyle name="Normal 13 6 2 3 3" xfId="6646"/>
    <cellStyle name="Normal 13 6 2 4" xfId="6647"/>
    <cellStyle name="Normal 13 6 2 5" xfId="6648"/>
    <cellStyle name="Normal 13 6 3" xfId="6649"/>
    <cellStyle name="Normal 13 6 3 2" xfId="6650"/>
    <cellStyle name="Normal 13 6 3 3" xfId="6651"/>
    <cellStyle name="Normal 13 6 4" xfId="6652"/>
    <cellStyle name="Normal 13 6 4 2" xfId="6653"/>
    <cellStyle name="Normal 13 6 4 3" xfId="6654"/>
    <cellStyle name="Normal 13 6 5" xfId="6655"/>
    <cellStyle name="Normal 13 6 6" xfId="6656"/>
    <cellStyle name="Normal 13 7" xfId="6657"/>
    <cellStyle name="Normal 13 7 2" xfId="6658"/>
    <cellStyle name="Normal 13 7 2 2" xfId="6659"/>
    <cellStyle name="Normal 13 7 2 3" xfId="6660"/>
    <cellStyle name="Normal 13 7 3" xfId="6661"/>
    <cellStyle name="Normal 13 7 3 2" xfId="6662"/>
    <cellStyle name="Normal 13 7 3 3" xfId="6663"/>
    <cellStyle name="Normal 13 7 4" xfId="6664"/>
    <cellStyle name="Normal 13 7 5" xfId="6665"/>
    <cellStyle name="Normal 13 8" xfId="6666"/>
    <cellStyle name="Normal 13 8 2" xfId="6667"/>
    <cellStyle name="Normal 13 8 3" xfId="6668"/>
    <cellStyle name="Normal 13 9" xfId="6669"/>
    <cellStyle name="Normal 13 9 2" xfId="6670"/>
    <cellStyle name="Normal 13 9 3" xfId="6671"/>
    <cellStyle name="Normal 13_Rate Sheet" xfId="37431"/>
    <cellStyle name="Normal 130" xfId="6672"/>
    <cellStyle name="Normal 131" xfId="6673"/>
    <cellStyle name="Normal 132" xfId="6674"/>
    <cellStyle name="Normal 133" xfId="6675"/>
    <cellStyle name="Normal 134" xfId="6676"/>
    <cellStyle name="Normal 135" xfId="6677"/>
    <cellStyle name="Normal 136" xfId="6678"/>
    <cellStyle name="Normal 137" xfId="6679"/>
    <cellStyle name="Normal 138" xfId="6680"/>
    <cellStyle name="Normal 139" xfId="6681"/>
    <cellStyle name="Normal 14" xfId="160"/>
    <cellStyle name="Normal 14 10" xfId="6682"/>
    <cellStyle name="Normal 14 2" xfId="341"/>
    <cellStyle name="Normal 14 2 2" xfId="6683"/>
    <cellStyle name="Normal 14 2 2 2" xfId="6684"/>
    <cellStyle name="Normal 14 2 2 2 2" xfId="6685"/>
    <cellStyle name="Normal 14 2 2 2 2 2" xfId="6686"/>
    <cellStyle name="Normal 14 2 2 2 2 2 2" xfId="6687"/>
    <cellStyle name="Normal 14 2 2 2 2 2 3" xfId="6688"/>
    <cellStyle name="Normal 14 2 2 2 2 3" xfId="6689"/>
    <cellStyle name="Normal 14 2 2 2 2 3 2" xfId="6690"/>
    <cellStyle name="Normal 14 2 2 2 2 3 3" xfId="6691"/>
    <cellStyle name="Normal 14 2 2 2 2 4" xfId="6692"/>
    <cellStyle name="Normal 14 2 2 2 2 5" xfId="6693"/>
    <cellStyle name="Normal 14 2 2 2 3" xfId="6694"/>
    <cellStyle name="Normal 14 2 2 2 3 2" xfId="6695"/>
    <cellStyle name="Normal 14 2 2 2 3 3" xfId="6696"/>
    <cellStyle name="Normal 14 2 2 2 4" xfId="6697"/>
    <cellStyle name="Normal 14 2 2 2 4 2" xfId="6698"/>
    <cellStyle name="Normal 14 2 2 2 4 3" xfId="6699"/>
    <cellStyle name="Normal 14 2 2 2 5" xfId="6700"/>
    <cellStyle name="Normal 14 2 2 2 6" xfId="6701"/>
    <cellStyle name="Normal 14 2 2 3" xfId="6702"/>
    <cellStyle name="Normal 14 2 2 3 2" xfId="6703"/>
    <cellStyle name="Normal 14 2 2 3 2 2" xfId="6704"/>
    <cellStyle name="Normal 14 2 2 3 2 3" xfId="6705"/>
    <cellStyle name="Normal 14 2 2 3 3" xfId="6706"/>
    <cellStyle name="Normal 14 2 2 3 3 2" xfId="6707"/>
    <cellStyle name="Normal 14 2 2 3 3 3" xfId="6708"/>
    <cellStyle name="Normal 14 2 2 3 4" xfId="6709"/>
    <cellStyle name="Normal 14 2 2 3 5" xfId="6710"/>
    <cellStyle name="Normal 14 2 2 4" xfId="6711"/>
    <cellStyle name="Normal 14 2 2 4 2" xfId="6712"/>
    <cellStyle name="Normal 14 2 2 4 3" xfId="6713"/>
    <cellStyle name="Normal 14 2 2 5" xfId="6714"/>
    <cellStyle name="Normal 14 2 2 5 2" xfId="6715"/>
    <cellStyle name="Normal 14 2 2 5 3" xfId="6716"/>
    <cellStyle name="Normal 14 2 2 6" xfId="6717"/>
    <cellStyle name="Normal 14 2 2 7" xfId="6718"/>
    <cellStyle name="Normal 14 2 3" xfId="6719"/>
    <cellStyle name="Normal 14 2 3 2" xfId="6720"/>
    <cellStyle name="Normal 14 2 3 2 2" xfId="6721"/>
    <cellStyle name="Normal 14 2 3 2 2 2" xfId="6722"/>
    <cellStyle name="Normal 14 2 3 2 2 3" xfId="6723"/>
    <cellStyle name="Normal 14 2 3 2 3" xfId="6724"/>
    <cellStyle name="Normal 14 2 3 2 3 2" xfId="6725"/>
    <cellStyle name="Normal 14 2 3 2 3 3" xfId="6726"/>
    <cellStyle name="Normal 14 2 3 2 4" xfId="6727"/>
    <cellStyle name="Normal 14 2 3 2 5" xfId="6728"/>
    <cellStyle name="Normal 14 2 3 3" xfId="6729"/>
    <cellStyle name="Normal 14 2 3 3 2" xfId="6730"/>
    <cellStyle name="Normal 14 2 3 3 3" xfId="6731"/>
    <cellStyle name="Normal 14 2 3 4" xfId="6732"/>
    <cellStyle name="Normal 14 2 3 4 2" xfId="6733"/>
    <cellStyle name="Normal 14 2 3 4 3" xfId="6734"/>
    <cellStyle name="Normal 14 2 3 5" xfId="6735"/>
    <cellStyle name="Normal 14 2 3 6" xfId="6736"/>
    <cellStyle name="Normal 14 2 4" xfId="6737"/>
    <cellStyle name="Normal 14 2 4 2" xfId="6738"/>
    <cellStyle name="Normal 14 2 4 2 2" xfId="6739"/>
    <cellStyle name="Normal 14 2 4 2 3" xfId="6740"/>
    <cellStyle name="Normal 14 2 4 3" xfId="6741"/>
    <cellStyle name="Normal 14 2 4 3 2" xfId="6742"/>
    <cellStyle name="Normal 14 2 4 3 3" xfId="6743"/>
    <cellStyle name="Normal 14 2 4 4" xfId="6744"/>
    <cellStyle name="Normal 14 2 4 5" xfId="6745"/>
    <cellStyle name="Normal 14 2 5" xfId="6746"/>
    <cellStyle name="Normal 14 2 5 2" xfId="6747"/>
    <cellStyle name="Normal 14 2 5 3" xfId="6748"/>
    <cellStyle name="Normal 14 2 6" xfId="6749"/>
    <cellStyle name="Normal 14 2 6 2" xfId="6750"/>
    <cellStyle name="Normal 14 2 6 3" xfId="6751"/>
    <cellStyle name="Normal 14 2 7" xfId="6752"/>
    <cellStyle name="Normal 14 2 8" xfId="6753"/>
    <cellStyle name="Normal 14 3" xfId="6754"/>
    <cellStyle name="Normal 14 3 2" xfId="6755"/>
    <cellStyle name="Normal 14 3 2 2" xfId="6756"/>
    <cellStyle name="Normal 14 3 2 2 2" xfId="6757"/>
    <cellStyle name="Normal 14 3 2 2 2 2" xfId="6758"/>
    <cellStyle name="Normal 14 3 2 2 2 2 2" xfId="6759"/>
    <cellStyle name="Normal 14 3 2 2 2 2 3" xfId="6760"/>
    <cellStyle name="Normal 14 3 2 2 2 3" xfId="6761"/>
    <cellStyle name="Normal 14 3 2 2 2 3 2" xfId="6762"/>
    <cellStyle name="Normal 14 3 2 2 2 3 3" xfId="6763"/>
    <cellStyle name="Normal 14 3 2 2 2 4" xfId="6764"/>
    <cellStyle name="Normal 14 3 2 2 2 5" xfId="6765"/>
    <cellStyle name="Normal 14 3 2 2 3" xfId="6766"/>
    <cellStyle name="Normal 14 3 2 2 3 2" xfId="6767"/>
    <cellStyle name="Normal 14 3 2 2 3 3" xfId="6768"/>
    <cellStyle name="Normal 14 3 2 2 4" xfId="6769"/>
    <cellStyle name="Normal 14 3 2 2 4 2" xfId="6770"/>
    <cellStyle name="Normal 14 3 2 2 4 3" xfId="6771"/>
    <cellStyle name="Normal 14 3 2 2 5" xfId="6772"/>
    <cellStyle name="Normal 14 3 2 2 6" xfId="6773"/>
    <cellStyle name="Normal 14 3 2 3" xfId="6774"/>
    <cellStyle name="Normal 14 3 2 3 2" xfId="6775"/>
    <cellStyle name="Normal 14 3 2 3 2 2" xfId="6776"/>
    <cellStyle name="Normal 14 3 2 3 2 3" xfId="6777"/>
    <cellStyle name="Normal 14 3 2 3 3" xfId="6778"/>
    <cellStyle name="Normal 14 3 2 3 3 2" xfId="6779"/>
    <cellStyle name="Normal 14 3 2 3 3 3" xfId="6780"/>
    <cellStyle name="Normal 14 3 2 3 4" xfId="6781"/>
    <cellStyle name="Normal 14 3 2 3 5" xfId="6782"/>
    <cellStyle name="Normal 14 3 2 4" xfId="6783"/>
    <cellStyle name="Normal 14 3 2 4 2" xfId="6784"/>
    <cellStyle name="Normal 14 3 2 4 3" xfId="6785"/>
    <cellStyle name="Normal 14 3 2 5" xfId="6786"/>
    <cellStyle name="Normal 14 3 2 5 2" xfId="6787"/>
    <cellStyle name="Normal 14 3 2 5 3" xfId="6788"/>
    <cellStyle name="Normal 14 3 2 6" xfId="6789"/>
    <cellStyle name="Normal 14 3 2 7" xfId="6790"/>
    <cellStyle name="Normal 14 3 3" xfId="6791"/>
    <cellStyle name="Normal 14 3 3 2" xfId="6792"/>
    <cellStyle name="Normal 14 3 3 2 2" xfId="6793"/>
    <cellStyle name="Normal 14 3 3 2 2 2" xfId="6794"/>
    <cellStyle name="Normal 14 3 3 2 2 3" xfId="6795"/>
    <cellStyle name="Normal 14 3 3 2 3" xfId="6796"/>
    <cellStyle name="Normal 14 3 3 2 3 2" xfId="6797"/>
    <cellStyle name="Normal 14 3 3 2 3 3" xfId="6798"/>
    <cellStyle name="Normal 14 3 3 2 4" xfId="6799"/>
    <cellStyle name="Normal 14 3 3 2 5" xfId="6800"/>
    <cellStyle name="Normal 14 3 3 3" xfId="6801"/>
    <cellStyle name="Normal 14 3 3 3 2" xfId="6802"/>
    <cellStyle name="Normal 14 3 3 3 3" xfId="6803"/>
    <cellStyle name="Normal 14 3 3 4" xfId="6804"/>
    <cellStyle name="Normal 14 3 3 4 2" xfId="6805"/>
    <cellStyle name="Normal 14 3 3 4 3" xfId="6806"/>
    <cellStyle name="Normal 14 3 3 5" xfId="6807"/>
    <cellStyle name="Normal 14 3 3 6" xfId="6808"/>
    <cellStyle name="Normal 14 3 4" xfId="6809"/>
    <cellStyle name="Normal 14 3 4 2" xfId="6810"/>
    <cellStyle name="Normal 14 3 4 2 2" xfId="6811"/>
    <cellStyle name="Normal 14 3 4 2 3" xfId="6812"/>
    <cellStyle name="Normal 14 3 4 3" xfId="6813"/>
    <cellStyle name="Normal 14 3 4 3 2" xfId="6814"/>
    <cellStyle name="Normal 14 3 4 3 3" xfId="6815"/>
    <cellStyle name="Normal 14 3 4 4" xfId="6816"/>
    <cellStyle name="Normal 14 3 4 5" xfId="6817"/>
    <cellStyle name="Normal 14 3 5" xfId="6818"/>
    <cellStyle name="Normal 14 3 5 2" xfId="6819"/>
    <cellStyle name="Normal 14 3 5 3" xfId="6820"/>
    <cellStyle name="Normal 14 3 6" xfId="6821"/>
    <cellStyle name="Normal 14 3 6 2" xfId="6822"/>
    <cellStyle name="Normal 14 3 6 3" xfId="6823"/>
    <cellStyle name="Normal 14 3 7" xfId="6824"/>
    <cellStyle name="Normal 14 3 8" xfId="6825"/>
    <cellStyle name="Normal 14 4" xfId="6826"/>
    <cellStyle name="Normal 14 4 2" xfId="6827"/>
    <cellStyle name="Normal 14 4 2 2" xfId="6828"/>
    <cellStyle name="Normal 14 4 2 2 2" xfId="6829"/>
    <cellStyle name="Normal 14 4 2 2 2 2" xfId="6830"/>
    <cellStyle name="Normal 14 4 2 2 2 3" xfId="6831"/>
    <cellStyle name="Normal 14 4 2 2 3" xfId="6832"/>
    <cellStyle name="Normal 14 4 2 2 3 2" xfId="6833"/>
    <cellStyle name="Normal 14 4 2 2 3 3" xfId="6834"/>
    <cellStyle name="Normal 14 4 2 2 4" xfId="6835"/>
    <cellStyle name="Normal 14 4 2 2 5" xfId="6836"/>
    <cellStyle name="Normal 14 4 2 3" xfId="6837"/>
    <cellStyle name="Normal 14 4 2 3 2" xfId="6838"/>
    <cellStyle name="Normal 14 4 2 3 3" xfId="6839"/>
    <cellStyle name="Normal 14 4 2 4" xfId="6840"/>
    <cellStyle name="Normal 14 4 2 4 2" xfId="6841"/>
    <cellStyle name="Normal 14 4 2 4 3" xfId="6842"/>
    <cellStyle name="Normal 14 4 2 5" xfId="6843"/>
    <cellStyle name="Normal 14 4 2 6" xfId="6844"/>
    <cellStyle name="Normal 14 4 3" xfId="6845"/>
    <cellStyle name="Normal 14 4 3 2" xfId="6846"/>
    <cellStyle name="Normal 14 4 3 2 2" xfId="6847"/>
    <cellStyle name="Normal 14 4 3 2 3" xfId="6848"/>
    <cellStyle name="Normal 14 4 3 3" xfId="6849"/>
    <cellStyle name="Normal 14 4 3 3 2" xfId="6850"/>
    <cellStyle name="Normal 14 4 3 3 3" xfId="6851"/>
    <cellStyle name="Normal 14 4 3 4" xfId="6852"/>
    <cellStyle name="Normal 14 4 3 5" xfId="6853"/>
    <cellStyle name="Normal 14 4 4" xfId="6854"/>
    <cellStyle name="Normal 14 4 4 2" xfId="6855"/>
    <cellStyle name="Normal 14 4 4 3" xfId="6856"/>
    <cellStyle name="Normal 14 4 5" xfId="6857"/>
    <cellStyle name="Normal 14 4 5 2" xfId="6858"/>
    <cellStyle name="Normal 14 4 5 3" xfId="6859"/>
    <cellStyle name="Normal 14 4 6" xfId="6860"/>
    <cellStyle name="Normal 14 4 7" xfId="6861"/>
    <cellStyle name="Normal 14 5" xfId="6862"/>
    <cellStyle name="Normal 14 5 2" xfId="6863"/>
    <cellStyle name="Normal 14 5 2 2" xfId="6864"/>
    <cellStyle name="Normal 14 5 2 2 2" xfId="6865"/>
    <cellStyle name="Normal 14 5 2 2 3" xfId="6866"/>
    <cellStyle name="Normal 14 5 2 3" xfId="6867"/>
    <cellStyle name="Normal 14 5 2 3 2" xfId="6868"/>
    <cellStyle name="Normal 14 5 2 3 3" xfId="6869"/>
    <cellStyle name="Normal 14 5 2 4" xfId="6870"/>
    <cellStyle name="Normal 14 5 2 5" xfId="6871"/>
    <cellStyle name="Normal 14 5 3" xfId="6872"/>
    <cellStyle name="Normal 14 5 3 2" xfId="6873"/>
    <cellStyle name="Normal 14 5 3 3" xfId="6874"/>
    <cellStyle name="Normal 14 5 4" xfId="6875"/>
    <cellStyle name="Normal 14 5 4 2" xfId="6876"/>
    <cellStyle name="Normal 14 5 4 3" xfId="6877"/>
    <cellStyle name="Normal 14 5 5" xfId="6878"/>
    <cellStyle name="Normal 14 5 6" xfId="6879"/>
    <cellStyle name="Normal 14 6" xfId="6880"/>
    <cellStyle name="Normal 14 6 2" xfId="6881"/>
    <cellStyle name="Normal 14 6 2 2" xfId="6882"/>
    <cellStyle name="Normal 14 6 2 3" xfId="6883"/>
    <cellStyle name="Normal 14 6 3" xfId="6884"/>
    <cellStyle name="Normal 14 6 3 2" xfId="6885"/>
    <cellStyle name="Normal 14 6 3 3" xfId="6886"/>
    <cellStyle name="Normal 14 6 4" xfId="6887"/>
    <cellStyle name="Normal 14 6 5" xfId="6888"/>
    <cellStyle name="Normal 14 7" xfId="6889"/>
    <cellStyle name="Normal 14 7 2" xfId="6890"/>
    <cellStyle name="Normal 14 7 3" xfId="6891"/>
    <cellStyle name="Normal 14 8" xfId="6892"/>
    <cellStyle name="Normal 14 8 2" xfId="6893"/>
    <cellStyle name="Normal 14 8 3" xfId="6894"/>
    <cellStyle name="Normal 14 9" xfId="6895"/>
    <cellStyle name="Normal 14_Rate Sheet" xfId="37432"/>
    <cellStyle name="Normal 140" xfId="6896"/>
    <cellStyle name="Normal 141" xfId="6897"/>
    <cellStyle name="Normal 142" xfId="6898"/>
    <cellStyle name="Normal 143" xfId="6899"/>
    <cellStyle name="Normal 144" xfId="37463"/>
    <cellStyle name="Normal 145" xfId="37534"/>
    <cellStyle name="Normal 146" xfId="37535"/>
    <cellStyle name="Normal 147" xfId="37536"/>
    <cellStyle name="Normal 148" xfId="37537"/>
    <cellStyle name="Normal 149" xfId="37538"/>
    <cellStyle name="Normal 15" xfId="161"/>
    <cellStyle name="Normal 15 2" xfId="342"/>
    <cellStyle name="Normal 15 2 2" xfId="6900"/>
    <cellStyle name="Normal 15 2 2 2" xfId="6901"/>
    <cellStyle name="Normal 15 2 3" xfId="6902"/>
    <cellStyle name="Normal 15 3" xfId="6903"/>
    <cellStyle name="Normal 15 3 2" xfId="6904"/>
    <cellStyle name="Normal 15 3 3" xfId="6905"/>
    <cellStyle name="Normal 15 4" xfId="6906"/>
    <cellStyle name="Normal 15 4 2" xfId="6907"/>
    <cellStyle name="Normal 15 5" xfId="6908"/>
    <cellStyle name="Normal 15 6" xfId="6909"/>
    <cellStyle name="Normal 15_Rate Sheet" xfId="37433"/>
    <cellStyle name="Normal 150" xfId="37539"/>
    <cellStyle name="Normal 151" xfId="37540"/>
    <cellStyle name="Normal 152" xfId="37541"/>
    <cellStyle name="Normal 153" xfId="37542"/>
    <cellStyle name="Normal 154" xfId="37476"/>
    <cellStyle name="Normal 155" xfId="37543"/>
    <cellStyle name="Normal 156" xfId="37544"/>
    <cellStyle name="Normal 157" xfId="37545"/>
    <cellStyle name="Normal 158" xfId="37546"/>
    <cellStyle name="Normal 159" xfId="37547"/>
    <cellStyle name="Normal 16" xfId="162"/>
    <cellStyle name="Normal 16 10" xfId="6910"/>
    <cellStyle name="Normal 16 2" xfId="343"/>
    <cellStyle name="Normal 16 2 2" xfId="6911"/>
    <cellStyle name="Normal 16 2 2 2" xfId="6912"/>
    <cellStyle name="Normal 16 2 3" xfId="6913"/>
    <cellStyle name="Normal 16 3" xfId="6914"/>
    <cellStyle name="Normal 16 3 2" xfId="6915"/>
    <cellStyle name="Normal 16 3 2 2" xfId="6916"/>
    <cellStyle name="Normal 16 3 2 2 2" xfId="6917"/>
    <cellStyle name="Normal 16 3 2 2 2 2" xfId="6918"/>
    <cellStyle name="Normal 16 3 2 2 2 2 2" xfId="6919"/>
    <cellStyle name="Normal 16 3 2 2 2 2 3" xfId="6920"/>
    <cellStyle name="Normal 16 3 2 2 2 3" xfId="6921"/>
    <cellStyle name="Normal 16 3 2 2 2 3 2" xfId="6922"/>
    <cellStyle name="Normal 16 3 2 2 2 3 3" xfId="6923"/>
    <cellStyle name="Normal 16 3 2 2 2 4" xfId="6924"/>
    <cellStyle name="Normal 16 3 2 2 2 5" xfId="6925"/>
    <cellStyle name="Normal 16 3 2 2 3" xfId="6926"/>
    <cellStyle name="Normal 16 3 2 2 3 2" xfId="6927"/>
    <cellStyle name="Normal 16 3 2 2 3 3" xfId="6928"/>
    <cellStyle name="Normal 16 3 2 2 4" xfId="6929"/>
    <cellStyle name="Normal 16 3 2 2 4 2" xfId="6930"/>
    <cellStyle name="Normal 16 3 2 2 4 3" xfId="6931"/>
    <cellStyle name="Normal 16 3 2 2 5" xfId="6932"/>
    <cellStyle name="Normal 16 3 2 2 6" xfId="6933"/>
    <cellStyle name="Normal 16 3 2 3" xfId="6934"/>
    <cellStyle name="Normal 16 3 2 3 2" xfId="6935"/>
    <cellStyle name="Normal 16 3 2 3 2 2" xfId="6936"/>
    <cellStyle name="Normal 16 3 2 3 2 3" xfId="6937"/>
    <cellStyle name="Normal 16 3 2 3 3" xfId="6938"/>
    <cellStyle name="Normal 16 3 2 3 3 2" xfId="6939"/>
    <cellStyle name="Normal 16 3 2 3 3 3" xfId="6940"/>
    <cellStyle name="Normal 16 3 2 3 4" xfId="6941"/>
    <cellStyle name="Normal 16 3 2 3 5" xfId="6942"/>
    <cellStyle name="Normal 16 3 2 4" xfId="6943"/>
    <cellStyle name="Normal 16 3 2 4 2" xfId="6944"/>
    <cellStyle name="Normal 16 3 2 4 3" xfId="6945"/>
    <cellStyle name="Normal 16 3 2 5" xfId="6946"/>
    <cellStyle name="Normal 16 3 2 5 2" xfId="6947"/>
    <cellStyle name="Normal 16 3 2 5 3" xfId="6948"/>
    <cellStyle name="Normal 16 3 2 6" xfId="6949"/>
    <cellStyle name="Normal 16 3 2 7" xfId="6950"/>
    <cellStyle name="Normal 16 3 3" xfId="6951"/>
    <cellStyle name="Normal 16 3 3 2" xfId="6952"/>
    <cellStyle name="Normal 16 3 3 2 2" xfId="6953"/>
    <cellStyle name="Normal 16 3 3 2 2 2" xfId="6954"/>
    <cellStyle name="Normal 16 3 3 2 2 3" xfId="6955"/>
    <cellStyle name="Normal 16 3 3 2 3" xfId="6956"/>
    <cellStyle name="Normal 16 3 3 2 3 2" xfId="6957"/>
    <cellStyle name="Normal 16 3 3 2 3 3" xfId="6958"/>
    <cellStyle name="Normal 16 3 3 2 4" xfId="6959"/>
    <cellStyle name="Normal 16 3 3 2 5" xfId="6960"/>
    <cellStyle name="Normal 16 3 3 3" xfId="6961"/>
    <cellStyle name="Normal 16 3 3 3 2" xfId="6962"/>
    <cellStyle name="Normal 16 3 3 3 3" xfId="6963"/>
    <cellStyle name="Normal 16 3 3 4" xfId="6964"/>
    <cellStyle name="Normal 16 3 3 4 2" xfId="6965"/>
    <cellStyle name="Normal 16 3 3 4 3" xfId="6966"/>
    <cellStyle name="Normal 16 3 3 5" xfId="6967"/>
    <cellStyle name="Normal 16 3 3 6" xfId="6968"/>
    <cellStyle name="Normal 16 3 4" xfId="6969"/>
    <cellStyle name="Normal 16 3 4 2" xfId="6970"/>
    <cellStyle name="Normal 16 3 4 2 2" xfId="6971"/>
    <cellStyle name="Normal 16 3 4 2 3" xfId="6972"/>
    <cellStyle name="Normal 16 3 4 3" xfId="6973"/>
    <cellStyle name="Normal 16 3 4 3 2" xfId="6974"/>
    <cellStyle name="Normal 16 3 4 3 3" xfId="6975"/>
    <cellStyle name="Normal 16 3 4 4" xfId="6976"/>
    <cellStyle name="Normal 16 3 4 5" xfId="6977"/>
    <cellStyle name="Normal 16 3 5" xfId="6978"/>
    <cellStyle name="Normal 16 3 5 2" xfId="6979"/>
    <cellStyle name="Normal 16 3 5 3" xfId="6980"/>
    <cellStyle name="Normal 16 3 6" xfId="6981"/>
    <cellStyle name="Normal 16 3 6 2" xfId="6982"/>
    <cellStyle name="Normal 16 3 6 3" xfId="6983"/>
    <cellStyle name="Normal 16 3 7" xfId="6984"/>
    <cellStyle name="Normal 16 3 8" xfId="6985"/>
    <cellStyle name="Normal 16 4" xfId="6986"/>
    <cellStyle name="Normal 16 4 2" xfId="6987"/>
    <cellStyle name="Normal 16 4 2 2" xfId="6988"/>
    <cellStyle name="Normal 16 4 2 2 2" xfId="6989"/>
    <cellStyle name="Normal 16 4 2 2 2 2" xfId="6990"/>
    <cellStyle name="Normal 16 4 2 2 2 3" xfId="6991"/>
    <cellStyle name="Normal 16 4 2 2 3" xfId="6992"/>
    <cellStyle name="Normal 16 4 2 2 3 2" xfId="6993"/>
    <cellStyle name="Normal 16 4 2 2 3 3" xfId="6994"/>
    <cellStyle name="Normal 16 4 2 2 4" xfId="6995"/>
    <cellStyle name="Normal 16 4 2 2 5" xfId="6996"/>
    <cellStyle name="Normal 16 4 2 3" xfId="6997"/>
    <cellStyle name="Normal 16 4 2 3 2" xfId="6998"/>
    <cellStyle name="Normal 16 4 2 3 3" xfId="6999"/>
    <cellStyle name="Normal 16 4 2 4" xfId="7000"/>
    <cellStyle name="Normal 16 4 2 4 2" xfId="7001"/>
    <cellStyle name="Normal 16 4 2 4 3" xfId="7002"/>
    <cellStyle name="Normal 16 4 2 5" xfId="7003"/>
    <cellStyle name="Normal 16 4 2 6" xfId="7004"/>
    <cellStyle name="Normal 16 4 3" xfId="7005"/>
    <cellStyle name="Normal 16 4 3 2" xfId="7006"/>
    <cellStyle name="Normal 16 4 3 2 2" xfId="7007"/>
    <cellStyle name="Normal 16 4 3 2 3" xfId="7008"/>
    <cellStyle name="Normal 16 4 3 3" xfId="7009"/>
    <cellStyle name="Normal 16 4 3 3 2" xfId="7010"/>
    <cellStyle name="Normal 16 4 3 3 3" xfId="7011"/>
    <cellStyle name="Normal 16 4 3 4" xfId="7012"/>
    <cellStyle name="Normal 16 4 3 5" xfId="7013"/>
    <cellStyle name="Normal 16 4 4" xfId="7014"/>
    <cellStyle name="Normal 16 4 4 2" xfId="7015"/>
    <cellStyle name="Normal 16 4 4 3" xfId="7016"/>
    <cellStyle name="Normal 16 4 5" xfId="7017"/>
    <cellStyle name="Normal 16 4 5 2" xfId="7018"/>
    <cellStyle name="Normal 16 4 5 3" xfId="7019"/>
    <cellStyle name="Normal 16 4 6" xfId="7020"/>
    <cellStyle name="Normal 16 4 7" xfId="7021"/>
    <cellStyle name="Normal 16 5" xfId="7022"/>
    <cellStyle name="Normal 16 5 2" xfId="7023"/>
    <cellStyle name="Normal 16 5 2 2" xfId="7024"/>
    <cellStyle name="Normal 16 5 2 2 2" xfId="7025"/>
    <cellStyle name="Normal 16 5 2 2 3" xfId="7026"/>
    <cellStyle name="Normal 16 5 2 3" xfId="7027"/>
    <cellStyle name="Normal 16 5 2 3 2" xfId="7028"/>
    <cellStyle name="Normal 16 5 2 3 3" xfId="7029"/>
    <cellStyle name="Normal 16 5 2 4" xfId="7030"/>
    <cellStyle name="Normal 16 5 2 5" xfId="7031"/>
    <cellStyle name="Normal 16 5 3" xfId="7032"/>
    <cellStyle name="Normal 16 5 3 2" xfId="7033"/>
    <cellStyle name="Normal 16 5 3 3" xfId="7034"/>
    <cellStyle name="Normal 16 5 4" xfId="7035"/>
    <cellStyle name="Normal 16 5 4 2" xfId="7036"/>
    <cellStyle name="Normal 16 5 4 3" xfId="7037"/>
    <cellStyle name="Normal 16 5 5" xfId="7038"/>
    <cellStyle name="Normal 16 5 6" xfId="7039"/>
    <cellStyle name="Normal 16 6" xfId="7040"/>
    <cellStyle name="Normal 16 6 2" xfId="7041"/>
    <cellStyle name="Normal 16 6 2 2" xfId="7042"/>
    <cellStyle name="Normal 16 6 2 3" xfId="7043"/>
    <cellStyle name="Normal 16 6 3" xfId="7044"/>
    <cellStyle name="Normal 16 6 3 2" xfId="7045"/>
    <cellStyle name="Normal 16 6 3 3" xfId="7046"/>
    <cellStyle name="Normal 16 6 4" xfId="7047"/>
    <cellStyle name="Normal 16 6 5" xfId="7048"/>
    <cellStyle name="Normal 16 7" xfId="7049"/>
    <cellStyle name="Normal 16 7 2" xfId="7050"/>
    <cellStyle name="Normal 16 7 3" xfId="7051"/>
    <cellStyle name="Normal 16 8" xfId="7052"/>
    <cellStyle name="Normal 16 8 2" xfId="7053"/>
    <cellStyle name="Normal 16 8 3" xfId="7054"/>
    <cellStyle name="Normal 16 9" xfId="7055"/>
    <cellStyle name="Normal 16_Rate Sheet" xfId="37434"/>
    <cellStyle name="Normal 160" xfId="37548"/>
    <cellStyle name="Normal 161" xfId="37549"/>
    <cellStyle name="Normal 162" xfId="37550"/>
    <cellStyle name="Normal 163" xfId="37551"/>
    <cellStyle name="Normal 17" xfId="163"/>
    <cellStyle name="Normal 17 2" xfId="344"/>
    <cellStyle name="Normal 17 2 2" xfId="7056"/>
    <cellStyle name="Normal 17 2 2 2" xfId="7057"/>
    <cellStyle name="Normal 17 2 3" xfId="7058"/>
    <cellStyle name="Normal 17 3" xfId="7059"/>
    <cellStyle name="Normal 17 3 2" xfId="7060"/>
    <cellStyle name="Normal 17 3 3" xfId="7061"/>
    <cellStyle name="Normal 17 4" xfId="7062"/>
    <cellStyle name="Normal 17 5" xfId="7063"/>
    <cellStyle name="Normal 17_Rate Sheet" xfId="37435"/>
    <cellStyle name="Normal 18" xfId="164"/>
    <cellStyle name="Normal 18 10" xfId="7064"/>
    <cellStyle name="Normal 18 11" xfId="7065"/>
    <cellStyle name="Normal 18 2" xfId="345"/>
    <cellStyle name="Normal 18 2 2" xfId="7066"/>
    <cellStyle name="Normal 18 2 2 2" xfId="7067"/>
    <cellStyle name="Normal 18 2 2 2 2" xfId="7068"/>
    <cellStyle name="Normal 18 2 2 2 2 2" xfId="7069"/>
    <cellStyle name="Normal 18 2 2 2 2 2 2" xfId="7070"/>
    <cellStyle name="Normal 18 2 2 2 2 2 3" xfId="7071"/>
    <cellStyle name="Normal 18 2 2 2 2 3" xfId="7072"/>
    <cellStyle name="Normal 18 2 2 2 2 3 2" xfId="7073"/>
    <cellStyle name="Normal 18 2 2 2 2 3 3" xfId="7074"/>
    <cellStyle name="Normal 18 2 2 2 2 4" xfId="7075"/>
    <cellStyle name="Normal 18 2 2 2 2 5" xfId="7076"/>
    <cellStyle name="Normal 18 2 2 2 3" xfId="7077"/>
    <cellStyle name="Normal 18 2 2 2 3 2" xfId="7078"/>
    <cellStyle name="Normal 18 2 2 2 3 3" xfId="7079"/>
    <cellStyle name="Normal 18 2 2 2 4" xfId="7080"/>
    <cellStyle name="Normal 18 2 2 2 4 2" xfId="7081"/>
    <cellStyle name="Normal 18 2 2 2 4 3" xfId="7082"/>
    <cellStyle name="Normal 18 2 2 2 5" xfId="7083"/>
    <cellStyle name="Normal 18 2 2 2 6" xfId="7084"/>
    <cellStyle name="Normal 18 2 2 3" xfId="7085"/>
    <cellStyle name="Normal 18 2 2 3 2" xfId="7086"/>
    <cellStyle name="Normal 18 2 2 3 2 2" xfId="7087"/>
    <cellStyle name="Normal 18 2 2 3 2 3" xfId="7088"/>
    <cellStyle name="Normal 18 2 2 3 3" xfId="7089"/>
    <cellStyle name="Normal 18 2 2 3 3 2" xfId="7090"/>
    <cellStyle name="Normal 18 2 2 3 3 3" xfId="7091"/>
    <cellStyle name="Normal 18 2 2 3 4" xfId="7092"/>
    <cellStyle name="Normal 18 2 2 3 5" xfId="7093"/>
    <cellStyle name="Normal 18 2 2 4" xfId="7094"/>
    <cellStyle name="Normal 18 2 2 4 2" xfId="7095"/>
    <cellStyle name="Normal 18 2 2 4 3" xfId="7096"/>
    <cellStyle name="Normal 18 2 2 5" xfId="7097"/>
    <cellStyle name="Normal 18 2 2 5 2" xfId="7098"/>
    <cellStyle name="Normal 18 2 2 5 3" xfId="7099"/>
    <cellStyle name="Normal 18 2 2 6" xfId="7100"/>
    <cellStyle name="Normal 18 2 2 7" xfId="7101"/>
    <cellStyle name="Normal 18 2 3" xfId="7102"/>
    <cellStyle name="Normal 18 2 3 2" xfId="7103"/>
    <cellStyle name="Normal 18 2 3 2 2" xfId="7104"/>
    <cellStyle name="Normal 18 2 3 2 2 2" xfId="7105"/>
    <cellStyle name="Normal 18 2 3 2 2 3" xfId="7106"/>
    <cellStyle name="Normal 18 2 3 2 3" xfId="7107"/>
    <cellStyle name="Normal 18 2 3 2 3 2" xfId="7108"/>
    <cellStyle name="Normal 18 2 3 2 3 3" xfId="7109"/>
    <cellStyle name="Normal 18 2 3 2 4" xfId="7110"/>
    <cellStyle name="Normal 18 2 3 2 5" xfId="7111"/>
    <cellStyle name="Normal 18 2 3 3" xfId="7112"/>
    <cellStyle name="Normal 18 2 3 3 2" xfId="7113"/>
    <cellStyle name="Normal 18 2 3 3 3" xfId="7114"/>
    <cellStyle name="Normal 18 2 3 4" xfId="7115"/>
    <cellStyle name="Normal 18 2 3 4 2" xfId="7116"/>
    <cellStyle name="Normal 18 2 3 4 3" xfId="7117"/>
    <cellStyle name="Normal 18 2 3 5" xfId="7118"/>
    <cellStyle name="Normal 18 2 3 6" xfId="7119"/>
    <cellStyle name="Normal 18 2 4" xfId="7120"/>
    <cellStyle name="Normal 18 2 4 2" xfId="7121"/>
    <cellStyle name="Normal 18 2 4 2 2" xfId="7122"/>
    <cellStyle name="Normal 18 2 4 2 3" xfId="7123"/>
    <cellStyle name="Normal 18 2 4 3" xfId="7124"/>
    <cellStyle name="Normal 18 2 4 3 2" xfId="7125"/>
    <cellStyle name="Normal 18 2 4 3 3" xfId="7126"/>
    <cellStyle name="Normal 18 2 4 4" xfId="7127"/>
    <cellStyle name="Normal 18 2 4 5" xfId="7128"/>
    <cellStyle name="Normal 18 2 5" xfId="7129"/>
    <cellStyle name="Normal 18 2 5 2" xfId="7130"/>
    <cellStyle name="Normal 18 2 5 3" xfId="7131"/>
    <cellStyle name="Normal 18 2 6" xfId="7132"/>
    <cellStyle name="Normal 18 2 6 2" xfId="7133"/>
    <cellStyle name="Normal 18 2 6 3" xfId="7134"/>
    <cellStyle name="Normal 18 2 7" xfId="7135"/>
    <cellStyle name="Normal 18 2 8" xfId="7136"/>
    <cellStyle name="Normal 18 3" xfId="7137"/>
    <cellStyle name="Normal 18 3 2" xfId="7138"/>
    <cellStyle name="Normal 18 3 2 2" xfId="7139"/>
    <cellStyle name="Normal 18 3 2 2 2" xfId="7140"/>
    <cellStyle name="Normal 18 3 2 2 2 2" xfId="7141"/>
    <cellStyle name="Normal 18 3 2 2 2 2 2" xfId="7142"/>
    <cellStyle name="Normal 18 3 2 2 2 2 3" xfId="7143"/>
    <cellStyle name="Normal 18 3 2 2 2 3" xfId="7144"/>
    <cellStyle name="Normal 18 3 2 2 2 3 2" xfId="7145"/>
    <cellStyle name="Normal 18 3 2 2 2 3 3" xfId="7146"/>
    <cellStyle name="Normal 18 3 2 2 2 4" xfId="7147"/>
    <cellStyle name="Normal 18 3 2 2 2 5" xfId="7148"/>
    <cellStyle name="Normal 18 3 2 2 3" xfId="7149"/>
    <cellStyle name="Normal 18 3 2 2 3 2" xfId="7150"/>
    <cellStyle name="Normal 18 3 2 2 3 3" xfId="7151"/>
    <cellStyle name="Normal 18 3 2 2 4" xfId="7152"/>
    <cellStyle name="Normal 18 3 2 2 4 2" xfId="7153"/>
    <cellStyle name="Normal 18 3 2 2 4 3" xfId="7154"/>
    <cellStyle name="Normal 18 3 2 2 5" xfId="7155"/>
    <cellStyle name="Normal 18 3 2 2 6" xfId="7156"/>
    <cellStyle name="Normal 18 3 2 3" xfId="7157"/>
    <cellStyle name="Normal 18 3 2 3 2" xfId="7158"/>
    <cellStyle name="Normal 18 3 2 3 2 2" xfId="7159"/>
    <cellStyle name="Normal 18 3 2 3 2 3" xfId="7160"/>
    <cellStyle name="Normal 18 3 2 3 3" xfId="7161"/>
    <cellStyle name="Normal 18 3 2 3 3 2" xfId="7162"/>
    <cellStyle name="Normal 18 3 2 3 3 3" xfId="7163"/>
    <cellStyle name="Normal 18 3 2 3 4" xfId="7164"/>
    <cellStyle name="Normal 18 3 2 3 5" xfId="7165"/>
    <cellStyle name="Normal 18 3 2 4" xfId="7166"/>
    <cellStyle name="Normal 18 3 2 4 2" xfId="7167"/>
    <cellStyle name="Normal 18 3 2 4 3" xfId="7168"/>
    <cellStyle name="Normal 18 3 2 5" xfId="7169"/>
    <cellStyle name="Normal 18 3 2 5 2" xfId="7170"/>
    <cellStyle name="Normal 18 3 2 5 3" xfId="7171"/>
    <cellStyle name="Normal 18 3 2 6" xfId="7172"/>
    <cellStyle name="Normal 18 3 2 7" xfId="7173"/>
    <cellStyle name="Normal 18 3 3" xfId="7174"/>
    <cellStyle name="Normal 18 3 3 2" xfId="7175"/>
    <cellStyle name="Normal 18 3 3 2 2" xfId="7176"/>
    <cellStyle name="Normal 18 3 3 2 2 2" xfId="7177"/>
    <cellStyle name="Normal 18 3 3 2 2 3" xfId="7178"/>
    <cellStyle name="Normal 18 3 3 2 3" xfId="7179"/>
    <cellStyle name="Normal 18 3 3 2 3 2" xfId="7180"/>
    <cellStyle name="Normal 18 3 3 2 3 3" xfId="7181"/>
    <cellStyle name="Normal 18 3 3 2 4" xfId="7182"/>
    <cellStyle name="Normal 18 3 3 2 5" xfId="7183"/>
    <cellStyle name="Normal 18 3 3 3" xfId="7184"/>
    <cellStyle name="Normal 18 3 3 3 2" xfId="7185"/>
    <cellStyle name="Normal 18 3 3 3 3" xfId="7186"/>
    <cellStyle name="Normal 18 3 3 4" xfId="7187"/>
    <cellStyle name="Normal 18 3 3 4 2" xfId="7188"/>
    <cellStyle name="Normal 18 3 3 4 3" xfId="7189"/>
    <cellStyle name="Normal 18 3 3 5" xfId="7190"/>
    <cellStyle name="Normal 18 3 3 6" xfId="7191"/>
    <cellStyle name="Normal 18 3 4" xfId="7192"/>
    <cellStyle name="Normal 18 3 4 2" xfId="7193"/>
    <cellStyle name="Normal 18 3 4 2 2" xfId="7194"/>
    <cellStyle name="Normal 18 3 4 2 3" xfId="7195"/>
    <cellStyle name="Normal 18 3 4 3" xfId="7196"/>
    <cellStyle name="Normal 18 3 4 3 2" xfId="7197"/>
    <cellStyle name="Normal 18 3 4 3 3" xfId="7198"/>
    <cellStyle name="Normal 18 3 4 4" xfId="7199"/>
    <cellStyle name="Normal 18 3 4 5" xfId="7200"/>
    <cellStyle name="Normal 18 3 5" xfId="7201"/>
    <cellStyle name="Normal 18 3 5 2" xfId="7202"/>
    <cellStyle name="Normal 18 3 5 3" xfId="7203"/>
    <cellStyle name="Normal 18 3 6" xfId="7204"/>
    <cellStyle name="Normal 18 3 6 2" xfId="7205"/>
    <cellStyle name="Normal 18 3 6 3" xfId="7206"/>
    <cellStyle name="Normal 18 3 7" xfId="7207"/>
    <cellStyle name="Normal 18 3 8" xfId="7208"/>
    <cellStyle name="Normal 18 4" xfId="7209"/>
    <cellStyle name="Normal 18 4 2" xfId="7210"/>
    <cellStyle name="Normal 18 4 3" xfId="34877"/>
    <cellStyle name="Normal 18 5" xfId="7211"/>
    <cellStyle name="Normal 18 5 2" xfId="7212"/>
    <cellStyle name="Normal 18 5 2 2" xfId="7213"/>
    <cellStyle name="Normal 18 5 2 2 2" xfId="7214"/>
    <cellStyle name="Normal 18 5 2 2 2 2" xfId="7215"/>
    <cellStyle name="Normal 18 5 2 2 2 3" xfId="7216"/>
    <cellStyle name="Normal 18 5 2 2 3" xfId="7217"/>
    <cellStyle name="Normal 18 5 2 2 3 2" xfId="7218"/>
    <cellStyle name="Normal 18 5 2 2 3 3" xfId="7219"/>
    <cellStyle name="Normal 18 5 2 2 4" xfId="7220"/>
    <cellStyle name="Normal 18 5 2 2 5" xfId="7221"/>
    <cellStyle name="Normal 18 5 2 3" xfId="7222"/>
    <cellStyle name="Normal 18 5 2 3 2" xfId="7223"/>
    <cellStyle name="Normal 18 5 2 3 3" xfId="7224"/>
    <cellStyle name="Normal 18 5 2 4" xfId="7225"/>
    <cellStyle name="Normal 18 5 2 4 2" xfId="7226"/>
    <cellStyle name="Normal 18 5 2 4 3" xfId="7227"/>
    <cellStyle name="Normal 18 5 2 5" xfId="7228"/>
    <cellStyle name="Normal 18 5 2 6" xfId="7229"/>
    <cellStyle name="Normal 18 5 3" xfId="7230"/>
    <cellStyle name="Normal 18 5 3 2" xfId="7231"/>
    <cellStyle name="Normal 18 5 3 2 2" xfId="7232"/>
    <cellStyle name="Normal 18 5 3 2 3" xfId="7233"/>
    <cellStyle name="Normal 18 5 3 3" xfId="7234"/>
    <cellStyle name="Normal 18 5 3 3 2" xfId="7235"/>
    <cellStyle name="Normal 18 5 3 3 3" xfId="7236"/>
    <cellStyle name="Normal 18 5 3 4" xfId="7237"/>
    <cellStyle name="Normal 18 5 3 5" xfId="7238"/>
    <cellStyle name="Normal 18 5 4" xfId="7239"/>
    <cellStyle name="Normal 18 5 4 2" xfId="7240"/>
    <cellStyle name="Normal 18 5 4 3" xfId="7241"/>
    <cellStyle name="Normal 18 5 5" xfId="7242"/>
    <cellStyle name="Normal 18 5 5 2" xfId="7243"/>
    <cellStyle name="Normal 18 5 5 3" xfId="7244"/>
    <cellStyle name="Normal 18 5 6" xfId="7245"/>
    <cellStyle name="Normal 18 5 7" xfId="7246"/>
    <cellStyle name="Normal 18 6" xfId="7247"/>
    <cellStyle name="Normal 18 6 2" xfId="7248"/>
    <cellStyle name="Normal 18 6 2 2" xfId="7249"/>
    <cellStyle name="Normal 18 6 2 2 2" xfId="7250"/>
    <cellStyle name="Normal 18 6 2 2 3" xfId="7251"/>
    <cellStyle name="Normal 18 6 2 3" xfId="7252"/>
    <cellStyle name="Normal 18 6 2 3 2" xfId="7253"/>
    <cellStyle name="Normal 18 6 2 3 3" xfId="7254"/>
    <cellStyle name="Normal 18 6 2 4" xfId="7255"/>
    <cellStyle name="Normal 18 6 2 5" xfId="7256"/>
    <cellStyle name="Normal 18 6 3" xfId="7257"/>
    <cellStyle name="Normal 18 6 3 2" xfId="7258"/>
    <cellStyle name="Normal 18 6 3 3" xfId="7259"/>
    <cellStyle name="Normal 18 6 4" xfId="7260"/>
    <cellStyle name="Normal 18 6 4 2" xfId="7261"/>
    <cellStyle name="Normal 18 6 4 3" xfId="7262"/>
    <cellStyle name="Normal 18 6 5" xfId="7263"/>
    <cellStyle name="Normal 18 6 6" xfId="7264"/>
    <cellStyle name="Normal 18 7" xfId="7265"/>
    <cellStyle name="Normal 18 7 2" xfId="7266"/>
    <cellStyle name="Normal 18 7 2 2" xfId="7267"/>
    <cellStyle name="Normal 18 7 2 3" xfId="7268"/>
    <cellStyle name="Normal 18 7 3" xfId="7269"/>
    <cellStyle name="Normal 18 7 3 2" xfId="7270"/>
    <cellStyle name="Normal 18 7 3 3" xfId="7271"/>
    <cellStyle name="Normal 18 7 4" xfId="7272"/>
    <cellStyle name="Normal 18 7 5" xfId="7273"/>
    <cellStyle name="Normal 18 8" xfId="7274"/>
    <cellStyle name="Normal 18 8 2" xfId="7275"/>
    <cellStyle name="Normal 18 8 3" xfId="7276"/>
    <cellStyle name="Normal 18 9" xfId="7277"/>
    <cellStyle name="Normal 18 9 2" xfId="7278"/>
    <cellStyle name="Normal 18 9 3" xfId="7279"/>
    <cellStyle name="Normal 18_Rate Sheet" xfId="37436"/>
    <cellStyle name="Normal 19" xfId="165"/>
    <cellStyle name="Normal 19 2" xfId="346"/>
    <cellStyle name="Normal 19 2 2" xfId="7280"/>
    <cellStyle name="Normal 19 2 3" xfId="7281"/>
    <cellStyle name="Normal 19 3" xfId="7282"/>
    <cellStyle name="Normal 19 3 2" xfId="7283"/>
    <cellStyle name="Normal 19 3 3" xfId="7284"/>
    <cellStyle name="Normal 19 4" xfId="7285"/>
    <cellStyle name="Normal 19 5" xfId="7286"/>
    <cellStyle name="Normal 19 6" xfId="7287"/>
    <cellStyle name="Normal 19 7" xfId="7288"/>
    <cellStyle name="Normal 19_Rate Sheet" xfId="37437"/>
    <cellStyle name="Normal 2" xfId="18"/>
    <cellStyle name="Normal 2 10" xfId="7289"/>
    <cellStyle name="Normal 2 10 2" xfId="7290"/>
    <cellStyle name="Normal 2 10 2 2" xfId="7291"/>
    <cellStyle name="Normal 2 10 3" xfId="7292"/>
    <cellStyle name="Normal 2 10 4" xfId="7293"/>
    <cellStyle name="Normal 2 10 5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3" xfId="7300"/>
    <cellStyle name="Normal 2 14" xfId="7301"/>
    <cellStyle name="Normal 2 15" xfId="7302"/>
    <cellStyle name="Normal 2 16" xfId="7303"/>
    <cellStyle name="Normal 2 17" xfId="7304"/>
    <cellStyle name="Normal 2 18" xfId="7305"/>
    <cellStyle name="Normal 2 2" xfId="19"/>
    <cellStyle name="Normal 2 2 10" xfId="7306"/>
    <cellStyle name="Normal 2 2 11" xfId="7307"/>
    <cellStyle name="Normal 2 2 12" xfId="7308"/>
    <cellStyle name="Normal 2 2 2" xfId="167"/>
    <cellStyle name="Normal 2 2 2 10" xfId="7309"/>
    <cellStyle name="Normal 2 2 2 2" xfId="7310"/>
    <cellStyle name="Normal 2 2 2 2 2" xfId="7311"/>
    <cellStyle name="Normal 2 2 2 2 2 2" xfId="7312"/>
    <cellStyle name="Normal 2 2 2 2 2 2 2" xfId="7313"/>
    <cellStyle name="Normal 2 2 2 2 2 2 3" xfId="7314"/>
    <cellStyle name="Normal 2 2 2 2 2 3" xfId="7315"/>
    <cellStyle name="Normal 2 2 2 2 2 3 2" xfId="7316"/>
    <cellStyle name="Normal 2 2 2 2 2 3 3" xfId="7317"/>
    <cellStyle name="Normal 2 2 2 2 2 4" xfId="7318"/>
    <cellStyle name="Normal 2 2 2 2 2 5" xfId="7319"/>
    <cellStyle name="Normal 2 2 2 2 2 6" xfId="37449"/>
    <cellStyle name="Normal 2 2 2 2 3" xfId="7320"/>
    <cellStyle name="Normal 2 2 2 2 3 2" xfId="7321"/>
    <cellStyle name="Normal 2 2 2 2 3 3" xfId="7322"/>
    <cellStyle name="Normal 2 2 2 2 3 4" xfId="7323"/>
    <cellStyle name="Normal 2 2 2 2 3 5" xfId="7324"/>
    <cellStyle name="Normal 2 2 2 2 4" xfId="7325"/>
    <cellStyle name="Normal 2 2 2 2 4 2" xfId="7326"/>
    <cellStyle name="Normal 2 2 2 2 4 3" xfId="7327"/>
    <cellStyle name="Normal 2 2 2 2 5" xfId="7328"/>
    <cellStyle name="Normal 2 2 2 2 5 2" xfId="7329"/>
    <cellStyle name="Normal 2 2 2 2 5 3" xfId="7330"/>
    <cellStyle name="Normal 2 2 2 2 6" xfId="7331"/>
    <cellStyle name="Normal 2 2 2 2 7" xfId="7332"/>
    <cellStyle name="Normal 2 2 2 2_District-Division Listing" xfId="37448"/>
    <cellStyle name="Normal 2 2 2 3" xfId="7333"/>
    <cellStyle name="Normal 2 2 2 3 2" xfId="7334"/>
    <cellStyle name="Normal 2 2 2 3 2 2" xfId="7335"/>
    <cellStyle name="Normal 2 2 2 3 2 3" xfId="7336"/>
    <cellStyle name="Normal 2 2 2 3 3" xfId="7337"/>
    <cellStyle name="Normal 2 2 2 3 3 2" xfId="7338"/>
    <cellStyle name="Normal 2 2 2 3 3 3" xfId="7339"/>
    <cellStyle name="Normal 2 2 2 3 4" xfId="7340"/>
    <cellStyle name="Normal 2 2 2 3 5" xfId="7341"/>
    <cellStyle name="Normal 2 2 2 4" xfId="7342"/>
    <cellStyle name="Normal 2 2 2 4 2" xfId="7343"/>
    <cellStyle name="Normal 2 2 2 4 3" xfId="7344"/>
    <cellStyle name="Normal 2 2 2 4 4" xfId="7345"/>
    <cellStyle name="Normal 2 2 2 4 5" xfId="7346"/>
    <cellStyle name="Normal 2 2 2 5" xfId="7347"/>
    <cellStyle name="Normal 2 2 2 5 2" xfId="7348"/>
    <cellStyle name="Normal 2 2 2 5 3" xfId="7349"/>
    <cellStyle name="Normal 2 2 2 6" xfId="7350"/>
    <cellStyle name="Normal 2 2 2 6 2" xfId="7351"/>
    <cellStyle name="Normal 2 2 2 6 3" xfId="7352"/>
    <cellStyle name="Normal 2 2 2 7" xfId="7353"/>
    <cellStyle name="Normal 2 2 2 8" xfId="7354"/>
    <cellStyle name="Normal 2 2 2 9" xfId="7355"/>
    <cellStyle name="Normal 2 2 2_Close Narrative" xfId="37447"/>
    <cellStyle name="Normal 2 2 3" xfId="166"/>
    <cellStyle name="Normal 2 2 3 2" xfId="7356"/>
    <cellStyle name="Normal 2 2 3 2 2" xfId="7357"/>
    <cellStyle name="Normal 2 2 3 2 2 2" xfId="7358"/>
    <cellStyle name="Normal 2 2 3 2 2 3" xfId="7359"/>
    <cellStyle name="Normal 2 2 3 2 3" xfId="7360"/>
    <cellStyle name="Normal 2 2 3 2 3 2" xfId="7361"/>
    <cellStyle name="Normal 2 2 3 2 3 3" xfId="7362"/>
    <cellStyle name="Normal 2 2 3 2 4" xfId="7363"/>
    <cellStyle name="Normal 2 2 3 2 5" xfId="7364"/>
    <cellStyle name="Normal 2 2 3 3" xfId="7365"/>
    <cellStyle name="Normal 2 2 3 3 2" xfId="7366"/>
    <cellStyle name="Normal 2 2 3 3 3" xfId="7367"/>
    <cellStyle name="Normal 2 2 3 3 4" xfId="7368"/>
    <cellStyle name="Normal 2 2 3 3 5" xfId="7369"/>
    <cellStyle name="Normal 2 2 3 4" xfId="7370"/>
    <cellStyle name="Normal 2 2 3 4 2" xfId="7371"/>
    <cellStyle name="Normal 2 2 3 4 3" xfId="7372"/>
    <cellStyle name="Normal 2 2 3 5" xfId="7373"/>
    <cellStyle name="Normal 2 2 3 5 2" xfId="7374"/>
    <cellStyle name="Normal 2 2 3 5 3" xfId="7375"/>
    <cellStyle name="Normal 2 2 3 6" xfId="7376"/>
    <cellStyle name="Normal 2 2 3 7" xfId="7377"/>
    <cellStyle name="Normal 2 2 3 8" xfId="7378"/>
    <cellStyle name="Normal 2 2 4" xfId="7379"/>
    <cellStyle name="Normal 2 2 4 2" xfId="7380"/>
    <cellStyle name="Normal 2 2 4 2 2" xfId="7381"/>
    <cellStyle name="Normal 2 2 4 2 3" xfId="7382"/>
    <cellStyle name="Normal 2 2 4 3" xfId="7383"/>
    <cellStyle name="Normal 2 2 4 3 2" xfId="7384"/>
    <cellStyle name="Normal 2 2 4 3 3" xfId="7385"/>
    <cellStyle name="Normal 2 2 4 4" xfId="7386"/>
    <cellStyle name="Normal 2 2 4 5" xfId="7387"/>
    <cellStyle name="Normal 2 2 4 6" xfId="37402"/>
    <cellStyle name="Normal 2 2 5" xfId="7388"/>
    <cellStyle name="Normal 2 2 5 2" xfId="7389"/>
    <cellStyle name="Normal 2 2 5 3" xfId="7390"/>
    <cellStyle name="Normal 2 2 5 4" xfId="7391"/>
    <cellStyle name="Normal 2 2 5 5" xfId="7392"/>
    <cellStyle name="Normal 2 2 6" xfId="7393"/>
    <cellStyle name="Normal 2 2 6 2" xfId="7394"/>
    <cellStyle name="Normal 2 2 6 3" xfId="7395"/>
    <cellStyle name="Normal 2 2 7" xfId="7396"/>
    <cellStyle name="Normal 2 2 7 2" xfId="7397"/>
    <cellStyle name="Normal 2 2 7 3" xfId="7398"/>
    <cellStyle name="Normal 2 2 8" xfId="7399"/>
    <cellStyle name="Normal 2 2 9" xfId="7400"/>
    <cellStyle name="Normal 2 2_10051" xfId="7401"/>
    <cellStyle name="Normal 2 3" xfId="168"/>
    <cellStyle name="Normal 2 3 2" xfId="169"/>
    <cellStyle name="Normal 2 3 2 2" xfId="7402"/>
    <cellStyle name="Normal 2 3 2 3" xfId="7403"/>
    <cellStyle name="Normal 2 3 2 4" xfId="7404"/>
    <cellStyle name="Normal 2 3 2_Active emp List" xfId="7405"/>
    <cellStyle name="Normal 2 3 3" xfId="293"/>
    <cellStyle name="Normal 2 3 3 2" xfId="7406"/>
    <cellStyle name="Normal 2 3 3 2 2" xfId="7407"/>
    <cellStyle name="Normal 2 3 3 3" xfId="7408"/>
    <cellStyle name="Normal 2 3 3 4" xfId="7409"/>
    <cellStyle name="Normal 2 3 4" xfId="7410"/>
    <cellStyle name="Normal 2 3 4 2" xfId="7411"/>
    <cellStyle name="Normal 2 3 5" xfId="7412"/>
    <cellStyle name="Normal 2 3 6" xfId="7413"/>
    <cellStyle name="Normal 2 3_2012 TV Budget" xfId="7414"/>
    <cellStyle name="Normal 2 4" xfId="294"/>
    <cellStyle name="Normal 2 4 2" xfId="7415"/>
    <cellStyle name="Normal 2 4 2 2" xfId="7416"/>
    <cellStyle name="Normal 2 4 2 2 2" xfId="7417"/>
    <cellStyle name="Normal 2 4 2 3" xfId="7418"/>
    <cellStyle name="Normal 2 4 2 4" xfId="7419"/>
    <cellStyle name="Normal 2 4 2 5" xfId="7420"/>
    <cellStyle name="Normal 2 4 2 6" xfId="7421"/>
    <cellStyle name="Normal 2 4 3" xfId="7422"/>
    <cellStyle name="Normal 2 4 3 2" xfId="7423"/>
    <cellStyle name="Normal 2 4 3 3" xfId="7424"/>
    <cellStyle name="Normal 2 4 4" xfId="7425"/>
    <cellStyle name="Normal 2 4 4 2" xfId="7426"/>
    <cellStyle name="Normal 2 4 4 3" xfId="7427"/>
    <cellStyle name="Normal 2 4 5" xfId="7428"/>
    <cellStyle name="Normal 2 4 6" xfId="7429"/>
    <cellStyle name="Normal 2 4 7" xfId="7430"/>
    <cellStyle name="Normal 2 5" xfId="295"/>
    <cellStyle name="Normal 2 5 2" xfId="7431"/>
    <cellStyle name="Normal 2 5 3" xfId="7432"/>
    <cellStyle name="Normal 2 5 4" xfId="7433"/>
    <cellStyle name="Normal 2 6" xfId="7434"/>
    <cellStyle name="Normal 2 6 2" xfId="7435"/>
    <cellStyle name="Normal 2 6 2 2" xfId="7436"/>
    <cellStyle name="Normal 2 6 2 3" xfId="34878"/>
    <cellStyle name="Normal 2 6 2 4" xfId="34920"/>
    <cellStyle name="Normal 2 6 3" xfId="7437"/>
    <cellStyle name="Normal 2 6 4" xfId="7438"/>
    <cellStyle name="Normal 2 6 5" xfId="7439"/>
    <cellStyle name="Normal 2 6 6" xfId="37446"/>
    <cellStyle name="Normal 2 7" xfId="7440"/>
    <cellStyle name="Normal 2 7 2" xfId="7441"/>
    <cellStyle name="Normal 2 7 3" xfId="7442"/>
    <cellStyle name="Normal 2 7 4" xfId="7443"/>
    <cellStyle name="Normal 2 7 5" xfId="7444"/>
    <cellStyle name="Normal 2 7 6" xfId="37445"/>
    <cellStyle name="Normal 2 8" xfId="7445"/>
    <cellStyle name="Normal 2 8 2" xfId="7446"/>
    <cellStyle name="Normal 2 8 2 2" xfId="7447"/>
    <cellStyle name="Normal 2 8 3" xfId="7448"/>
    <cellStyle name="Normal 2 8 4" xfId="7449"/>
    <cellStyle name="Normal 2 8 5" xfId="7450"/>
    <cellStyle name="Normal 2 9" xfId="7451"/>
    <cellStyle name="Normal 2 9 2" xfId="7452"/>
    <cellStyle name="Normal 2 9 3" xfId="7453"/>
    <cellStyle name="Normal 2 9 4" xfId="7454"/>
    <cellStyle name="Normal 2 9 5" xfId="7455"/>
    <cellStyle name="Normal 2_2009 Regulated Price Out" xfId="7456"/>
    <cellStyle name="Normal 20" xfId="170"/>
    <cellStyle name="Normal 20 2" xfId="7457"/>
    <cellStyle name="Normal 20 2 2" xfId="7458"/>
    <cellStyle name="Normal 20 2 3" xfId="7459"/>
    <cellStyle name="Normal 20 2 4" xfId="7460"/>
    <cellStyle name="Normal 20 3" xfId="7461"/>
    <cellStyle name="Normal 20 4" xfId="7462"/>
    <cellStyle name="Normal 20 4 2" xfId="7463"/>
    <cellStyle name="Normal 20 5" xfId="7464"/>
    <cellStyle name="Normal 20 6" xfId="7465"/>
    <cellStyle name="Normal 20 7" xfId="7466"/>
    <cellStyle name="Normal 21" xfId="171"/>
    <cellStyle name="Normal 21 2" xfId="7467"/>
    <cellStyle name="Normal 21 2 2" xfId="7468"/>
    <cellStyle name="Normal 21 2 3" xfId="7469"/>
    <cellStyle name="Normal 21 2 4" xfId="7470"/>
    <cellStyle name="Normal 21 3" xfId="7471"/>
    <cellStyle name="Normal 21 3 2" xfId="7472"/>
    <cellStyle name="Normal 21 4" xfId="7473"/>
    <cellStyle name="Normal 21 5" xfId="7474"/>
    <cellStyle name="Normal 22" xfId="172"/>
    <cellStyle name="Normal 22 2" xfId="7475"/>
    <cellStyle name="Normal 22 2 2" xfId="7476"/>
    <cellStyle name="Normal 22 2 3" xfId="7477"/>
    <cellStyle name="Normal 22 3" xfId="7478"/>
    <cellStyle name="Normal 22 3 2" xfId="7479"/>
    <cellStyle name="Normal 22 4" xfId="7480"/>
    <cellStyle name="Normal 22 5" xfId="7481"/>
    <cellStyle name="Normal 22 6" xfId="37444"/>
    <cellStyle name="Normal 23" xfId="173"/>
    <cellStyle name="Normal 23 2" xfId="7482"/>
    <cellStyle name="Normal 23 2 2" xfId="7483"/>
    <cellStyle name="Normal 23 2 3" xfId="7484"/>
    <cellStyle name="Normal 23 3" xfId="7485"/>
    <cellStyle name="Normal 23 3 2" xfId="7486"/>
    <cellStyle name="Normal 23 3 3" xfId="7487"/>
    <cellStyle name="Normal 23 4" xfId="7488"/>
    <cellStyle name="Normal 24" xfId="174"/>
    <cellStyle name="Normal 24 2" xfId="7489"/>
    <cellStyle name="Normal 24 2 2" xfId="7490"/>
    <cellStyle name="Normal 24 2 3" xfId="7491"/>
    <cellStyle name="Normal 24 3" xfId="7492"/>
    <cellStyle name="Normal 24 3 2" xfId="7493"/>
    <cellStyle name="Normal 24 4" xfId="7494"/>
    <cellStyle name="Normal 24 5" xfId="7495"/>
    <cellStyle name="Normal 25" xfId="175"/>
    <cellStyle name="Normal 25 2" xfId="7496"/>
    <cellStyle name="Normal 25 2 2" xfId="7497"/>
    <cellStyle name="Normal 25 2 3" xfId="7498"/>
    <cellStyle name="Normal 25 3" xfId="7499"/>
    <cellStyle name="Normal 25 3 2" xfId="7500"/>
    <cellStyle name="Normal 25 4" xfId="7501"/>
    <cellStyle name="Normal 26" xfId="176"/>
    <cellStyle name="Normal 26 2" xfId="7502"/>
    <cellStyle name="Normal 26 2 2" xfId="7503"/>
    <cellStyle name="Normal 26 2 3" xfId="7504"/>
    <cellStyle name="Normal 26 3" xfId="7505"/>
    <cellStyle name="Normal 26 4" xfId="7506"/>
    <cellStyle name="Normal 27" xfId="177"/>
    <cellStyle name="Normal 27 2" xfId="7507"/>
    <cellStyle name="Normal 27 2 2" xfId="7508"/>
    <cellStyle name="Normal 27 2 2 2" xfId="7509"/>
    <cellStyle name="Normal 27 2 2 3" xfId="34879"/>
    <cellStyle name="Normal 27 3" xfId="7510"/>
    <cellStyle name="Normal 27 3 2" xfId="7511"/>
    <cellStyle name="Normal 27 3 3" xfId="7512"/>
    <cellStyle name="Normal 27 4" xfId="7513"/>
    <cellStyle name="Normal 27 5" xfId="7514"/>
    <cellStyle name="Normal 28" xfId="178"/>
    <cellStyle name="Normal 28 2" xfId="7515"/>
    <cellStyle name="Normal 28 2 2" xfId="7516"/>
    <cellStyle name="Normal 28 2 3" xfId="7517"/>
    <cellStyle name="Normal 28 3" xfId="7518"/>
    <cellStyle name="Normal 28 4" xfId="7519"/>
    <cellStyle name="Normal 29" xfId="179"/>
    <cellStyle name="Normal 29 2" xfId="7520"/>
    <cellStyle name="Normal 29 2 2" xfId="7521"/>
    <cellStyle name="Normal 29 3" xfId="7522"/>
    <cellStyle name="Normal 29 4" xfId="7523"/>
    <cellStyle name="Normal 3" xfId="20"/>
    <cellStyle name="Normal 3 2" xfId="181"/>
    <cellStyle name="Normal 3 2 2" xfId="7524"/>
    <cellStyle name="Normal 3 2 2 2" xfId="7525"/>
    <cellStyle name="Normal 3 2 2 2 2" xfId="7526"/>
    <cellStyle name="Normal 3 2 2 2 2 2" xfId="7527"/>
    <cellStyle name="Normal 3 2 2 2 2 3" xfId="7528"/>
    <cellStyle name="Normal 3 2 2 2 3" xfId="7529"/>
    <cellStyle name="Normal 3 2 2 2 3 2" xfId="7530"/>
    <cellStyle name="Normal 3 2 2 2 3 3" xfId="7531"/>
    <cellStyle name="Normal 3 2 2 2 4" xfId="7532"/>
    <cellStyle name="Normal 3 2 2 2 5" xfId="7533"/>
    <cellStyle name="Normal 3 2 2 3" xfId="7534"/>
    <cellStyle name="Normal 3 2 2 3 2" xfId="7535"/>
    <cellStyle name="Normal 3 2 2 3 3" xfId="7536"/>
    <cellStyle name="Normal 3 2 2 4" xfId="7537"/>
    <cellStyle name="Normal 3 2 2 4 2" xfId="7538"/>
    <cellStyle name="Normal 3 2 2 4 3" xfId="7539"/>
    <cellStyle name="Normal 3 2 2 5" xfId="7540"/>
    <cellStyle name="Normal 3 2 2 6" xfId="7541"/>
    <cellStyle name="Normal 3 2 2 7" xfId="7542"/>
    <cellStyle name="Normal 3 2 3" xfId="7543"/>
    <cellStyle name="Normal 3 2 3 2" xfId="7544"/>
    <cellStyle name="Normal 3 2 3 2 2" xfId="7545"/>
    <cellStyle name="Normal 3 2 3 2 3" xfId="7546"/>
    <cellStyle name="Normal 3 2 3 3" xfId="7547"/>
    <cellStyle name="Normal 3 2 3 3 2" xfId="7548"/>
    <cellStyle name="Normal 3 2 3 3 3" xfId="7549"/>
    <cellStyle name="Normal 3 2 3 4" xfId="7550"/>
    <cellStyle name="Normal 3 2 3 5" xfId="7551"/>
    <cellStyle name="Normal 3 2 4" xfId="7552"/>
    <cellStyle name="Normal 3 2 4 2" xfId="7553"/>
    <cellStyle name="Normal 3 2 4 3" xfId="7554"/>
    <cellStyle name="Normal 3 2 5" xfId="7555"/>
    <cellStyle name="Normal 3 2 5 2" xfId="7556"/>
    <cellStyle name="Normal 3 2 5 3" xfId="7557"/>
    <cellStyle name="Normal 3 2 6" xfId="7558"/>
    <cellStyle name="Normal 3 2 7" xfId="7559"/>
    <cellStyle name="Normal 3 2 8" xfId="7560"/>
    <cellStyle name="Normal 3 2 9" xfId="7561"/>
    <cellStyle name="Normal 3 3" xfId="180"/>
    <cellStyle name="Normal 3 3 2" xfId="7562"/>
    <cellStyle name="Normal 3 3 2 2" xfId="7563"/>
    <cellStyle name="Normal 3 3 3" xfId="7564"/>
    <cellStyle name="Normal 3 3 3 2" xfId="7565"/>
    <cellStyle name="Normal 3 3 4" xfId="7566"/>
    <cellStyle name="Normal 3 3 4 2" xfId="7567"/>
    <cellStyle name="Normal 3 3 5" xfId="7568"/>
    <cellStyle name="Normal 3 3 6" xfId="37443"/>
    <cellStyle name="Normal 3 4" xfId="278"/>
    <cellStyle name="Normal 3 4 2" xfId="7569"/>
    <cellStyle name="Normal 3 4 3" xfId="7570"/>
    <cellStyle name="Normal 3 4 4" xfId="7571"/>
    <cellStyle name="Normal 3 5" xfId="7572"/>
    <cellStyle name="Normal 3 5 2" xfId="7573"/>
    <cellStyle name="Normal 3 6" xfId="7574"/>
    <cellStyle name="Normal 3 7" xfId="7575"/>
    <cellStyle name="Normal 3 8" xfId="7576"/>
    <cellStyle name="Normal 3_10051" xfId="7577"/>
    <cellStyle name="Normal 30" xfId="182"/>
    <cellStyle name="Normal 30 2" xfId="7578"/>
    <cellStyle name="Normal 30 3" xfId="7579"/>
    <cellStyle name="Normal 30 4" xfId="7580"/>
    <cellStyle name="Normal 31" xfId="183"/>
    <cellStyle name="Normal 31 2" xfId="7581"/>
    <cellStyle name="Normal 31 2 2" xfId="7582"/>
    <cellStyle name="Normal 31 2 2 2" xfId="7583"/>
    <cellStyle name="Normal 31 2 2 2 2" xfId="7584"/>
    <cellStyle name="Normal 31 2 2 2 2 2" xfId="7585"/>
    <cellStyle name="Normal 31 2 2 2 2 2 2" xfId="7586"/>
    <cellStyle name="Normal 31 2 2 2 2 2 3" xfId="7587"/>
    <cellStyle name="Normal 31 2 2 2 2 3" xfId="7588"/>
    <cellStyle name="Normal 31 2 2 2 2 3 2" xfId="7589"/>
    <cellStyle name="Normal 31 2 2 2 2 3 3" xfId="7590"/>
    <cellStyle name="Normal 31 2 2 2 2 4" xfId="7591"/>
    <cellStyle name="Normal 31 2 2 2 2 5" xfId="7592"/>
    <cellStyle name="Normal 31 2 2 2 3" xfId="7593"/>
    <cellStyle name="Normal 31 2 2 2 3 2" xfId="7594"/>
    <cellStyle name="Normal 31 2 2 2 3 3" xfId="7595"/>
    <cellStyle name="Normal 31 2 2 2 4" xfId="7596"/>
    <cellStyle name="Normal 31 2 2 2 4 2" xfId="7597"/>
    <cellStyle name="Normal 31 2 2 2 4 3" xfId="7598"/>
    <cellStyle name="Normal 31 2 2 2 5" xfId="7599"/>
    <cellStyle name="Normal 31 2 2 2 6" xfId="7600"/>
    <cellStyle name="Normal 31 2 2 3" xfId="7601"/>
    <cellStyle name="Normal 31 2 2 3 2" xfId="7602"/>
    <cellStyle name="Normal 31 2 2 3 2 2" xfId="7603"/>
    <cellStyle name="Normal 31 2 2 3 2 3" xfId="7604"/>
    <cellStyle name="Normal 31 2 2 3 3" xfId="7605"/>
    <cellStyle name="Normal 31 2 2 3 3 2" xfId="7606"/>
    <cellStyle name="Normal 31 2 2 3 3 3" xfId="7607"/>
    <cellStyle name="Normal 31 2 2 3 4" xfId="7608"/>
    <cellStyle name="Normal 31 2 2 3 5" xfId="7609"/>
    <cellStyle name="Normal 31 2 2 3 6" xfId="34881"/>
    <cellStyle name="Normal 31 2 2 4" xfId="7610"/>
    <cellStyle name="Normal 31 2 2 4 2" xfId="7611"/>
    <cellStyle name="Normal 31 2 2 4 3" xfId="7612"/>
    <cellStyle name="Normal 31 2 2 5" xfId="7613"/>
    <cellStyle name="Normal 31 2 2 5 2" xfId="7614"/>
    <cellStyle name="Normal 31 2 2 5 3" xfId="7615"/>
    <cellStyle name="Normal 31 2 2 6" xfId="7616"/>
    <cellStyle name="Normal 31 2 2 7" xfId="7617"/>
    <cellStyle name="Normal 31 2 3" xfId="7618"/>
    <cellStyle name="Normal 31 2 3 2" xfId="7619"/>
    <cellStyle name="Normal 31 2 3 2 2" xfId="7620"/>
    <cellStyle name="Normal 31 2 3 2 2 2" xfId="7621"/>
    <cellStyle name="Normal 31 2 3 2 2 3" xfId="7622"/>
    <cellStyle name="Normal 31 2 3 2 3" xfId="7623"/>
    <cellStyle name="Normal 31 2 3 2 3 2" xfId="7624"/>
    <cellStyle name="Normal 31 2 3 2 3 3" xfId="7625"/>
    <cellStyle name="Normal 31 2 3 2 4" xfId="7626"/>
    <cellStyle name="Normal 31 2 3 2 5" xfId="7627"/>
    <cellStyle name="Normal 31 2 3 3" xfId="7628"/>
    <cellStyle name="Normal 31 2 3 3 2" xfId="7629"/>
    <cellStyle name="Normal 31 2 3 3 3" xfId="7630"/>
    <cellStyle name="Normal 31 2 3 4" xfId="7631"/>
    <cellStyle name="Normal 31 2 3 4 2" xfId="7632"/>
    <cellStyle name="Normal 31 2 3 4 3" xfId="7633"/>
    <cellStyle name="Normal 31 2 3 5" xfId="7634"/>
    <cellStyle name="Normal 31 2 3 6" xfId="7635"/>
    <cellStyle name="Normal 31 2 4" xfId="7636"/>
    <cellStyle name="Normal 31 2 4 2" xfId="7637"/>
    <cellStyle name="Normal 31 2 4 2 2" xfId="7638"/>
    <cellStyle name="Normal 31 2 4 2 3" xfId="7639"/>
    <cellStyle name="Normal 31 2 4 3" xfId="7640"/>
    <cellStyle name="Normal 31 2 4 3 2" xfId="7641"/>
    <cellStyle name="Normal 31 2 4 3 3" xfId="7642"/>
    <cellStyle name="Normal 31 2 4 4" xfId="7643"/>
    <cellStyle name="Normal 31 2 4 5" xfId="7644"/>
    <cellStyle name="Normal 31 2 5" xfId="7645"/>
    <cellStyle name="Normal 31 2 5 2" xfId="7646"/>
    <cellStyle name="Normal 31 2 5 3" xfId="7647"/>
    <cellStyle name="Normal 31 2 6" xfId="7648"/>
    <cellStyle name="Normal 31 2 6 2" xfId="7649"/>
    <cellStyle name="Normal 31 2 6 3" xfId="7650"/>
    <cellStyle name="Normal 31 2 7" xfId="7651"/>
    <cellStyle name="Normal 31 2 8" xfId="7652"/>
    <cellStyle name="Normal 31 3" xfId="7653"/>
    <cellStyle name="Normal 31 3 2" xfId="7654"/>
    <cellStyle name="Normal 31 3 2 2" xfId="7655"/>
    <cellStyle name="Normal 31 3 2 2 2" xfId="7656"/>
    <cellStyle name="Normal 31 3 2 2 2 2" xfId="7657"/>
    <cellStyle name="Normal 31 3 2 2 2 3" xfId="7658"/>
    <cellStyle name="Normal 31 3 2 2 3" xfId="7659"/>
    <cellStyle name="Normal 31 3 2 2 3 2" xfId="7660"/>
    <cellStyle name="Normal 31 3 2 2 3 3" xfId="7661"/>
    <cellStyle name="Normal 31 3 2 2 4" xfId="7662"/>
    <cellStyle name="Normal 31 3 2 2 5" xfId="7663"/>
    <cellStyle name="Normal 31 3 2 3" xfId="7664"/>
    <cellStyle name="Normal 31 3 2 3 2" xfId="7665"/>
    <cellStyle name="Normal 31 3 2 3 3" xfId="7666"/>
    <cellStyle name="Normal 31 3 2 4" xfId="7667"/>
    <cellStyle name="Normal 31 3 2 4 2" xfId="7668"/>
    <cellStyle name="Normal 31 3 2 4 3" xfId="7669"/>
    <cellStyle name="Normal 31 3 2 5" xfId="7670"/>
    <cellStyle name="Normal 31 3 2 6" xfId="7671"/>
    <cellStyle name="Normal 31 3 3" xfId="7672"/>
    <cellStyle name="Normal 31 3 3 2" xfId="7673"/>
    <cellStyle name="Normal 31 3 3 2 2" xfId="7674"/>
    <cellStyle name="Normal 31 3 3 2 3" xfId="7675"/>
    <cellStyle name="Normal 31 3 3 3" xfId="7676"/>
    <cellStyle name="Normal 31 3 3 3 2" xfId="7677"/>
    <cellStyle name="Normal 31 3 3 3 3" xfId="7678"/>
    <cellStyle name="Normal 31 3 3 4" xfId="7679"/>
    <cellStyle name="Normal 31 3 3 5" xfId="7680"/>
    <cellStyle name="Normal 31 3 4" xfId="7681"/>
    <cellStyle name="Normal 31 3 4 2" xfId="7682"/>
    <cellStyle name="Normal 31 3 4 3" xfId="7683"/>
    <cellStyle name="Normal 31 3 5" xfId="7684"/>
    <cellStyle name="Normal 31 3 5 2" xfId="7685"/>
    <cellStyle name="Normal 31 3 5 3" xfId="7686"/>
    <cellStyle name="Normal 31 3 6" xfId="7687"/>
    <cellStyle name="Normal 31 3 7" xfId="7688"/>
    <cellStyle name="Normal 31 4" xfId="7689"/>
    <cellStyle name="Normal 31 4 2" xfId="7690"/>
    <cellStyle name="Normal 31 4 2 2" xfId="7691"/>
    <cellStyle name="Normal 31 4 2 2 2" xfId="7692"/>
    <cellStyle name="Normal 31 4 2 2 3" xfId="7693"/>
    <cellStyle name="Normal 31 4 2 3" xfId="7694"/>
    <cellStyle name="Normal 31 4 2 3 2" xfId="7695"/>
    <cellStyle name="Normal 31 4 2 3 3" xfId="7696"/>
    <cellStyle name="Normal 31 4 2 4" xfId="7697"/>
    <cellStyle name="Normal 31 4 2 5" xfId="7698"/>
    <cellStyle name="Normal 31 4 3" xfId="7699"/>
    <cellStyle name="Normal 31 4 3 2" xfId="7700"/>
    <cellStyle name="Normal 31 4 3 3" xfId="7701"/>
    <cellStyle name="Normal 31 4 4" xfId="7702"/>
    <cellStyle name="Normal 31 4 4 2" xfId="7703"/>
    <cellStyle name="Normal 31 4 4 3" xfId="7704"/>
    <cellStyle name="Normal 31 4 5" xfId="7705"/>
    <cellStyle name="Normal 31 4 6" xfId="7706"/>
    <cellStyle name="Normal 31 5" xfId="7707"/>
    <cellStyle name="Normal 31 5 2" xfId="7708"/>
    <cellStyle name="Normal 31 5 2 2" xfId="7709"/>
    <cellStyle name="Normal 31 5 2 3" xfId="7710"/>
    <cellStyle name="Normal 31 5 3" xfId="7711"/>
    <cellStyle name="Normal 31 5 3 2" xfId="7712"/>
    <cellStyle name="Normal 31 5 3 3" xfId="7713"/>
    <cellStyle name="Normal 31 5 4" xfId="7714"/>
    <cellStyle name="Normal 31 5 5" xfId="7715"/>
    <cellStyle name="Normal 31 6" xfId="7716"/>
    <cellStyle name="Normal 31 6 2" xfId="7717"/>
    <cellStyle name="Normal 31 6 3" xfId="7718"/>
    <cellStyle name="Normal 31 7" xfId="7719"/>
    <cellStyle name="Normal 31 7 2" xfId="7720"/>
    <cellStyle name="Normal 31 7 3" xfId="7721"/>
    <cellStyle name="Normal 31 8" xfId="7722"/>
    <cellStyle name="Normal 31 9" xfId="7723"/>
    <cellStyle name="Normal 32" xfId="184"/>
    <cellStyle name="Normal 32 2" xfId="7724"/>
    <cellStyle name="Normal 32 2 2" xfId="7725"/>
    <cellStyle name="Normal 32 2 2 2" xfId="7726"/>
    <cellStyle name="Normal 32 2 2 2 2" xfId="7727"/>
    <cellStyle name="Normal 32 2 2 2 2 2" xfId="7728"/>
    <cellStyle name="Normal 32 2 2 2 2 2 2" xfId="7729"/>
    <cellStyle name="Normal 32 2 2 2 2 2 3" xfId="7730"/>
    <cellStyle name="Normal 32 2 2 2 2 3" xfId="7731"/>
    <cellStyle name="Normal 32 2 2 2 2 3 2" xfId="7732"/>
    <cellStyle name="Normal 32 2 2 2 2 3 3" xfId="7733"/>
    <cellStyle name="Normal 32 2 2 2 2 4" xfId="7734"/>
    <cellStyle name="Normal 32 2 2 2 2 5" xfId="7735"/>
    <cellStyle name="Normal 32 2 2 2 3" xfId="7736"/>
    <cellStyle name="Normal 32 2 2 2 3 2" xfId="7737"/>
    <cellStyle name="Normal 32 2 2 2 3 3" xfId="7738"/>
    <cellStyle name="Normal 32 2 2 2 4" xfId="7739"/>
    <cellStyle name="Normal 32 2 2 2 4 2" xfId="7740"/>
    <cellStyle name="Normal 32 2 2 2 4 3" xfId="7741"/>
    <cellStyle name="Normal 32 2 2 2 5" xfId="7742"/>
    <cellStyle name="Normal 32 2 2 2 6" xfId="7743"/>
    <cellStyle name="Normal 32 2 2 3" xfId="7744"/>
    <cellStyle name="Normal 32 2 2 3 2" xfId="7745"/>
    <cellStyle name="Normal 32 2 2 3 2 2" xfId="7746"/>
    <cellStyle name="Normal 32 2 2 3 2 3" xfId="7747"/>
    <cellStyle name="Normal 32 2 2 3 3" xfId="7748"/>
    <cellStyle name="Normal 32 2 2 3 3 2" xfId="7749"/>
    <cellStyle name="Normal 32 2 2 3 3 3" xfId="7750"/>
    <cellStyle name="Normal 32 2 2 3 4" xfId="7751"/>
    <cellStyle name="Normal 32 2 2 3 5" xfId="7752"/>
    <cellStyle name="Normal 32 2 2 4" xfId="7753"/>
    <cellStyle name="Normal 32 2 2 4 2" xfId="7754"/>
    <cellStyle name="Normal 32 2 2 4 3" xfId="7755"/>
    <cellStyle name="Normal 32 2 2 5" xfId="7756"/>
    <cellStyle name="Normal 32 2 2 5 2" xfId="7757"/>
    <cellStyle name="Normal 32 2 2 5 3" xfId="7758"/>
    <cellStyle name="Normal 32 2 2 6" xfId="7759"/>
    <cellStyle name="Normal 32 2 2 7" xfId="7760"/>
    <cellStyle name="Normal 32 2 3" xfId="7761"/>
    <cellStyle name="Normal 32 2 3 2" xfId="7762"/>
    <cellStyle name="Normal 32 2 3 2 2" xfId="7763"/>
    <cellStyle name="Normal 32 2 3 2 2 2" xfId="7764"/>
    <cellStyle name="Normal 32 2 3 2 2 3" xfId="7765"/>
    <cellStyle name="Normal 32 2 3 2 3" xfId="7766"/>
    <cellStyle name="Normal 32 2 3 2 3 2" xfId="7767"/>
    <cellStyle name="Normal 32 2 3 2 3 3" xfId="7768"/>
    <cellStyle name="Normal 32 2 3 2 4" xfId="7769"/>
    <cellStyle name="Normal 32 2 3 2 5" xfId="7770"/>
    <cellStyle name="Normal 32 2 3 3" xfId="7771"/>
    <cellStyle name="Normal 32 2 3 3 2" xfId="7772"/>
    <cellStyle name="Normal 32 2 3 3 3" xfId="7773"/>
    <cellStyle name="Normal 32 2 3 4" xfId="7774"/>
    <cellStyle name="Normal 32 2 3 4 2" xfId="7775"/>
    <cellStyle name="Normal 32 2 3 4 3" xfId="7776"/>
    <cellStyle name="Normal 32 2 3 5" xfId="7777"/>
    <cellStyle name="Normal 32 2 3 6" xfId="7778"/>
    <cellStyle name="Normal 32 2 4" xfId="7779"/>
    <cellStyle name="Normal 32 2 4 2" xfId="7780"/>
    <cellStyle name="Normal 32 2 4 2 2" xfId="7781"/>
    <cellStyle name="Normal 32 2 4 2 3" xfId="7782"/>
    <cellStyle name="Normal 32 2 4 3" xfId="7783"/>
    <cellStyle name="Normal 32 2 4 3 2" xfId="7784"/>
    <cellStyle name="Normal 32 2 4 3 3" xfId="7785"/>
    <cellStyle name="Normal 32 2 4 4" xfId="7786"/>
    <cellStyle name="Normal 32 2 4 5" xfId="7787"/>
    <cellStyle name="Normal 32 2 5" xfId="7788"/>
    <cellStyle name="Normal 32 2 5 2" xfId="7789"/>
    <cellStyle name="Normal 32 2 5 3" xfId="7790"/>
    <cellStyle name="Normal 32 2 6" xfId="7791"/>
    <cellStyle name="Normal 32 2 6 2" xfId="7792"/>
    <cellStyle name="Normal 32 2 6 3" xfId="7793"/>
    <cellStyle name="Normal 32 2 7" xfId="7794"/>
    <cellStyle name="Normal 32 2 8" xfId="7795"/>
    <cellStyle name="Normal 32 3" xfId="7796"/>
    <cellStyle name="Normal 32 3 2" xfId="7797"/>
    <cellStyle name="Normal 32 3 2 2" xfId="7798"/>
    <cellStyle name="Normal 32 3 2 2 2" xfId="7799"/>
    <cellStyle name="Normal 32 3 2 2 2 2" xfId="7800"/>
    <cellStyle name="Normal 32 3 2 2 2 3" xfId="7801"/>
    <cellStyle name="Normal 32 3 2 2 3" xfId="7802"/>
    <cellStyle name="Normal 32 3 2 2 3 2" xfId="7803"/>
    <cellStyle name="Normal 32 3 2 2 3 3" xfId="7804"/>
    <cellStyle name="Normal 32 3 2 2 4" xfId="7805"/>
    <cellStyle name="Normal 32 3 2 2 5" xfId="7806"/>
    <cellStyle name="Normal 32 3 2 3" xfId="7807"/>
    <cellStyle name="Normal 32 3 2 3 2" xfId="7808"/>
    <cellStyle name="Normal 32 3 2 3 3" xfId="7809"/>
    <cellStyle name="Normal 32 3 2 4" xfId="7810"/>
    <cellStyle name="Normal 32 3 2 4 2" xfId="7811"/>
    <cellStyle name="Normal 32 3 2 4 3" xfId="7812"/>
    <cellStyle name="Normal 32 3 2 5" xfId="7813"/>
    <cellStyle name="Normal 32 3 2 6" xfId="7814"/>
    <cellStyle name="Normal 32 3 3" xfId="7815"/>
    <cellStyle name="Normal 32 3 3 2" xfId="7816"/>
    <cellStyle name="Normal 32 3 3 2 2" xfId="7817"/>
    <cellStyle name="Normal 32 3 3 2 3" xfId="7818"/>
    <cellStyle name="Normal 32 3 3 3" xfId="7819"/>
    <cellStyle name="Normal 32 3 3 3 2" xfId="7820"/>
    <cellStyle name="Normal 32 3 3 3 3" xfId="7821"/>
    <cellStyle name="Normal 32 3 3 4" xfId="7822"/>
    <cellStyle name="Normal 32 3 3 5" xfId="7823"/>
    <cellStyle name="Normal 32 3 4" xfId="7824"/>
    <cellStyle name="Normal 32 3 4 2" xfId="7825"/>
    <cellStyle name="Normal 32 3 4 3" xfId="7826"/>
    <cellStyle name="Normal 32 3 5" xfId="7827"/>
    <cellStyle name="Normal 32 3 5 2" xfId="7828"/>
    <cellStyle name="Normal 32 3 5 3" xfId="7829"/>
    <cellStyle name="Normal 32 3 6" xfId="7830"/>
    <cellStyle name="Normal 32 3 7" xfId="7831"/>
    <cellStyle name="Normal 32 4" xfId="7832"/>
    <cellStyle name="Normal 32 4 2" xfId="7833"/>
    <cellStyle name="Normal 32 4 2 2" xfId="7834"/>
    <cellStyle name="Normal 32 4 2 2 2" xfId="7835"/>
    <cellStyle name="Normal 32 4 2 2 3" xfId="7836"/>
    <cellStyle name="Normal 32 4 2 3" xfId="7837"/>
    <cellStyle name="Normal 32 4 2 3 2" xfId="7838"/>
    <cellStyle name="Normal 32 4 2 3 3" xfId="7839"/>
    <cellStyle name="Normal 32 4 2 4" xfId="7840"/>
    <cellStyle name="Normal 32 4 2 5" xfId="7841"/>
    <cellStyle name="Normal 32 4 3" xfId="7842"/>
    <cellStyle name="Normal 32 4 3 2" xfId="7843"/>
    <cellStyle name="Normal 32 4 3 3" xfId="7844"/>
    <cellStyle name="Normal 32 4 4" xfId="7845"/>
    <cellStyle name="Normal 32 4 4 2" xfId="7846"/>
    <cellStyle name="Normal 32 4 4 3" xfId="7847"/>
    <cellStyle name="Normal 32 4 5" xfId="7848"/>
    <cellStyle name="Normal 32 4 6" xfId="7849"/>
    <cellStyle name="Normal 32 5" xfId="7850"/>
    <cellStyle name="Normal 32 5 2" xfId="7851"/>
    <cellStyle name="Normal 32 5 2 2" xfId="7852"/>
    <cellStyle name="Normal 32 5 2 3" xfId="7853"/>
    <cellStyle name="Normal 32 5 3" xfId="7854"/>
    <cellStyle name="Normal 32 5 3 2" xfId="7855"/>
    <cellStyle name="Normal 32 5 3 3" xfId="7856"/>
    <cellStyle name="Normal 32 5 4" xfId="7857"/>
    <cellStyle name="Normal 32 5 5" xfId="7858"/>
    <cellStyle name="Normal 32 6" xfId="7859"/>
    <cellStyle name="Normal 32 6 2" xfId="7860"/>
    <cellStyle name="Normal 32 6 3" xfId="7861"/>
    <cellStyle name="Normal 32 7" xfId="7862"/>
    <cellStyle name="Normal 32 7 2" xfId="7863"/>
    <cellStyle name="Normal 32 7 3" xfId="7864"/>
    <cellStyle name="Normal 32 8" xfId="7865"/>
    <cellStyle name="Normal 32 9" xfId="7866"/>
    <cellStyle name="Normal 33" xfId="185"/>
    <cellStyle name="Normal 33 2" xfId="7867"/>
    <cellStyle name="Normal 33 3" xfId="7868"/>
    <cellStyle name="Normal 34" xfId="186"/>
    <cellStyle name="Normal 34 2" xfId="7869"/>
    <cellStyle name="Normal 34 3" xfId="7870"/>
    <cellStyle name="Normal 35" xfId="187"/>
    <cellStyle name="Normal 35 2" xfId="7871"/>
    <cellStyle name="Normal 35 2 2" xfId="7872"/>
    <cellStyle name="Normal 35 2 2 2" xfId="7873"/>
    <cellStyle name="Normal 35 2 2 2 2" xfId="7874"/>
    <cellStyle name="Normal 35 2 2 2 2 2" xfId="7875"/>
    <cellStyle name="Normal 35 2 2 2 2 3" xfId="7876"/>
    <cellStyle name="Normal 35 2 2 2 3" xfId="7877"/>
    <cellStyle name="Normal 35 2 2 2 3 2" xfId="7878"/>
    <cellStyle name="Normal 35 2 2 2 3 3" xfId="7879"/>
    <cellStyle name="Normal 35 2 2 2 4" xfId="7880"/>
    <cellStyle name="Normal 35 2 2 2 5" xfId="7881"/>
    <cellStyle name="Normal 35 2 2 3" xfId="7882"/>
    <cellStyle name="Normal 35 2 2 3 2" xfId="7883"/>
    <cellStyle name="Normal 35 2 2 3 3" xfId="7884"/>
    <cellStyle name="Normal 35 2 2 4" xfId="7885"/>
    <cellStyle name="Normal 35 2 2 4 2" xfId="7886"/>
    <cellStyle name="Normal 35 2 2 4 3" xfId="7887"/>
    <cellStyle name="Normal 35 2 2 5" xfId="7888"/>
    <cellStyle name="Normal 35 2 2 6" xfId="7889"/>
    <cellStyle name="Normal 35 2 3" xfId="7890"/>
    <cellStyle name="Normal 35 2 3 2" xfId="7891"/>
    <cellStyle name="Normal 35 2 3 2 2" xfId="7892"/>
    <cellStyle name="Normal 35 2 3 2 3" xfId="7893"/>
    <cellStyle name="Normal 35 2 3 3" xfId="7894"/>
    <cellStyle name="Normal 35 2 3 3 2" xfId="7895"/>
    <cellStyle name="Normal 35 2 3 3 3" xfId="7896"/>
    <cellStyle name="Normal 35 2 3 4" xfId="7897"/>
    <cellStyle name="Normal 35 2 3 5" xfId="7898"/>
    <cellStyle name="Normal 35 2 4" xfId="7899"/>
    <cellStyle name="Normal 35 2 4 2" xfId="7900"/>
    <cellStyle name="Normal 35 2 4 3" xfId="7901"/>
    <cellStyle name="Normal 35 2 5" xfId="7902"/>
    <cellStyle name="Normal 35 2 5 2" xfId="7903"/>
    <cellStyle name="Normal 35 2 5 3" xfId="7904"/>
    <cellStyle name="Normal 35 2 6" xfId="7905"/>
    <cellStyle name="Normal 35 2 7" xfId="7906"/>
    <cellStyle name="Normal 35 3" xfId="7907"/>
    <cellStyle name="Normal 35 3 2" xfId="7908"/>
    <cellStyle name="Normal 35 3 2 2" xfId="7909"/>
    <cellStyle name="Normal 35 3 2 2 2" xfId="7910"/>
    <cellStyle name="Normal 35 3 2 2 3" xfId="7911"/>
    <cellStyle name="Normal 35 3 2 3" xfId="7912"/>
    <cellStyle name="Normal 35 3 2 3 2" xfId="7913"/>
    <cellStyle name="Normal 35 3 2 3 3" xfId="7914"/>
    <cellStyle name="Normal 35 3 2 4" xfId="7915"/>
    <cellStyle name="Normal 35 3 2 5" xfId="7916"/>
    <cellStyle name="Normal 35 3 3" xfId="7917"/>
    <cellStyle name="Normal 35 3 3 2" xfId="7918"/>
    <cellStyle name="Normal 35 3 3 3" xfId="7919"/>
    <cellStyle name="Normal 35 3 4" xfId="7920"/>
    <cellStyle name="Normal 35 3 4 2" xfId="7921"/>
    <cellStyle name="Normal 35 3 4 3" xfId="7922"/>
    <cellStyle name="Normal 35 3 5" xfId="7923"/>
    <cellStyle name="Normal 35 3 6" xfId="7924"/>
    <cellStyle name="Normal 35 4" xfId="7925"/>
    <cellStyle name="Normal 35 4 2" xfId="7926"/>
    <cellStyle name="Normal 35 4 2 2" xfId="7927"/>
    <cellStyle name="Normal 35 4 2 3" xfId="7928"/>
    <cellStyle name="Normal 35 4 3" xfId="7929"/>
    <cellStyle name="Normal 35 4 3 2" xfId="7930"/>
    <cellStyle name="Normal 35 4 3 3" xfId="7931"/>
    <cellStyle name="Normal 35 4 4" xfId="7932"/>
    <cellStyle name="Normal 35 4 5" xfId="7933"/>
    <cellStyle name="Normal 35 5" xfId="7934"/>
    <cellStyle name="Normal 35 5 2" xfId="7935"/>
    <cellStyle name="Normal 35 5 3" xfId="7936"/>
    <cellStyle name="Normal 35 6" xfId="7937"/>
    <cellStyle name="Normal 35 6 2" xfId="7938"/>
    <cellStyle name="Normal 35 6 3" xfId="7939"/>
    <cellStyle name="Normal 35 7" xfId="7940"/>
    <cellStyle name="Normal 35 8" xfId="7941"/>
    <cellStyle name="Normal 36" xfId="188"/>
    <cellStyle name="Normal 36 2" xfId="7942"/>
    <cellStyle name="Normal 36 2 2" xfId="7943"/>
    <cellStyle name="Normal 36 2 2 2" xfId="7944"/>
    <cellStyle name="Normal 36 2 2 2 2" xfId="7945"/>
    <cellStyle name="Normal 36 2 2 2 2 2" xfId="7946"/>
    <cellStyle name="Normal 36 2 2 2 2 3" xfId="7947"/>
    <cellStyle name="Normal 36 2 2 2 3" xfId="7948"/>
    <cellStyle name="Normal 36 2 2 2 3 2" xfId="7949"/>
    <cellStyle name="Normal 36 2 2 2 3 3" xfId="7950"/>
    <cellStyle name="Normal 36 2 2 2 4" xfId="7951"/>
    <cellStyle name="Normal 36 2 2 2 5" xfId="7952"/>
    <cellStyle name="Normal 36 2 2 3" xfId="7953"/>
    <cellStyle name="Normal 36 2 2 3 2" xfId="7954"/>
    <cellStyle name="Normal 36 2 2 3 3" xfId="7955"/>
    <cellStyle name="Normal 36 2 2 4" xfId="7956"/>
    <cellStyle name="Normal 36 2 2 4 2" xfId="7957"/>
    <cellStyle name="Normal 36 2 2 4 3" xfId="7958"/>
    <cellStyle name="Normal 36 2 2 5" xfId="7959"/>
    <cellStyle name="Normal 36 2 2 6" xfId="7960"/>
    <cellStyle name="Normal 36 2 3" xfId="7961"/>
    <cellStyle name="Normal 36 2 3 2" xfId="7962"/>
    <cellStyle name="Normal 36 2 3 2 2" xfId="7963"/>
    <cellStyle name="Normal 36 2 3 2 3" xfId="7964"/>
    <cellStyle name="Normal 36 2 3 3" xfId="7965"/>
    <cellStyle name="Normal 36 2 3 3 2" xfId="7966"/>
    <cellStyle name="Normal 36 2 3 3 3" xfId="7967"/>
    <cellStyle name="Normal 36 2 3 4" xfId="7968"/>
    <cellStyle name="Normal 36 2 3 5" xfId="7969"/>
    <cellStyle name="Normal 36 2 4" xfId="7970"/>
    <cellStyle name="Normal 36 2 4 2" xfId="7971"/>
    <cellStyle name="Normal 36 2 4 3" xfId="7972"/>
    <cellStyle name="Normal 36 2 5" xfId="7973"/>
    <cellStyle name="Normal 36 2 5 2" xfId="7974"/>
    <cellStyle name="Normal 36 2 5 3" xfId="7975"/>
    <cellStyle name="Normal 36 2 6" xfId="7976"/>
    <cellStyle name="Normal 36 2 7" xfId="7977"/>
    <cellStyle name="Normal 36 3" xfId="7978"/>
    <cellStyle name="Normal 36 3 2" xfId="7979"/>
    <cellStyle name="Normal 36 3 2 2" xfId="7980"/>
    <cellStyle name="Normal 36 3 2 2 2" xfId="7981"/>
    <cellStyle name="Normal 36 3 2 2 3" xfId="7982"/>
    <cellStyle name="Normal 36 3 2 3" xfId="7983"/>
    <cellStyle name="Normal 36 3 2 3 2" xfId="7984"/>
    <cellStyle name="Normal 36 3 2 3 3" xfId="7985"/>
    <cellStyle name="Normal 36 3 2 4" xfId="7986"/>
    <cellStyle name="Normal 36 3 2 5" xfId="7987"/>
    <cellStyle name="Normal 36 3 3" xfId="7988"/>
    <cellStyle name="Normal 36 3 3 2" xfId="7989"/>
    <cellStyle name="Normal 36 3 3 3" xfId="7990"/>
    <cellStyle name="Normal 36 3 4" xfId="7991"/>
    <cellStyle name="Normal 36 3 4 2" xfId="7992"/>
    <cellStyle name="Normal 36 3 4 3" xfId="7993"/>
    <cellStyle name="Normal 36 3 5" xfId="7994"/>
    <cellStyle name="Normal 36 3 6" xfId="7995"/>
    <cellStyle name="Normal 36 4" xfId="7996"/>
    <cellStyle name="Normal 36 4 2" xfId="7997"/>
    <cellStyle name="Normal 36 4 2 2" xfId="7998"/>
    <cellStyle name="Normal 36 4 2 3" xfId="7999"/>
    <cellStyle name="Normal 36 4 3" xfId="8000"/>
    <cellStyle name="Normal 36 4 3 2" xfId="8001"/>
    <cellStyle name="Normal 36 4 3 3" xfId="8002"/>
    <cellStyle name="Normal 36 4 4" xfId="8003"/>
    <cellStyle name="Normal 36 4 5" xfId="8004"/>
    <cellStyle name="Normal 36 5" xfId="8005"/>
    <cellStyle name="Normal 36 5 2" xfId="8006"/>
    <cellStyle name="Normal 36 5 3" xfId="8007"/>
    <cellStyle name="Normal 36 6" xfId="8008"/>
    <cellStyle name="Normal 36 6 2" xfId="8009"/>
    <cellStyle name="Normal 36 6 3" xfId="8010"/>
    <cellStyle name="Normal 36 7" xfId="8011"/>
    <cellStyle name="Normal 36 8" xfId="8012"/>
    <cellStyle name="Normal 37" xfId="189"/>
    <cellStyle name="Normal 37 2" xfId="8013"/>
    <cellStyle name="Normal 37 2 2" xfId="8014"/>
    <cellStyle name="Normal 37 2 2 2" xfId="8015"/>
    <cellStyle name="Normal 37 2 2 2 2" xfId="8016"/>
    <cellStyle name="Normal 37 2 2 2 2 2" xfId="8017"/>
    <cellStyle name="Normal 37 2 2 2 2 3" xfId="8018"/>
    <cellStyle name="Normal 37 2 2 2 3" xfId="8019"/>
    <cellStyle name="Normal 37 2 2 2 3 2" xfId="8020"/>
    <cellStyle name="Normal 37 2 2 2 3 3" xfId="8021"/>
    <cellStyle name="Normal 37 2 2 2 4" xfId="8022"/>
    <cellStyle name="Normal 37 2 2 2 5" xfId="8023"/>
    <cellStyle name="Normal 37 2 2 3" xfId="8024"/>
    <cellStyle name="Normal 37 2 2 3 2" xfId="8025"/>
    <cellStyle name="Normal 37 2 2 3 3" xfId="8026"/>
    <cellStyle name="Normal 37 2 2 4" xfId="8027"/>
    <cellStyle name="Normal 37 2 2 4 2" xfId="8028"/>
    <cellStyle name="Normal 37 2 2 4 3" xfId="8029"/>
    <cellStyle name="Normal 37 2 2 5" xfId="8030"/>
    <cellStyle name="Normal 37 2 2 6" xfId="8031"/>
    <cellStyle name="Normal 37 2 3" xfId="8032"/>
    <cellStyle name="Normal 37 2 3 2" xfId="8033"/>
    <cellStyle name="Normal 37 2 3 2 2" xfId="8034"/>
    <cellStyle name="Normal 37 2 3 2 3" xfId="8035"/>
    <cellStyle name="Normal 37 2 3 3" xfId="8036"/>
    <cellStyle name="Normal 37 2 3 3 2" xfId="8037"/>
    <cellStyle name="Normal 37 2 3 3 3" xfId="8038"/>
    <cellStyle name="Normal 37 2 3 4" xfId="8039"/>
    <cellStyle name="Normal 37 2 3 5" xfId="8040"/>
    <cellStyle name="Normal 37 2 4" xfId="8041"/>
    <cellStyle name="Normal 37 2 4 2" xfId="8042"/>
    <cellStyle name="Normal 37 2 4 3" xfId="8043"/>
    <cellStyle name="Normal 37 2 5" xfId="8044"/>
    <cellStyle name="Normal 37 2 5 2" xfId="8045"/>
    <cellStyle name="Normal 37 2 5 3" xfId="8046"/>
    <cellStyle name="Normal 37 2 6" xfId="8047"/>
    <cellStyle name="Normal 37 2 7" xfId="8048"/>
    <cellStyle name="Normal 37 3" xfId="8049"/>
    <cellStyle name="Normal 37 3 2" xfId="8050"/>
    <cellStyle name="Normal 37 3 2 2" xfId="8051"/>
    <cellStyle name="Normal 37 3 2 2 2" xfId="8052"/>
    <cellStyle name="Normal 37 3 2 2 3" xfId="8053"/>
    <cellStyle name="Normal 37 3 2 3" xfId="8054"/>
    <cellStyle name="Normal 37 3 2 3 2" xfId="8055"/>
    <cellStyle name="Normal 37 3 2 3 3" xfId="8056"/>
    <cellStyle name="Normal 37 3 2 4" xfId="8057"/>
    <cellStyle name="Normal 37 3 2 5" xfId="8058"/>
    <cellStyle name="Normal 37 3 3" xfId="8059"/>
    <cellStyle name="Normal 37 3 3 2" xfId="8060"/>
    <cellStyle name="Normal 37 3 3 3" xfId="8061"/>
    <cellStyle name="Normal 37 3 4" xfId="8062"/>
    <cellStyle name="Normal 37 3 4 2" xfId="8063"/>
    <cellStyle name="Normal 37 3 4 3" xfId="8064"/>
    <cellStyle name="Normal 37 3 5" xfId="8065"/>
    <cellStyle name="Normal 37 3 6" xfId="8066"/>
    <cellStyle name="Normal 37 4" xfId="8067"/>
    <cellStyle name="Normal 37 4 2" xfId="8068"/>
    <cellStyle name="Normal 37 4 2 2" xfId="8069"/>
    <cellStyle name="Normal 37 4 2 3" xfId="8070"/>
    <cellStyle name="Normal 37 4 3" xfId="8071"/>
    <cellStyle name="Normal 37 4 3 2" xfId="8072"/>
    <cellStyle name="Normal 37 4 3 3" xfId="8073"/>
    <cellStyle name="Normal 37 4 4" xfId="8074"/>
    <cellStyle name="Normal 37 4 5" xfId="8075"/>
    <cellStyle name="Normal 37 5" xfId="8076"/>
    <cellStyle name="Normal 37 5 2" xfId="8077"/>
    <cellStyle name="Normal 37 5 3" xfId="8078"/>
    <cellStyle name="Normal 37 6" xfId="8079"/>
    <cellStyle name="Normal 37 6 2" xfId="8080"/>
    <cellStyle name="Normal 37 6 3" xfId="8081"/>
    <cellStyle name="Normal 37 7" xfId="8082"/>
    <cellStyle name="Normal 37 8" xfId="8083"/>
    <cellStyle name="Normal 38" xfId="190"/>
    <cellStyle name="Normal 38 2" xfId="8084"/>
    <cellStyle name="Normal 38 2 2" xfId="8085"/>
    <cellStyle name="Normal 38 2 2 2" xfId="8086"/>
    <cellStyle name="Normal 38 2 2 2 2" xfId="8087"/>
    <cellStyle name="Normal 38 2 2 2 2 2" xfId="8088"/>
    <cellStyle name="Normal 38 2 2 2 2 3" xfId="8089"/>
    <cellStyle name="Normal 38 2 2 2 3" xfId="8090"/>
    <cellStyle name="Normal 38 2 2 2 3 2" xfId="8091"/>
    <cellStyle name="Normal 38 2 2 2 3 3" xfId="8092"/>
    <cellStyle name="Normal 38 2 2 2 4" xfId="8093"/>
    <cellStyle name="Normal 38 2 2 2 5" xfId="8094"/>
    <cellStyle name="Normal 38 2 2 3" xfId="8095"/>
    <cellStyle name="Normal 38 2 2 3 2" xfId="8096"/>
    <cellStyle name="Normal 38 2 2 3 3" xfId="8097"/>
    <cellStyle name="Normal 38 2 2 4" xfId="8098"/>
    <cellStyle name="Normal 38 2 2 4 2" xfId="8099"/>
    <cellStyle name="Normal 38 2 2 4 3" xfId="8100"/>
    <cellStyle name="Normal 38 2 2 5" xfId="8101"/>
    <cellStyle name="Normal 38 2 2 6" xfId="8102"/>
    <cellStyle name="Normal 38 2 3" xfId="8103"/>
    <cellStyle name="Normal 38 2 3 2" xfId="8104"/>
    <cellStyle name="Normal 38 2 3 2 2" xfId="8105"/>
    <cellStyle name="Normal 38 2 3 2 3" xfId="8106"/>
    <cellStyle name="Normal 38 2 3 3" xfId="8107"/>
    <cellStyle name="Normal 38 2 3 3 2" xfId="8108"/>
    <cellStyle name="Normal 38 2 3 3 3" xfId="8109"/>
    <cellStyle name="Normal 38 2 3 4" xfId="8110"/>
    <cellStyle name="Normal 38 2 3 5" xfId="8111"/>
    <cellStyle name="Normal 38 2 4" xfId="8112"/>
    <cellStyle name="Normal 38 2 4 2" xfId="8113"/>
    <cellStyle name="Normal 38 2 4 3" xfId="8114"/>
    <cellStyle name="Normal 38 2 5" xfId="8115"/>
    <cellStyle name="Normal 38 2 5 2" xfId="8116"/>
    <cellStyle name="Normal 38 2 5 3" xfId="8117"/>
    <cellStyle name="Normal 38 2 6" xfId="8118"/>
    <cellStyle name="Normal 38 2 7" xfId="8119"/>
    <cellStyle name="Normal 38 3" xfId="8120"/>
    <cellStyle name="Normal 38 3 2" xfId="8121"/>
    <cellStyle name="Normal 38 3 2 2" xfId="8122"/>
    <cellStyle name="Normal 38 3 2 2 2" xfId="8123"/>
    <cellStyle name="Normal 38 3 2 2 3" xfId="8124"/>
    <cellStyle name="Normal 38 3 2 3" xfId="8125"/>
    <cellStyle name="Normal 38 3 2 3 2" xfId="8126"/>
    <cellStyle name="Normal 38 3 2 3 3" xfId="8127"/>
    <cellStyle name="Normal 38 3 2 4" xfId="8128"/>
    <cellStyle name="Normal 38 3 2 5" xfId="8129"/>
    <cellStyle name="Normal 38 3 3" xfId="8130"/>
    <cellStyle name="Normal 38 3 3 2" xfId="8131"/>
    <cellStyle name="Normal 38 3 3 3" xfId="8132"/>
    <cellStyle name="Normal 38 3 4" xfId="8133"/>
    <cellStyle name="Normal 38 3 4 2" xfId="8134"/>
    <cellStyle name="Normal 38 3 4 3" xfId="8135"/>
    <cellStyle name="Normal 38 3 5" xfId="8136"/>
    <cellStyle name="Normal 38 3 6" xfId="8137"/>
    <cellStyle name="Normal 38 4" xfId="8138"/>
    <cellStyle name="Normal 38 4 2" xfId="8139"/>
    <cellStyle name="Normal 38 4 2 2" xfId="8140"/>
    <cellStyle name="Normal 38 4 2 3" xfId="8141"/>
    <cellStyle name="Normal 38 4 3" xfId="8142"/>
    <cellStyle name="Normal 38 4 3 2" xfId="8143"/>
    <cellStyle name="Normal 38 4 3 3" xfId="8144"/>
    <cellStyle name="Normal 38 4 4" xfId="8145"/>
    <cellStyle name="Normal 38 4 5" xfId="8146"/>
    <cellStyle name="Normal 38 5" xfId="8147"/>
    <cellStyle name="Normal 38 5 2" xfId="8148"/>
    <cellStyle name="Normal 38 5 3" xfId="8149"/>
    <cellStyle name="Normal 38 6" xfId="8150"/>
    <cellStyle name="Normal 38 6 2" xfId="8151"/>
    <cellStyle name="Normal 38 6 3" xfId="8152"/>
    <cellStyle name="Normal 38 7" xfId="8153"/>
    <cellStyle name="Normal 38 8" xfId="8154"/>
    <cellStyle name="Normal 39" xfId="191"/>
    <cellStyle name="Normal 39 2" xfId="8155"/>
    <cellStyle name="Normal 39 2 2" xfId="8156"/>
    <cellStyle name="Normal 39 2 2 2" xfId="8157"/>
    <cellStyle name="Normal 39 2 2 2 2" xfId="8158"/>
    <cellStyle name="Normal 39 2 2 2 2 2" xfId="8159"/>
    <cellStyle name="Normal 39 2 2 2 2 3" xfId="8160"/>
    <cellStyle name="Normal 39 2 2 2 3" xfId="8161"/>
    <cellStyle name="Normal 39 2 2 2 3 2" xfId="8162"/>
    <cellStyle name="Normal 39 2 2 2 3 3" xfId="8163"/>
    <cellStyle name="Normal 39 2 2 2 4" xfId="8164"/>
    <cellStyle name="Normal 39 2 2 2 5" xfId="8165"/>
    <cellStyle name="Normal 39 2 2 3" xfId="8166"/>
    <cellStyle name="Normal 39 2 2 3 2" xfId="8167"/>
    <cellStyle name="Normal 39 2 2 3 3" xfId="8168"/>
    <cellStyle name="Normal 39 2 2 4" xfId="8169"/>
    <cellStyle name="Normal 39 2 2 4 2" xfId="8170"/>
    <cellStyle name="Normal 39 2 2 4 3" xfId="8171"/>
    <cellStyle name="Normal 39 2 2 5" xfId="8172"/>
    <cellStyle name="Normal 39 2 2 6" xfId="8173"/>
    <cellStyle name="Normal 39 2 3" xfId="8174"/>
    <cellStyle name="Normal 39 2 3 2" xfId="8175"/>
    <cellStyle name="Normal 39 2 3 2 2" xfId="8176"/>
    <cellStyle name="Normal 39 2 3 2 3" xfId="8177"/>
    <cellStyle name="Normal 39 2 3 3" xfId="8178"/>
    <cellStyle name="Normal 39 2 3 3 2" xfId="8179"/>
    <cellStyle name="Normal 39 2 3 3 3" xfId="8180"/>
    <cellStyle name="Normal 39 2 3 4" xfId="8181"/>
    <cellStyle name="Normal 39 2 3 5" xfId="8182"/>
    <cellStyle name="Normal 39 2 4" xfId="8183"/>
    <cellStyle name="Normal 39 2 4 2" xfId="8184"/>
    <cellStyle name="Normal 39 2 4 3" xfId="8185"/>
    <cellStyle name="Normal 39 2 5" xfId="8186"/>
    <cellStyle name="Normal 39 2 5 2" xfId="8187"/>
    <cellStyle name="Normal 39 2 5 3" xfId="8188"/>
    <cellStyle name="Normal 39 2 6" xfId="8189"/>
    <cellStyle name="Normal 39 2 7" xfId="8190"/>
    <cellStyle name="Normal 39 3" xfId="8191"/>
    <cellStyle name="Normal 39 3 2" xfId="8192"/>
    <cellStyle name="Normal 39 3 2 2" xfId="8193"/>
    <cellStyle name="Normal 39 3 2 2 2" xfId="8194"/>
    <cellStyle name="Normal 39 3 2 2 3" xfId="8195"/>
    <cellStyle name="Normal 39 3 2 3" xfId="8196"/>
    <cellStyle name="Normal 39 3 2 3 2" xfId="8197"/>
    <cellStyle name="Normal 39 3 2 3 3" xfId="8198"/>
    <cellStyle name="Normal 39 3 2 4" xfId="8199"/>
    <cellStyle name="Normal 39 3 2 5" xfId="8200"/>
    <cellStyle name="Normal 39 3 3" xfId="8201"/>
    <cellStyle name="Normal 39 3 3 2" xfId="8202"/>
    <cellStyle name="Normal 39 3 3 3" xfId="8203"/>
    <cellStyle name="Normal 39 3 4" xfId="8204"/>
    <cellStyle name="Normal 39 3 4 2" xfId="8205"/>
    <cellStyle name="Normal 39 3 4 3" xfId="8206"/>
    <cellStyle name="Normal 39 3 5" xfId="8207"/>
    <cellStyle name="Normal 39 3 6" xfId="8208"/>
    <cellStyle name="Normal 39 4" xfId="8209"/>
    <cellStyle name="Normal 39 4 2" xfId="8210"/>
    <cellStyle name="Normal 39 4 2 2" xfId="8211"/>
    <cellStyle name="Normal 39 4 2 3" xfId="8212"/>
    <cellStyle name="Normal 39 4 3" xfId="8213"/>
    <cellStyle name="Normal 39 4 3 2" xfId="8214"/>
    <cellStyle name="Normal 39 4 3 3" xfId="8215"/>
    <cellStyle name="Normal 39 4 4" xfId="8216"/>
    <cellStyle name="Normal 39 4 5" xfId="8217"/>
    <cellStyle name="Normal 39 5" xfId="8218"/>
    <cellStyle name="Normal 39 5 2" xfId="8219"/>
    <cellStyle name="Normal 39 5 3" xfId="8220"/>
    <cellStyle name="Normal 39 6" xfId="8221"/>
    <cellStyle name="Normal 39 6 2" xfId="8222"/>
    <cellStyle name="Normal 39 6 3" xfId="8223"/>
    <cellStyle name="Normal 39 7" xfId="8224"/>
    <cellStyle name="Normal 39 8" xfId="8225"/>
    <cellStyle name="Normal 4" xfId="21"/>
    <cellStyle name="Normal 4 2" xfId="192"/>
    <cellStyle name="Normal 4 2 2" xfId="8226"/>
    <cellStyle name="Normal 4 2 2 2" xfId="8227"/>
    <cellStyle name="Normal 4 2 2 2 2" xfId="8228"/>
    <cellStyle name="Normal 4 2 2 2 2 2" xfId="8229"/>
    <cellStyle name="Normal 4 2 2 2 2 3" xfId="8230"/>
    <cellStyle name="Normal 4 2 2 2 3" xfId="8231"/>
    <cellStyle name="Normal 4 2 2 2 3 2" xfId="8232"/>
    <cellStyle name="Normal 4 2 2 2 3 3" xfId="8233"/>
    <cellStyle name="Normal 4 2 2 2 4" xfId="8234"/>
    <cellStyle name="Normal 4 2 2 2 5" xfId="8235"/>
    <cellStyle name="Normal 4 2 2 3" xfId="8236"/>
    <cellStyle name="Normal 4 2 2 3 2" xfId="8237"/>
    <cellStyle name="Normal 4 2 2 3 3" xfId="8238"/>
    <cellStyle name="Normal 4 2 2 4" xfId="8239"/>
    <cellStyle name="Normal 4 2 2 4 2" xfId="8240"/>
    <cellStyle name="Normal 4 2 2 4 3" xfId="8241"/>
    <cellStyle name="Normal 4 2 2 5" xfId="8242"/>
    <cellStyle name="Normal 4 2 2 6" xfId="8243"/>
    <cellStyle name="Normal 4 2 3" xfId="8244"/>
    <cellStyle name="Normal 4 2 3 2" xfId="8245"/>
    <cellStyle name="Normal 4 2 3 2 2" xfId="8246"/>
    <cellStyle name="Normal 4 2 3 2 3" xfId="8247"/>
    <cellStyle name="Normal 4 2 3 3" xfId="8248"/>
    <cellStyle name="Normal 4 2 3 3 2" xfId="8249"/>
    <cellStyle name="Normal 4 2 3 3 3" xfId="8250"/>
    <cellStyle name="Normal 4 2 3 4" xfId="8251"/>
    <cellStyle name="Normal 4 2 3 5" xfId="8252"/>
    <cellStyle name="Normal 4 2 4" xfId="8253"/>
    <cellStyle name="Normal 4 2 4 2" xfId="8254"/>
    <cellStyle name="Normal 4 2 4 3" xfId="8255"/>
    <cellStyle name="Normal 4 2 5" xfId="8256"/>
    <cellStyle name="Normal 4 2 5 2" xfId="8257"/>
    <cellStyle name="Normal 4 2 5 3" xfId="8258"/>
    <cellStyle name="Normal 4 2 6" xfId="8259"/>
    <cellStyle name="Normal 4 2 7" xfId="8260"/>
    <cellStyle name="Normal 4 3" xfId="8261"/>
    <cellStyle name="Normal 4 3 2" xfId="8262"/>
    <cellStyle name="Normal 4 3 2 2" xfId="8263"/>
    <cellStyle name="Normal 4 3 2 3" xfId="8264"/>
    <cellStyle name="Normal 4 3 3" xfId="8265"/>
    <cellStyle name="Normal 4 3 4" xfId="8266"/>
    <cellStyle name="Normal 4 3 5" xfId="8267"/>
    <cellStyle name="Normal 4 4" xfId="8268"/>
    <cellStyle name="Normal 4 4 2" xfId="8269"/>
    <cellStyle name="Normal 4 5" xfId="8270"/>
    <cellStyle name="Normal 4 6" xfId="8271"/>
    <cellStyle name="Normal 4_2180" xfId="8272"/>
    <cellStyle name="Normal 40" xfId="193"/>
    <cellStyle name="Normal 40 2" xfId="8273"/>
    <cellStyle name="Normal 40 2 2" xfId="8274"/>
    <cellStyle name="Normal 40 2 2 2" xfId="8275"/>
    <cellStyle name="Normal 40 2 2 2 2" xfId="8276"/>
    <cellStyle name="Normal 40 2 2 2 2 2" xfId="8277"/>
    <cellStyle name="Normal 40 2 2 2 2 3" xfId="8278"/>
    <cellStyle name="Normal 40 2 2 2 3" xfId="8279"/>
    <cellStyle name="Normal 40 2 2 2 3 2" xfId="8280"/>
    <cellStyle name="Normal 40 2 2 2 3 3" xfId="8281"/>
    <cellStyle name="Normal 40 2 2 2 4" xfId="8282"/>
    <cellStyle name="Normal 40 2 2 2 5" xfId="8283"/>
    <cellStyle name="Normal 40 2 2 3" xfId="8284"/>
    <cellStyle name="Normal 40 2 2 3 2" xfId="8285"/>
    <cellStyle name="Normal 40 2 2 3 3" xfId="8286"/>
    <cellStyle name="Normal 40 2 2 4" xfId="8287"/>
    <cellStyle name="Normal 40 2 2 4 2" xfId="8288"/>
    <cellStyle name="Normal 40 2 2 4 3" xfId="8289"/>
    <cellStyle name="Normal 40 2 2 5" xfId="8290"/>
    <cellStyle name="Normal 40 2 2 6" xfId="8291"/>
    <cellStyle name="Normal 40 2 3" xfId="8292"/>
    <cellStyle name="Normal 40 2 3 2" xfId="8293"/>
    <cellStyle name="Normal 40 2 3 2 2" xfId="8294"/>
    <cellStyle name="Normal 40 2 3 2 3" xfId="8295"/>
    <cellStyle name="Normal 40 2 3 3" xfId="8296"/>
    <cellStyle name="Normal 40 2 3 3 2" xfId="8297"/>
    <cellStyle name="Normal 40 2 3 3 3" xfId="8298"/>
    <cellStyle name="Normal 40 2 3 4" xfId="8299"/>
    <cellStyle name="Normal 40 2 3 5" xfId="8300"/>
    <cellStyle name="Normal 40 2 4" xfId="8301"/>
    <cellStyle name="Normal 40 2 4 2" xfId="8302"/>
    <cellStyle name="Normal 40 2 4 3" xfId="8303"/>
    <cellStyle name="Normal 40 2 5" xfId="8304"/>
    <cellStyle name="Normal 40 2 5 2" xfId="8305"/>
    <cellStyle name="Normal 40 2 5 3" xfId="8306"/>
    <cellStyle name="Normal 40 2 6" xfId="8307"/>
    <cellStyle name="Normal 40 2 7" xfId="8308"/>
    <cellStyle name="Normal 40 3" xfId="8309"/>
    <cellStyle name="Normal 40 3 2" xfId="8310"/>
    <cellStyle name="Normal 40 3 2 2" xfId="8311"/>
    <cellStyle name="Normal 40 3 2 2 2" xfId="8312"/>
    <cellStyle name="Normal 40 3 2 2 3" xfId="8313"/>
    <cellStyle name="Normal 40 3 2 3" xfId="8314"/>
    <cellStyle name="Normal 40 3 2 3 2" xfId="8315"/>
    <cellStyle name="Normal 40 3 2 3 3" xfId="8316"/>
    <cellStyle name="Normal 40 3 2 4" xfId="8317"/>
    <cellStyle name="Normal 40 3 2 5" xfId="8318"/>
    <cellStyle name="Normal 40 3 3" xfId="8319"/>
    <cellStyle name="Normal 40 3 3 2" xfId="8320"/>
    <cellStyle name="Normal 40 3 3 3" xfId="8321"/>
    <cellStyle name="Normal 40 3 4" xfId="8322"/>
    <cellStyle name="Normal 40 3 4 2" xfId="8323"/>
    <cellStyle name="Normal 40 3 4 3" xfId="8324"/>
    <cellStyle name="Normal 40 3 5" xfId="8325"/>
    <cellStyle name="Normal 40 3 6" xfId="8326"/>
    <cellStyle name="Normal 40 4" xfId="8327"/>
    <cellStyle name="Normal 40 4 2" xfId="8328"/>
    <cellStyle name="Normal 40 4 2 2" xfId="8329"/>
    <cellStyle name="Normal 40 4 2 3" xfId="8330"/>
    <cellStyle name="Normal 40 4 3" xfId="8331"/>
    <cellStyle name="Normal 40 4 3 2" xfId="8332"/>
    <cellStyle name="Normal 40 4 3 3" xfId="8333"/>
    <cellStyle name="Normal 40 4 4" xfId="8334"/>
    <cellStyle name="Normal 40 4 5" xfId="8335"/>
    <cellStyle name="Normal 40 5" xfId="8336"/>
    <cellStyle name="Normal 40 5 2" xfId="8337"/>
    <cellStyle name="Normal 40 5 3" xfId="8338"/>
    <cellStyle name="Normal 40 6" xfId="8339"/>
    <cellStyle name="Normal 40 6 2" xfId="8340"/>
    <cellStyle name="Normal 40 6 3" xfId="8341"/>
    <cellStyle name="Normal 40 7" xfId="8342"/>
    <cellStyle name="Normal 40 8" xfId="8343"/>
    <cellStyle name="Normal 41" xfId="194"/>
    <cellStyle name="Normal 41 2" xfId="8344"/>
    <cellStyle name="Normal 41 2 2" xfId="8345"/>
    <cellStyle name="Normal 41 2 2 2" xfId="8346"/>
    <cellStyle name="Normal 41 2 2 2 2" xfId="8347"/>
    <cellStyle name="Normal 41 2 2 2 2 2" xfId="8348"/>
    <cellStyle name="Normal 41 2 2 2 2 3" xfId="8349"/>
    <cellStyle name="Normal 41 2 2 2 3" xfId="8350"/>
    <cellStyle name="Normal 41 2 2 2 3 2" xfId="8351"/>
    <cellStyle name="Normal 41 2 2 2 3 3" xfId="8352"/>
    <cellStyle name="Normal 41 2 2 2 4" xfId="8353"/>
    <cellStyle name="Normal 41 2 2 2 5" xfId="8354"/>
    <cellStyle name="Normal 41 2 2 3" xfId="8355"/>
    <cellStyle name="Normal 41 2 2 3 2" xfId="8356"/>
    <cellStyle name="Normal 41 2 2 3 3" xfId="8357"/>
    <cellStyle name="Normal 41 2 2 4" xfId="8358"/>
    <cellStyle name="Normal 41 2 2 4 2" xfId="8359"/>
    <cellStyle name="Normal 41 2 2 4 3" xfId="8360"/>
    <cellStyle name="Normal 41 2 2 5" xfId="8361"/>
    <cellStyle name="Normal 41 2 2 6" xfId="8362"/>
    <cellStyle name="Normal 41 2 3" xfId="8363"/>
    <cellStyle name="Normal 41 2 3 2" xfId="8364"/>
    <cellStyle name="Normal 41 2 3 2 2" xfId="8365"/>
    <cellStyle name="Normal 41 2 3 2 3" xfId="8366"/>
    <cellStyle name="Normal 41 2 3 3" xfId="8367"/>
    <cellStyle name="Normal 41 2 3 3 2" xfId="8368"/>
    <cellStyle name="Normal 41 2 3 3 3" xfId="8369"/>
    <cellStyle name="Normal 41 2 3 4" xfId="8370"/>
    <cellStyle name="Normal 41 2 3 5" xfId="8371"/>
    <cellStyle name="Normal 41 2 4" xfId="8372"/>
    <cellStyle name="Normal 41 2 4 2" xfId="8373"/>
    <cellStyle name="Normal 41 2 4 3" xfId="8374"/>
    <cellStyle name="Normal 41 2 5" xfId="8375"/>
    <cellStyle name="Normal 41 2 5 2" xfId="8376"/>
    <cellStyle name="Normal 41 2 5 3" xfId="8377"/>
    <cellStyle name="Normal 41 2 6" xfId="8378"/>
    <cellStyle name="Normal 41 2 7" xfId="8379"/>
    <cellStyle name="Normal 41 3" xfId="8380"/>
    <cellStyle name="Normal 41 3 2" xfId="8381"/>
    <cellStyle name="Normal 41 3 2 2" xfId="8382"/>
    <cellStyle name="Normal 41 3 2 2 2" xfId="8383"/>
    <cellStyle name="Normal 41 3 2 2 3" xfId="8384"/>
    <cellStyle name="Normal 41 3 2 3" xfId="8385"/>
    <cellStyle name="Normal 41 3 2 3 2" xfId="8386"/>
    <cellStyle name="Normal 41 3 2 3 3" xfId="8387"/>
    <cellStyle name="Normal 41 3 2 4" xfId="8388"/>
    <cellStyle name="Normal 41 3 2 5" xfId="8389"/>
    <cellStyle name="Normal 41 3 3" xfId="8390"/>
    <cellStyle name="Normal 41 3 3 2" xfId="8391"/>
    <cellStyle name="Normal 41 3 3 3" xfId="8392"/>
    <cellStyle name="Normal 41 3 4" xfId="8393"/>
    <cellStyle name="Normal 41 3 4 2" xfId="8394"/>
    <cellStyle name="Normal 41 3 4 3" xfId="8395"/>
    <cellStyle name="Normal 41 3 5" xfId="8396"/>
    <cellStyle name="Normal 41 3 6" xfId="8397"/>
    <cellStyle name="Normal 41 4" xfId="8398"/>
    <cellStyle name="Normal 41 4 2" xfId="8399"/>
    <cellStyle name="Normal 41 4 2 2" xfId="8400"/>
    <cellStyle name="Normal 41 4 2 3" xfId="8401"/>
    <cellStyle name="Normal 41 4 3" xfId="8402"/>
    <cellStyle name="Normal 41 4 3 2" xfId="8403"/>
    <cellStyle name="Normal 41 4 3 3" xfId="8404"/>
    <cellStyle name="Normal 41 4 4" xfId="8405"/>
    <cellStyle name="Normal 41 4 5" xfId="8406"/>
    <cellStyle name="Normal 41 5" xfId="8407"/>
    <cellStyle name="Normal 41 5 2" xfId="8408"/>
    <cellStyle name="Normal 41 5 3" xfId="8409"/>
    <cellStyle name="Normal 41 6" xfId="8410"/>
    <cellStyle name="Normal 41 6 2" xfId="8411"/>
    <cellStyle name="Normal 41 6 3" xfId="8412"/>
    <cellStyle name="Normal 41 7" xfId="8413"/>
    <cellStyle name="Normal 41 8" xfId="8414"/>
    <cellStyle name="Normal 42" xfId="195"/>
    <cellStyle name="Normal 42 2" xfId="8415"/>
    <cellStyle name="Normal 42 3" xfId="8416"/>
    <cellStyle name="Normal 43" xfId="196"/>
    <cellStyle name="Normal 43 2" xfId="8417"/>
    <cellStyle name="Normal 43 2 2" xfId="8418"/>
    <cellStyle name="Normal 43 2 2 2" xfId="8419"/>
    <cellStyle name="Normal 43 2 2 2 2" xfId="8420"/>
    <cellStyle name="Normal 43 2 2 2 2 2" xfId="8421"/>
    <cellStyle name="Normal 43 2 2 2 2 3" xfId="8422"/>
    <cellStyle name="Normal 43 2 2 2 3" xfId="8423"/>
    <cellStyle name="Normal 43 2 2 2 3 2" xfId="8424"/>
    <cellStyle name="Normal 43 2 2 2 3 3" xfId="8425"/>
    <cellStyle name="Normal 43 2 2 2 4" xfId="8426"/>
    <cellStyle name="Normal 43 2 2 2 5" xfId="8427"/>
    <cellStyle name="Normal 43 2 2 3" xfId="8428"/>
    <cellStyle name="Normal 43 2 2 3 2" xfId="8429"/>
    <cellStyle name="Normal 43 2 2 3 3" xfId="8430"/>
    <cellStyle name="Normal 43 2 2 4" xfId="8431"/>
    <cellStyle name="Normal 43 2 2 4 2" xfId="8432"/>
    <cellStyle name="Normal 43 2 2 4 3" xfId="8433"/>
    <cellStyle name="Normal 43 2 2 5" xfId="8434"/>
    <cellStyle name="Normal 43 2 2 6" xfId="8435"/>
    <cellStyle name="Normal 43 2 3" xfId="8436"/>
    <cellStyle name="Normal 43 2 3 2" xfId="8437"/>
    <cellStyle name="Normal 43 2 3 2 2" xfId="8438"/>
    <cellStyle name="Normal 43 2 3 2 3" xfId="8439"/>
    <cellStyle name="Normal 43 2 3 3" xfId="8440"/>
    <cellStyle name="Normal 43 2 3 3 2" xfId="8441"/>
    <cellStyle name="Normal 43 2 3 3 3" xfId="8442"/>
    <cellStyle name="Normal 43 2 3 4" xfId="8443"/>
    <cellStyle name="Normal 43 2 3 5" xfId="8444"/>
    <cellStyle name="Normal 43 2 4" xfId="8445"/>
    <cellStyle name="Normal 43 2 4 2" xfId="8446"/>
    <cellStyle name="Normal 43 2 4 3" xfId="8447"/>
    <cellStyle name="Normal 43 2 5" xfId="8448"/>
    <cellStyle name="Normal 43 2 5 2" xfId="8449"/>
    <cellStyle name="Normal 43 2 5 3" xfId="8450"/>
    <cellStyle name="Normal 43 2 6" xfId="8451"/>
    <cellStyle name="Normal 43 2 7" xfId="8452"/>
    <cellStyle name="Normal 43 3" xfId="8453"/>
    <cellStyle name="Normal 44" xfId="197"/>
    <cellStyle name="Normal 44 2" xfId="8454"/>
    <cellStyle name="Normal 44 2 2" xfId="8455"/>
    <cellStyle name="Normal 44 2 2 2" xfId="8456"/>
    <cellStyle name="Normal 44 2 2 2 2" xfId="8457"/>
    <cellStyle name="Normal 44 2 2 2 2 2" xfId="8458"/>
    <cellStyle name="Normal 44 2 2 2 2 3" xfId="8459"/>
    <cellStyle name="Normal 44 2 2 2 3" xfId="8460"/>
    <cellStyle name="Normal 44 2 2 2 3 2" xfId="8461"/>
    <cellStyle name="Normal 44 2 2 2 3 3" xfId="8462"/>
    <cellStyle name="Normal 44 2 2 2 4" xfId="8463"/>
    <cellStyle name="Normal 44 2 2 2 5" xfId="8464"/>
    <cellStyle name="Normal 44 2 2 3" xfId="8465"/>
    <cellStyle name="Normal 44 2 2 3 2" xfId="8466"/>
    <cellStyle name="Normal 44 2 2 3 3" xfId="8467"/>
    <cellStyle name="Normal 44 2 2 4" xfId="8468"/>
    <cellStyle name="Normal 44 2 2 4 2" xfId="8469"/>
    <cellStyle name="Normal 44 2 2 4 3" xfId="8470"/>
    <cellStyle name="Normal 44 2 2 5" xfId="8471"/>
    <cellStyle name="Normal 44 2 2 6" xfId="8472"/>
    <cellStyle name="Normal 44 2 3" xfId="8473"/>
    <cellStyle name="Normal 44 2 3 2" xfId="8474"/>
    <cellStyle name="Normal 44 2 3 2 2" xfId="8475"/>
    <cellStyle name="Normal 44 2 3 2 3" xfId="8476"/>
    <cellStyle name="Normal 44 2 3 3" xfId="8477"/>
    <cellStyle name="Normal 44 2 3 3 2" xfId="8478"/>
    <cellStyle name="Normal 44 2 3 3 3" xfId="8479"/>
    <cellStyle name="Normal 44 2 3 4" xfId="8480"/>
    <cellStyle name="Normal 44 2 3 5" xfId="8481"/>
    <cellStyle name="Normal 44 2 4" xfId="8482"/>
    <cellStyle name="Normal 44 2 4 2" xfId="8483"/>
    <cellStyle name="Normal 44 2 4 3" xfId="8484"/>
    <cellStyle name="Normal 44 2 5" xfId="8485"/>
    <cellStyle name="Normal 44 2 5 2" xfId="8486"/>
    <cellStyle name="Normal 44 2 5 3" xfId="8487"/>
    <cellStyle name="Normal 44 2 6" xfId="8488"/>
    <cellStyle name="Normal 44 2 7" xfId="8489"/>
    <cellStyle name="Normal 44 3" xfId="8490"/>
    <cellStyle name="Normal 44 3 2" xfId="8491"/>
    <cellStyle name="Normal 44 3 2 2" xfId="8492"/>
    <cellStyle name="Normal 44 3 2 2 2" xfId="8493"/>
    <cellStyle name="Normal 44 3 2 2 3" xfId="8494"/>
    <cellStyle name="Normal 44 3 2 3" xfId="8495"/>
    <cellStyle name="Normal 44 3 2 3 2" xfId="8496"/>
    <cellStyle name="Normal 44 3 2 3 3" xfId="8497"/>
    <cellStyle name="Normal 44 3 2 4" xfId="8498"/>
    <cellStyle name="Normal 44 3 2 5" xfId="8499"/>
    <cellStyle name="Normal 44 3 3" xfId="8500"/>
    <cellStyle name="Normal 44 3 3 2" xfId="8501"/>
    <cellStyle name="Normal 44 3 3 3" xfId="8502"/>
    <cellStyle name="Normal 44 3 4" xfId="8503"/>
    <cellStyle name="Normal 44 3 4 2" xfId="8504"/>
    <cellStyle name="Normal 44 3 4 3" xfId="8505"/>
    <cellStyle name="Normal 44 3 5" xfId="8506"/>
    <cellStyle name="Normal 44 3 6" xfId="8507"/>
    <cellStyle name="Normal 44 4" xfId="8508"/>
    <cellStyle name="Normal 44 4 2" xfId="8509"/>
    <cellStyle name="Normal 44 4 2 2" xfId="8510"/>
    <cellStyle name="Normal 44 4 2 3" xfId="8511"/>
    <cellStyle name="Normal 44 4 3" xfId="8512"/>
    <cellStyle name="Normal 44 4 3 2" xfId="8513"/>
    <cellStyle name="Normal 44 4 3 3" xfId="8514"/>
    <cellStyle name="Normal 44 4 4" xfId="8515"/>
    <cellStyle name="Normal 44 4 5" xfId="8516"/>
    <cellStyle name="Normal 44 5" xfId="8517"/>
    <cellStyle name="Normal 44 5 2" xfId="8518"/>
    <cellStyle name="Normal 44 5 3" xfId="8519"/>
    <cellStyle name="Normal 44 6" xfId="8520"/>
    <cellStyle name="Normal 44 6 2" xfId="8521"/>
    <cellStyle name="Normal 44 6 3" xfId="8522"/>
    <cellStyle name="Normal 44 7" xfId="8523"/>
    <cellStyle name="Normal 44 8" xfId="8524"/>
    <cellStyle name="Normal 45" xfId="198"/>
    <cellStyle name="Normal 45 2" xfId="8525"/>
    <cellStyle name="Normal 45 2 2" xfId="8526"/>
    <cellStyle name="Normal 45 2 2 2" xfId="8527"/>
    <cellStyle name="Normal 45 2 2 2 2" xfId="8528"/>
    <cellStyle name="Normal 45 2 2 2 2 2" xfId="8529"/>
    <cellStyle name="Normal 45 2 2 2 2 3" xfId="8530"/>
    <cellStyle name="Normal 45 2 2 2 3" xfId="8531"/>
    <cellStyle name="Normal 45 2 2 2 3 2" xfId="8532"/>
    <cellStyle name="Normal 45 2 2 2 3 3" xfId="8533"/>
    <cellStyle name="Normal 45 2 2 2 4" xfId="8534"/>
    <cellStyle name="Normal 45 2 2 2 5" xfId="8535"/>
    <cellStyle name="Normal 45 2 2 3" xfId="8536"/>
    <cellStyle name="Normal 45 2 2 3 2" xfId="8537"/>
    <cellStyle name="Normal 45 2 2 3 3" xfId="8538"/>
    <cellStyle name="Normal 45 2 2 4" xfId="8539"/>
    <cellStyle name="Normal 45 2 2 4 2" xfId="8540"/>
    <cellStyle name="Normal 45 2 2 4 3" xfId="8541"/>
    <cellStyle name="Normal 45 2 2 5" xfId="8542"/>
    <cellStyle name="Normal 45 2 2 6" xfId="8543"/>
    <cellStyle name="Normal 45 2 3" xfId="8544"/>
    <cellStyle name="Normal 45 2 3 2" xfId="8545"/>
    <cellStyle name="Normal 45 2 3 2 2" xfId="8546"/>
    <cellStyle name="Normal 45 2 3 2 3" xfId="8547"/>
    <cellStyle name="Normal 45 2 3 3" xfId="8548"/>
    <cellStyle name="Normal 45 2 3 3 2" xfId="8549"/>
    <cellStyle name="Normal 45 2 3 3 3" xfId="8550"/>
    <cellStyle name="Normal 45 2 3 4" xfId="8551"/>
    <cellStyle name="Normal 45 2 3 5" xfId="8552"/>
    <cellStyle name="Normal 45 2 4" xfId="8553"/>
    <cellStyle name="Normal 45 2 4 2" xfId="8554"/>
    <cellStyle name="Normal 45 2 4 3" xfId="8555"/>
    <cellStyle name="Normal 45 2 5" xfId="8556"/>
    <cellStyle name="Normal 45 2 5 2" xfId="8557"/>
    <cellStyle name="Normal 45 2 5 3" xfId="8558"/>
    <cellStyle name="Normal 45 2 6" xfId="8559"/>
    <cellStyle name="Normal 45 2 7" xfId="8560"/>
    <cellStyle name="Normal 45 3" xfId="8561"/>
    <cellStyle name="Normal 46" xfId="199"/>
    <cellStyle name="Normal 46 2" xfId="8562"/>
    <cellStyle name="Normal 46 2 2" xfId="8563"/>
    <cellStyle name="Normal 46 2 2 2" xfId="8564"/>
    <cellStyle name="Normal 46 2 2 2 2" xfId="8565"/>
    <cellStyle name="Normal 46 2 2 2 2 2" xfId="8566"/>
    <cellStyle name="Normal 46 2 2 2 2 3" xfId="8567"/>
    <cellStyle name="Normal 46 2 2 2 3" xfId="8568"/>
    <cellStyle name="Normal 46 2 2 2 3 2" xfId="8569"/>
    <cellStyle name="Normal 46 2 2 2 3 3" xfId="8570"/>
    <cellStyle name="Normal 46 2 2 2 4" xfId="8571"/>
    <cellStyle name="Normal 46 2 2 2 5" xfId="8572"/>
    <cellStyle name="Normal 46 2 2 3" xfId="8573"/>
    <cellStyle name="Normal 46 2 2 3 2" xfId="8574"/>
    <cellStyle name="Normal 46 2 2 3 3" xfId="8575"/>
    <cellStyle name="Normal 46 2 2 4" xfId="8576"/>
    <cellStyle name="Normal 46 2 2 4 2" xfId="8577"/>
    <cellStyle name="Normal 46 2 2 4 3" xfId="8578"/>
    <cellStyle name="Normal 46 2 2 5" xfId="8579"/>
    <cellStyle name="Normal 46 2 2 6" xfId="8580"/>
    <cellStyle name="Normal 46 2 3" xfId="8581"/>
    <cellStyle name="Normal 46 2 3 2" xfId="8582"/>
    <cellStyle name="Normal 46 2 3 2 2" xfId="8583"/>
    <cellStyle name="Normal 46 2 3 2 3" xfId="8584"/>
    <cellStyle name="Normal 46 2 3 3" xfId="8585"/>
    <cellStyle name="Normal 46 2 3 3 2" xfId="8586"/>
    <cellStyle name="Normal 46 2 3 3 3" xfId="8587"/>
    <cellStyle name="Normal 46 2 3 4" xfId="8588"/>
    <cellStyle name="Normal 46 2 3 5" xfId="8589"/>
    <cellStyle name="Normal 46 2 4" xfId="8590"/>
    <cellStyle name="Normal 46 2 4 2" xfId="8591"/>
    <cellStyle name="Normal 46 2 4 3" xfId="8592"/>
    <cellStyle name="Normal 46 2 5" xfId="8593"/>
    <cellStyle name="Normal 46 2 5 2" xfId="8594"/>
    <cellStyle name="Normal 46 2 5 3" xfId="8595"/>
    <cellStyle name="Normal 46 2 6" xfId="8596"/>
    <cellStyle name="Normal 46 2 7" xfId="8597"/>
    <cellStyle name="Normal 46 3" xfId="8598"/>
    <cellStyle name="Normal 47" xfId="200"/>
    <cellStyle name="Normal 47 2" xfId="8599"/>
    <cellStyle name="Normal 47 2 2" xfId="8600"/>
    <cellStyle name="Normal 47 2 2 2" xfId="8601"/>
    <cellStyle name="Normal 47 2 2 2 2" xfId="8602"/>
    <cellStyle name="Normal 47 2 2 2 2 2" xfId="8603"/>
    <cellStyle name="Normal 47 2 2 2 2 3" xfId="8604"/>
    <cellStyle name="Normal 47 2 2 2 3" xfId="8605"/>
    <cellStyle name="Normal 47 2 2 2 3 2" xfId="8606"/>
    <cellStyle name="Normal 47 2 2 2 3 3" xfId="8607"/>
    <cellStyle name="Normal 47 2 2 2 4" xfId="8608"/>
    <cellStyle name="Normal 47 2 2 2 5" xfId="8609"/>
    <cellStyle name="Normal 47 2 2 3" xfId="8610"/>
    <cellStyle name="Normal 47 2 2 3 2" xfId="8611"/>
    <cellStyle name="Normal 47 2 2 3 3" xfId="8612"/>
    <cellStyle name="Normal 47 2 2 4" xfId="8613"/>
    <cellStyle name="Normal 47 2 2 4 2" xfId="8614"/>
    <cellStyle name="Normal 47 2 2 4 3" xfId="8615"/>
    <cellStyle name="Normal 47 2 2 5" xfId="8616"/>
    <cellStyle name="Normal 47 2 2 6" xfId="8617"/>
    <cellStyle name="Normal 47 2 3" xfId="8618"/>
    <cellStyle name="Normal 47 2 3 2" xfId="8619"/>
    <cellStyle name="Normal 47 2 3 2 2" xfId="8620"/>
    <cellStyle name="Normal 47 2 3 2 3" xfId="8621"/>
    <cellStyle name="Normal 47 2 3 3" xfId="8622"/>
    <cellStyle name="Normal 47 2 3 3 2" xfId="8623"/>
    <cellStyle name="Normal 47 2 3 3 3" xfId="8624"/>
    <cellStyle name="Normal 47 2 3 4" xfId="8625"/>
    <cellStyle name="Normal 47 2 3 5" xfId="8626"/>
    <cellStyle name="Normal 47 2 4" xfId="8627"/>
    <cellStyle name="Normal 47 2 4 2" xfId="8628"/>
    <cellStyle name="Normal 47 2 4 3" xfId="8629"/>
    <cellStyle name="Normal 47 2 5" xfId="8630"/>
    <cellStyle name="Normal 47 2 5 2" xfId="8631"/>
    <cellStyle name="Normal 47 2 5 3" xfId="8632"/>
    <cellStyle name="Normal 47 2 6" xfId="8633"/>
    <cellStyle name="Normal 47 2 7" xfId="8634"/>
    <cellStyle name="Normal 47 3" xfId="8635"/>
    <cellStyle name="Normal 48" xfId="201"/>
    <cellStyle name="Normal 48 2" xfId="8636"/>
    <cellStyle name="Normal 48 2 2" xfId="8637"/>
    <cellStyle name="Normal 48 2 2 2" xfId="8638"/>
    <cellStyle name="Normal 48 2 2 2 2" xfId="8639"/>
    <cellStyle name="Normal 48 2 2 2 2 2" xfId="8640"/>
    <cellStyle name="Normal 48 2 2 2 2 3" xfId="8641"/>
    <cellStyle name="Normal 48 2 2 2 3" xfId="8642"/>
    <cellStyle name="Normal 48 2 2 2 3 2" xfId="8643"/>
    <cellStyle name="Normal 48 2 2 2 3 3" xfId="8644"/>
    <cellStyle name="Normal 48 2 2 2 4" xfId="8645"/>
    <cellStyle name="Normal 48 2 2 2 5" xfId="8646"/>
    <cellStyle name="Normal 48 2 2 3" xfId="8647"/>
    <cellStyle name="Normal 48 2 2 3 2" xfId="8648"/>
    <cellStyle name="Normal 48 2 2 3 3" xfId="8649"/>
    <cellStyle name="Normal 48 2 2 4" xfId="8650"/>
    <cellStyle name="Normal 48 2 2 4 2" xfId="8651"/>
    <cellStyle name="Normal 48 2 2 4 3" xfId="8652"/>
    <cellStyle name="Normal 48 2 2 5" xfId="8653"/>
    <cellStyle name="Normal 48 2 2 6" xfId="8654"/>
    <cellStyle name="Normal 48 2 3" xfId="8655"/>
    <cellStyle name="Normal 48 2 3 2" xfId="8656"/>
    <cellStyle name="Normal 48 2 3 2 2" xfId="8657"/>
    <cellStyle name="Normal 48 2 3 2 3" xfId="8658"/>
    <cellStyle name="Normal 48 2 3 3" xfId="8659"/>
    <cellStyle name="Normal 48 2 3 3 2" xfId="8660"/>
    <cellStyle name="Normal 48 2 3 3 3" xfId="8661"/>
    <cellStyle name="Normal 48 2 3 4" xfId="8662"/>
    <cellStyle name="Normal 48 2 3 5" xfId="8663"/>
    <cellStyle name="Normal 48 2 4" xfId="8664"/>
    <cellStyle name="Normal 48 2 4 2" xfId="8665"/>
    <cellStyle name="Normal 48 2 4 3" xfId="8666"/>
    <cellStyle name="Normal 48 2 5" xfId="8667"/>
    <cellStyle name="Normal 48 2 5 2" xfId="8668"/>
    <cellStyle name="Normal 48 2 5 3" xfId="8669"/>
    <cellStyle name="Normal 48 2 6" xfId="8670"/>
    <cellStyle name="Normal 48 2 7" xfId="8671"/>
    <cellStyle name="Normal 48 3" xfId="8672"/>
    <cellStyle name="Normal 48 3 2" xfId="8673"/>
    <cellStyle name="Normal 48 3 2 2" xfId="8674"/>
    <cellStyle name="Normal 48 3 2 2 2" xfId="8675"/>
    <cellStyle name="Normal 48 3 2 2 3" xfId="8676"/>
    <cellStyle name="Normal 48 3 2 3" xfId="8677"/>
    <cellStyle name="Normal 48 3 2 3 2" xfId="8678"/>
    <cellStyle name="Normal 48 3 2 3 3" xfId="8679"/>
    <cellStyle name="Normal 48 3 2 4" xfId="8680"/>
    <cellStyle name="Normal 48 3 2 5" xfId="8681"/>
    <cellStyle name="Normal 48 3 3" xfId="8682"/>
    <cellStyle name="Normal 48 3 3 2" xfId="8683"/>
    <cellStyle name="Normal 48 3 3 3" xfId="8684"/>
    <cellStyle name="Normal 48 3 4" xfId="8685"/>
    <cellStyle name="Normal 48 3 4 2" xfId="8686"/>
    <cellStyle name="Normal 48 3 4 3" xfId="8687"/>
    <cellStyle name="Normal 48 3 5" xfId="8688"/>
    <cellStyle name="Normal 48 3 6" xfId="8689"/>
    <cellStyle name="Normal 48 4" xfId="8690"/>
    <cellStyle name="Normal 48 4 2" xfId="8691"/>
    <cellStyle name="Normal 48 4 2 2" xfId="8692"/>
    <cellStyle name="Normal 48 4 2 3" xfId="8693"/>
    <cellStyle name="Normal 48 4 3" xfId="8694"/>
    <cellStyle name="Normal 48 4 3 2" xfId="8695"/>
    <cellStyle name="Normal 48 4 3 3" xfId="8696"/>
    <cellStyle name="Normal 48 4 4" xfId="8697"/>
    <cellStyle name="Normal 48 4 5" xfId="8698"/>
    <cellStyle name="Normal 48 5" xfId="8699"/>
    <cellStyle name="Normal 48 5 2" xfId="8700"/>
    <cellStyle name="Normal 48 5 3" xfId="8701"/>
    <cellStyle name="Normal 48 6" xfId="8702"/>
    <cellStyle name="Normal 48 6 2" xfId="8703"/>
    <cellStyle name="Normal 48 6 3" xfId="8704"/>
    <cellStyle name="Normal 48 7" xfId="8705"/>
    <cellStyle name="Normal 48 8" xfId="8706"/>
    <cellStyle name="Normal 49" xfId="202"/>
    <cellStyle name="Normal 49 2" xfId="8707"/>
    <cellStyle name="Normal 49 2 2" xfId="8708"/>
    <cellStyle name="Normal 49 2 2 2" xfId="8709"/>
    <cellStyle name="Normal 49 2 2 2 2" xfId="8710"/>
    <cellStyle name="Normal 49 2 2 2 2 2" xfId="8711"/>
    <cellStyle name="Normal 49 2 2 2 2 3" xfId="8712"/>
    <cellStyle name="Normal 49 2 2 2 3" xfId="8713"/>
    <cellStyle name="Normal 49 2 2 2 3 2" xfId="8714"/>
    <cellStyle name="Normal 49 2 2 2 3 3" xfId="8715"/>
    <cellStyle name="Normal 49 2 2 2 4" xfId="8716"/>
    <cellStyle name="Normal 49 2 2 2 5" xfId="8717"/>
    <cellStyle name="Normal 49 2 2 3" xfId="8718"/>
    <cellStyle name="Normal 49 2 2 3 2" xfId="8719"/>
    <cellStyle name="Normal 49 2 2 3 3" xfId="8720"/>
    <cellStyle name="Normal 49 2 2 4" xfId="8721"/>
    <cellStyle name="Normal 49 2 2 4 2" xfId="8722"/>
    <cellStyle name="Normal 49 2 2 4 3" xfId="8723"/>
    <cellStyle name="Normal 49 2 2 5" xfId="8724"/>
    <cellStyle name="Normal 49 2 2 6" xfId="8725"/>
    <cellStyle name="Normal 49 2 3" xfId="8726"/>
    <cellStyle name="Normal 49 2 3 2" xfId="8727"/>
    <cellStyle name="Normal 49 2 3 2 2" xfId="8728"/>
    <cellStyle name="Normal 49 2 3 2 3" xfId="8729"/>
    <cellStyle name="Normal 49 2 3 3" xfId="8730"/>
    <cellStyle name="Normal 49 2 3 3 2" xfId="8731"/>
    <cellStyle name="Normal 49 2 3 3 3" xfId="8732"/>
    <cellStyle name="Normal 49 2 3 4" xfId="8733"/>
    <cellStyle name="Normal 49 2 3 5" xfId="8734"/>
    <cellStyle name="Normal 49 2 4" xfId="8735"/>
    <cellStyle name="Normal 49 2 4 2" xfId="8736"/>
    <cellStyle name="Normal 49 2 4 3" xfId="8737"/>
    <cellStyle name="Normal 49 2 5" xfId="8738"/>
    <cellStyle name="Normal 49 2 5 2" xfId="8739"/>
    <cellStyle name="Normal 49 2 5 3" xfId="8740"/>
    <cellStyle name="Normal 49 2 6" xfId="8741"/>
    <cellStyle name="Normal 49 2 7" xfId="8742"/>
    <cellStyle name="Normal 49 3" xfId="8743"/>
    <cellStyle name="Normal 49 3 2" xfId="8744"/>
    <cellStyle name="Normal 49 3 2 2" xfId="8745"/>
    <cellStyle name="Normal 49 3 2 2 2" xfId="8746"/>
    <cellStyle name="Normal 49 3 2 2 3" xfId="8747"/>
    <cellStyle name="Normal 49 3 2 3" xfId="8748"/>
    <cellStyle name="Normal 49 3 2 3 2" xfId="8749"/>
    <cellStyle name="Normal 49 3 2 3 3" xfId="8750"/>
    <cellStyle name="Normal 49 3 2 4" xfId="8751"/>
    <cellStyle name="Normal 49 3 2 5" xfId="8752"/>
    <cellStyle name="Normal 49 3 3" xfId="8753"/>
    <cellStyle name="Normal 49 3 3 2" xfId="8754"/>
    <cellStyle name="Normal 49 3 3 3" xfId="8755"/>
    <cellStyle name="Normal 49 3 4" xfId="8756"/>
    <cellStyle name="Normal 49 3 4 2" xfId="8757"/>
    <cellStyle name="Normal 49 3 4 3" xfId="8758"/>
    <cellStyle name="Normal 49 3 5" xfId="8759"/>
    <cellStyle name="Normal 49 3 6" xfId="8760"/>
    <cellStyle name="Normal 49 4" xfId="8761"/>
    <cellStyle name="Normal 49 4 2" xfId="8762"/>
    <cellStyle name="Normal 49 4 2 2" xfId="8763"/>
    <cellStyle name="Normal 49 4 2 3" xfId="8764"/>
    <cellStyle name="Normal 49 4 3" xfId="8765"/>
    <cellStyle name="Normal 49 4 3 2" xfId="8766"/>
    <cellStyle name="Normal 49 4 3 3" xfId="8767"/>
    <cellStyle name="Normal 49 4 4" xfId="8768"/>
    <cellStyle name="Normal 49 4 5" xfId="8769"/>
    <cellStyle name="Normal 49 5" xfId="8770"/>
    <cellStyle name="Normal 49 5 2" xfId="8771"/>
    <cellStyle name="Normal 49 5 3" xfId="8772"/>
    <cellStyle name="Normal 49 6" xfId="8773"/>
    <cellStyle name="Normal 49 6 2" xfId="8774"/>
    <cellStyle name="Normal 49 6 3" xfId="8775"/>
    <cellStyle name="Normal 49 7" xfId="8776"/>
    <cellStyle name="Normal 49 8" xfId="8777"/>
    <cellStyle name="Normal 5" xfId="22"/>
    <cellStyle name="Normal 5 10" xfId="8778"/>
    <cellStyle name="Normal 5 11" xfId="8779"/>
    <cellStyle name="Normal 5 2" xfId="203"/>
    <cellStyle name="Normal 5 2 10" xfId="8780"/>
    <cellStyle name="Normal 5 2 11" xfId="8781"/>
    <cellStyle name="Normal 5 2 12" xfId="8782"/>
    <cellStyle name="Normal 5 2 2" xfId="8783"/>
    <cellStyle name="Normal 5 2 2 2" xfId="8784"/>
    <cellStyle name="Normal 5 2 2 2 2" xfId="8785"/>
    <cellStyle name="Normal 5 2 2 2 2 2" xfId="8786"/>
    <cellStyle name="Normal 5 2 2 2 2 2 2" xfId="8787"/>
    <cellStyle name="Normal 5 2 2 2 2 2 2 2" xfId="8788"/>
    <cellStyle name="Normal 5 2 2 2 2 2 2 3" xfId="8789"/>
    <cellStyle name="Normal 5 2 2 2 2 2 3" xfId="8790"/>
    <cellStyle name="Normal 5 2 2 2 2 2 3 2" xfId="8791"/>
    <cellStyle name="Normal 5 2 2 2 2 2 3 3" xfId="8792"/>
    <cellStyle name="Normal 5 2 2 2 2 2 4" xfId="8793"/>
    <cellStyle name="Normal 5 2 2 2 2 2 5" xfId="8794"/>
    <cellStyle name="Normal 5 2 2 2 2 3" xfId="8795"/>
    <cellStyle name="Normal 5 2 2 2 2 3 2" xfId="8796"/>
    <cellStyle name="Normal 5 2 2 2 2 3 3" xfId="8797"/>
    <cellStyle name="Normal 5 2 2 2 2 4" xfId="8798"/>
    <cellStyle name="Normal 5 2 2 2 2 4 2" xfId="8799"/>
    <cellStyle name="Normal 5 2 2 2 2 4 3" xfId="8800"/>
    <cellStyle name="Normal 5 2 2 2 2 5" xfId="8801"/>
    <cellStyle name="Normal 5 2 2 2 2 6" xfId="8802"/>
    <cellStyle name="Normal 5 2 2 2 3" xfId="8803"/>
    <cellStyle name="Normal 5 2 2 2 3 2" xfId="8804"/>
    <cellStyle name="Normal 5 2 2 2 3 2 2" xfId="8805"/>
    <cellStyle name="Normal 5 2 2 2 3 2 3" xfId="8806"/>
    <cellStyle name="Normal 5 2 2 2 3 3" xfId="8807"/>
    <cellStyle name="Normal 5 2 2 2 3 3 2" xfId="8808"/>
    <cellStyle name="Normal 5 2 2 2 3 3 3" xfId="8809"/>
    <cellStyle name="Normal 5 2 2 2 3 4" xfId="8810"/>
    <cellStyle name="Normal 5 2 2 2 3 5" xfId="8811"/>
    <cellStyle name="Normal 5 2 2 2 4" xfId="8812"/>
    <cellStyle name="Normal 5 2 2 2 4 2" xfId="8813"/>
    <cellStyle name="Normal 5 2 2 2 4 3" xfId="8814"/>
    <cellStyle name="Normal 5 2 2 2 5" xfId="8815"/>
    <cellStyle name="Normal 5 2 2 2 5 2" xfId="8816"/>
    <cellStyle name="Normal 5 2 2 2 5 3" xfId="8817"/>
    <cellStyle name="Normal 5 2 2 2 6" xfId="8818"/>
    <cellStyle name="Normal 5 2 2 2 7" xfId="8819"/>
    <cellStyle name="Normal 5 2 2 3" xfId="8820"/>
    <cellStyle name="Normal 5 2 2 3 2" xfId="8821"/>
    <cellStyle name="Normal 5 2 2 3 2 2" xfId="8822"/>
    <cellStyle name="Normal 5 2 2 3 2 2 2" xfId="8823"/>
    <cellStyle name="Normal 5 2 2 3 2 2 3" xfId="8824"/>
    <cellStyle name="Normal 5 2 2 3 2 3" xfId="8825"/>
    <cellStyle name="Normal 5 2 2 3 2 3 2" xfId="8826"/>
    <cellStyle name="Normal 5 2 2 3 2 3 3" xfId="8827"/>
    <cellStyle name="Normal 5 2 2 3 2 4" xfId="8828"/>
    <cellStyle name="Normal 5 2 2 3 2 5" xfId="8829"/>
    <cellStyle name="Normal 5 2 2 3 3" xfId="8830"/>
    <cellStyle name="Normal 5 2 2 3 3 2" xfId="8831"/>
    <cellStyle name="Normal 5 2 2 3 3 3" xfId="8832"/>
    <cellStyle name="Normal 5 2 2 3 4" xfId="8833"/>
    <cellStyle name="Normal 5 2 2 3 4 2" xfId="8834"/>
    <cellStyle name="Normal 5 2 2 3 4 3" xfId="8835"/>
    <cellStyle name="Normal 5 2 2 3 5" xfId="8836"/>
    <cellStyle name="Normal 5 2 2 3 6" xfId="8837"/>
    <cellStyle name="Normal 5 2 2 4" xfId="8838"/>
    <cellStyle name="Normal 5 2 2 4 2" xfId="8839"/>
    <cellStyle name="Normal 5 2 2 4 2 2" xfId="8840"/>
    <cellStyle name="Normal 5 2 2 4 2 3" xfId="8841"/>
    <cellStyle name="Normal 5 2 2 4 3" xfId="8842"/>
    <cellStyle name="Normal 5 2 2 4 3 2" xfId="8843"/>
    <cellStyle name="Normal 5 2 2 4 3 3" xfId="8844"/>
    <cellStyle name="Normal 5 2 2 4 4" xfId="8845"/>
    <cellStyle name="Normal 5 2 2 4 5" xfId="8846"/>
    <cellStyle name="Normal 5 2 2 5" xfId="8847"/>
    <cellStyle name="Normal 5 2 2 5 2" xfId="8848"/>
    <cellStyle name="Normal 5 2 2 5 3" xfId="8849"/>
    <cellStyle name="Normal 5 2 2 6" xfId="8850"/>
    <cellStyle name="Normal 5 2 2 6 2" xfId="8851"/>
    <cellStyle name="Normal 5 2 2 6 3" xfId="8852"/>
    <cellStyle name="Normal 5 2 2 7" xfId="8853"/>
    <cellStyle name="Normal 5 2 2 8" xfId="8854"/>
    <cellStyle name="Normal 5 2 3" xfId="8855"/>
    <cellStyle name="Normal 5 2 3 2" xfId="8856"/>
    <cellStyle name="Normal 5 2 3 2 2" xfId="8857"/>
    <cellStyle name="Normal 5 2 3 2 2 2" xfId="8858"/>
    <cellStyle name="Normal 5 2 3 2 2 2 2" xfId="8859"/>
    <cellStyle name="Normal 5 2 3 2 2 2 3" xfId="8860"/>
    <cellStyle name="Normal 5 2 3 2 2 3" xfId="8861"/>
    <cellStyle name="Normal 5 2 3 2 2 3 2" xfId="8862"/>
    <cellStyle name="Normal 5 2 3 2 2 3 3" xfId="8863"/>
    <cellStyle name="Normal 5 2 3 2 2 4" xfId="8864"/>
    <cellStyle name="Normal 5 2 3 2 2 5" xfId="8865"/>
    <cellStyle name="Normal 5 2 3 2 3" xfId="8866"/>
    <cellStyle name="Normal 5 2 3 2 3 2" xfId="8867"/>
    <cellStyle name="Normal 5 2 3 2 3 3" xfId="8868"/>
    <cellStyle name="Normal 5 2 3 2 4" xfId="8869"/>
    <cellStyle name="Normal 5 2 3 2 4 2" xfId="8870"/>
    <cellStyle name="Normal 5 2 3 2 4 3" xfId="8871"/>
    <cellStyle name="Normal 5 2 3 2 5" xfId="8872"/>
    <cellStyle name="Normal 5 2 3 2 6" xfId="8873"/>
    <cellStyle name="Normal 5 2 3 3" xfId="8874"/>
    <cellStyle name="Normal 5 2 3 3 2" xfId="8875"/>
    <cellStyle name="Normal 5 2 3 3 2 2" xfId="8876"/>
    <cellStyle name="Normal 5 2 3 3 2 3" xfId="8877"/>
    <cellStyle name="Normal 5 2 3 3 3" xfId="8878"/>
    <cellStyle name="Normal 5 2 3 3 3 2" xfId="8879"/>
    <cellStyle name="Normal 5 2 3 3 3 3" xfId="8880"/>
    <cellStyle name="Normal 5 2 3 3 4" xfId="8881"/>
    <cellStyle name="Normal 5 2 3 3 5" xfId="8882"/>
    <cellStyle name="Normal 5 2 3 4" xfId="8883"/>
    <cellStyle name="Normal 5 2 3 4 2" xfId="8884"/>
    <cellStyle name="Normal 5 2 3 4 3" xfId="8885"/>
    <cellStyle name="Normal 5 2 3 5" xfId="8886"/>
    <cellStyle name="Normal 5 2 3 5 2" xfId="8887"/>
    <cellStyle name="Normal 5 2 3 5 3" xfId="8888"/>
    <cellStyle name="Normal 5 2 3 6" xfId="8889"/>
    <cellStyle name="Normal 5 2 3 7" xfId="8890"/>
    <cellStyle name="Normal 5 2 4" xfId="8891"/>
    <cellStyle name="Normal 5 2 4 2" xfId="8892"/>
    <cellStyle name="Normal 5 2 4 2 2" xfId="8893"/>
    <cellStyle name="Normal 5 2 4 2 2 2" xfId="8894"/>
    <cellStyle name="Normal 5 2 4 2 2 3" xfId="8895"/>
    <cellStyle name="Normal 5 2 4 2 3" xfId="8896"/>
    <cellStyle name="Normal 5 2 4 2 3 2" xfId="8897"/>
    <cellStyle name="Normal 5 2 4 2 3 3" xfId="8898"/>
    <cellStyle name="Normal 5 2 4 2 4" xfId="8899"/>
    <cellStyle name="Normal 5 2 4 2 5" xfId="8900"/>
    <cellStyle name="Normal 5 2 4 3" xfId="8901"/>
    <cellStyle name="Normal 5 2 4 3 2" xfId="8902"/>
    <cellStyle name="Normal 5 2 4 3 3" xfId="8903"/>
    <cellStyle name="Normal 5 2 4 4" xfId="8904"/>
    <cellStyle name="Normal 5 2 4 4 2" xfId="8905"/>
    <cellStyle name="Normal 5 2 4 4 3" xfId="8906"/>
    <cellStyle name="Normal 5 2 4 5" xfId="8907"/>
    <cellStyle name="Normal 5 2 4 6" xfId="8908"/>
    <cellStyle name="Normal 5 2 5" xfId="8909"/>
    <cellStyle name="Normal 5 2 5 10" xfId="8910"/>
    <cellStyle name="Normal 5 2 5 10 2" xfId="8911"/>
    <cellStyle name="Normal 5 2 5 10 3" xfId="8912"/>
    <cellStyle name="Normal 5 2 5 11" xfId="8913"/>
    <cellStyle name="Normal 5 2 5 11 2" xfId="8914"/>
    <cellStyle name="Normal 5 2 5 12" xfId="8915"/>
    <cellStyle name="Normal 5 2 5 12 2" xfId="8916"/>
    <cellStyle name="Normal 5 2 5 13" xfId="8917"/>
    <cellStyle name="Normal 5 2 5 14" xfId="8918"/>
    <cellStyle name="Normal 5 2 5 15" xfId="8919"/>
    <cellStyle name="Normal 5 2 5 16" xfId="8920"/>
    <cellStyle name="Normal 5 2 5 17" xfId="8921"/>
    <cellStyle name="Normal 5 2 5 18" xfId="8922"/>
    <cellStyle name="Normal 5 2 5 19" xfId="8923"/>
    <cellStyle name="Normal 5 2 5 19 2" xfId="8924"/>
    <cellStyle name="Normal 5 2 5 19 3" xfId="8925"/>
    <cellStyle name="Normal 5 2 5 19 4" xfId="8926"/>
    <cellStyle name="Normal 5 2 5 19 5" xfId="8927"/>
    <cellStyle name="Normal 5 2 5 19 6" xfId="8928"/>
    <cellStyle name="Normal 5 2 5 19 7" xfId="8929"/>
    <cellStyle name="Normal 5 2 5 2" xfId="8930"/>
    <cellStyle name="Normal 5 2 5 2 2" xfId="8931"/>
    <cellStyle name="Normal 5 2 5 2 2 2" xfId="8932"/>
    <cellStyle name="Normal 5 2 5 2 2 3" xfId="8933"/>
    <cellStyle name="Normal 5 2 5 2 2 4" xfId="8934"/>
    <cellStyle name="Normal 5 2 5 2 2 5" xfId="8935"/>
    <cellStyle name="Normal 5 2 5 2 3" xfId="8936"/>
    <cellStyle name="Normal 5 2 5 2 3 2" xfId="8937"/>
    <cellStyle name="Normal 5 2 5 2 3 3" xfId="8938"/>
    <cellStyle name="Normal 5 2 5 2 4" xfId="8939"/>
    <cellStyle name="Normal 5 2 5 2 4 2" xfId="8940"/>
    <cellStyle name="Normal 5 2 5 2 4 3" xfId="8941"/>
    <cellStyle name="Normal 5 2 5 2 5" xfId="8942"/>
    <cellStyle name="Normal 5 2 5 2 6" xfId="8943"/>
    <cellStyle name="Normal 5 2 5 20" xfId="8944"/>
    <cellStyle name="Normal 5 2 5 21" xfId="8945"/>
    <cellStyle name="Normal 5 2 5 22" xfId="8946"/>
    <cellStyle name="Normal 5 2 5 23" xfId="8947"/>
    <cellStyle name="Normal 5 2 5 24" xfId="8948"/>
    <cellStyle name="Normal 5 2 5 25" xfId="8949"/>
    <cellStyle name="Normal 5 2 5 26" xfId="8950"/>
    <cellStyle name="Normal 5 2 5 27" xfId="8951"/>
    <cellStyle name="Normal 5 2 5 3" xfId="8952"/>
    <cellStyle name="Normal 5 2 5 3 10" xfId="8953"/>
    <cellStyle name="Normal 5 2 5 3 11" xfId="8954"/>
    <cellStyle name="Normal 5 2 5 3 12" xfId="8955"/>
    <cellStyle name="Normal 5 2 5 3 13" xfId="8956"/>
    <cellStyle name="Normal 5 2 5 3 14" xfId="8957"/>
    <cellStyle name="Normal 5 2 5 3 15" xfId="8958"/>
    <cellStyle name="Normal 5 2 5 3 16" xfId="8959"/>
    <cellStyle name="Normal 5 2 5 3 17" xfId="8960"/>
    <cellStyle name="Normal 5 2 5 3 18" xfId="8961"/>
    <cellStyle name="Normal 5 2 5 3 19" xfId="8962"/>
    <cellStyle name="Normal 5 2 5 3 2" xfId="8963"/>
    <cellStyle name="Normal 5 2 5 3 2 2" xfId="8964"/>
    <cellStyle name="Normal 5 2 5 3 2 2 2" xfId="8965"/>
    <cellStyle name="Normal 5 2 5 3 2 2 3" xfId="8966"/>
    <cellStyle name="Normal 5 2 5 3 2 3" xfId="8967"/>
    <cellStyle name="Normal 5 2 5 3 2 3 2" xfId="8968"/>
    <cellStyle name="Normal 5 2 5 3 2 3 3" xfId="8969"/>
    <cellStyle name="Normal 5 2 5 3 2 4" xfId="8970"/>
    <cellStyle name="Normal 5 2 5 3 2 5" xfId="8971"/>
    <cellStyle name="Normal 5 2 5 3 3" xfId="8972"/>
    <cellStyle name="Normal 5 2 5 3 3 2" xfId="8973"/>
    <cellStyle name="Normal 5 2 5 3 3 3" xfId="8974"/>
    <cellStyle name="Normal 5 2 5 3 3 4" xfId="8975"/>
    <cellStyle name="Normal 5 2 5 3 3 5" xfId="8976"/>
    <cellStyle name="Normal 5 2 5 3 4" xfId="8977"/>
    <cellStyle name="Normal 5 2 5 3 4 2" xfId="8978"/>
    <cellStyle name="Normal 5 2 5 3 4 3" xfId="8979"/>
    <cellStyle name="Normal 5 2 5 3 5" xfId="8980"/>
    <cellStyle name="Normal 5 2 5 3 5 2" xfId="8981"/>
    <cellStyle name="Normal 5 2 5 3 5 3" xfId="8982"/>
    <cellStyle name="Normal 5 2 5 3 6" xfId="8983"/>
    <cellStyle name="Normal 5 2 5 3 7" xfId="8984"/>
    <cellStyle name="Normal 5 2 5 3 8" xfId="8985"/>
    <cellStyle name="Normal 5 2 5 3 9" xfId="8986"/>
    <cellStyle name="Normal 5 2 5 4" xfId="8987"/>
    <cellStyle name="Normal 5 2 5 4 2" xfId="8988"/>
    <cellStyle name="Normal 5 2 5 4 2 2" xfId="8989"/>
    <cellStyle name="Normal 5 2 5 4 2 3" xfId="8990"/>
    <cellStyle name="Normal 5 2 5 4 2 4" xfId="8991"/>
    <cellStyle name="Normal 5 2 5 4 2 5" xfId="8992"/>
    <cellStyle name="Normal 5 2 5 4 3" xfId="8993"/>
    <cellStyle name="Normal 5 2 5 4 3 2" xfId="8994"/>
    <cellStyle name="Normal 5 2 5 4 3 3" xfId="8995"/>
    <cellStyle name="Normal 5 2 5 4 4" xfId="8996"/>
    <cellStyle name="Normal 5 2 5 4 4 2" xfId="8997"/>
    <cellStyle name="Normal 5 2 5 4 4 3" xfId="8998"/>
    <cellStyle name="Normal 5 2 5 4 5" xfId="8999"/>
    <cellStyle name="Normal 5 2 5 4 6" xfId="9000"/>
    <cellStyle name="Normal 5 2 5 5" xfId="9001"/>
    <cellStyle name="Normal 5 2 5 5 2" xfId="9002"/>
    <cellStyle name="Normal 5 2 5 5 2 2" xfId="9003"/>
    <cellStyle name="Normal 5 2 5 5 2 3" xfId="9004"/>
    <cellStyle name="Normal 5 2 5 5 2 4" xfId="9005"/>
    <cellStyle name="Normal 5 2 5 5 2 5" xfId="9006"/>
    <cellStyle name="Normal 5 2 5 5 3" xfId="9007"/>
    <cellStyle name="Normal 5 2 5 5 3 2" xfId="9008"/>
    <cellStyle name="Normal 5 2 5 5 3 3" xfId="9009"/>
    <cellStyle name="Normal 5 2 5 5 4" xfId="9010"/>
    <cellStyle name="Normal 5 2 5 5 4 2" xfId="9011"/>
    <cellStyle name="Normal 5 2 5 5 4 3" xfId="9012"/>
    <cellStyle name="Normal 5 2 5 5 5" xfId="9013"/>
    <cellStyle name="Normal 5 2 5 5 6" xfId="9014"/>
    <cellStyle name="Normal 5 2 5 6" xfId="9015"/>
    <cellStyle name="Normal 5 2 5 6 2" xfId="9016"/>
    <cellStyle name="Normal 5 2 5 6 2 2" xfId="9017"/>
    <cellStyle name="Normal 5 2 5 6 2 3" xfId="9018"/>
    <cellStyle name="Normal 5 2 5 6 2 4" xfId="9019"/>
    <cellStyle name="Normal 5 2 5 6 2 5" xfId="9020"/>
    <cellStyle name="Normal 5 2 5 6 3" xfId="9021"/>
    <cellStyle name="Normal 5 2 5 6 3 2" xfId="9022"/>
    <cellStyle name="Normal 5 2 5 6 3 3" xfId="9023"/>
    <cellStyle name="Normal 5 2 5 6 4" xfId="9024"/>
    <cellStyle name="Normal 5 2 5 6 4 2" xfId="9025"/>
    <cellStyle name="Normal 5 2 5 6 4 3" xfId="9026"/>
    <cellStyle name="Normal 5 2 5 6 5" xfId="9027"/>
    <cellStyle name="Normal 5 2 5 6 6" xfId="9028"/>
    <cellStyle name="Normal 5 2 5 7" xfId="9029"/>
    <cellStyle name="Normal 5 2 5 7 2" xfId="9030"/>
    <cellStyle name="Normal 5 2 5 7 2 2" xfId="9031"/>
    <cellStyle name="Normal 5 2 5 7 2 3" xfId="9032"/>
    <cellStyle name="Normal 5 2 5 7 3" xfId="9033"/>
    <cellStyle name="Normal 5 2 5 7 3 2" xfId="9034"/>
    <cellStyle name="Normal 5 2 5 7 3 3" xfId="9035"/>
    <cellStyle name="Normal 5 2 5 7 4" xfId="9036"/>
    <cellStyle name="Normal 5 2 5 7 4 2" xfId="9037"/>
    <cellStyle name="Normal 5 2 5 7 5" xfId="9038"/>
    <cellStyle name="Normal 5 2 5 7 6" xfId="9039"/>
    <cellStyle name="Normal 5 2 5 8" xfId="9040"/>
    <cellStyle name="Normal 5 2 5 8 2" xfId="9041"/>
    <cellStyle name="Normal 5 2 5 8 3" xfId="9042"/>
    <cellStyle name="Normal 5 2 5 8 4" xfId="9043"/>
    <cellStyle name="Normal 5 2 5 8 5" xfId="9044"/>
    <cellStyle name="Normal 5 2 5 9" xfId="9045"/>
    <cellStyle name="Normal 5 2 5 9 2" xfId="9046"/>
    <cellStyle name="Normal 5 2 5 9 3" xfId="9047"/>
    <cellStyle name="Normal 5 2 5_10070" xfId="9048"/>
    <cellStyle name="Normal 5 2 6" xfId="9049"/>
    <cellStyle name="Normal 5 2 6 2" xfId="9050"/>
    <cellStyle name="Normal 5 2 6 2 2" xfId="9051"/>
    <cellStyle name="Normal 5 2 6 2 3" xfId="9052"/>
    <cellStyle name="Normal 5 2 6 3" xfId="9053"/>
    <cellStyle name="Normal 5 2 6 3 2" xfId="9054"/>
    <cellStyle name="Normal 5 2 6 3 3" xfId="9055"/>
    <cellStyle name="Normal 5 2 6 4" xfId="9056"/>
    <cellStyle name="Normal 5 2 6 5" xfId="9057"/>
    <cellStyle name="Normal 5 2 7" xfId="9058"/>
    <cellStyle name="Normal 5 2 7 2" xfId="9059"/>
    <cellStyle name="Normal 5 2 7 3" xfId="9060"/>
    <cellStyle name="Normal 5 2 7 4" xfId="9061"/>
    <cellStyle name="Normal 5 2 7 5" xfId="9062"/>
    <cellStyle name="Normal 5 2 8" xfId="9063"/>
    <cellStyle name="Normal 5 2 9" xfId="9064"/>
    <cellStyle name="Normal 5 3" xfId="9065"/>
    <cellStyle name="Normal 5 3 2" xfId="9066"/>
    <cellStyle name="Normal 5 3 2 2" xfId="9067"/>
    <cellStyle name="Normal 5 3 2 2 2" xfId="9068"/>
    <cellStyle name="Normal 5 3 2 2 2 2" xfId="9069"/>
    <cellStyle name="Normal 5 3 2 2 2 2 2" xfId="9070"/>
    <cellStyle name="Normal 5 3 2 2 2 2 3" xfId="9071"/>
    <cellStyle name="Normal 5 3 2 2 2 3" xfId="9072"/>
    <cellStyle name="Normal 5 3 2 2 2 3 2" xfId="9073"/>
    <cellStyle name="Normal 5 3 2 2 2 3 3" xfId="9074"/>
    <cellStyle name="Normal 5 3 2 2 2 4" xfId="9075"/>
    <cellStyle name="Normal 5 3 2 2 2 5" xfId="9076"/>
    <cellStyle name="Normal 5 3 2 2 3" xfId="9077"/>
    <cellStyle name="Normal 5 3 2 2 3 2" xfId="9078"/>
    <cellStyle name="Normal 5 3 2 2 3 3" xfId="9079"/>
    <cellStyle name="Normal 5 3 2 2 4" xfId="9080"/>
    <cellStyle name="Normal 5 3 2 2 4 2" xfId="9081"/>
    <cellStyle name="Normal 5 3 2 2 4 3" xfId="9082"/>
    <cellStyle name="Normal 5 3 2 2 5" xfId="9083"/>
    <cellStyle name="Normal 5 3 2 2 6" xfId="9084"/>
    <cellStyle name="Normal 5 3 2 3" xfId="9085"/>
    <cellStyle name="Normal 5 3 2 3 2" xfId="9086"/>
    <cellStyle name="Normal 5 3 2 3 2 2" xfId="9087"/>
    <cellStyle name="Normal 5 3 2 3 2 3" xfId="9088"/>
    <cellStyle name="Normal 5 3 2 3 3" xfId="9089"/>
    <cellStyle name="Normal 5 3 2 3 3 2" xfId="9090"/>
    <cellStyle name="Normal 5 3 2 3 3 3" xfId="9091"/>
    <cellStyle name="Normal 5 3 2 3 4" xfId="9092"/>
    <cellStyle name="Normal 5 3 2 3 5" xfId="9093"/>
    <cellStyle name="Normal 5 3 2 4" xfId="9094"/>
    <cellStyle name="Normal 5 3 2 4 2" xfId="9095"/>
    <cellStyle name="Normal 5 3 2 4 3" xfId="9096"/>
    <cellStyle name="Normal 5 3 2 5" xfId="9097"/>
    <cellStyle name="Normal 5 3 2 5 2" xfId="9098"/>
    <cellStyle name="Normal 5 3 2 5 3" xfId="9099"/>
    <cellStyle name="Normal 5 3 2 6" xfId="9100"/>
    <cellStyle name="Normal 5 3 2 7" xfId="9101"/>
    <cellStyle name="Normal 5 3 3" xfId="9102"/>
    <cellStyle name="Normal 5 3 3 2" xfId="9103"/>
    <cellStyle name="Normal 5 3 3 2 2" xfId="9104"/>
    <cellStyle name="Normal 5 3 3 2 2 2" xfId="9105"/>
    <cellStyle name="Normal 5 3 3 2 2 3" xfId="9106"/>
    <cellStyle name="Normal 5 3 3 2 3" xfId="9107"/>
    <cellStyle name="Normal 5 3 3 2 3 2" xfId="9108"/>
    <cellStyle name="Normal 5 3 3 2 3 3" xfId="9109"/>
    <cellStyle name="Normal 5 3 3 2 4" xfId="9110"/>
    <cellStyle name="Normal 5 3 3 2 5" xfId="9111"/>
    <cellStyle name="Normal 5 3 3 3" xfId="9112"/>
    <cellStyle name="Normal 5 3 3 3 2" xfId="9113"/>
    <cellStyle name="Normal 5 3 3 3 3" xfId="9114"/>
    <cellStyle name="Normal 5 3 3 4" xfId="9115"/>
    <cellStyle name="Normal 5 3 3 4 2" xfId="9116"/>
    <cellStyle name="Normal 5 3 3 4 3" xfId="9117"/>
    <cellStyle name="Normal 5 3 3 5" xfId="9118"/>
    <cellStyle name="Normal 5 3 3 6" xfId="9119"/>
    <cellStyle name="Normal 5 3 4" xfId="9120"/>
    <cellStyle name="Normal 5 3 4 2" xfId="9121"/>
    <cellStyle name="Normal 5 3 4 2 2" xfId="9122"/>
    <cellStyle name="Normal 5 3 4 2 3" xfId="9123"/>
    <cellStyle name="Normal 5 3 4 3" xfId="9124"/>
    <cellStyle name="Normal 5 3 4 3 2" xfId="9125"/>
    <cellStyle name="Normal 5 3 4 3 3" xfId="9126"/>
    <cellStyle name="Normal 5 3 4 4" xfId="9127"/>
    <cellStyle name="Normal 5 3 4 5" xfId="9128"/>
    <cellStyle name="Normal 5 3 5" xfId="9129"/>
    <cellStyle name="Normal 5 3 5 2" xfId="9130"/>
    <cellStyle name="Normal 5 3 5 3" xfId="9131"/>
    <cellStyle name="Normal 5 3 6" xfId="9132"/>
    <cellStyle name="Normal 5 3 6 2" xfId="9133"/>
    <cellStyle name="Normal 5 3 6 3" xfId="9134"/>
    <cellStyle name="Normal 5 3 7" xfId="9135"/>
    <cellStyle name="Normal 5 3 8" xfId="9136"/>
    <cellStyle name="Normal 5 4" xfId="9137"/>
    <cellStyle name="Normal 5 4 2" xfId="9138"/>
    <cellStyle name="Normal 5 4 2 2" xfId="9139"/>
    <cellStyle name="Normal 5 4 2 2 2" xfId="9140"/>
    <cellStyle name="Normal 5 4 2 2 2 2" xfId="9141"/>
    <cellStyle name="Normal 5 4 2 2 2 2 2" xfId="9142"/>
    <cellStyle name="Normal 5 4 2 2 2 2 3" xfId="9143"/>
    <cellStyle name="Normal 5 4 2 2 2 3" xfId="9144"/>
    <cellStyle name="Normal 5 4 2 2 2 3 2" xfId="9145"/>
    <cellStyle name="Normal 5 4 2 2 2 3 3" xfId="9146"/>
    <cellStyle name="Normal 5 4 2 2 2 4" xfId="9147"/>
    <cellStyle name="Normal 5 4 2 2 2 5" xfId="9148"/>
    <cellStyle name="Normal 5 4 2 2 3" xfId="9149"/>
    <cellStyle name="Normal 5 4 2 2 3 2" xfId="9150"/>
    <cellStyle name="Normal 5 4 2 2 3 3" xfId="9151"/>
    <cellStyle name="Normal 5 4 2 2 4" xfId="9152"/>
    <cellStyle name="Normal 5 4 2 2 4 2" xfId="9153"/>
    <cellStyle name="Normal 5 4 2 2 4 3" xfId="9154"/>
    <cellStyle name="Normal 5 4 2 2 5" xfId="9155"/>
    <cellStyle name="Normal 5 4 2 2 6" xfId="9156"/>
    <cellStyle name="Normal 5 4 2 3" xfId="9157"/>
    <cellStyle name="Normal 5 4 2 3 2" xfId="9158"/>
    <cellStyle name="Normal 5 4 2 3 2 2" xfId="9159"/>
    <cellStyle name="Normal 5 4 2 3 2 3" xfId="9160"/>
    <cellStyle name="Normal 5 4 2 3 3" xfId="9161"/>
    <cellStyle name="Normal 5 4 2 3 3 2" xfId="9162"/>
    <cellStyle name="Normal 5 4 2 3 3 3" xfId="9163"/>
    <cellStyle name="Normal 5 4 2 3 4" xfId="9164"/>
    <cellStyle name="Normal 5 4 2 3 5" xfId="9165"/>
    <cellStyle name="Normal 5 4 2 4" xfId="9166"/>
    <cellStyle name="Normal 5 4 2 4 2" xfId="9167"/>
    <cellStyle name="Normal 5 4 2 4 3" xfId="9168"/>
    <cellStyle name="Normal 5 4 2 5" xfId="9169"/>
    <cellStyle name="Normal 5 4 2 5 2" xfId="9170"/>
    <cellStyle name="Normal 5 4 2 5 3" xfId="9171"/>
    <cellStyle name="Normal 5 4 2 6" xfId="9172"/>
    <cellStyle name="Normal 5 4 2 7" xfId="9173"/>
    <cellStyle name="Normal 5 4 3" xfId="9174"/>
    <cellStyle name="Normal 5 4 3 2" xfId="9175"/>
    <cellStyle name="Normal 5 4 3 2 2" xfId="9176"/>
    <cellStyle name="Normal 5 4 3 2 2 2" xfId="9177"/>
    <cellStyle name="Normal 5 4 3 2 2 3" xfId="9178"/>
    <cellStyle name="Normal 5 4 3 2 3" xfId="9179"/>
    <cellStyle name="Normal 5 4 3 2 3 2" xfId="9180"/>
    <cellStyle name="Normal 5 4 3 2 3 3" xfId="9181"/>
    <cellStyle name="Normal 5 4 3 2 4" xfId="9182"/>
    <cellStyle name="Normal 5 4 3 2 5" xfId="9183"/>
    <cellStyle name="Normal 5 4 3 3" xfId="9184"/>
    <cellStyle name="Normal 5 4 3 3 2" xfId="9185"/>
    <cellStyle name="Normal 5 4 3 3 3" xfId="9186"/>
    <cellStyle name="Normal 5 4 3 4" xfId="9187"/>
    <cellStyle name="Normal 5 4 3 4 2" xfId="9188"/>
    <cellStyle name="Normal 5 4 3 4 3" xfId="9189"/>
    <cellStyle name="Normal 5 4 3 5" xfId="9190"/>
    <cellStyle name="Normal 5 4 3 6" xfId="9191"/>
    <cellStyle name="Normal 5 4 4" xfId="9192"/>
    <cellStyle name="Normal 5 4 4 2" xfId="9193"/>
    <cellStyle name="Normal 5 4 4 2 2" xfId="9194"/>
    <cellStyle name="Normal 5 4 4 2 3" xfId="9195"/>
    <cellStyle name="Normal 5 4 4 3" xfId="9196"/>
    <cellStyle name="Normal 5 4 4 3 2" xfId="9197"/>
    <cellStyle name="Normal 5 4 4 3 3" xfId="9198"/>
    <cellStyle name="Normal 5 4 4 4" xfId="9199"/>
    <cellStyle name="Normal 5 4 4 5" xfId="9200"/>
    <cellStyle name="Normal 5 4 5" xfId="9201"/>
    <cellStyle name="Normal 5 4 5 2" xfId="9202"/>
    <cellStyle name="Normal 5 4 5 3" xfId="9203"/>
    <cellStyle name="Normal 5 4 6" xfId="9204"/>
    <cellStyle name="Normal 5 4 6 2" xfId="9205"/>
    <cellStyle name="Normal 5 4 6 3" xfId="9206"/>
    <cellStyle name="Normal 5 4 7" xfId="9207"/>
    <cellStyle name="Normal 5 4 8" xfId="9208"/>
    <cellStyle name="Normal 5 5" xfId="9209"/>
    <cellStyle name="Normal 5 5 2" xfId="9210"/>
    <cellStyle name="Normal 5 5 2 2" xfId="9211"/>
    <cellStyle name="Normal 5 5 2 2 2" xfId="9212"/>
    <cellStyle name="Normal 5 5 2 2 2 2" xfId="9213"/>
    <cellStyle name="Normal 5 5 2 2 2 3" xfId="9214"/>
    <cellStyle name="Normal 5 5 2 2 3" xfId="9215"/>
    <cellStyle name="Normal 5 5 2 2 3 2" xfId="9216"/>
    <cellStyle name="Normal 5 5 2 2 3 3" xfId="9217"/>
    <cellStyle name="Normal 5 5 2 2 4" xfId="9218"/>
    <cellStyle name="Normal 5 5 2 2 5" xfId="9219"/>
    <cellStyle name="Normal 5 5 2 3" xfId="9220"/>
    <cellStyle name="Normal 5 5 2 3 2" xfId="9221"/>
    <cellStyle name="Normal 5 5 2 3 3" xfId="9222"/>
    <cellStyle name="Normal 5 5 2 4" xfId="9223"/>
    <cellStyle name="Normal 5 5 2 4 2" xfId="9224"/>
    <cellStyle name="Normal 5 5 2 4 3" xfId="9225"/>
    <cellStyle name="Normal 5 5 2 5" xfId="9226"/>
    <cellStyle name="Normal 5 5 2 6" xfId="9227"/>
    <cellStyle name="Normal 5 5 3" xfId="9228"/>
    <cellStyle name="Normal 5 5 3 2" xfId="9229"/>
    <cellStyle name="Normal 5 5 3 2 2" xfId="9230"/>
    <cellStyle name="Normal 5 5 3 2 3" xfId="9231"/>
    <cellStyle name="Normal 5 5 3 3" xfId="9232"/>
    <cellStyle name="Normal 5 5 3 3 2" xfId="9233"/>
    <cellStyle name="Normal 5 5 3 3 3" xfId="9234"/>
    <cellStyle name="Normal 5 5 3 4" xfId="9235"/>
    <cellStyle name="Normal 5 5 3 5" xfId="9236"/>
    <cellStyle name="Normal 5 5 4" xfId="9237"/>
    <cellStyle name="Normal 5 5 4 2" xfId="9238"/>
    <cellStyle name="Normal 5 5 4 3" xfId="9239"/>
    <cellStyle name="Normal 5 5 5" xfId="9240"/>
    <cellStyle name="Normal 5 5 5 2" xfId="9241"/>
    <cellStyle name="Normal 5 5 5 3" xfId="9242"/>
    <cellStyle name="Normal 5 5 6" xfId="9243"/>
    <cellStyle name="Normal 5 5 7" xfId="9244"/>
    <cellStyle name="Normal 5 6" xfId="9245"/>
    <cellStyle name="Normal 5 6 2" xfId="9246"/>
    <cellStyle name="Normal 5 6 2 2" xfId="9247"/>
    <cellStyle name="Normal 5 6 2 2 2" xfId="9248"/>
    <cellStyle name="Normal 5 6 2 2 3" xfId="9249"/>
    <cellStyle name="Normal 5 6 2 3" xfId="9250"/>
    <cellStyle name="Normal 5 6 2 3 2" xfId="9251"/>
    <cellStyle name="Normal 5 6 2 3 3" xfId="9252"/>
    <cellStyle name="Normal 5 6 2 4" xfId="9253"/>
    <cellStyle name="Normal 5 6 2 5" xfId="9254"/>
    <cellStyle name="Normal 5 6 3" xfId="9255"/>
    <cellStyle name="Normal 5 6 3 2" xfId="9256"/>
    <cellStyle name="Normal 5 6 3 3" xfId="9257"/>
    <cellStyle name="Normal 5 6 4" xfId="9258"/>
    <cellStyle name="Normal 5 6 4 2" xfId="9259"/>
    <cellStyle name="Normal 5 6 4 3" xfId="9260"/>
    <cellStyle name="Normal 5 6 5" xfId="9261"/>
    <cellStyle name="Normal 5 6 6" xfId="9262"/>
    <cellStyle name="Normal 5 7" xfId="9263"/>
    <cellStyle name="Normal 5 7 2" xfId="9264"/>
    <cellStyle name="Normal 5 7 2 2" xfId="9265"/>
    <cellStyle name="Normal 5 7 2 3" xfId="9266"/>
    <cellStyle name="Normal 5 7 3" xfId="9267"/>
    <cellStyle name="Normal 5 7 3 2" xfId="9268"/>
    <cellStyle name="Normal 5 7 3 3" xfId="9269"/>
    <cellStyle name="Normal 5 7 4" xfId="9270"/>
    <cellStyle name="Normal 5 7 5" xfId="9271"/>
    <cellStyle name="Normal 5 8" xfId="9272"/>
    <cellStyle name="Normal 5 8 2" xfId="9273"/>
    <cellStyle name="Normal 5 8 3" xfId="9274"/>
    <cellStyle name="Normal 5 9" xfId="9275"/>
    <cellStyle name="Normal 5 9 2" xfId="9276"/>
    <cellStyle name="Normal 5 9 3" xfId="9277"/>
    <cellStyle name="Normal 5_10051" xfId="9278"/>
    <cellStyle name="Normal 50" xfId="204"/>
    <cellStyle name="Normal 50 2" xfId="9279"/>
    <cellStyle name="Normal 50 2 2" xfId="9280"/>
    <cellStyle name="Normal 50 2 2 2" xfId="9281"/>
    <cellStyle name="Normal 50 2 2 2 2" xfId="9282"/>
    <cellStyle name="Normal 50 2 2 2 2 2" xfId="9283"/>
    <cellStyle name="Normal 50 2 2 2 2 3" xfId="9284"/>
    <cellStyle name="Normal 50 2 2 2 3" xfId="9285"/>
    <cellStyle name="Normal 50 2 2 2 3 2" xfId="9286"/>
    <cellStyle name="Normal 50 2 2 2 3 3" xfId="9287"/>
    <cellStyle name="Normal 50 2 2 2 4" xfId="9288"/>
    <cellStyle name="Normal 50 2 2 2 5" xfId="9289"/>
    <cellStyle name="Normal 50 2 2 3" xfId="9290"/>
    <cellStyle name="Normal 50 2 2 3 2" xfId="9291"/>
    <cellStyle name="Normal 50 2 2 3 3" xfId="9292"/>
    <cellStyle name="Normal 50 2 2 4" xfId="9293"/>
    <cellStyle name="Normal 50 2 2 4 2" xfId="9294"/>
    <cellStyle name="Normal 50 2 2 4 3" xfId="9295"/>
    <cellStyle name="Normal 50 2 2 5" xfId="9296"/>
    <cellStyle name="Normal 50 2 2 6" xfId="9297"/>
    <cellStyle name="Normal 50 2 3" xfId="9298"/>
    <cellStyle name="Normal 50 2 3 2" xfId="9299"/>
    <cellStyle name="Normal 50 2 3 2 2" xfId="9300"/>
    <cellStyle name="Normal 50 2 3 2 3" xfId="9301"/>
    <cellStyle name="Normal 50 2 3 3" xfId="9302"/>
    <cellStyle name="Normal 50 2 3 3 2" xfId="9303"/>
    <cellStyle name="Normal 50 2 3 3 3" xfId="9304"/>
    <cellStyle name="Normal 50 2 3 4" xfId="9305"/>
    <cellStyle name="Normal 50 2 3 5" xfId="9306"/>
    <cellStyle name="Normal 50 2 4" xfId="9307"/>
    <cellStyle name="Normal 50 2 4 2" xfId="9308"/>
    <cellStyle name="Normal 50 2 4 3" xfId="9309"/>
    <cellStyle name="Normal 50 2 5" xfId="9310"/>
    <cellStyle name="Normal 50 2 5 2" xfId="9311"/>
    <cellStyle name="Normal 50 2 5 3" xfId="9312"/>
    <cellStyle name="Normal 50 2 6" xfId="9313"/>
    <cellStyle name="Normal 50 2 7" xfId="9314"/>
    <cellStyle name="Normal 50 3" xfId="9315"/>
    <cellStyle name="Normal 50 3 2" xfId="9316"/>
    <cellStyle name="Normal 50 3 2 2" xfId="9317"/>
    <cellStyle name="Normal 50 3 2 2 2" xfId="9318"/>
    <cellStyle name="Normal 50 3 2 2 3" xfId="9319"/>
    <cellStyle name="Normal 50 3 2 3" xfId="9320"/>
    <cellStyle name="Normal 50 3 2 3 2" xfId="9321"/>
    <cellStyle name="Normal 50 3 2 3 3" xfId="9322"/>
    <cellStyle name="Normal 50 3 2 4" xfId="9323"/>
    <cellStyle name="Normal 50 3 2 5" xfId="9324"/>
    <cellStyle name="Normal 50 3 3" xfId="9325"/>
    <cellStyle name="Normal 50 3 3 2" xfId="9326"/>
    <cellStyle name="Normal 50 3 3 3" xfId="9327"/>
    <cellStyle name="Normal 50 3 4" xfId="9328"/>
    <cellStyle name="Normal 50 3 4 2" xfId="9329"/>
    <cellStyle name="Normal 50 3 4 3" xfId="9330"/>
    <cellStyle name="Normal 50 3 5" xfId="9331"/>
    <cellStyle name="Normal 50 3 6" xfId="9332"/>
    <cellStyle name="Normal 50 4" xfId="9333"/>
    <cellStyle name="Normal 50 4 2" xfId="9334"/>
    <cellStyle name="Normal 50 4 2 2" xfId="9335"/>
    <cellStyle name="Normal 50 4 2 3" xfId="9336"/>
    <cellStyle name="Normal 50 4 3" xfId="9337"/>
    <cellStyle name="Normal 50 4 3 2" xfId="9338"/>
    <cellStyle name="Normal 50 4 3 3" xfId="9339"/>
    <cellStyle name="Normal 50 4 4" xfId="9340"/>
    <cellStyle name="Normal 50 4 5" xfId="9341"/>
    <cellStyle name="Normal 50 5" xfId="9342"/>
    <cellStyle name="Normal 50 5 2" xfId="9343"/>
    <cellStyle name="Normal 50 5 3" xfId="9344"/>
    <cellStyle name="Normal 50 6" xfId="9345"/>
    <cellStyle name="Normal 50 6 2" xfId="9346"/>
    <cellStyle name="Normal 50 6 3" xfId="9347"/>
    <cellStyle name="Normal 50 7" xfId="9348"/>
    <cellStyle name="Normal 50 8" xfId="9349"/>
    <cellStyle name="Normal 51" xfId="205"/>
    <cellStyle name="Normal 51 2" xfId="9350"/>
    <cellStyle name="Normal 51 2 2" xfId="9351"/>
    <cellStyle name="Normal 51 2 2 2" xfId="9352"/>
    <cellStyle name="Normal 51 2 2 2 2" xfId="9353"/>
    <cellStyle name="Normal 51 2 2 2 2 2" xfId="9354"/>
    <cellStyle name="Normal 51 2 2 2 2 3" xfId="9355"/>
    <cellStyle name="Normal 51 2 2 2 3" xfId="9356"/>
    <cellStyle name="Normal 51 2 2 2 3 2" xfId="9357"/>
    <cellStyle name="Normal 51 2 2 2 3 3" xfId="9358"/>
    <cellStyle name="Normal 51 2 2 2 4" xfId="9359"/>
    <cellStyle name="Normal 51 2 2 2 5" xfId="9360"/>
    <cellStyle name="Normal 51 2 2 3" xfId="9361"/>
    <cellStyle name="Normal 51 2 2 3 2" xfId="9362"/>
    <cellStyle name="Normal 51 2 2 3 3" xfId="9363"/>
    <cellStyle name="Normal 51 2 2 4" xfId="9364"/>
    <cellStyle name="Normal 51 2 2 4 2" xfId="9365"/>
    <cellStyle name="Normal 51 2 2 4 3" xfId="9366"/>
    <cellStyle name="Normal 51 2 2 5" xfId="9367"/>
    <cellStyle name="Normal 51 2 2 6" xfId="9368"/>
    <cellStyle name="Normal 51 2 3" xfId="9369"/>
    <cellStyle name="Normal 51 2 3 2" xfId="9370"/>
    <cellStyle name="Normal 51 2 3 2 2" xfId="9371"/>
    <cellStyle name="Normal 51 2 3 2 3" xfId="9372"/>
    <cellStyle name="Normal 51 2 3 3" xfId="9373"/>
    <cellStyle name="Normal 51 2 3 3 2" xfId="9374"/>
    <cellStyle name="Normal 51 2 3 3 3" xfId="9375"/>
    <cellStyle name="Normal 51 2 3 4" xfId="9376"/>
    <cellStyle name="Normal 51 2 3 5" xfId="9377"/>
    <cellStyle name="Normal 51 2 4" xfId="9378"/>
    <cellStyle name="Normal 51 2 4 2" xfId="9379"/>
    <cellStyle name="Normal 51 2 4 3" xfId="9380"/>
    <cellStyle name="Normal 51 2 5" xfId="9381"/>
    <cellStyle name="Normal 51 2 5 2" xfId="9382"/>
    <cellStyle name="Normal 51 2 5 3" xfId="9383"/>
    <cellStyle name="Normal 51 2 6" xfId="9384"/>
    <cellStyle name="Normal 51 2 7" xfId="9385"/>
    <cellStyle name="Normal 51 3" xfId="9386"/>
    <cellStyle name="Normal 51 3 2" xfId="9387"/>
    <cellStyle name="Normal 51 3 2 2" xfId="9388"/>
    <cellStyle name="Normal 51 3 2 2 2" xfId="9389"/>
    <cellStyle name="Normal 51 3 2 2 3" xfId="9390"/>
    <cellStyle name="Normal 51 3 2 3" xfId="9391"/>
    <cellStyle name="Normal 51 3 2 3 2" xfId="9392"/>
    <cellStyle name="Normal 51 3 2 3 3" xfId="9393"/>
    <cellStyle name="Normal 51 3 2 4" xfId="9394"/>
    <cellStyle name="Normal 51 3 2 5" xfId="9395"/>
    <cellStyle name="Normal 51 3 3" xfId="9396"/>
    <cellStyle name="Normal 51 3 3 2" xfId="9397"/>
    <cellStyle name="Normal 51 3 3 3" xfId="9398"/>
    <cellStyle name="Normal 51 3 4" xfId="9399"/>
    <cellStyle name="Normal 51 3 4 2" xfId="9400"/>
    <cellStyle name="Normal 51 3 4 3" xfId="9401"/>
    <cellStyle name="Normal 51 3 5" xfId="9402"/>
    <cellStyle name="Normal 51 3 6" xfId="9403"/>
    <cellStyle name="Normal 51 4" xfId="9404"/>
    <cellStyle name="Normal 51 4 2" xfId="9405"/>
    <cellStyle name="Normal 51 4 2 2" xfId="9406"/>
    <cellStyle name="Normal 51 4 2 3" xfId="9407"/>
    <cellStyle name="Normal 51 4 3" xfId="9408"/>
    <cellStyle name="Normal 51 4 3 2" xfId="9409"/>
    <cellStyle name="Normal 51 4 3 3" xfId="9410"/>
    <cellStyle name="Normal 51 4 4" xfId="9411"/>
    <cellStyle name="Normal 51 4 5" xfId="9412"/>
    <cellStyle name="Normal 51 5" xfId="9413"/>
    <cellStyle name="Normal 51 5 2" xfId="9414"/>
    <cellStyle name="Normal 51 5 3" xfId="9415"/>
    <cellStyle name="Normal 51 6" xfId="9416"/>
    <cellStyle name="Normal 51 6 2" xfId="9417"/>
    <cellStyle name="Normal 51 6 3" xfId="9418"/>
    <cellStyle name="Normal 51 7" xfId="9419"/>
    <cellStyle name="Normal 51 8" xfId="9420"/>
    <cellStyle name="Normal 52" xfId="206"/>
    <cellStyle name="Normal 52 2" xfId="9421"/>
    <cellStyle name="Normal 52 2 2" xfId="9422"/>
    <cellStyle name="Normal 52 2 2 2" xfId="9423"/>
    <cellStyle name="Normal 52 2 2 2 2" xfId="9424"/>
    <cellStyle name="Normal 52 2 2 2 2 2" xfId="9425"/>
    <cellStyle name="Normal 52 2 2 2 2 3" xfId="9426"/>
    <cellStyle name="Normal 52 2 2 2 3" xfId="9427"/>
    <cellStyle name="Normal 52 2 2 2 3 2" xfId="9428"/>
    <cellStyle name="Normal 52 2 2 2 3 3" xfId="9429"/>
    <cellStyle name="Normal 52 2 2 2 4" xfId="9430"/>
    <cellStyle name="Normal 52 2 2 2 5" xfId="9431"/>
    <cellStyle name="Normal 52 2 2 3" xfId="9432"/>
    <cellStyle name="Normal 52 2 2 3 2" xfId="9433"/>
    <cellStyle name="Normal 52 2 2 3 3" xfId="9434"/>
    <cellStyle name="Normal 52 2 2 4" xfId="9435"/>
    <cellStyle name="Normal 52 2 2 4 2" xfId="9436"/>
    <cellStyle name="Normal 52 2 2 4 3" xfId="9437"/>
    <cellStyle name="Normal 52 2 2 5" xfId="9438"/>
    <cellStyle name="Normal 52 2 2 6" xfId="9439"/>
    <cellStyle name="Normal 52 2 3" xfId="9440"/>
    <cellStyle name="Normal 52 2 3 2" xfId="9441"/>
    <cellStyle name="Normal 52 2 3 2 2" xfId="9442"/>
    <cellStyle name="Normal 52 2 3 2 3" xfId="9443"/>
    <cellStyle name="Normal 52 2 3 3" xfId="9444"/>
    <cellStyle name="Normal 52 2 3 3 2" xfId="9445"/>
    <cellStyle name="Normal 52 2 3 3 3" xfId="9446"/>
    <cellStyle name="Normal 52 2 3 4" xfId="9447"/>
    <cellStyle name="Normal 52 2 3 5" xfId="9448"/>
    <cellStyle name="Normal 52 2 4" xfId="9449"/>
    <cellStyle name="Normal 52 2 4 2" xfId="9450"/>
    <cellStyle name="Normal 52 2 4 3" xfId="9451"/>
    <cellStyle name="Normal 52 2 5" xfId="9452"/>
    <cellStyle name="Normal 52 2 5 2" xfId="9453"/>
    <cellStyle name="Normal 52 2 5 3" xfId="9454"/>
    <cellStyle name="Normal 52 2 6" xfId="9455"/>
    <cellStyle name="Normal 52 2 7" xfId="9456"/>
    <cellStyle name="Normal 52 3" xfId="9457"/>
    <cellStyle name="Normal 52 3 2" xfId="9458"/>
    <cellStyle name="Normal 52 3 2 2" xfId="9459"/>
    <cellStyle name="Normal 52 3 2 2 2" xfId="9460"/>
    <cellStyle name="Normal 52 3 2 2 3" xfId="9461"/>
    <cellStyle name="Normal 52 3 2 3" xfId="9462"/>
    <cellStyle name="Normal 52 3 2 3 2" xfId="9463"/>
    <cellStyle name="Normal 52 3 2 3 3" xfId="9464"/>
    <cellStyle name="Normal 52 3 2 4" xfId="9465"/>
    <cellStyle name="Normal 52 3 2 5" xfId="9466"/>
    <cellStyle name="Normal 52 3 3" xfId="9467"/>
    <cellStyle name="Normal 52 3 3 2" xfId="9468"/>
    <cellStyle name="Normal 52 3 3 3" xfId="9469"/>
    <cellStyle name="Normal 52 3 4" xfId="9470"/>
    <cellStyle name="Normal 52 3 4 2" xfId="9471"/>
    <cellStyle name="Normal 52 3 4 3" xfId="9472"/>
    <cellStyle name="Normal 52 3 5" xfId="9473"/>
    <cellStyle name="Normal 52 3 6" xfId="9474"/>
    <cellStyle name="Normal 52 4" xfId="9475"/>
    <cellStyle name="Normal 52 4 2" xfId="9476"/>
    <cellStyle name="Normal 52 4 2 2" xfId="9477"/>
    <cellStyle name="Normal 52 4 2 3" xfId="9478"/>
    <cellStyle name="Normal 52 4 3" xfId="9479"/>
    <cellStyle name="Normal 52 4 3 2" xfId="9480"/>
    <cellStyle name="Normal 52 4 3 3" xfId="9481"/>
    <cellStyle name="Normal 52 4 4" xfId="9482"/>
    <cellStyle name="Normal 52 4 5" xfId="9483"/>
    <cellStyle name="Normal 52 5" xfId="9484"/>
    <cellStyle name="Normal 52 5 2" xfId="9485"/>
    <cellStyle name="Normal 52 5 3" xfId="9486"/>
    <cellStyle name="Normal 52 6" xfId="9487"/>
    <cellStyle name="Normal 52 6 2" xfId="9488"/>
    <cellStyle name="Normal 52 6 3" xfId="9489"/>
    <cellStyle name="Normal 52 7" xfId="9490"/>
    <cellStyle name="Normal 52 8" xfId="9491"/>
    <cellStyle name="Normal 53" xfId="207"/>
    <cellStyle name="Normal 53 2" xfId="9492"/>
    <cellStyle name="Normal 53 2 2" xfId="9493"/>
    <cellStyle name="Normal 53 2 2 2" xfId="9494"/>
    <cellStyle name="Normal 53 2 2 2 2" xfId="9495"/>
    <cellStyle name="Normal 53 2 2 2 2 2" xfId="9496"/>
    <cellStyle name="Normal 53 2 2 2 2 3" xfId="9497"/>
    <cellStyle name="Normal 53 2 2 2 3" xfId="9498"/>
    <cellStyle name="Normal 53 2 2 2 3 2" xfId="9499"/>
    <cellStyle name="Normal 53 2 2 2 3 3" xfId="9500"/>
    <cellStyle name="Normal 53 2 2 2 4" xfId="9501"/>
    <cellStyle name="Normal 53 2 2 2 5" xfId="9502"/>
    <cellStyle name="Normal 53 2 2 3" xfId="9503"/>
    <cellStyle name="Normal 53 2 2 3 2" xfId="9504"/>
    <cellStyle name="Normal 53 2 2 3 3" xfId="9505"/>
    <cellStyle name="Normal 53 2 2 4" xfId="9506"/>
    <cellStyle name="Normal 53 2 2 4 2" xfId="9507"/>
    <cellStyle name="Normal 53 2 2 4 3" xfId="9508"/>
    <cellStyle name="Normal 53 2 2 5" xfId="9509"/>
    <cellStyle name="Normal 53 2 2 6" xfId="9510"/>
    <cellStyle name="Normal 53 2 3" xfId="9511"/>
    <cellStyle name="Normal 53 2 3 2" xfId="9512"/>
    <cellStyle name="Normal 53 2 3 2 2" xfId="9513"/>
    <cellStyle name="Normal 53 2 3 2 3" xfId="9514"/>
    <cellStyle name="Normal 53 2 3 3" xfId="9515"/>
    <cellStyle name="Normal 53 2 3 3 2" xfId="9516"/>
    <cellStyle name="Normal 53 2 3 3 3" xfId="9517"/>
    <cellStyle name="Normal 53 2 3 4" xfId="9518"/>
    <cellStyle name="Normal 53 2 3 5" xfId="9519"/>
    <cellStyle name="Normal 53 2 4" xfId="9520"/>
    <cellStyle name="Normal 53 2 4 2" xfId="9521"/>
    <cellStyle name="Normal 53 2 4 3" xfId="9522"/>
    <cellStyle name="Normal 53 2 5" xfId="9523"/>
    <cellStyle name="Normal 53 2 5 2" xfId="9524"/>
    <cellStyle name="Normal 53 2 5 3" xfId="9525"/>
    <cellStyle name="Normal 53 2 6" xfId="9526"/>
    <cellStyle name="Normal 53 2 7" xfId="9527"/>
    <cellStyle name="Normal 53 3" xfId="9528"/>
    <cellStyle name="Normal 53 3 2" xfId="9529"/>
    <cellStyle name="Normal 53 3 2 2" xfId="9530"/>
    <cellStyle name="Normal 53 3 2 2 2" xfId="9531"/>
    <cellStyle name="Normal 53 3 2 2 3" xfId="9532"/>
    <cellStyle name="Normal 53 3 2 3" xfId="9533"/>
    <cellStyle name="Normal 53 3 2 3 2" xfId="9534"/>
    <cellStyle name="Normal 53 3 2 3 3" xfId="9535"/>
    <cellStyle name="Normal 53 3 2 4" xfId="9536"/>
    <cellStyle name="Normal 53 3 2 5" xfId="9537"/>
    <cellStyle name="Normal 53 3 3" xfId="9538"/>
    <cellStyle name="Normal 53 3 3 2" xfId="9539"/>
    <cellStyle name="Normal 53 3 3 3" xfId="9540"/>
    <cellStyle name="Normal 53 3 4" xfId="9541"/>
    <cellStyle name="Normal 53 3 4 2" xfId="9542"/>
    <cellStyle name="Normal 53 3 4 3" xfId="9543"/>
    <cellStyle name="Normal 53 3 5" xfId="9544"/>
    <cellStyle name="Normal 53 3 6" xfId="9545"/>
    <cellStyle name="Normal 53 4" xfId="9546"/>
    <cellStyle name="Normal 53 4 2" xfId="9547"/>
    <cellStyle name="Normal 53 4 2 2" xfId="9548"/>
    <cellStyle name="Normal 53 4 2 3" xfId="9549"/>
    <cellStyle name="Normal 53 4 3" xfId="9550"/>
    <cellStyle name="Normal 53 4 3 2" xfId="9551"/>
    <cellStyle name="Normal 53 4 3 3" xfId="9552"/>
    <cellStyle name="Normal 53 4 4" xfId="9553"/>
    <cellStyle name="Normal 53 4 5" xfId="9554"/>
    <cellStyle name="Normal 53 5" xfId="9555"/>
    <cellStyle name="Normal 53 5 2" xfId="9556"/>
    <cellStyle name="Normal 53 5 3" xfId="9557"/>
    <cellStyle name="Normal 53 6" xfId="9558"/>
    <cellStyle name="Normal 53 6 2" xfId="9559"/>
    <cellStyle name="Normal 53 6 3" xfId="9560"/>
    <cellStyle name="Normal 53 7" xfId="9561"/>
    <cellStyle name="Normal 53 8" xfId="9562"/>
    <cellStyle name="Normal 54" xfId="208"/>
    <cellStyle name="Normal 54 2" xfId="9563"/>
    <cellStyle name="Normal 54 2 2" xfId="9564"/>
    <cellStyle name="Normal 54 2 2 2" xfId="9565"/>
    <cellStyle name="Normal 54 2 2 2 2" xfId="9566"/>
    <cellStyle name="Normal 54 2 2 2 2 2" xfId="9567"/>
    <cellStyle name="Normal 54 2 2 2 2 3" xfId="9568"/>
    <cellStyle name="Normal 54 2 2 2 3" xfId="9569"/>
    <cellStyle name="Normal 54 2 2 2 3 2" xfId="9570"/>
    <cellStyle name="Normal 54 2 2 2 3 3" xfId="9571"/>
    <cellStyle name="Normal 54 2 2 2 4" xfId="9572"/>
    <cellStyle name="Normal 54 2 2 2 5" xfId="9573"/>
    <cellStyle name="Normal 54 2 2 3" xfId="9574"/>
    <cellStyle name="Normal 54 2 2 3 2" xfId="9575"/>
    <cellStyle name="Normal 54 2 2 3 3" xfId="9576"/>
    <cellStyle name="Normal 54 2 2 4" xfId="9577"/>
    <cellStyle name="Normal 54 2 2 4 2" xfId="9578"/>
    <cellStyle name="Normal 54 2 2 4 3" xfId="9579"/>
    <cellStyle name="Normal 54 2 2 5" xfId="9580"/>
    <cellStyle name="Normal 54 2 2 6" xfId="9581"/>
    <cellStyle name="Normal 54 2 3" xfId="9582"/>
    <cellStyle name="Normal 54 2 3 2" xfId="9583"/>
    <cellStyle name="Normal 54 2 3 2 2" xfId="9584"/>
    <cellStyle name="Normal 54 2 3 2 3" xfId="9585"/>
    <cellStyle name="Normal 54 2 3 3" xfId="9586"/>
    <cellStyle name="Normal 54 2 3 3 2" xfId="9587"/>
    <cellStyle name="Normal 54 2 3 3 3" xfId="9588"/>
    <cellStyle name="Normal 54 2 3 4" xfId="9589"/>
    <cellStyle name="Normal 54 2 3 5" xfId="9590"/>
    <cellStyle name="Normal 54 2 4" xfId="9591"/>
    <cellStyle name="Normal 54 2 4 2" xfId="9592"/>
    <cellStyle name="Normal 54 2 4 3" xfId="9593"/>
    <cellStyle name="Normal 54 2 5" xfId="9594"/>
    <cellStyle name="Normal 54 2 5 2" xfId="9595"/>
    <cellStyle name="Normal 54 2 5 3" xfId="9596"/>
    <cellStyle name="Normal 54 2 6" xfId="9597"/>
    <cellStyle name="Normal 54 2 7" xfId="9598"/>
    <cellStyle name="Normal 54 3" xfId="9599"/>
    <cellStyle name="Normal 54 3 2" xfId="9600"/>
    <cellStyle name="Normal 54 3 2 2" xfId="9601"/>
    <cellStyle name="Normal 54 3 2 2 2" xfId="9602"/>
    <cellStyle name="Normal 54 3 2 2 3" xfId="9603"/>
    <cellStyle name="Normal 54 3 2 3" xfId="9604"/>
    <cellStyle name="Normal 54 3 2 3 2" xfId="9605"/>
    <cellStyle name="Normal 54 3 2 3 3" xfId="9606"/>
    <cellStyle name="Normal 54 3 2 4" xfId="9607"/>
    <cellStyle name="Normal 54 3 2 5" xfId="9608"/>
    <cellStyle name="Normal 54 3 3" xfId="9609"/>
    <cellStyle name="Normal 54 3 3 2" xfId="9610"/>
    <cellStyle name="Normal 54 3 3 3" xfId="9611"/>
    <cellStyle name="Normal 54 3 4" xfId="9612"/>
    <cellStyle name="Normal 54 3 4 2" xfId="9613"/>
    <cellStyle name="Normal 54 3 4 3" xfId="9614"/>
    <cellStyle name="Normal 54 3 5" xfId="9615"/>
    <cellStyle name="Normal 54 3 6" xfId="9616"/>
    <cellStyle name="Normal 54 4" xfId="9617"/>
    <cellStyle name="Normal 54 4 2" xfId="9618"/>
    <cellStyle name="Normal 54 4 2 2" xfId="9619"/>
    <cellStyle name="Normal 54 4 2 3" xfId="9620"/>
    <cellStyle name="Normal 54 4 3" xfId="9621"/>
    <cellStyle name="Normal 54 4 3 2" xfId="9622"/>
    <cellStyle name="Normal 54 4 3 3" xfId="9623"/>
    <cellStyle name="Normal 54 4 4" xfId="9624"/>
    <cellStyle name="Normal 54 4 5" xfId="9625"/>
    <cellStyle name="Normal 54 5" xfId="9626"/>
    <cellStyle name="Normal 54 5 2" xfId="9627"/>
    <cellStyle name="Normal 54 5 3" xfId="9628"/>
    <cellStyle name="Normal 54 6" xfId="9629"/>
    <cellStyle name="Normal 54 6 2" xfId="9630"/>
    <cellStyle name="Normal 54 6 3" xfId="9631"/>
    <cellStyle name="Normal 54 7" xfId="9632"/>
    <cellStyle name="Normal 54 8" xfId="9633"/>
    <cellStyle name="Normal 55" xfId="209"/>
    <cellStyle name="Normal 55 2" xfId="9634"/>
    <cellStyle name="Normal 55 2 2" xfId="9635"/>
    <cellStyle name="Normal 55 2 2 2" xfId="9636"/>
    <cellStyle name="Normal 55 2 2 2 2" xfId="9637"/>
    <cellStyle name="Normal 55 2 2 2 2 2" xfId="9638"/>
    <cellStyle name="Normal 55 2 2 2 2 3" xfId="9639"/>
    <cellStyle name="Normal 55 2 2 2 3" xfId="9640"/>
    <cellStyle name="Normal 55 2 2 2 3 2" xfId="9641"/>
    <cellStyle name="Normal 55 2 2 2 3 3" xfId="9642"/>
    <cellStyle name="Normal 55 2 2 2 4" xfId="9643"/>
    <cellStyle name="Normal 55 2 2 2 5" xfId="9644"/>
    <cellStyle name="Normal 55 2 2 3" xfId="9645"/>
    <cellStyle name="Normal 55 2 2 3 2" xfId="9646"/>
    <cellStyle name="Normal 55 2 2 3 3" xfId="9647"/>
    <cellStyle name="Normal 55 2 2 4" xfId="9648"/>
    <cellStyle name="Normal 55 2 2 4 2" xfId="9649"/>
    <cellStyle name="Normal 55 2 2 4 3" xfId="9650"/>
    <cellStyle name="Normal 55 2 2 5" xfId="9651"/>
    <cellStyle name="Normal 55 2 2 6" xfId="9652"/>
    <cellStyle name="Normal 55 2 3" xfId="9653"/>
    <cellStyle name="Normal 55 2 3 2" xfId="9654"/>
    <cellStyle name="Normal 55 2 3 2 2" xfId="9655"/>
    <cellStyle name="Normal 55 2 3 2 3" xfId="9656"/>
    <cellStyle name="Normal 55 2 3 3" xfId="9657"/>
    <cellStyle name="Normal 55 2 3 3 2" xfId="9658"/>
    <cellStyle name="Normal 55 2 3 3 3" xfId="9659"/>
    <cellStyle name="Normal 55 2 3 4" xfId="9660"/>
    <cellStyle name="Normal 55 2 3 5" xfId="9661"/>
    <cellStyle name="Normal 55 2 4" xfId="9662"/>
    <cellStyle name="Normal 55 2 4 2" xfId="9663"/>
    <cellStyle name="Normal 55 2 4 3" xfId="9664"/>
    <cellStyle name="Normal 55 2 5" xfId="9665"/>
    <cellStyle name="Normal 55 2 5 2" xfId="9666"/>
    <cellStyle name="Normal 55 2 5 3" xfId="9667"/>
    <cellStyle name="Normal 55 2 6" xfId="9668"/>
    <cellStyle name="Normal 55 2 7" xfId="9669"/>
    <cellStyle name="Normal 55 3" xfId="9670"/>
    <cellStyle name="Normal 55 3 2" xfId="9671"/>
    <cellStyle name="Normal 55 3 2 2" xfId="9672"/>
    <cellStyle name="Normal 55 3 2 2 2" xfId="9673"/>
    <cellStyle name="Normal 55 3 2 2 3" xfId="9674"/>
    <cellStyle name="Normal 55 3 2 3" xfId="9675"/>
    <cellStyle name="Normal 55 3 2 3 2" xfId="9676"/>
    <cellStyle name="Normal 55 3 2 3 3" xfId="9677"/>
    <cellStyle name="Normal 55 3 2 4" xfId="9678"/>
    <cellStyle name="Normal 55 3 2 5" xfId="9679"/>
    <cellStyle name="Normal 55 3 3" xfId="9680"/>
    <cellStyle name="Normal 55 3 3 2" xfId="9681"/>
    <cellStyle name="Normal 55 3 3 3" xfId="9682"/>
    <cellStyle name="Normal 55 3 4" xfId="9683"/>
    <cellStyle name="Normal 55 3 4 2" xfId="9684"/>
    <cellStyle name="Normal 55 3 4 3" xfId="9685"/>
    <cellStyle name="Normal 55 3 5" xfId="9686"/>
    <cellStyle name="Normal 55 3 6" xfId="9687"/>
    <cellStyle name="Normal 55 4" xfId="9688"/>
    <cellStyle name="Normal 55 4 2" xfId="9689"/>
    <cellStyle name="Normal 55 4 2 2" xfId="9690"/>
    <cellStyle name="Normal 55 4 2 3" xfId="9691"/>
    <cellStyle name="Normal 55 4 3" xfId="9692"/>
    <cellStyle name="Normal 55 4 3 2" xfId="9693"/>
    <cellStyle name="Normal 55 4 3 3" xfId="9694"/>
    <cellStyle name="Normal 55 4 4" xfId="9695"/>
    <cellStyle name="Normal 55 4 5" xfId="9696"/>
    <cellStyle name="Normal 55 5" xfId="9697"/>
    <cellStyle name="Normal 55 5 2" xfId="9698"/>
    <cellStyle name="Normal 55 5 3" xfId="9699"/>
    <cellStyle name="Normal 55 6" xfId="9700"/>
    <cellStyle name="Normal 55 6 2" xfId="9701"/>
    <cellStyle name="Normal 55 6 3" xfId="9702"/>
    <cellStyle name="Normal 55 7" xfId="9703"/>
    <cellStyle name="Normal 55 8" xfId="9704"/>
    <cellStyle name="Normal 56" xfId="210"/>
    <cellStyle name="Normal 56 2" xfId="9705"/>
    <cellStyle name="Normal 56 2 2" xfId="9706"/>
    <cellStyle name="Normal 56 2 2 2" xfId="9707"/>
    <cellStyle name="Normal 56 2 2 2 2" xfId="9708"/>
    <cellStyle name="Normal 56 2 2 2 2 2" xfId="9709"/>
    <cellStyle name="Normal 56 2 2 2 2 3" xfId="9710"/>
    <cellStyle name="Normal 56 2 2 2 3" xfId="9711"/>
    <cellStyle name="Normal 56 2 2 2 3 2" xfId="9712"/>
    <cellStyle name="Normal 56 2 2 2 3 3" xfId="9713"/>
    <cellStyle name="Normal 56 2 2 2 4" xfId="9714"/>
    <cellStyle name="Normal 56 2 2 2 5" xfId="9715"/>
    <cellStyle name="Normal 56 2 2 3" xfId="9716"/>
    <cellStyle name="Normal 56 2 2 3 2" xfId="9717"/>
    <cellStyle name="Normal 56 2 2 3 3" xfId="9718"/>
    <cellStyle name="Normal 56 2 2 4" xfId="9719"/>
    <cellStyle name="Normal 56 2 2 4 2" xfId="9720"/>
    <cellStyle name="Normal 56 2 2 4 3" xfId="9721"/>
    <cellStyle name="Normal 56 2 2 5" xfId="9722"/>
    <cellStyle name="Normal 56 2 2 6" xfId="9723"/>
    <cellStyle name="Normal 56 2 3" xfId="9724"/>
    <cellStyle name="Normal 56 2 3 2" xfId="9725"/>
    <cellStyle name="Normal 56 2 3 2 2" xfId="9726"/>
    <cellStyle name="Normal 56 2 3 2 3" xfId="9727"/>
    <cellStyle name="Normal 56 2 3 3" xfId="9728"/>
    <cellStyle name="Normal 56 2 3 3 2" xfId="9729"/>
    <cellStyle name="Normal 56 2 3 3 3" xfId="9730"/>
    <cellStyle name="Normal 56 2 3 4" xfId="9731"/>
    <cellStyle name="Normal 56 2 3 5" xfId="9732"/>
    <cellStyle name="Normal 56 2 4" xfId="9733"/>
    <cellStyle name="Normal 56 2 4 2" xfId="9734"/>
    <cellStyle name="Normal 56 2 4 3" xfId="9735"/>
    <cellStyle name="Normal 56 2 5" xfId="9736"/>
    <cellStyle name="Normal 56 2 5 2" xfId="9737"/>
    <cellStyle name="Normal 56 2 5 3" xfId="9738"/>
    <cellStyle name="Normal 56 2 6" xfId="9739"/>
    <cellStyle name="Normal 56 2 7" xfId="9740"/>
    <cellStyle name="Normal 56 3" xfId="9741"/>
    <cellStyle name="Normal 56 3 2" xfId="9742"/>
    <cellStyle name="Normal 56 3 2 2" xfId="9743"/>
    <cellStyle name="Normal 56 3 2 2 2" xfId="9744"/>
    <cellStyle name="Normal 56 3 2 2 3" xfId="9745"/>
    <cellStyle name="Normal 56 3 2 3" xfId="9746"/>
    <cellStyle name="Normal 56 3 2 3 2" xfId="9747"/>
    <cellStyle name="Normal 56 3 2 3 3" xfId="9748"/>
    <cellStyle name="Normal 56 3 2 4" xfId="9749"/>
    <cellStyle name="Normal 56 3 2 5" xfId="9750"/>
    <cellStyle name="Normal 56 3 3" xfId="9751"/>
    <cellStyle name="Normal 56 3 3 2" xfId="9752"/>
    <cellStyle name="Normal 56 3 3 3" xfId="9753"/>
    <cellStyle name="Normal 56 3 4" xfId="9754"/>
    <cellStyle name="Normal 56 3 4 2" xfId="9755"/>
    <cellStyle name="Normal 56 3 4 3" xfId="9756"/>
    <cellStyle name="Normal 56 3 5" xfId="9757"/>
    <cellStyle name="Normal 56 3 6" xfId="9758"/>
    <cellStyle name="Normal 56 4" xfId="9759"/>
    <cellStyle name="Normal 56 4 2" xfId="9760"/>
    <cellStyle name="Normal 56 4 2 2" xfId="9761"/>
    <cellStyle name="Normal 56 4 2 3" xfId="9762"/>
    <cellStyle name="Normal 56 4 3" xfId="9763"/>
    <cellStyle name="Normal 56 4 3 2" xfId="9764"/>
    <cellStyle name="Normal 56 4 3 3" xfId="9765"/>
    <cellStyle name="Normal 56 4 4" xfId="9766"/>
    <cellStyle name="Normal 56 4 5" xfId="9767"/>
    <cellStyle name="Normal 56 5" xfId="9768"/>
    <cellStyle name="Normal 56 5 2" xfId="9769"/>
    <cellStyle name="Normal 56 5 3" xfId="9770"/>
    <cellStyle name="Normal 56 6" xfId="9771"/>
    <cellStyle name="Normal 56 6 2" xfId="9772"/>
    <cellStyle name="Normal 56 6 3" xfId="9773"/>
    <cellStyle name="Normal 56 7" xfId="9774"/>
    <cellStyle name="Normal 56 8" xfId="9775"/>
    <cellStyle name="Normal 57" xfId="211"/>
    <cellStyle name="Normal 57 2" xfId="9776"/>
    <cellStyle name="Normal 57 2 2" xfId="9777"/>
    <cellStyle name="Normal 57 2 2 2" xfId="9778"/>
    <cellStyle name="Normal 57 2 2 2 2" xfId="9779"/>
    <cellStyle name="Normal 57 2 2 2 2 2" xfId="9780"/>
    <cellStyle name="Normal 57 2 2 2 2 3" xfId="9781"/>
    <cellStyle name="Normal 57 2 2 2 3" xfId="9782"/>
    <cellStyle name="Normal 57 2 2 2 3 2" xfId="9783"/>
    <cellStyle name="Normal 57 2 2 2 3 3" xfId="9784"/>
    <cellStyle name="Normal 57 2 2 2 4" xfId="9785"/>
    <cellStyle name="Normal 57 2 2 2 5" xfId="9786"/>
    <cellStyle name="Normal 57 2 2 3" xfId="9787"/>
    <cellStyle name="Normal 57 2 2 3 2" xfId="9788"/>
    <cellStyle name="Normal 57 2 2 3 3" xfId="9789"/>
    <cellStyle name="Normal 57 2 2 4" xfId="9790"/>
    <cellStyle name="Normal 57 2 2 4 2" xfId="9791"/>
    <cellStyle name="Normal 57 2 2 4 3" xfId="9792"/>
    <cellStyle name="Normal 57 2 2 5" xfId="9793"/>
    <cellStyle name="Normal 57 2 2 6" xfId="9794"/>
    <cellStyle name="Normal 57 2 3" xfId="9795"/>
    <cellStyle name="Normal 57 2 3 2" xfId="9796"/>
    <cellStyle name="Normal 57 2 3 2 2" xfId="9797"/>
    <cellStyle name="Normal 57 2 3 2 3" xfId="9798"/>
    <cellStyle name="Normal 57 2 3 3" xfId="9799"/>
    <cellStyle name="Normal 57 2 3 3 2" xfId="9800"/>
    <cellStyle name="Normal 57 2 3 3 3" xfId="9801"/>
    <cellStyle name="Normal 57 2 3 4" xfId="9802"/>
    <cellStyle name="Normal 57 2 3 5" xfId="9803"/>
    <cellStyle name="Normal 57 2 4" xfId="9804"/>
    <cellStyle name="Normal 57 2 4 2" xfId="9805"/>
    <cellStyle name="Normal 57 2 4 3" xfId="9806"/>
    <cellStyle name="Normal 57 2 5" xfId="9807"/>
    <cellStyle name="Normal 57 2 5 2" xfId="9808"/>
    <cellStyle name="Normal 57 2 5 3" xfId="9809"/>
    <cellStyle name="Normal 57 2 6" xfId="9810"/>
    <cellStyle name="Normal 57 2 7" xfId="9811"/>
    <cellStyle name="Normal 57 3" xfId="9812"/>
    <cellStyle name="Normal 57 3 2" xfId="9813"/>
    <cellStyle name="Normal 57 3 2 2" xfId="9814"/>
    <cellStyle name="Normal 57 3 2 2 2" xfId="9815"/>
    <cellStyle name="Normal 57 3 2 2 3" xfId="9816"/>
    <cellStyle name="Normal 57 3 2 3" xfId="9817"/>
    <cellStyle name="Normal 57 3 2 3 2" xfId="9818"/>
    <cellStyle name="Normal 57 3 2 3 3" xfId="9819"/>
    <cellStyle name="Normal 57 3 2 4" xfId="9820"/>
    <cellStyle name="Normal 57 3 2 5" xfId="9821"/>
    <cellStyle name="Normal 57 3 3" xfId="9822"/>
    <cellStyle name="Normal 57 3 3 2" xfId="9823"/>
    <cellStyle name="Normal 57 3 3 3" xfId="9824"/>
    <cellStyle name="Normal 57 3 4" xfId="9825"/>
    <cellStyle name="Normal 57 3 4 2" xfId="9826"/>
    <cellStyle name="Normal 57 3 4 3" xfId="9827"/>
    <cellStyle name="Normal 57 3 5" xfId="9828"/>
    <cellStyle name="Normal 57 3 6" xfId="9829"/>
    <cellStyle name="Normal 57 4" xfId="9830"/>
    <cellStyle name="Normal 57 4 2" xfId="9831"/>
    <cellStyle name="Normal 57 4 2 2" xfId="9832"/>
    <cellStyle name="Normal 57 4 2 3" xfId="9833"/>
    <cellStyle name="Normal 57 4 3" xfId="9834"/>
    <cellStyle name="Normal 57 4 3 2" xfId="9835"/>
    <cellStyle name="Normal 57 4 3 3" xfId="9836"/>
    <cellStyle name="Normal 57 4 4" xfId="9837"/>
    <cellStyle name="Normal 57 4 5" xfId="9838"/>
    <cellStyle name="Normal 57 5" xfId="9839"/>
    <cellStyle name="Normal 57 5 2" xfId="9840"/>
    <cellStyle name="Normal 57 5 3" xfId="9841"/>
    <cellStyle name="Normal 57 6" xfId="9842"/>
    <cellStyle name="Normal 57 6 2" xfId="9843"/>
    <cellStyle name="Normal 57 6 3" xfId="9844"/>
    <cellStyle name="Normal 57 7" xfId="9845"/>
    <cellStyle name="Normal 57 8" xfId="9846"/>
    <cellStyle name="Normal 58" xfId="212"/>
    <cellStyle name="Normal 58 2" xfId="9847"/>
    <cellStyle name="Normal 58 2 2" xfId="9848"/>
    <cellStyle name="Normal 58 2 2 2" xfId="9849"/>
    <cellStyle name="Normal 58 2 2 2 2" xfId="9850"/>
    <cellStyle name="Normal 58 2 2 2 2 2" xfId="9851"/>
    <cellStyle name="Normal 58 2 2 2 2 3" xfId="9852"/>
    <cellStyle name="Normal 58 2 2 2 3" xfId="9853"/>
    <cellStyle name="Normal 58 2 2 2 3 2" xfId="9854"/>
    <cellStyle name="Normal 58 2 2 2 3 3" xfId="9855"/>
    <cellStyle name="Normal 58 2 2 2 4" xfId="9856"/>
    <cellStyle name="Normal 58 2 2 2 5" xfId="9857"/>
    <cellStyle name="Normal 58 2 2 3" xfId="9858"/>
    <cellStyle name="Normal 58 2 2 3 2" xfId="9859"/>
    <cellStyle name="Normal 58 2 2 3 3" xfId="9860"/>
    <cellStyle name="Normal 58 2 2 4" xfId="9861"/>
    <cellStyle name="Normal 58 2 2 4 2" xfId="9862"/>
    <cellStyle name="Normal 58 2 2 4 3" xfId="9863"/>
    <cellStyle name="Normal 58 2 2 5" xfId="9864"/>
    <cellStyle name="Normal 58 2 2 6" xfId="9865"/>
    <cellStyle name="Normal 58 2 3" xfId="9866"/>
    <cellStyle name="Normal 58 2 3 2" xfId="9867"/>
    <cellStyle name="Normal 58 2 3 2 2" xfId="9868"/>
    <cellStyle name="Normal 58 2 3 2 3" xfId="9869"/>
    <cellStyle name="Normal 58 2 3 3" xfId="9870"/>
    <cellStyle name="Normal 58 2 3 3 2" xfId="9871"/>
    <cellStyle name="Normal 58 2 3 3 3" xfId="9872"/>
    <cellStyle name="Normal 58 2 3 4" xfId="9873"/>
    <cellStyle name="Normal 58 2 3 5" xfId="9874"/>
    <cellStyle name="Normal 58 2 4" xfId="9875"/>
    <cellStyle name="Normal 58 2 4 2" xfId="9876"/>
    <cellStyle name="Normal 58 2 4 3" xfId="9877"/>
    <cellStyle name="Normal 58 2 5" xfId="9878"/>
    <cellStyle name="Normal 58 2 5 2" xfId="9879"/>
    <cellStyle name="Normal 58 2 5 3" xfId="9880"/>
    <cellStyle name="Normal 58 2 6" xfId="9881"/>
    <cellStyle name="Normal 58 2 7" xfId="9882"/>
    <cellStyle name="Normal 58 3" xfId="9883"/>
    <cellStyle name="Normal 58 3 2" xfId="9884"/>
    <cellStyle name="Normal 58 3 2 2" xfId="9885"/>
    <cellStyle name="Normal 58 3 2 2 2" xfId="9886"/>
    <cellStyle name="Normal 58 3 2 2 3" xfId="9887"/>
    <cellStyle name="Normal 58 3 2 3" xfId="9888"/>
    <cellStyle name="Normal 58 3 2 3 2" xfId="9889"/>
    <cellStyle name="Normal 58 3 2 3 3" xfId="9890"/>
    <cellStyle name="Normal 58 3 2 4" xfId="9891"/>
    <cellStyle name="Normal 58 3 2 5" xfId="9892"/>
    <cellStyle name="Normal 58 3 3" xfId="9893"/>
    <cellStyle name="Normal 58 3 3 2" xfId="9894"/>
    <cellStyle name="Normal 58 3 3 3" xfId="9895"/>
    <cellStyle name="Normal 58 3 4" xfId="9896"/>
    <cellStyle name="Normal 58 3 4 2" xfId="9897"/>
    <cellStyle name="Normal 58 3 4 3" xfId="9898"/>
    <cellStyle name="Normal 58 3 5" xfId="9899"/>
    <cellStyle name="Normal 58 3 6" xfId="9900"/>
    <cellStyle name="Normal 58 4" xfId="9901"/>
    <cellStyle name="Normal 58 4 2" xfId="9902"/>
    <cellStyle name="Normal 58 4 2 2" xfId="9903"/>
    <cellStyle name="Normal 58 4 2 3" xfId="9904"/>
    <cellStyle name="Normal 58 4 3" xfId="9905"/>
    <cellStyle name="Normal 58 4 3 2" xfId="9906"/>
    <cellStyle name="Normal 58 4 3 3" xfId="9907"/>
    <cellStyle name="Normal 58 4 4" xfId="9908"/>
    <cellStyle name="Normal 58 4 5" xfId="9909"/>
    <cellStyle name="Normal 58 5" xfId="9910"/>
    <cellStyle name="Normal 58 5 2" xfId="9911"/>
    <cellStyle name="Normal 58 5 3" xfId="9912"/>
    <cellStyle name="Normal 58 6" xfId="9913"/>
    <cellStyle name="Normal 58 6 2" xfId="9914"/>
    <cellStyle name="Normal 58 6 3" xfId="9915"/>
    <cellStyle name="Normal 58 7" xfId="9916"/>
    <cellStyle name="Normal 58 8" xfId="9917"/>
    <cellStyle name="Normal 59" xfId="213"/>
    <cellStyle name="Normal 59 2" xfId="9918"/>
    <cellStyle name="Normal 59 2 2" xfId="9919"/>
    <cellStyle name="Normal 59 2 2 2" xfId="9920"/>
    <cellStyle name="Normal 59 2 2 2 2" xfId="9921"/>
    <cellStyle name="Normal 59 2 2 2 2 2" xfId="9922"/>
    <cellStyle name="Normal 59 2 2 2 2 3" xfId="9923"/>
    <cellStyle name="Normal 59 2 2 2 3" xfId="9924"/>
    <cellStyle name="Normal 59 2 2 2 3 2" xfId="9925"/>
    <cellStyle name="Normal 59 2 2 2 3 3" xfId="9926"/>
    <cellStyle name="Normal 59 2 2 2 4" xfId="9927"/>
    <cellStyle name="Normal 59 2 2 2 5" xfId="9928"/>
    <cellStyle name="Normal 59 2 2 3" xfId="9929"/>
    <cellStyle name="Normal 59 2 2 3 2" xfId="9930"/>
    <cellStyle name="Normal 59 2 2 3 3" xfId="9931"/>
    <cellStyle name="Normal 59 2 2 4" xfId="9932"/>
    <cellStyle name="Normal 59 2 2 4 2" xfId="9933"/>
    <cellStyle name="Normal 59 2 2 4 3" xfId="9934"/>
    <cellStyle name="Normal 59 2 2 5" xfId="9935"/>
    <cellStyle name="Normal 59 2 2 6" xfId="9936"/>
    <cellStyle name="Normal 59 2 3" xfId="9937"/>
    <cellStyle name="Normal 59 2 3 2" xfId="9938"/>
    <cellStyle name="Normal 59 2 3 2 2" xfId="9939"/>
    <cellStyle name="Normal 59 2 3 2 3" xfId="9940"/>
    <cellStyle name="Normal 59 2 3 3" xfId="9941"/>
    <cellStyle name="Normal 59 2 3 3 2" xfId="9942"/>
    <cellStyle name="Normal 59 2 3 3 3" xfId="9943"/>
    <cellStyle name="Normal 59 2 3 4" xfId="9944"/>
    <cellStyle name="Normal 59 2 3 5" xfId="9945"/>
    <cellStyle name="Normal 59 2 4" xfId="9946"/>
    <cellStyle name="Normal 59 2 4 2" xfId="9947"/>
    <cellStyle name="Normal 59 2 4 3" xfId="9948"/>
    <cellStyle name="Normal 59 2 5" xfId="9949"/>
    <cellStyle name="Normal 59 2 5 2" xfId="9950"/>
    <cellStyle name="Normal 59 2 5 3" xfId="9951"/>
    <cellStyle name="Normal 59 2 6" xfId="9952"/>
    <cellStyle name="Normal 59 2 7" xfId="9953"/>
    <cellStyle name="Normal 59 3" xfId="9954"/>
    <cellStyle name="Normal 59 3 2" xfId="9955"/>
    <cellStyle name="Normal 59 3 2 2" xfId="9956"/>
    <cellStyle name="Normal 59 3 2 2 2" xfId="9957"/>
    <cellStyle name="Normal 59 3 2 2 3" xfId="9958"/>
    <cellStyle name="Normal 59 3 2 3" xfId="9959"/>
    <cellStyle name="Normal 59 3 2 3 2" xfId="9960"/>
    <cellStyle name="Normal 59 3 2 3 3" xfId="9961"/>
    <cellStyle name="Normal 59 3 2 4" xfId="9962"/>
    <cellStyle name="Normal 59 3 2 5" xfId="9963"/>
    <cellStyle name="Normal 59 3 3" xfId="9964"/>
    <cellStyle name="Normal 59 3 3 2" xfId="9965"/>
    <cellStyle name="Normal 59 3 3 3" xfId="9966"/>
    <cellStyle name="Normal 59 3 4" xfId="9967"/>
    <cellStyle name="Normal 59 3 4 2" xfId="9968"/>
    <cellStyle name="Normal 59 3 4 3" xfId="9969"/>
    <cellStyle name="Normal 59 3 5" xfId="9970"/>
    <cellStyle name="Normal 59 3 6" xfId="9971"/>
    <cellStyle name="Normal 59 4" xfId="9972"/>
    <cellStyle name="Normal 59 4 2" xfId="9973"/>
    <cellStyle name="Normal 59 4 2 2" xfId="9974"/>
    <cellStyle name="Normal 59 4 2 3" xfId="9975"/>
    <cellStyle name="Normal 59 4 3" xfId="9976"/>
    <cellStyle name="Normal 59 4 3 2" xfId="9977"/>
    <cellStyle name="Normal 59 4 3 3" xfId="9978"/>
    <cellStyle name="Normal 59 4 4" xfId="9979"/>
    <cellStyle name="Normal 59 4 5" xfId="9980"/>
    <cellStyle name="Normal 59 5" xfId="9981"/>
    <cellStyle name="Normal 59 5 2" xfId="9982"/>
    <cellStyle name="Normal 59 5 3" xfId="9983"/>
    <cellStyle name="Normal 59 6" xfId="9984"/>
    <cellStyle name="Normal 59 6 2" xfId="9985"/>
    <cellStyle name="Normal 59 6 3" xfId="9986"/>
    <cellStyle name="Normal 59 7" xfId="9987"/>
    <cellStyle name="Normal 59 8" xfId="9988"/>
    <cellStyle name="Normal 6" xfId="23"/>
    <cellStyle name="Normal 6 10" xfId="9989"/>
    <cellStyle name="Normal 6 11" xfId="9990"/>
    <cellStyle name="Normal 6 2" xfId="214"/>
    <cellStyle name="Normal 6 2 10" xfId="37442"/>
    <cellStyle name="Normal 6 2 2" xfId="9991"/>
    <cellStyle name="Normal 6 2 2 2" xfId="9992"/>
    <cellStyle name="Normal 6 2 2 2 2" xfId="9993"/>
    <cellStyle name="Normal 6 2 2 2 2 2" xfId="9994"/>
    <cellStyle name="Normal 6 2 2 2 2 2 2" xfId="9995"/>
    <cellStyle name="Normal 6 2 2 2 2 2 2 2" xfId="9996"/>
    <cellStyle name="Normal 6 2 2 2 2 2 2 3" xfId="9997"/>
    <cellStyle name="Normal 6 2 2 2 2 2 3" xfId="9998"/>
    <cellStyle name="Normal 6 2 2 2 2 2 3 2" xfId="9999"/>
    <cellStyle name="Normal 6 2 2 2 2 2 3 3" xfId="10000"/>
    <cellStyle name="Normal 6 2 2 2 2 2 4" xfId="10001"/>
    <cellStyle name="Normal 6 2 2 2 2 2 5" xfId="10002"/>
    <cellStyle name="Normal 6 2 2 2 2 3" xfId="10003"/>
    <cellStyle name="Normal 6 2 2 2 2 3 2" xfId="10004"/>
    <cellStyle name="Normal 6 2 2 2 2 3 3" xfId="10005"/>
    <cellStyle name="Normal 6 2 2 2 2 4" xfId="10006"/>
    <cellStyle name="Normal 6 2 2 2 2 4 2" xfId="10007"/>
    <cellStyle name="Normal 6 2 2 2 2 4 3" xfId="10008"/>
    <cellStyle name="Normal 6 2 2 2 2 5" xfId="10009"/>
    <cellStyle name="Normal 6 2 2 2 2 6" xfId="10010"/>
    <cellStyle name="Normal 6 2 2 2 3" xfId="10011"/>
    <cellStyle name="Normal 6 2 2 2 3 2" xfId="10012"/>
    <cellStyle name="Normal 6 2 2 2 3 2 2" xfId="10013"/>
    <cellStyle name="Normal 6 2 2 2 3 2 3" xfId="10014"/>
    <cellStyle name="Normal 6 2 2 2 3 3" xfId="10015"/>
    <cellStyle name="Normal 6 2 2 2 3 3 2" xfId="10016"/>
    <cellStyle name="Normal 6 2 2 2 3 3 3" xfId="10017"/>
    <cellStyle name="Normal 6 2 2 2 3 4" xfId="10018"/>
    <cellStyle name="Normal 6 2 2 2 3 5" xfId="10019"/>
    <cellStyle name="Normal 6 2 2 2 3 6" xfId="34892"/>
    <cellStyle name="Normal 6 2 2 2 4" xfId="10020"/>
    <cellStyle name="Normal 6 2 2 2 4 2" xfId="10021"/>
    <cellStyle name="Normal 6 2 2 2 4 3" xfId="10022"/>
    <cellStyle name="Normal 6 2 2 2 5" xfId="10023"/>
    <cellStyle name="Normal 6 2 2 2 5 2" xfId="10024"/>
    <cellStyle name="Normal 6 2 2 2 5 3" xfId="10025"/>
    <cellStyle name="Normal 6 2 2 2 6" xfId="10026"/>
    <cellStyle name="Normal 6 2 2 2 7" xfId="10027"/>
    <cellStyle name="Normal 6 2 2 3" xfId="10028"/>
    <cellStyle name="Normal 6 2 2 3 2" xfId="10029"/>
    <cellStyle name="Normal 6 2 2 3 2 2" xfId="10030"/>
    <cellStyle name="Normal 6 2 2 3 2 2 2" xfId="10031"/>
    <cellStyle name="Normal 6 2 2 3 2 2 3" xfId="10032"/>
    <cellStyle name="Normal 6 2 2 3 2 3" xfId="10033"/>
    <cellStyle name="Normal 6 2 2 3 2 3 2" xfId="10034"/>
    <cellStyle name="Normal 6 2 2 3 2 3 3" xfId="10035"/>
    <cellStyle name="Normal 6 2 2 3 2 4" xfId="10036"/>
    <cellStyle name="Normal 6 2 2 3 2 5" xfId="10037"/>
    <cellStyle name="Normal 6 2 2 3 3" xfId="10038"/>
    <cellStyle name="Normal 6 2 2 3 3 2" xfId="10039"/>
    <cellStyle name="Normal 6 2 2 3 3 3" xfId="10040"/>
    <cellStyle name="Normal 6 2 2 3 4" xfId="10041"/>
    <cellStyle name="Normal 6 2 2 3 4 2" xfId="10042"/>
    <cellStyle name="Normal 6 2 2 3 4 3" xfId="10043"/>
    <cellStyle name="Normal 6 2 2 3 5" xfId="10044"/>
    <cellStyle name="Normal 6 2 2 3 6" xfId="10045"/>
    <cellStyle name="Normal 6 2 2 4" xfId="10046"/>
    <cellStyle name="Normal 6 2 2 4 2" xfId="10047"/>
    <cellStyle name="Normal 6 2 2 4 2 2" xfId="10048"/>
    <cellStyle name="Normal 6 2 2 4 2 3" xfId="10049"/>
    <cellStyle name="Normal 6 2 2 4 3" xfId="10050"/>
    <cellStyle name="Normal 6 2 2 4 3 2" xfId="10051"/>
    <cellStyle name="Normal 6 2 2 4 3 3" xfId="10052"/>
    <cellStyle name="Normal 6 2 2 4 4" xfId="10053"/>
    <cellStyle name="Normal 6 2 2 4 5" xfId="10054"/>
    <cellStyle name="Normal 6 2 2 5" xfId="10055"/>
    <cellStyle name="Normal 6 2 2 5 2" xfId="10056"/>
    <cellStyle name="Normal 6 2 2 5 3" xfId="10057"/>
    <cellStyle name="Normal 6 2 2 6" xfId="10058"/>
    <cellStyle name="Normal 6 2 2 6 2" xfId="10059"/>
    <cellStyle name="Normal 6 2 2 6 3" xfId="10060"/>
    <cellStyle name="Normal 6 2 2 7" xfId="10061"/>
    <cellStyle name="Normal 6 2 2 8" xfId="10062"/>
    <cellStyle name="Normal 6 2 3" xfId="10063"/>
    <cellStyle name="Normal 6 2 3 2" xfId="10064"/>
    <cellStyle name="Normal 6 2 3 2 2" xfId="10065"/>
    <cellStyle name="Normal 6 2 3 2 2 2" xfId="10066"/>
    <cellStyle name="Normal 6 2 3 2 2 2 2" xfId="10067"/>
    <cellStyle name="Normal 6 2 3 2 2 2 3" xfId="10068"/>
    <cellStyle name="Normal 6 2 3 2 2 3" xfId="10069"/>
    <cellStyle name="Normal 6 2 3 2 2 3 2" xfId="10070"/>
    <cellStyle name="Normal 6 2 3 2 2 3 3" xfId="10071"/>
    <cellStyle name="Normal 6 2 3 2 2 4" xfId="10072"/>
    <cellStyle name="Normal 6 2 3 2 2 5" xfId="10073"/>
    <cellStyle name="Normal 6 2 3 2 3" xfId="10074"/>
    <cellStyle name="Normal 6 2 3 2 3 2" xfId="10075"/>
    <cellStyle name="Normal 6 2 3 2 3 3" xfId="10076"/>
    <cellStyle name="Normal 6 2 3 2 4" xfId="10077"/>
    <cellStyle name="Normal 6 2 3 2 4 2" xfId="10078"/>
    <cellStyle name="Normal 6 2 3 2 4 3" xfId="10079"/>
    <cellStyle name="Normal 6 2 3 2 5" xfId="10080"/>
    <cellStyle name="Normal 6 2 3 2 6" xfId="10081"/>
    <cellStyle name="Normal 6 2 3 3" xfId="10082"/>
    <cellStyle name="Normal 6 2 3 3 2" xfId="10083"/>
    <cellStyle name="Normal 6 2 3 3 2 2" xfId="10084"/>
    <cellStyle name="Normal 6 2 3 3 2 3" xfId="10085"/>
    <cellStyle name="Normal 6 2 3 3 3" xfId="10086"/>
    <cellStyle name="Normal 6 2 3 3 3 2" xfId="10087"/>
    <cellStyle name="Normal 6 2 3 3 3 3" xfId="10088"/>
    <cellStyle name="Normal 6 2 3 3 4" xfId="10089"/>
    <cellStyle name="Normal 6 2 3 3 5" xfId="10090"/>
    <cellStyle name="Normal 6 2 3 4" xfId="10091"/>
    <cellStyle name="Normal 6 2 3 4 2" xfId="10092"/>
    <cellStyle name="Normal 6 2 3 4 3" xfId="10093"/>
    <cellStyle name="Normal 6 2 3 5" xfId="10094"/>
    <cellStyle name="Normal 6 2 3 5 2" xfId="10095"/>
    <cellStyle name="Normal 6 2 3 5 3" xfId="10096"/>
    <cellStyle name="Normal 6 2 3 6" xfId="10097"/>
    <cellStyle name="Normal 6 2 3 7" xfId="10098"/>
    <cellStyle name="Normal 6 2 4" xfId="10099"/>
    <cellStyle name="Normal 6 2 4 2" xfId="10100"/>
    <cellStyle name="Normal 6 2 4 2 2" xfId="10101"/>
    <cellStyle name="Normal 6 2 4 2 2 2" xfId="10102"/>
    <cellStyle name="Normal 6 2 4 2 2 3" xfId="10103"/>
    <cellStyle name="Normal 6 2 4 2 3" xfId="10104"/>
    <cellStyle name="Normal 6 2 4 2 3 2" xfId="10105"/>
    <cellStyle name="Normal 6 2 4 2 3 3" xfId="10106"/>
    <cellStyle name="Normal 6 2 4 2 4" xfId="10107"/>
    <cellStyle name="Normal 6 2 4 2 5" xfId="10108"/>
    <cellStyle name="Normal 6 2 4 3" xfId="10109"/>
    <cellStyle name="Normal 6 2 4 3 2" xfId="10110"/>
    <cellStyle name="Normal 6 2 4 3 3" xfId="10111"/>
    <cellStyle name="Normal 6 2 4 4" xfId="10112"/>
    <cellStyle name="Normal 6 2 4 4 2" xfId="10113"/>
    <cellStyle name="Normal 6 2 4 4 3" xfId="10114"/>
    <cellStyle name="Normal 6 2 4 5" xfId="10115"/>
    <cellStyle name="Normal 6 2 4 6" xfId="10116"/>
    <cellStyle name="Normal 6 2 5" xfId="10117"/>
    <cellStyle name="Normal 6 2 5 2" xfId="10118"/>
    <cellStyle name="Normal 6 2 5 2 2" xfId="10119"/>
    <cellStyle name="Normal 6 2 5 2 3" xfId="10120"/>
    <cellStyle name="Normal 6 2 5 3" xfId="10121"/>
    <cellStyle name="Normal 6 2 5 3 2" xfId="10122"/>
    <cellStyle name="Normal 6 2 5 3 3" xfId="10123"/>
    <cellStyle name="Normal 6 2 5 4" xfId="10124"/>
    <cellStyle name="Normal 6 2 5 5" xfId="10125"/>
    <cellStyle name="Normal 6 2 6" xfId="10126"/>
    <cellStyle name="Normal 6 2 6 2" xfId="10127"/>
    <cellStyle name="Normal 6 2 6 3" xfId="10128"/>
    <cellStyle name="Normal 6 2 7" xfId="10129"/>
    <cellStyle name="Normal 6 2 7 2" xfId="10130"/>
    <cellStyle name="Normal 6 2 7 3" xfId="10131"/>
    <cellStyle name="Normal 6 2 8" xfId="10132"/>
    <cellStyle name="Normal 6 2 9" xfId="10133"/>
    <cellStyle name="Normal 6 3" xfId="10134"/>
    <cellStyle name="Normal 6 3 2" xfId="10135"/>
    <cellStyle name="Normal 6 3 2 2" xfId="10136"/>
    <cellStyle name="Normal 6 3 2 2 2" xfId="10137"/>
    <cellStyle name="Normal 6 3 2 2 2 2" xfId="10138"/>
    <cellStyle name="Normal 6 3 2 2 2 2 2" xfId="10139"/>
    <cellStyle name="Normal 6 3 2 2 2 2 3" xfId="10140"/>
    <cellStyle name="Normal 6 3 2 2 2 3" xfId="10141"/>
    <cellStyle name="Normal 6 3 2 2 2 3 2" xfId="10142"/>
    <cellStyle name="Normal 6 3 2 2 2 3 3" xfId="10143"/>
    <cellStyle name="Normal 6 3 2 2 2 4" xfId="10144"/>
    <cellStyle name="Normal 6 3 2 2 2 5" xfId="10145"/>
    <cellStyle name="Normal 6 3 2 2 3" xfId="10146"/>
    <cellStyle name="Normal 6 3 2 2 3 2" xfId="10147"/>
    <cellStyle name="Normal 6 3 2 2 3 3" xfId="10148"/>
    <cellStyle name="Normal 6 3 2 2 4" xfId="10149"/>
    <cellStyle name="Normal 6 3 2 2 4 2" xfId="10150"/>
    <cellStyle name="Normal 6 3 2 2 4 3" xfId="10151"/>
    <cellStyle name="Normal 6 3 2 2 5" xfId="10152"/>
    <cellStyle name="Normal 6 3 2 2 6" xfId="10153"/>
    <cellStyle name="Normal 6 3 2 3" xfId="10154"/>
    <cellStyle name="Normal 6 3 2 3 2" xfId="10155"/>
    <cellStyle name="Normal 6 3 2 3 2 2" xfId="10156"/>
    <cellStyle name="Normal 6 3 2 3 2 3" xfId="10157"/>
    <cellStyle name="Normal 6 3 2 3 3" xfId="10158"/>
    <cellStyle name="Normal 6 3 2 3 3 2" xfId="10159"/>
    <cellStyle name="Normal 6 3 2 3 3 3" xfId="10160"/>
    <cellStyle name="Normal 6 3 2 3 4" xfId="10161"/>
    <cellStyle name="Normal 6 3 2 3 5" xfId="10162"/>
    <cellStyle name="Normal 6 3 2 4" xfId="10163"/>
    <cellStyle name="Normal 6 3 2 4 2" xfId="10164"/>
    <cellStyle name="Normal 6 3 2 4 3" xfId="10165"/>
    <cellStyle name="Normal 6 3 2 5" xfId="10166"/>
    <cellStyle name="Normal 6 3 2 5 2" xfId="10167"/>
    <cellStyle name="Normal 6 3 2 5 3" xfId="10168"/>
    <cellStyle name="Normal 6 3 2 6" xfId="10169"/>
    <cellStyle name="Normal 6 3 2 7" xfId="10170"/>
    <cellStyle name="Normal 6 3 3" xfId="10171"/>
    <cellStyle name="Normal 6 3 3 2" xfId="10172"/>
    <cellStyle name="Normal 6 3 3 2 2" xfId="10173"/>
    <cellStyle name="Normal 6 3 3 2 2 2" xfId="10174"/>
    <cellStyle name="Normal 6 3 3 2 2 3" xfId="10175"/>
    <cellStyle name="Normal 6 3 3 2 3" xfId="10176"/>
    <cellStyle name="Normal 6 3 3 2 3 2" xfId="10177"/>
    <cellStyle name="Normal 6 3 3 2 3 3" xfId="10178"/>
    <cellStyle name="Normal 6 3 3 2 4" xfId="10179"/>
    <cellStyle name="Normal 6 3 3 2 5" xfId="10180"/>
    <cellStyle name="Normal 6 3 3 3" xfId="10181"/>
    <cellStyle name="Normal 6 3 3 3 2" xfId="10182"/>
    <cellStyle name="Normal 6 3 3 3 3" xfId="10183"/>
    <cellStyle name="Normal 6 3 3 4" xfId="10184"/>
    <cellStyle name="Normal 6 3 3 4 2" xfId="10185"/>
    <cellStyle name="Normal 6 3 3 4 3" xfId="10186"/>
    <cellStyle name="Normal 6 3 3 5" xfId="10187"/>
    <cellStyle name="Normal 6 3 3 6" xfId="10188"/>
    <cellStyle name="Normal 6 3 4" xfId="10189"/>
    <cellStyle name="Normal 6 3 4 2" xfId="10190"/>
    <cellStyle name="Normal 6 3 4 2 2" xfId="10191"/>
    <cellStyle name="Normal 6 3 4 2 3" xfId="10192"/>
    <cellStyle name="Normal 6 3 4 3" xfId="10193"/>
    <cellStyle name="Normal 6 3 4 3 2" xfId="10194"/>
    <cellStyle name="Normal 6 3 4 3 3" xfId="10195"/>
    <cellStyle name="Normal 6 3 4 4" xfId="10196"/>
    <cellStyle name="Normal 6 3 4 5" xfId="10197"/>
    <cellStyle name="Normal 6 3 5" xfId="10198"/>
    <cellStyle name="Normal 6 3 5 2" xfId="10199"/>
    <cellStyle name="Normal 6 3 5 3" xfId="10200"/>
    <cellStyle name="Normal 6 3 6" xfId="10201"/>
    <cellStyle name="Normal 6 3 6 2" xfId="10202"/>
    <cellStyle name="Normal 6 3 6 3" xfId="10203"/>
    <cellStyle name="Normal 6 3 7" xfId="10204"/>
    <cellStyle name="Normal 6 3 8" xfId="10205"/>
    <cellStyle name="Normal 6 4" xfId="10206"/>
    <cellStyle name="Normal 6 4 2" xfId="10207"/>
    <cellStyle name="Normal 6 4 2 2" xfId="10208"/>
    <cellStyle name="Normal 6 4 2 2 2" xfId="10209"/>
    <cellStyle name="Normal 6 4 2 2 2 2" xfId="10210"/>
    <cellStyle name="Normal 6 4 2 2 2 2 2" xfId="10211"/>
    <cellStyle name="Normal 6 4 2 2 2 2 3" xfId="10212"/>
    <cellStyle name="Normal 6 4 2 2 2 3" xfId="10213"/>
    <cellStyle name="Normal 6 4 2 2 2 3 2" xfId="10214"/>
    <cellStyle name="Normal 6 4 2 2 2 3 3" xfId="10215"/>
    <cellStyle name="Normal 6 4 2 2 2 4" xfId="10216"/>
    <cellStyle name="Normal 6 4 2 2 2 5" xfId="10217"/>
    <cellStyle name="Normal 6 4 2 2 3" xfId="10218"/>
    <cellStyle name="Normal 6 4 2 2 3 2" xfId="10219"/>
    <cellStyle name="Normal 6 4 2 2 3 3" xfId="10220"/>
    <cellStyle name="Normal 6 4 2 2 4" xfId="10221"/>
    <cellStyle name="Normal 6 4 2 2 4 2" xfId="10222"/>
    <cellStyle name="Normal 6 4 2 2 4 3" xfId="10223"/>
    <cellStyle name="Normal 6 4 2 2 5" xfId="10224"/>
    <cellStyle name="Normal 6 4 2 2 6" xfId="10225"/>
    <cellStyle name="Normal 6 4 2 3" xfId="10226"/>
    <cellStyle name="Normal 6 4 2 3 2" xfId="10227"/>
    <cellStyle name="Normal 6 4 2 3 2 2" xfId="10228"/>
    <cellStyle name="Normal 6 4 2 3 2 3" xfId="10229"/>
    <cellStyle name="Normal 6 4 2 3 3" xfId="10230"/>
    <cellStyle name="Normal 6 4 2 3 3 2" xfId="10231"/>
    <cellStyle name="Normal 6 4 2 3 3 3" xfId="10232"/>
    <cellStyle name="Normal 6 4 2 3 4" xfId="10233"/>
    <cellStyle name="Normal 6 4 2 3 5" xfId="10234"/>
    <cellStyle name="Normal 6 4 2 4" xfId="10235"/>
    <cellStyle name="Normal 6 4 2 4 2" xfId="10236"/>
    <cellStyle name="Normal 6 4 2 4 3" xfId="10237"/>
    <cellStyle name="Normal 6 4 2 5" xfId="10238"/>
    <cellStyle name="Normal 6 4 2 5 2" xfId="10239"/>
    <cellStyle name="Normal 6 4 2 5 3" xfId="10240"/>
    <cellStyle name="Normal 6 4 2 6" xfId="10241"/>
    <cellStyle name="Normal 6 4 2 7" xfId="10242"/>
    <cellStyle name="Normal 6 4 3" xfId="10243"/>
    <cellStyle name="Normal 6 4 3 2" xfId="10244"/>
    <cellStyle name="Normal 6 4 3 2 2" xfId="10245"/>
    <cellStyle name="Normal 6 4 3 2 2 2" xfId="10246"/>
    <cellStyle name="Normal 6 4 3 2 2 3" xfId="10247"/>
    <cellStyle name="Normal 6 4 3 2 3" xfId="10248"/>
    <cellStyle name="Normal 6 4 3 2 3 2" xfId="10249"/>
    <cellStyle name="Normal 6 4 3 2 3 3" xfId="10250"/>
    <cellStyle name="Normal 6 4 3 2 4" xfId="10251"/>
    <cellStyle name="Normal 6 4 3 2 5" xfId="10252"/>
    <cellStyle name="Normal 6 4 3 3" xfId="10253"/>
    <cellStyle name="Normal 6 4 3 3 2" xfId="10254"/>
    <cellStyle name="Normal 6 4 3 3 3" xfId="10255"/>
    <cellStyle name="Normal 6 4 3 4" xfId="10256"/>
    <cellStyle name="Normal 6 4 3 4 2" xfId="10257"/>
    <cellStyle name="Normal 6 4 3 4 3" xfId="10258"/>
    <cellStyle name="Normal 6 4 3 5" xfId="10259"/>
    <cellStyle name="Normal 6 4 3 6" xfId="10260"/>
    <cellStyle name="Normal 6 4 4" xfId="10261"/>
    <cellStyle name="Normal 6 4 4 2" xfId="10262"/>
    <cellStyle name="Normal 6 4 4 2 2" xfId="10263"/>
    <cellStyle name="Normal 6 4 4 2 3" xfId="10264"/>
    <cellStyle name="Normal 6 4 4 3" xfId="10265"/>
    <cellStyle name="Normal 6 4 4 3 2" xfId="10266"/>
    <cellStyle name="Normal 6 4 4 3 3" xfId="10267"/>
    <cellStyle name="Normal 6 4 4 4" xfId="10268"/>
    <cellStyle name="Normal 6 4 4 5" xfId="10269"/>
    <cellStyle name="Normal 6 4 5" xfId="10270"/>
    <cellStyle name="Normal 6 4 5 2" xfId="10271"/>
    <cellStyle name="Normal 6 4 5 3" xfId="10272"/>
    <cellStyle name="Normal 6 4 6" xfId="10273"/>
    <cellStyle name="Normal 6 4 6 2" xfId="10274"/>
    <cellStyle name="Normal 6 4 6 3" xfId="10275"/>
    <cellStyle name="Normal 6 4 7" xfId="10276"/>
    <cellStyle name="Normal 6 4 8" xfId="10277"/>
    <cellStyle name="Normal 6 5" xfId="10278"/>
    <cellStyle name="Normal 6 5 2" xfId="10279"/>
    <cellStyle name="Normal 6 5 2 2" xfId="10280"/>
    <cellStyle name="Normal 6 5 2 2 2" xfId="10281"/>
    <cellStyle name="Normal 6 5 2 2 2 2" xfId="10282"/>
    <cellStyle name="Normal 6 5 2 2 2 3" xfId="10283"/>
    <cellStyle name="Normal 6 5 2 2 3" xfId="10284"/>
    <cellStyle name="Normal 6 5 2 2 3 2" xfId="10285"/>
    <cellStyle name="Normal 6 5 2 2 3 3" xfId="10286"/>
    <cellStyle name="Normal 6 5 2 2 4" xfId="10287"/>
    <cellStyle name="Normal 6 5 2 2 5" xfId="10288"/>
    <cellStyle name="Normal 6 5 2 3" xfId="10289"/>
    <cellStyle name="Normal 6 5 2 3 2" xfId="10290"/>
    <cellStyle name="Normal 6 5 2 3 3" xfId="10291"/>
    <cellStyle name="Normal 6 5 2 4" xfId="10292"/>
    <cellStyle name="Normal 6 5 2 4 2" xfId="10293"/>
    <cellStyle name="Normal 6 5 2 4 3" xfId="10294"/>
    <cellStyle name="Normal 6 5 2 5" xfId="10295"/>
    <cellStyle name="Normal 6 5 2 6" xfId="10296"/>
    <cellStyle name="Normal 6 5 3" xfId="10297"/>
    <cellStyle name="Normal 6 5 3 2" xfId="10298"/>
    <cellStyle name="Normal 6 5 3 2 2" xfId="10299"/>
    <cellStyle name="Normal 6 5 3 2 3" xfId="10300"/>
    <cellStyle name="Normal 6 5 3 3" xfId="10301"/>
    <cellStyle name="Normal 6 5 3 3 2" xfId="10302"/>
    <cellStyle name="Normal 6 5 3 3 3" xfId="10303"/>
    <cellStyle name="Normal 6 5 3 4" xfId="10304"/>
    <cellStyle name="Normal 6 5 3 5" xfId="10305"/>
    <cellStyle name="Normal 6 5 4" xfId="10306"/>
    <cellStyle name="Normal 6 5 4 2" xfId="10307"/>
    <cellStyle name="Normal 6 5 4 3" xfId="10308"/>
    <cellStyle name="Normal 6 5 5" xfId="10309"/>
    <cellStyle name="Normal 6 5 5 2" xfId="10310"/>
    <cellStyle name="Normal 6 5 5 3" xfId="10311"/>
    <cellStyle name="Normal 6 5 6" xfId="10312"/>
    <cellStyle name="Normal 6 5 7" xfId="10313"/>
    <cellStyle name="Normal 6 6" xfId="10314"/>
    <cellStyle name="Normal 6 6 2" xfId="10315"/>
    <cellStyle name="Normal 6 6 2 2" xfId="10316"/>
    <cellStyle name="Normal 6 6 2 2 2" xfId="10317"/>
    <cellStyle name="Normal 6 6 2 2 3" xfId="10318"/>
    <cellStyle name="Normal 6 6 2 3" xfId="10319"/>
    <cellStyle name="Normal 6 6 2 3 2" xfId="10320"/>
    <cellStyle name="Normal 6 6 2 3 3" xfId="10321"/>
    <cellStyle name="Normal 6 6 2 4" xfId="10322"/>
    <cellStyle name="Normal 6 6 2 5" xfId="10323"/>
    <cellStyle name="Normal 6 6 3" xfId="10324"/>
    <cellStyle name="Normal 6 6 3 2" xfId="10325"/>
    <cellStyle name="Normal 6 6 3 3" xfId="10326"/>
    <cellStyle name="Normal 6 6 4" xfId="10327"/>
    <cellStyle name="Normal 6 6 4 2" xfId="10328"/>
    <cellStyle name="Normal 6 6 4 3" xfId="10329"/>
    <cellStyle name="Normal 6 6 5" xfId="10330"/>
    <cellStyle name="Normal 6 6 6" xfId="10331"/>
    <cellStyle name="Normal 6 7" xfId="10332"/>
    <cellStyle name="Normal 6 7 2" xfId="10333"/>
    <cellStyle name="Normal 6 7 2 2" xfId="10334"/>
    <cellStyle name="Normal 6 7 2 3" xfId="10335"/>
    <cellStyle name="Normal 6 7 3" xfId="10336"/>
    <cellStyle name="Normal 6 7 3 2" xfId="10337"/>
    <cellStyle name="Normal 6 7 3 3" xfId="10338"/>
    <cellStyle name="Normal 6 7 4" xfId="10339"/>
    <cellStyle name="Normal 6 7 5" xfId="10340"/>
    <cellStyle name="Normal 6 8" xfId="10341"/>
    <cellStyle name="Normal 6 8 2" xfId="10342"/>
    <cellStyle name="Normal 6 8 3" xfId="10343"/>
    <cellStyle name="Normal 6 9" xfId="10344"/>
    <cellStyle name="Normal 6 9 2" xfId="10345"/>
    <cellStyle name="Normal 6 9 3" xfId="10346"/>
    <cellStyle name="Normal 6_2180" xfId="10347"/>
    <cellStyle name="Normal 60" xfId="215"/>
    <cellStyle name="Normal 60 2" xfId="10348"/>
    <cellStyle name="Normal 60 2 2" xfId="10349"/>
    <cellStyle name="Normal 60 2 2 2" xfId="10350"/>
    <cellStyle name="Normal 60 2 2 2 2" xfId="10351"/>
    <cellStyle name="Normal 60 2 2 2 2 2" xfId="10352"/>
    <cellStyle name="Normal 60 2 2 2 2 3" xfId="10353"/>
    <cellStyle name="Normal 60 2 2 2 3" xfId="10354"/>
    <cellStyle name="Normal 60 2 2 2 3 2" xfId="10355"/>
    <cellStyle name="Normal 60 2 2 2 3 3" xfId="10356"/>
    <cellStyle name="Normal 60 2 2 2 4" xfId="10357"/>
    <cellStyle name="Normal 60 2 2 2 5" xfId="10358"/>
    <cellStyle name="Normal 60 2 2 3" xfId="10359"/>
    <cellStyle name="Normal 60 2 2 3 2" xfId="10360"/>
    <cellStyle name="Normal 60 2 2 3 3" xfId="10361"/>
    <cellStyle name="Normal 60 2 2 4" xfId="10362"/>
    <cellStyle name="Normal 60 2 2 4 2" xfId="10363"/>
    <cellStyle name="Normal 60 2 2 4 3" xfId="10364"/>
    <cellStyle name="Normal 60 2 2 5" xfId="10365"/>
    <cellStyle name="Normal 60 2 2 6" xfId="10366"/>
    <cellStyle name="Normal 60 2 3" xfId="10367"/>
    <cellStyle name="Normal 60 2 3 2" xfId="10368"/>
    <cellStyle name="Normal 60 2 3 2 2" xfId="10369"/>
    <cellStyle name="Normal 60 2 3 2 3" xfId="10370"/>
    <cellStyle name="Normal 60 2 3 3" xfId="10371"/>
    <cellStyle name="Normal 60 2 3 3 2" xfId="10372"/>
    <cellStyle name="Normal 60 2 3 3 3" xfId="10373"/>
    <cellStyle name="Normal 60 2 3 4" xfId="10374"/>
    <cellStyle name="Normal 60 2 3 5" xfId="10375"/>
    <cellStyle name="Normal 60 2 4" xfId="10376"/>
    <cellStyle name="Normal 60 2 4 2" xfId="10377"/>
    <cellStyle name="Normal 60 2 4 3" xfId="10378"/>
    <cellStyle name="Normal 60 2 5" xfId="10379"/>
    <cellStyle name="Normal 60 2 5 2" xfId="10380"/>
    <cellStyle name="Normal 60 2 5 3" xfId="10381"/>
    <cellStyle name="Normal 60 2 6" xfId="10382"/>
    <cellStyle name="Normal 60 2 7" xfId="10383"/>
    <cellStyle name="Normal 60 3" xfId="10384"/>
    <cellStyle name="Normal 60 3 2" xfId="10385"/>
    <cellStyle name="Normal 60 3 2 2" xfId="10386"/>
    <cellStyle name="Normal 60 3 2 2 2" xfId="10387"/>
    <cellStyle name="Normal 60 3 2 2 3" xfId="10388"/>
    <cellStyle name="Normal 60 3 2 3" xfId="10389"/>
    <cellStyle name="Normal 60 3 2 3 2" xfId="10390"/>
    <cellStyle name="Normal 60 3 2 3 3" xfId="10391"/>
    <cellStyle name="Normal 60 3 2 4" xfId="10392"/>
    <cellStyle name="Normal 60 3 2 5" xfId="10393"/>
    <cellStyle name="Normal 60 3 3" xfId="10394"/>
    <cellStyle name="Normal 60 3 3 2" xfId="10395"/>
    <cellStyle name="Normal 60 3 3 3" xfId="10396"/>
    <cellStyle name="Normal 60 3 4" xfId="10397"/>
    <cellStyle name="Normal 60 3 4 2" xfId="10398"/>
    <cellStyle name="Normal 60 3 4 3" xfId="10399"/>
    <cellStyle name="Normal 60 3 5" xfId="10400"/>
    <cellStyle name="Normal 60 3 6" xfId="10401"/>
    <cellStyle name="Normal 60 4" xfId="10402"/>
    <cellStyle name="Normal 60 4 2" xfId="10403"/>
    <cellStyle name="Normal 60 4 2 2" xfId="10404"/>
    <cellStyle name="Normal 60 4 2 3" xfId="10405"/>
    <cellStyle name="Normal 60 4 3" xfId="10406"/>
    <cellStyle name="Normal 60 4 3 2" xfId="10407"/>
    <cellStyle name="Normal 60 4 3 3" xfId="10408"/>
    <cellStyle name="Normal 60 4 4" xfId="10409"/>
    <cellStyle name="Normal 60 4 5" xfId="10410"/>
    <cellStyle name="Normal 60 5" xfId="10411"/>
    <cellStyle name="Normal 60 5 2" xfId="10412"/>
    <cellStyle name="Normal 60 5 3" xfId="10413"/>
    <cellStyle name="Normal 60 6" xfId="10414"/>
    <cellStyle name="Normal 60 6 2" xfId="10415"/>
    <cellStyle name="Normal 60 6 3" xfId="10416"/>
    <cellStyle name="Normal 60 7" xfId="10417"/>
    <cellStyle name="Normal 60 8" xfId="10418"/>
    <cellStyle name="Normal 61" xfId="216"/>
    <cellStyle name="Normal 61 2" xfId="10419"/>
    <cellStyle name="Normal 61 2 2" xfId="10420"/>
    <cellStyle name="Normal 61 2 2 2" xfId="10421"/>
    <cellStyle name="Normal 61 2 2 2 2" xfId="10422"/>
    <cellStyle name="Normal 61 2 2 2 2 2" xfId="10423"/>
    <cellStyle name="Normal 61 2 2 2 2 3" xfId="10424"/>
    <cellStyle name="Normal 61 2 2 2 3" xfId="10425"/>
    <cellStyle name="Normal 61 2 2 2 3 2" xfId="10426"/>
    <cellStyle name="Normal 61 2 2 2 3 3" xfId="10427"/>
    <cellStyle name="Normal 61 2 2 2 4" xfId="10428"/>
    <cellStyle name="Normal 61 2 2 2 5" xfId="10429"/>
    <cellStyle name="Normal 61 2 2 3" xfId="10430"/>
    <cellStyle name="Normal 61 2 2 3 2" xfId="10431"/>
    <cellStyle name="Normal 61 2 2 3 3" xfId="10432"/>
    <cellStyle name="Normal 61 2 2 4" xfId="10433"/>
    <cellStyle name="Normal 61 2 2 4 2" xfId="10434"/>
    <cellStyle name="Normal 61 2 2 4 3" xfId="10435"/>
    <cellStyle name="Normal 61 2 2 5" xfId="10436"/>
    <cellStyle name="Normal 61 2 2 6" xfId="10437"/>
    <cellStyle name="Normal 61 2 3" xfId="10438"/>
    <cellStyle name="Normal 61 2 3 2" xfId="10439"/>
    <cellStyle name="Normal 61 2 3 2 2" xfId="10440"/>
    <cellStyle name="Normal 61 2 3 2 3" xfId="10441"/>
    <cellStyle name="Normal 61 2 3 3" xfId="10442"/>
    <cellStyle name="Normal 61 2 3 3 2" xfId="10443"/>
    <cellStyle name="Normal 61 2 3 3 3" xfId="10444"/>
    <cellStyle name="Normal 61 2 3 4" xfId="10445"/>
    <cellStyle name="Normal 61 2 3 5" xfId="10446"/>
    <cellStyle name="Normal 61 2 4" xfId="10447"/>
    <cellStyle name="Normal 61 2 4 2" xfId="10448"/>
    <cellStyle name="Normal 61 2 4 3" xfId="10449"/>
    <cellStyle name="Normal 61 2 5" xfId="10450"/>
    <cellStyle name="Normal 61 2 5 2" xfId="10451"/>
    <cellStyle name="Normal 61 2 5 3" xfId="10452"/>
    <cellStyle name="Normal 61 2 6" xfId="10453"/>
    <cellStyle name="Normal 61 2 7" xfId="10454"/>
    <cellStyle name="Normal 61 3" xfId="10455"/>
    <cellStyle name="Normal 61 3 2" xfId="10456"/>
    <cellStyle name="Normal 61 3 2 2" xfId="10457"/>
    <cellStyle name="Normal 61 3 2 2 2" xfId="10458"/>
    <cellStyle name="Normal 61 3 2 2 3" xfId="10459"/>
    <cellStyle name="Normal 61 3 2 3" xfId="10460"/>
    <cellStyle name="Normal 61 3 2 3 2" xfId="10461"/>
    <cellStyle name="Normal 61 3 2 3 3" xfId="10462"/>
    <cellStyle name="Normal 61 3 2 4" xfId="10463"/>
    <cellStyle name="Normal 61 3 2 5" xfId="10464"/>
    <cellStyle name="Normal 61 3 3" xfId="10465"/>
    <cellStyle name="Normal 61 3 3 2" xfId="10466"/>
    <cellStyle name="Normal 61 3 3 3" xfId="10467"/>
    <cellStyle name="Normal 61 3 4" xfId="10468"/>
    <cellStyle name="Normal 61 3 4 2" xfId="10469"/>
    <cellStyle name="Normal 61 3 4 3" xfId="10470"/>
    <cellStyle name="Normal 61 3 5" xfId="10471"/>
    <cellStyle name="Normal 61 3 6" xfId="10472"/>
    <cellStyle name="Normal 61 4" xfId="10473"/>
    <cellStyle name="Normal 61 4 2" xfId="10474"/>
    <cellStyle name="Normal 61 4 2 2" xfId="10475"/>
    <cellStyle name="Normal 61 4 2 3" xfId="10476"/>
    <cellStyle name="Normal 61 4 3" xfId="10477"/>
    <cellStyle name="Normal 61 4 3 2" xfId="10478"/>
    <cellStyle name="Normal 61 4 3 3" xfId="10479"/>
    <cellStyle name="Normal 61 4 4" xfId="10480"/>
    <cellStyle name="Normal 61 4 5" xfId="10481"/>
    <cellStyle name="Normal 61 5" xfId="10482"/>
    <cellStyle name="Normal 61 5 2" xfId="10483"/>
    <cellStyle name="Normal 61 5 3" xfId="10484"/>
    <cellStyle name="Normal 61 6" xfId="10485"/>
    <cellStyle name="Normal 61 6 2" xfId="10486"/>
    <cellStyle name="Normal 61 6 3" xfId="10487"/>
    <cellStyle name="Normal 61 7" xfId="10488"/>
    <cellStyle name="Normal 61 8" xfId="10489"/>
    <cellStyle name="Normal 62" xfId="217"/>
    <cellStyle name="Normal 62 2" xfId="10490"/>
    <cellStyle name="Normal 62 2 2" xfId="10491"/>
    <cellStyle name="Normal 62 2 2 2" xfId="10492"/>
    <cellStyle name="Normal 62 2 2 2 2" xfId="10493"/>
    <cellStyle name="Normal 62 2 2 2 2 2" xfId="10494"/>
    <cellStyle name="Normal 62 2 2 2 2 3" xfId="10495"/>
    <cellStyle name="Normal 62 2 2 2 3" xfId="10496"/>
    <cellStyle name="Normal 62 2 2 2 3 2" xfId="10497"/>
    <cellStyle name="Normal 62 2 2 2 3 3" xfId="10498"/>
    <cellStyle name="Normal 62 2 2 2 4" xfId="10499"/>
    <cellStyle name="Normal 62 2 2 2 5" xfId="10500"/>
    <cellStyle name="Normal 62 2 2 3" xfId="10501"/>
    <cellStyle name="Normal 62 2 2 3 2" xfId="10502"/>
    <cellStyle name="Normal 62 2 2 3 3" xfId="10503"/>
    <cellStyle name="Normal 62 2 2 4" xfId="10504"/>
    <cellStyle name="Normal 62 2 2 4 2" xfId="10505"/>
    <cellStyle name="Normal 62 2 2 4 3" xfId="10506"/>
    <cellStyle name="Normal 62 2 2 5" xfId="10507"/>
    <cellStyle name="Normal 62 2 2 6" xfId="10508"/>
    <cellStyle name="Normal 62 2 3" xfId="10509"/>
    <cellStyle name="Normal 62 2 3 2" xfId="10510"/>
    <cellStyle name="Normal 62 2 3 2 2" xfId="10511"/>
    <cellStyle name="Normal 62 2 3 2 3" xfId="10512"/>
    <cellStyle name="Normal 62 2 3 3" xfId="10513"/>
    <cellStyle name="Normal 62 2 3 3 2" xfId="10514"/>
    <cellStyle name="Normal 62 2 3 3 3" xfId="10515"/>
    <cellStyle name="Normal 62 2 3 4" xfId="10516"/>
    <cellStyle name="Normal 62 2 3 5" xfId="10517"/>
    <cellStyle name="Normal 62 2 4" xfId="10518"/>
    <cellStyle name="Normal 62 2 4 2" xfId="10519"/>
    <cellStyle name="Normal 62 2 4 3" xfId="10520"/>
    <cellStyle name="Normal 62 2 5" xfId="10521"/>
    <cellStyle name="Normal 62 2 5 2" xfId="10522"/>
    <cellStyle name="Normal 62 2 5 3" xfId="10523"/>
    <cellStyle name="Normal 62 2 6" xfId="10524"/>
    <cellStyle name="Normal 62 2 7" xfId="10525"/>
    <cellStyle name="Normal 62 3" xfId="10526"/>
    <cellStyle name="Normal 62 3 2" xfId="10527"/>
    <cellStyle name="Normal 62 3 2 2" xfId="10528"/>
    <cellStyle name="Normal 62 3 2 2 2" xfId="10529"/>
    <cellStyle name="Normal 62 3 2 2 3" xfId="10530"/>
    <cellStyle name="Normal 62 3 2 3" xfId="10531"/>
    <cellStyle name="Normal 62 3 2 3 2" xfId="10532"/>
    <cellStyle name="Normal 62 3 2 3 3" xfId="10533"/>
    <cellStyle name="Normal 62 3 2 4" xfId="10534"/>
    <cellStyle name="Normal 62 3 2 5" xfId="10535"/>
    <cellStyle name="Normal 62 3 3" xfId="10536"/>
    <cellStyle name="Normal 62 3 3 2" xfId="10537"/>
    <cellStyle name="Normal 62 3 3 3" xfId="10538"/>
    <cellStyle name="Normal 62 3 4" xfId="10539"/>
    <cellStyle name="Normal 62 3 4 2" xfId="10540"/>
    <cellStyle name="Normal 62 3 4 3" xfId="10541"/>
    <cellStyle name="Normal 62 3 5" xfId="10542"/>
    <cellStyle name="Normal 62 3 6" xfId="10543"/>
    <cellStyle name="Normal 62 4" xfId="10544"/>
    <cellStyle name="Normal 62 4 2" xfId="10545"/>
    <cellStyle name="Normal 62 4 2 2" xfId="10546"/>
    <cellStyle name="Normal 62 4 2 3" xfId="10547"/>
    <cellStyle name="Normal 62 4 3" xfId="10548"/>
    <cellStyle name="Normal 62 4 3 2" xfId="10549"/>
    <cellStyle name="Normal 62 4 3 3" xfId="10550"/>
    <cellStyle name="Normal 62 4 4" xfId="10551"/>
    <cellStyle name="Normal 62 4 5" xfId="10552"/>
    <cellStyle name="Normal 62 5" xfId="10553"/>
    <cellStyle name="Normal 62 5 2" xfId="10554"/>
    <cellStyle name="Normal 62 5 3" xfId="10555"/>
    <cellStyle name="Normal 62 6" xfId="10556"/>
    <cellStyle name="Normal 62 6 2" xfId="10557"/>
    <cellStyle name="Normal 62 6 3" xfId="10558"/>
    <cellStyle name="Normal 62 7" xfId="10559"/>
    <cellStyle name="Normal 62 8" xfId="10560"/>
    <cellStyle name="Normal 63" xfId="218"/>
    <cellStyle name="Normal 63 2" xfId="10561"/>
    <cellStyle name="Normal 63 2 2" xfId="10562"/>
    <cellStyle name="Normal 63 2 2 2" xfId="10563"/>
    <cellStyle name="Normal 63 2 2 2 2" xfId="10564"/>
    <cellStyle name="Normal 63 2 2 2 2 2" xfId="10565"/>
    <cellStyle name="Normal 63 2 2 2 2 3" xfId="10566"/>
    <cellStyle name="Normal 63 2 2 2 3" xfId="10567"/>
    <cellStyle name="Normal 63 2 2 2 3 2" xfId="10568"/>
    <cellStyle name="Normal 63 2 2 2 3 3" xfId="10569"/>
    <cellStyle name="Normal 63 2 2 2 4" xfId="10570"/>
    <cellStyle name="Normal 63 2 2 2 5" xfId="10571"/>
    <cellStyle name="Normal 63 2 2 3" xfId="10572"/>
    <cellStyle name="Normal 63 2 2 3 2" xfId="10573"/>
    <cellStyle name="Normal 63 2 2 3 3" xfId="10574"/>
    <cellStyle name="Normal 63 2 2 4" xfId="10575"/>
    <cellStyle name="Normal 63 2 2 4 2" xfId="10576"/>
    <cellStyle name="Normal 63 2 2 4 3" xfId="10577"/>
    <cellStyle name="Normal 63 2 2 5" xfId="10578"/>
    <cellStyle name="Normal 63 2 2 6" xfId="10579"/>
    <cellStyle name="Normal 63 2 3" xfId="10580"/>
    <cellStyle name="Normal 63 2 3 2" xfId="10581"/>
    <cellStyle name="Normal 63 2 3 2 2" xfId="10582"/>
    <cellStyle name="Normal 63 2 3 2 3" xfId="10583"/>
    <cellStyle name="Normal 63 2 3 3" xfId="10584"/>
    <cellStyle name="Normal 63 2 3 3 2" xfId="10585"/>
    <cellStyle name="Normal 63 2 3 3 3" xfId="10586"/>
    <cellStyle name="Normal 63 2 3 4" xfId="10587"/>
    <cellStyle name="Normal 63 2 3 5" xfId="10588"/>
    <cellStyle name="Normal 63 2 4" xfId="10589"/>
    <cellStyle name="Normal 63 2 4 2" xfId="10590"/>
    <cellStyle name="Normal 63 2 4 3" xfId="10591"/>
    <cellStyle name="Normal 63 2 5" xfId="10592"/>
    <cellStyle name="Normal 63 2 5 2" xfId="10593"/>
    <cellStyle name="Normal 63 2 5 3" xfId="10594"/>
    <cellStyle name="Normal 63 2 6" xfId="10595"/>
    <cellStyle name="Normal 63 2 7" xfId="10596"/>
    <cellStyle name="Normal 63 3" xfId="10597"/>
    <cellStyle name="Normal 63 3 2" xfId="10598"/>
    <cellStyle name="Normal 63 3 2 2" xfId="10599"/>
    <cellStyle name="Normal 63 3 2 2 2" xfId="10600"/>
    <cellStyle name="Normal 63 3 2 2 3" xfId="10601"/>
    <cellStyle name="Normal 63 3 2 3" xfId="10602"/>
    <cellStyle name="Normal 63 3 2 3 2" xfId="10603"/>
    <cellStyle name="Normal 63 3 2 3 3" xfId="10604"/>
    <cellStyle name="Normal 63 3 2 4" xfId="10605"/>
    <cellStyle name="Normal 63 3 2 5" xfId="10606"/>
    <cellStyle name="Normal 63 3 3" xfId="10607"/>
    <cellStyle name="Normal 63 3 3 2" xfId="10608"/>
    <cellStyle name="Normal 63 3 3 3" xfId="10609"/>
    <cellStyle name="Normal 63 3 4" xfId="10610"/>
    <cellStyle name="Normal 63 3 4 2" xfId="10611"/>
    <cellStyle name="Normal 63 3 4 3" xfId="10612"/>
    <cellStyle name="Normal 63 3 5" xfId="10613"/>
    <cellStyle name="Normal 63 3 6" xfId="10614"/>
    <cellStyle name="Normal 63 4" xfId="10615"/>
    <cellStyle name="Normal 63 4 2" xfId="10616"/>
    <cellStyle name="Normal 63 4 2 2" xfId="10617"/>
    <cellStyle name="Normal 63 4 2 3" xfId="10618"/>
    <cellStyle name="Normal 63 4 3" xfId="10619"/>
    <cellStyle name="Normal 63 4 3 2" xfId="10620"/>
    <cellStyle name="Normal 63 4 3 3" xfId="10621"/>
    <cellStyle name="Normal 63 4 4" xfId="10622"/>
    <cellStyle name="Normal 63 4 5" xfId="10623"/>
    <cellStyle name="Normal 63 5" xfId="10624"/>
    <cellStyle name="Normal 63 5 2" xfId="10625"/>
    <cellStyle name="Normal 63 5 3" xfId="10626"/>
    <cellStyle name="Normal 63 6" xfId="10627"/>
    <cellStyle name="Normal 63 6 2" xfId="10628"/>
    <cellStyle name="Normal 63 6 3" xfId="10629"/>
    <cellStyle name="Normal 63 7" xfId="10630"/>
    <cellStyle name="Normal 63 8" xfId="10631"/>
    <cellStyle name="Normal 64" xfId="219"/>
    <cellStyle name="Normal 64 2" xfId="10632"/>
    <cellStyle name="Normal 64 3" xfId="10633"/>
    <cellStyle name="Normal 65" xfId="220"/>
    <cellStyle name="Normal 65 2" xfId="10634"/>
    <cellStyle name="Normal 65 2 2" xfId="10635"/>
    <cellStyle name="Normal 65 2 2 2" xfId="10636"/>
    <cellStyle name="Normal 65 2 2 2 2" xfId="10637"/>
    <cellStyle name="Normal 65 2 2 2 2 2" xfId="10638"/>
    <cellStyle name="Normal 65 2 2 2 2 3" xfId="10639"/>
    <cellStyle name="Normal 65 2 2 2 3" xfId="10640"/>
    <cellStyle name="Normal 65 2 2 2 3 2" xfId="10641"/>
    <cellStyle name="Normal 65 2 2 2 3 3" xfId="10642"/>
    <cellStyle name="Normal 65 2 2 2 4" xfId="10643"/>
    <cellStyle name="Normal 65 2 2 2 5" xfId="10644"/>
    <cellStyle name="Normal 65 2 2 3" xfId="10645"/>
    <cellStyle name="Normal 65 2 2 3 2" xfId="10646"/>
    <cellStyle name="Normal 65 2 2 3 3" xfId="10647"/>
    <cellStyle name="Normal 65 2 2 4" xfId="10648"/>
    <cellStyle name="Normal 65 2 2 4 2" xfId="10649"/>
    <cellStyle name="Normal 65 2 2 4 3" xfId="10650"/>
    <cellStyle name="Normal 65 2 2 5" xfId="10651"/>
    <cellStyle name="Normal 65 2 2 6" xfId="10652"/>
    <cellStyle name="Normal 65 2 3" xfId="10653"/>
    <cellStyle name="Normal 65 2 3 2" xfId="10654"/>
    <cellStyle name="Normal 65 2 3 2 2" xfId="10655"/>
    <cellStyle name="Normal 65 2 3 2 3" xfId="10656"/>
    <cellStyle name="Normal 65 2 3 3" xfId="10657"/>
    <cellStyle name="Normal 65 2 3 3 2" xfId="10658"/>
    <cellStyle name="Normal 65 2 3 3 3" xfId="10659"/>
    <cellStyle name="Normal 65 2 3 4" xfId="10660"/>
    <cellStyle name="Normal 65 2 3 5" xfId="10661"/>
    <cellStyle name="Normal 65 2 4" xfId="10662"/>
    <cellStyle name="Normal 65 2 4 2" xfId="10663"/>
    <cellStyle name="Normal 65 2 4 3" xfId="10664"/>
    <cellStyle name="Normal 65 2 5" xfId="10665"/>
    <cellStyle name="Normal 65 2 5 2" xfId="10666"/>
    <cellStyle name="Normal 65 2 5 3" xfId="10667"/>
    <cellStyle name="Normal 65 2 6" xfId="10668"/>
    <cellStyle name="Normal 65 2 7" xfId="10669"/>
    <cellStyle name="Normal 65 3" xfId="10670"/>
    <cellStyle name="Normal 65 3 2" xfId="10671"/>
    <cellStyle name="Normal 65 3 2 2" xfId="10672"/>
    <cellStyle name="Normal 65 3 2 2 2" xfId="10673"/>
    <cellStyle name="Normal 65 3 2 2 3" xfId="10674"/>
    <cellStyle name="Normal 65 3 2 3" xfId="10675"/>
    <cellStyle name="Normal 65 3 2 3 2" xfId="10676"/>
    <cellStyle name="Normal 65 3 2 3 3" xfId="10677"/>
    <cellStyle name="Normal 65 3 2 4" xfId="10678"/>
    <cellStyle name="Normal 65 3 2 5" xfId="10679"/>
    <cellStyle name="Normal 65 3 3" xfId="10680"/>
    <cellStyle name="Normal 65 3 3 2" xfId="10681"/>
    <cellStyle name="Normal 65 3 3 3" xfId="10682"/>
    <cellStyle name="Normal 65 3 4" xfId="10683"/>
    <cellStyle name="Normal 65 3 4 2" xfId="10684"/>
    <cellStyle name="Normal 65 3 4 3" xfId="10685"/>
    <cellStyle name="Normal 65 3 5" xfId="10686"/>
    <cellStyle name="Normal 65 3 6" xfId="10687"/>
    <cellStyle name="Normal 65 4" xfId="10688"/>
    <cellStyle name="Normal 65 4 2" xfId="10689"/>
    <cellStyle name="Normal 65 4 2 2" xfId="10690"/>
    <cellStyle name="Normal 65 4 2 3" xfId="10691"/>
    <cellStyle name="Normal 65 4 3" xfId="10692"/>
    <cellStyle name="Normal 65 4 3 2" xfId="10693"/>
    <cellStyle name="Normal 65 4 3 3" xfId="10694"/>
    <cellStyle name="Normal 65 4 4" xfId="10695"/>
    <cellStyle name="Normal 65 4 5" xfId="10696"/>
    <cellStyle name="Normal 65 5" xfId="10697"/>
    <cellStyle name="Normal 65 5 2" xfId="10698"/>
    <cellStyle name="Normal 65 5 3" xfId="10699"/>
    <cellStyle name="Normal 65 6" xfId="10700"/>
    <cellStyle name="Normal 65 6 2" xfId="10701"/>
    <cellStyle name="Normal 65 6 3" xfId="10702"/>
    <cellStyle name="Normal 65 7" xfId="10703"/>
    <cellStyle name="Normal 65 8" xfId="10704"/>
    <cellStyle name="Normal 66" xfId="221"/>
    <cellStyle name="Normal 66 2" xfId="10705"/>
    <cellStyle name="Normal 66 3" xfId="10706"/>
    <cellStyle name="Normal 67" xfId="222"/>
    <cellStyle name="Normal 67 2" xfId="10707"/>
    <cellStyle name="Normal 67 3" xfId="10708"/>
    <cellStyle name="Normal 68" xfId="223"/>
    <cellStyle name="Normal 68 2" xfId="10709"/>
    <cellStyle name="Normal 68 3" xfId="10710"/>
    <cellStyle name="Normal 69" xfId="224"/>
    <cellStyle name="Normal 69 2" xfId="10711"/>
    <cellStyle name="Normal 69 3" xfId="10712"/>
    <cellStyle name="Normal 7" xfId="225"/>
    <cellStyle name="Normal 7 10" xfId="10713"/>
    <cellStyle name="Normal 7 10 2" xfId="10714"/>
    <cellStyle name="Normal 7 10 3" xfId="10715"/>
    <cellStyle name="Normal 7 11" xfId="10716"/>
    <cellStyle name="Normal 7 12" xfId="10717"/>
    <cellStyle name="Normal 7 2" xfId="10718"/>
    <cellStyle name="Normal 7 2 10" xfId="10719"/>
    <cellStyle name="Normal 7 2 11" xfId="10720"/>
    <cellStyle name="Normal 7 2 12" xfId="37441"/>
    <cellStyle name="Normal 7 2 2" xfId="10721"/>
    <cellStyle name="Normal 7 2 2 2" xfId="10722"/>
    <cellStyle name="Normal 7 2 2 2 2" xfId="10723"/>
    <cellStyle name="Normal 7 2 2 2 2 2" xfId="10724"/>
    <cellStyle name="Normal 7 2 2 2 2 2 2" xfId="10725"/>
    <cellStyle name="Normal 7 2 2 2 2 2 2 2" xfId="10726"/>
    <cellStyle name="Normal 7 2 2 2 2 2 2 2 2" xfId="10727"/>
    <cellStyle name="Normal 7 2 2 2 2 2 2 2 3" xfId="10728"/>
    <cellStyle name="Normal 7 2 2 2 2 2 2 3" xfId="10729"/>
    <cellStyle name="Normal 7 2 2 2 2 2 2 3 2" xfId="10730"/>
    <cellStyle name="Normal 7 2 2 2 2 2 2 3 3" xfId="10731"/>
    <cellStyle name="Normal 7 2 2 2 2 2 2 4" xfId="10732"/>
    <cellStyle name="Normal 7 2 2 2 2 2 2 5" xfId="10733"/>
    <cellStyle name="Normal 7 2 2 2 2 2 3" xfId="10734"/>
    <cellStyle name="Normal 7 2 2 2 2 2 3 2" xfId="10735"/>
    <cellStyle name="Normal 7 2 2 2 2 2 3 3" xfId="10736"/>
    <cellStyle name="Normal 7 2 2 2 2 2 4" xfId="10737"/>
    <cellStyle name="Normal 7 2 2 2 2 2 4 2" xfId="10738"/>
    <cellStyle name="Normal 7 2 2 2 2 2 4 3" xfId="10739"/>
    <cellStyle name="Normal 7 2 2 2 2 2 5" xfId="10740"/>
    <cellStyle name="Normal 7 2 2 2 2 2 6" xfId="10741"/>
    <cellStyle name="Normal 7 2 2 2 2 3" xfId="10742"/>
    <cellStyle name="Normal 7 2 2 2 2 3 2" xfId="10743"/>
    <cellStyle name="Normal 7 2 2 2 2 3 2 2" xfId="10744"/>
    <cellStyle name="Normal 7 2 2 2 2 3 2 3" xfId="10745"/>
    <cellStyle name="Normal 7 2 2 2 2 3 3" xfId="10746"/>
    <cellStyle name="Normal 7 2 2 2 2 3 3 2" xfId="10747"/>
    <cellStyle name="Normal 7 2 2 2 2 3 3 3" xfId="10748"/>
    <cellStyle name="Normal 7 2 2 2 2 3 4" xfId="10749"/>
    <cellStyle name="Normal 7 2 2 2 2 3 5" xfId="10750"/>
    <cellStyle name="Normal 7 2 2 2 2 4" xfId="10751"/>
    <cellStyle name="Normal 7 2 2 2 2 4 2" xfId="10752"/>
    <cellStyle name="Normal 7 2 2 2 2 4 3" xfId="10753"/>
    <cellStyle name="Normal 7 2 2 2 2 5" xfId="10754"/>
    <cellStyle name="Normal 7 2 2 2 2 5 2" xfId="10755"/>
    <cellStyle name="Normal 7 2 2 2 2 5 3" xfId="10756"/>
    <cellStyle name="Normal 7 2 2 2 2 6" xfId="10757"/>
    <cellStyle name="Normal 7 2 2 2 2 7" xfId="10758"/>
    <cellStyle name="Normal 7 2 2 2 3" xfId="10759"/>
    <cellStyle name="Normal 7 2 2 2 3 2" xfId="10760"/>
    <cellStyle name="Normal 7 2 2 2 3 2 2" xfId="10761"/>
    <cellStyle name="Normal 7 2 2 2 3 2 2 2" xfId="10762"/>
    <cellStyle name="Normal 7 2 2 2 3 2 2 3" xfId="10763"/>
    <cellStyle name="Normal 7 2 2 2 3 2 3" xfId="10764"/>
    <cellStyle name="Normal 7 2 2 2 3 2 3 2" xfId="10765"/>
    <cellStyle name="Normal 7 2 2 2 3 2 3 3" xfId="10766"/>
    <cellStyle name="Normal 7 2 2 2 3 2 4" xfId="10767"/>
    <cellStyle name="Normal 7 2 2 2 3 2 5" xfId="10768"/>
    <cellStyle name="Normal 7 2 2 2 3 3" xfId="10769"/>
    <cellStyle name="Normal 7 2 2 2 3 3 2" xfId="10770"/>
    <cellStyle name="Normal 7 2 2 2 3 3 3" xfId="10771"/>
    <cellStyle name="Normal 7 2 2 2 3 4" xfId="10772"/>
    <cellStyle name="Normal 7 2 2 2 3 4 2" xfId="10773"/>
    <cellStyle name="Normal 7 2 2 2 3 4 3" xfId="10774"/>
    <cellStyle name="Normal 7 2 2 2 3 5" xfId="10775"/>
    <cellStyle name="Normal 7 2 2 2 3 6" xfId="10776"/>
    <cellStyle name="Normal 7 2 2 2 4" xfId="10777"/>
    <cellStyle name="Normal 7 2 2 2 4 2" xfId="10778"/>
    <cellStyle name="Normal 7 2 2 2 4 2 2" xfId="10779"/>
    <cellStyle name="Normal 7 2 2 2 4 2 3" xfId="10780"/>
    <cellStyle name="Normal 7 2 2 2 4 3" xfId="10781"/>
    <cellStyle name="Normal 7 2 2 2 4 3 2" xfId="10782"/>
    <cellStyle name="Normal 7 2 2 2 4 3 3" xfId="10783"/>
    <cellStyle name="Normal 7 2 2 2 4 4" xfId="10784"/>
    <cellStyle name="Normal 7 2 2 2 4 5" xfId="10785"/>
    <cellStyle name="Normal 7 2 2 2 5" xfId="10786"/>
    <cellStyle name="Normal 7 2 2 2 5 2" xfId="10787"/>
    <cellStyle name="Normal 7 2 2 2 5 3" xfId="10788"/>
    <cellStyle name="Normal 7 2 2 2 6" xfId="10789"/>
    <cellStyle name="Normal 7 2 2 2 6 2" xfId="10790"/>
    <cellStyle name="Normal 7 2 2 2 6 3" xfId="10791"/>
    <cellStyle name="Normal 7 2 2 2 7" xfId="10792"/>
    <cellStyle name="Normal 7 2 2 2 8" xfId="10793"/>
    <cellStyle name="Normal 7 2 2 3" xfId="10794"/>
    <cellStyle name="Normal 7 2 2 3 2" xfId="10795"/>
    <cellStyle name="Normal 7 2 2 3 2 2" xfId="10796"/>
    <cellStyle name="Normal 7 2 2 3 2 2 2" xfId="10797"/>
    <cellStyle name="Normal 7 2 2 3 2 2 2 2" xfId="10798"/>
    <cellStyle name="Normal 7 2 2 3 2 2 2 3" xfId="10799"/>
    <cellStyle name="Normal 7 2 2 3 2 2 3" xfId="10800"/>
    <cellStyle name="Normal 7 2 2 3 2 2 3 2" xfId="10801"/>
    <cellStyle name="Normal 7 2 2 3 2 2 3 3" xfId="10802"/>
    <cellStyle name="Normal 7 2 2 3 2 2 4" xfId="10803"/>
    <cellStyle name="Normal 7 2 2 3 2 2 5" xfId="10804"/>
    <cellStyle name="Normal 7 2 2 3 2 3" xfId="10805"/>
    <cellStyle name="Normal 7 2 2 3 2 3 2" xfId="10806"/>
    <cellStyle name="Normal 7 2 2 3 2 3 3" xfId="10807"/>
    <cellStyle name="Normal 7 2 2 3 2 4" xfId="10808"/>
    <cellStyle name="Normal 7 2 2 3 2 4 2" xfId="10809"/>
    <cellStyle name="Normal 7 2 2 3 2 4 3" xfId="10810"/>
    <cellStyle name="Normal 7 2 2 3 2 5" xfId="10811"/>
    <cellStyle name="Normal 7 2 2 3 2 6" xfId="10812"/>
    <cellStyle name="Normal 7 2 2 3 3" xfId="10813"/>
    <cellStyle name="Normal 7 2 2 3 3 2" xfId="10814"/>
    <cellStyle name="Normal 7 2 2 3 3 2 2" xfId="10815"/>
    <cellStyle name="Normal 7 2 2 3 3 2 3" xfId="10816"/>
    <cellStyle name="Normal 7 2 2 3 3 3" xfId="10817"/>
    <cellStyle name="Normal 7 2 2 3 3 3 2" xfId="10818"/>
    <cellStyle name="Normal 7 2 2 3 3 3 3" xfId="10819"/>
    <cellStyle name="Normal 7 2 2 3 3 4" xfId="10820"/>
    <cellStyle name="Normal 7 2 2 3 3 5" xfId="10821"/>
    <cellStyle name="Normal 7 2 2 3 3 6" xfId="34901"/>
    <cellStyle name="Normal 7 2 2 3 4" xfId="10822"/>
    <cellStyle name="Normal 7 2 2 3 4 2" xfId="10823"/>
    <cellStyle name="Normal 7 2 2 3 4 3" xfId="10824"/>
    <cellStyle name="Normal 7 2 2 3 5" xfId="10825"/>
    <cellStyle name="Normal 7 2 2 3 5 2" xfId="10826"/>
    <cellStyle name="Normal 7 2 2 3 5 3" xfId="10827"/>
    <cellStyle name="Normal 7 2 2 3 6" xfId="10828"/>
    <cellStyle name="Normal 7 2 2 3 7" xfId="10829"/>
    <cellStyle name="Normal 7 2 2 4" xfId="10830"/>
    <cellStyle name="Normal 7 2 2 4 2" xfId="10831"/>
    <cellStyle name="Normal 7 2 2 4 2 2" xfId="10832"/>
    <cellStyle name="Normal 7 2 2 4 2 2 2" xfId="10833"/>
    <cellStyle name="Normal 7 2 2 4 2 2 3" xfId="10834"/>
    <cellStyle name="Normal 7 2 2 4 2 3" xfId="10835"/>
    <cellStyle name="Normal 7 2 2 4 2 3 2" xfId="10836"/>
    <cellStyle name="Normal 7 2 2 4 2 3 3" xfId="10837"/>
    <cellStyle name="Normal 7 2 2 4 2 4" xfId="10838"/>
    <cellStyle name="Normal 7 2 2 4 2 5" xfId="10839"/>
    <cellStyle name="Normal 7 2 2 4 3" xfId="10840"/>
    <cellStyle name="Normal 7 2 2 4 3 2" xfId="10841"/>
    <cellStyle name="Normal 7 2 2 4 3 3" xfId="10842"/>
    <cellStyle name="Normal 7 2 2 4 4" xfId="10843"/>
    <cellStyle name="Normal 7 2 2 4 4 2" xfId="10844"/>
    <cellStyle name="Normal 7 2 2 4 4 3" xfId="10845"/>
    <cellStyle name="Normal 7 2 2 4 5" xfId="10846"/>
    <cellStyle name="Normal 7 2 2 4 6" xfId="10847"/>
    <cellStyle name="Normal 7 2 2 5" xfId="10848"/>
    <cellStyle name="Normal 7 2 2 5 2" xfId="10849"/>
    <cellStyle name="Normal 7 2 2 5 2 2" xfId="10850"/>
    <cellStyle name="Normal 7 2 2 5 2 3" xfId="10851"/>
    <cellStyle name="Normal 7 2 2 5 3" xfId="10852"/>
    <cellStyle name="Normal 7 2 2 5 3 2" xfId="10853"/>
    <cellStyle name="Normal 7 2 2 5 3 3" xfId="10854"/>
    <cellStyle name="Normal 7 2 2 5 4" xfId="10855"/>
    <cellStyle name="Normal 7 2 2 5 5" xfId="10856"/>
    <cellStyle name="Normal 7 2 2 6" xfId="10857"/>
    <cellStyle name="Normal 7 2 2 6 2" xfId="10858"/>
    <cellStyle name="Normal 7 2 2 6 3" xfId="10859"/>
    <cellStyle name="Normal 7 2 2 7" xfId="10860"/>
    <cellStyle name="Normal 7 2 2 7 2" xfId="10861"/>
    <cellStyle name="Normal 7 2 2 7 3" xfId="10862"/>
    <cellStyle name="Normal 7 2 2 8" xfId="10863"/>
    <cellStyle name="Normal 7 2 2 9" xfId="10864"/>
    <cellStyle name="Normal 7 2 3" xfId="10865"/>
    <cellStyle name="Normal 7 2 3 2" xfId="10866"/>
    <cellStyle name="Normal 7 2 3 2 2" xfId="10867"/>
    <cellStyle name="Normal 7 2 3 2 2 2" xfId="10868"/>
    <cellStyle name="Normal 7 2 3 2 2 2 2" xfId="10869"/>
    <cellStyle name="Normal 7 2 3 2 2 2 2 2" xfId="10870"/>
    <cellStyle name="Normal 7 2 3 2 2 2 2 3" xfId="10871"/>
    <cellStyle name="Normal 7 2 3 2 2 2 3" xfId="10872"/>
    <cellStyle name="Normal 7 2 3 2 2 2 3 2" xfId="10873"/>
    <cellStyle name="Normal 7 2 3 2 2 2 3 3" xfId="10874"/>
    <cellStyle name="Normal 7 2 3 2 2 2 4" xfId="10875"/>
    <cellStyle name="Normal 7 2 3 2 2 2 5" xfId="10876"/>
    <cellStyle name="Normal 7 2 3 2 2 3" xfId="10877"/>
    <cellStyle name="Normal 7 2 3 2 2 3 2" xfId="10878"/>
    <cellStyle name="Normal 7 2 3 2 2 3 3" xfId="10879"/>
    <cellStyle name="Normal 7 2 3 2 2 4" xfId="10880"/>
    <cellStyle name="Normal 7 2 3 2 2 4 2" xfId="10881"/>
    <cellStyle name="Normal 7 2 3 2 2 4 3" xfId="10882"/>
    <cellStyle name="Normal 7 2 3 2 2 5" xfId="10883"/>
    <cellStyle name="Normal 7 2 3 2 2 6" xfId="10884"/>
    <cellStyle name="Normal 7 2 3 2 3" xfId="10885"/>
    <cellStyle name="Normal 7 2 3 2 3 2" xfId="10886"/>
    <cellStyle name="Normal 7 2 3 2 3 2 2" xfId="10887"/>
    <cellStyle name="Normal 7 2 3 2 3 2 3" xfId="10888"/>
    <cellStyle name="Normal 7 2 3 2 3 3" xfId="10889"/>
    <cellStyle name="Normal 7 2 3 2 3 3 2" xfId="10890"/>
    <cellStyle name="Normal 7 2 3 2 3 3 3" xfId="10891"/>
    <cellStyle name="Normal 7 2 3 2 3 4" xfId="10892"/>
    <cellStyle name="Normal 7 2 3 2 3 5" xfId="10893"/>
    <cellStyle name="Normal 7 2 3 2 4" xfId="10894"/>
    <cellStyle name="Normal 7 2 3 2 4 2" xfId="10895"/>
    <cellStyle name="Normal 7 2 3 2 4 3" xfId="10896"/>
    <cellStyle name="Normal 7 2 3 2 5" xfId="10897"/>
    <cellStyle name="Normal 7 2 3 2 5 2" xfId="10898"/>
    <cellStyle name="Normal 7 2 3 2 5 3" xfId="10899"/>
    <cellStyle name="Normal 7 2 3 2 6" xfId="10900"/>
    <cellStyle name="Normal 7 2 3 2 7" xfId="10901"/>
    <cellStyle name="Normal 7 2 3 3" xfId="10902"/>
    <cellStyle name="Normal 7 2 3 3 2" xfId="10903"/>
    <cellStyle name="Normal 7 2 3 3 2 2" xfId="10904"/>
    <cellStyle name="Normal 7 2 3 3 2 2 2" xfId="10905"/>
    <cellStyle name="Normal 7 2 3 3 2 2 3" xfId="10906"/>
    <cellStyle name="Normal 7 2 3 3 2 3" xfId="10907"/>
    <cellStyle name="Normal 7 2 3 3 2 3 2" xfId="10908"/>
    <cellStyle name="Normal 7 2 3 3 2 3 3" xfId="10909"/>
    <cellStyle name="Normal 7 2 3 3 2 4" xfId="10910"/>
    <cellStyle name="Normal 7 2 3 3 2 5" xfId="10911"/>
    <cellStyle name="Normal 7 2 3 3 3" xfId="10912"/>
    <cellStyle name="Normal 7 2 3 3 3 2" xfId="10913"/>
    <cellStyle name="Normal 7 2 3 3 3 3" xfId="10914"/>
    <cellStyle name="Normal 7 2 3 3 4" xfId="10915"/>
    <cellStyle name="Normal 7 2 3 3 4 2" xfId="10916"/>
    <cellStyle name="Normal 7 2 3 3 4 3" xfId="10917"/>
    <cellStyle name="Normal 7 2 3 3 5" xfId="10918"/>
    <cellStyle name="Normal 7 2 3 3 6" xfId="10919"/>
    <cellStyle name="Normal 7 2 3 4" xfId="10920"/>
    <cellStyle name="Normal 7 2 3 4 2" xfId="10921"/>
    <cellStyle name="Normal 7 2 3 4 2 2" xfId="10922"/>
    <cellStyle name="Normal 7 2 3 4 2 3" xfId="10923"/>
    <cellStyle name="Normal 7 2 3 4 3" xfId="10924"/>
    <cellStyle name="Normal 7 2 3 4 3 2" xfId="10925"/>
    <cellStyle name="Normal 7 2 3 4 3 3" xfId="10926"/>
    <cellStyle name="Normal 7 2 3 4 4" xfId="10927"/>
    <cellStyle name="Normal 7 2 3 4 5" xfId="10928"/>
    <cellStyle name="Normal 7 2 3 5" xfId="10929"/>
    <cellStyle name="Normal 7 2 3 5 2" xfId="10930"/>
    <cellStyle name="Normal 7 2 3 5 3" xfId="10931"/>
    <cellStyle name="Normal 7 2 3 6" xfId="10932"/>
    <cellStyle name="Normal 7 2 3 6 2" xfId="10933"/>
    <cellStyle name="Normal 7 2 3 6 3" xfId="10934"/>
    <cellStyle name="Normal 7 2 3 7" xfId="10935"/>
    <cellStyle name="Normal 7 2 3 8" xfId="10936"/>
    <cellStyle name="Normal 7 2 4" xfId="10937"/>
    <cellStyle name="Normal 7 2 4 2" xfId="10938"/>
    <cellStyle name="Normal 7 2 4 2 2" xfId="10939"/>
    <cellStyle name="Normal 7 2 4 2 2 2" xfId="10940"/>
    <cellStyle name="Normal 7 2 4 2 2 2 2" xfId="10941"/>
    <cellStyle name="Normal 7 2 4 2 2 2 2 2" xfId="10942"/>
    <cellStyle name="Normal 7 2 4 2 2 2 2 3" xfId="10943"/>
    <cellStyle name="Normal 7 2 4 2 2 2 3" xfId="10944"/>
    <cellStyle name="Normal 7 2 4 2 2 2 3 2" xfId="10945"/>
    <cellStyle name="Normal 7 2 4 2 2 2 3 3" xfId="10946"/>
    <cellStyle name="Normal 7 2 4 2 2 2 4" xfId="10947"/>
    <cellStyle name="Normal 7 2 4 2 2 2 5" xfId="10948"/>
    <cellStyle name="Normal 7 2 4 2 2 3" xfId="10949"/>
    <cellStyle name="Normal 7 2 4 2 2 3 2" xfId="10950"/>
    <cellStyle name="Normal 7 2 4 2 2 3 3" xfId="10951"/>
    <cellStyle name="Normal 7 2 4 2 2 4" xfId="10952"/>
    <cellStyle name="Normal 7 2 4 2 2 4 2" xfId="10953"/>
    <cellStyle name="Normal 7 2 4 2 2 4 3" xfId="10954"/>
    <cellStyle name="Normal 7 2 4 2 2 5" xfId="10955"/>
    <cellStyle name="Normal 7 2 4 2 2 6" xfId="10956"/>
    <cellStyle name="Normal 7 2 4 2 3" xfId="10957"/>
    <cellStyle name="Normal 7 2 4 2 3 2" xfId="10958"/>
    <cellStyle name="Normal 7 2 4 2 3 2 2" xfId="10959"/>
    <cellStyle name="Normal 7 2 4 2 3 2 3" xfId="10960"/>
    <cellStyle name="Normal 7 2 4 2 3 3" xfId="10961"/>
    <cellStyle name="Normal 7 2 4 2 3 3 2" xfId="10962"/>
    <cellStyle name="Normal 7 2 4 2 3 3 3" xfId="10963"/>
    <cellStyle name="Normal 7 2 4 2 3 4" xfId="10964"/>
    <cellStyle name="Normal 7 2 4 2 3 5" xfId="10965"/>
    <cellStyle name="Normal 7 2 4 2 4" xfId="10966"/>
    <cellStyle name="Normal 7 2 4 2 4 2" xfId="10967"/>
    <cellStyle name="Normal 7 2 4 2 4 3" xfId="10968"/>
    <cellStyle name="Normal 7 2 4 2 5" xfId="10969"/>
    <cellStyle name="Normal 7 2 4 2 5 2" xfId="10970"/>
    <cellStyle name="Normal 7 2 4 2 5 3" xfId="10971"/>
    <cellStyle name="Normal 7 2 4 2 6" xfId="10972"/>
    <cellStyle name="Normal 7 2 4 2 7" xfId="10973"/>
    <cellStyle name="Normal 7 2 4 3" xfId="10974"/>
    <cellStyle name="Normal 7 2 4 3 2" xfId="10975"/>
    <cellStyle name="Normal 7 2 4 3 2 2" xfId="10976"/>
    <cellStyle name="Normal 7 2 4 3 2 2 2" xfId="10977"/>
    <cellStyle name="Normal 7 2 4 3 2 2 3" xfId="10978"/>
    <cellStyle name="Normal 7 2 4 3 2 3" xfId="10979"/>
    <cellStyle name="Normal 7 2 4 3 2 3 2" xfId="10980"/>
    <cellStyle name="Normal 7 2 4 3 2 3 3" xfId="10981"/>
    <cellStyle name="Normal 7 2 4 3 2 4" xfId="10982"/>
    <cellStyle name="Normal 7 2 4 3 2 5" xfId="10983"/>
    <cellStyle name="Normal 7 2 4 3 3" xfId="10984"/>
    <cellStyle name="Normal 7 2 4 3 3 2" xfId="10985"/>
    <cellStyle name="Normal 7 2 4 3 3 3" xfId="10986"/>
    <cellStyle name="Normal 7 2 4 3 4" xfId="10987"/>
    <cellStyle name="Normal 7 2 4 3 4 2" xfId="10988"/>
    <cellStyle name="Normal 7 2 4 3 4 3" xfId="10989"/>
    <cellStyle name="Normal 7 2 4 3 5" xfId="10990"/>
    <cellStyle name="Normal 7 2 4 3 6" xfId="10991"/>
    <cellStyle name="Normal 7 2 4 4" xfId="10992"/>
    <cellStyle name="Normal 7 2 4 4 2" xfId="10993"/>
    <cellStyle name="Normal 7 2 4 4 2 2" xfId="10994"/>
    <cellStyle name="Normal 7 2 4 4 2 3" xfId="10995"/>
    <cellStyle name="Normal 7 2 4 4 3" xfId="10996"/>
    <cellStyle name="Normal 7 2 4 4 3 2" xfId="10997"/>
    <cellStyle name="Normal 7 2 4 4 3 3" xfId="10998"/>
    <cellStyle name="Normal 7 2 4 4 4" xfId="10999"/>
    <cellStyle name="Normal 7 2 4 4 5" xfId="11000"/>
    <cellStyle name="Normal 7 2 4 5" xfId="11001"/>
    <cellStyle name="Normal 7 2 4 5 2" xfId="11002"/>
    <cellStyle name="Normal 7 2 4 5 3" xfId="11003"/>
    <cellStyle name="Normal 7 2 4 6" xfId="11004"/>
    <cellStyle name="Normal 7 2 4 6 2" xfId="11005"/>
    <cellStyle name="Normal 7 2 4 6 3" xfId="11006"/>
    <cellStyle name="Normal 7 2 4 7" xfId="11007"/>
    <cellStyle name="Normal 7 2 4 8" xfId="11008"/>
    <cellStyle name="Normal 7 2 5" xfId="11009"/>
    <cellStyle name="Normal 7 2 5 2" xfId="11010"/>
    <cellStyle name="Normal 7 2 5 2 2" xfId="11011"/>
    <cellStyle name="Normal 7 2 5 2 2 2" xfId="11012"/>
    <cellStyle name="Normal 7 2 5 2 2 2 2" xfId="11013"/>
    <cellStyle name="Normal 7 2 5 2 2 2 3" xfId="11014"/>
    <cellStyle name="Normal 7 2 5 2 2 3" xfId="11015"/>
    <cellStyle name="Normal 7 2 5 2 2 3 2" xfId="11016"/>
    <cellStyle name="Normal 7 2 5 2 2 3 3" xfId="11017"/>
    <cellStyle name="Normal 7 2 5 2 2 4" xfId="11018"/>
    <cellStyle name="Normal 7 2 5 2 2 5" xfId="11019"/>
    <cellStyle name="Normal 7 2 5 2 3" xfId="11020"/>
    <cellStyle name="Normal 7 2 5 2 3 2" xfId="11021"/>
    <cellStyle name="Normal 7 2 5 2 3 3" xfId="11022"/>
    <cellStyle name="Normal 7 2 5 2 4" xfId="11023"/>
    <cellStyle name="Normal 7 2 5 2 4 2" xfId="11024"/>
    <cellStyle name="Normal 7 2 5 2 4 3" xfId="11025"/>
    <cellStyle name="Normal 7 2 5 2 5" xfId="11026"/>
    <cellStyle name="Normal 7 2 5 2 6" xfId="11027"/>
    <cellStyle name="Normal 7 2 5 3" xfId="11028"/>
    <cellStyle name="Normal 7 2 5 3 2" xfId="11029"/>
    <cellStyle name="Normal 7 2 5 3 2 2" xfId="11030"/>
    <cellStyle name="Normal 7 2 5 3 2 3" xfId="11031"/>
    <cellStyle name="Normal 7 2 5 3 3" xfId="11032"/>
    <cellStyle name="Normal 7 2 5 3 3 2" xfId="11033"/>
    <cellStyle name="Normal 7 2 5 3 3 3" xfId="11034"/>
    <cellStyle name="Normal 7 2 5 3 4" xfId="11035"/>
    <cellStyle name="Normal 7 2 5 3 5" xfId="11036"/>
    <cellStyle name="Normal 7 2 5 4" xfId="11037"/>
    <cellStyle name="Normal 7 2 5 4 2" xfId="11038"/>
    <cellStyle name="Normal 7 2 5 4 3" xfId="11039"/>
    <cellStyle name="Normal 7 2 5 5" xfId="11040"/>
    <cellStyle name="Normal 7 2 5 5 2" xfId="11041"/>
    <cellStyle name="Normal 7 2 5 5 3" xfId="11042"/>
    <cellStyle name="Normal 7 2 5 6" xfId="11043"/>
    <cellStyle name="Normal 7 2 5 7" xfId="11044"/>
    <cellStyle name="Normal 7 2 6" xfId="11045"/>
    <cellStyle name="Normal 7 2 6 2" xfId="11046"/>
    <cellStyle name="Normal 7 2 6 2 2" xfId="11047"/>
    <cellStyle name="Normal 7 2 6 2 2 2" xfId="11048"/>
    <cellStyle name="Normal 7 2 6 2 2 3" xfId="11049"/>
    <cellStyle name="Normal 7 2 6 2 3" xfId="11050"/>
    <cellStyle name="Normal 7 2 6 2 3 2" xfId="11051"/>
    <cellStyle name="Normal 7 2 6 2 3 3" xfId="11052"/>
    <cellStyle name="Normal 7 2 6 2 4" xfId="11053"/>
    <cellStyle name="Normal 7 2 6 2 5" xfId="11054"/>
    <cellStyle name="Normal 7 2 6 3" xfId="11055"/>
    <cellStyle name="Normal 7 2 6 3 2" xfId="11056"/>
    <cellStyle name="Normal 7 2 6 3 3" xfId="11057"/>
    <cellStyle name="Normal 7 2 6 4" xfId="11058"/>
    <cellStyle name="Normal 7 2 6 4 2" xfId="11059"/>
    <cellStyle name="Normal 7 2 6 4 3" xfId="11060"/>
    <cellStyle name="Normal 7 2 6 5" xfId="11061"/>
    <cellStyle name="Normal 7 2 6 6" xfId="11062"/>
    <cellStyle name="Normal 7 2 7" xfId="11063"/>
    <cellStyle name="Normal 7 2 7 2" xfId="11064"/>
    <cellStyle name="Normal 7 2 7 2 2" xfId="11065"/>
    <cellStyle name="Normal 7 2 7 2 3" xfId="11066"/>
    <cellStyle name="Normal 7 2 7 3" xfId="11067"/>
    <cellStyle name="Normal 7 2 7 3 2" xfId="11068"/>
    <cellStyle name="Normal 7 2 7 3 3" xfId="11069"/>
    <cellStyle name="Normal 7 2 7 4" xfId="11070"/>
    <cellStyle name="Normal 7 2 7 5" xfId="11071"/>
    <cellStyle name="Normal 7 2 8" xfId="11072"/>
    <cellStyle name="Normal 7 2 8 2" xfId="11073"/>
    <cellStyle name="Normal 7 2 8 3" xfId="11074"/>
    <cellStyle name="Normal 7 2 9" xfId="11075"/>
    <cellStyle name="Normal 7 2 9 2" xfId="11076"/>
    <cellStyle name="Normal 7 2 9 3" xfId="11077"/>
    <cellStyle name="Normal 7 3" xfId="11078"/>
    <cellStyle name="Normal 7 3 2" xfId="11079"/>
    <cellStyle name="Normal 7 3 2 2" xfId="11080"/>
    <cellStyle name="Normal 7 3 2 2 2" xfId="11081"/>
    <cellStyle name="Normal 7 3 2 2 2 2" xfId="11082"/>
    <cellStyle name="Normal 7 3 2 2 2 2 2" xfId="11083"/>
    <cellStyle name="Normal 7 3 2 2 2 2 2 2" xfId="11084"/>
    <cellStyle name="Normal 7 3 2 2 2 2 2 3" xfId="11085"/>
    <cellStyle name="Normal 7 3 2 2 2 2 3" xfId="11086"/>
    <cellStyle name="Normal 7 3 2 2 2 2 3 2" xfId="11087"/>
    <cellStyle name="Normal 7 3 2 2 2 2 3 3" xfId="11088"/>
    <cellStyle name="Normal 7 3 2 2 2 2 4" xfId="11089"/>
    <cellStyle name="Normal 7 3 2 2 2 2 5" xfId="11090"/>
    <cellStyle name="Normal 7 3 2 2 2 3" xfId="11091"/>
    <cellStyle name="Normal 7 3 2 2 2 3 2" xfId="11092"/>
    <cellStyle name="Normal 7 3 2 2 2 3 3" xfId="11093"/>
    <cellStyle name="Normal 7 3 2 2 2 4" xfId="11094"/>
    <cellStyle name="Normal 7 3 2 2 2 4 2" xfId="11095"/>
    <cellStyle name="Normal 7 3 2 2 2 4 3" xfId="11096"/>
    <cellStyle name="Normal 7 3 2 2 2 5" xfId="11097"/>
    <cellStyle name="Normal 7 3 2 2 2 6" xfId="11098"/>
    <cellStyle name="Normal 7 3 2 2 3" xfId="11099"/>
    <cellStyle name="Normal 7 3 2 2 3 2" xfId="11100"/>
    <cellStyle name="Normal 7 3 2 2 3 2 2" xfId="11101"/>
    <cellStyle name="Normal 7 3 2 2 3 2 3" xfId="11102"/>
    <cellStyle name="Normal 7 3 2 2 3 3" xfId="11103"/>
    <cellStyle name="Normal 7 3 2 2 3 3 2" xfId="11104"/>
    <cellStyle name="Normal 7 3 2 2 3 3 3" xfId="11105"/>
    <cellStyle name="Normal 7 3 2 2 3 4" xfId="11106"/>
    <cellStyle name="Normal 7 3 2 2 3 5" xfId="11107"/>
    <cellStyle name="Normal 7 3 2 2 4" xfId="11108"/>
    <cellStyle name="Normal 7 3 2 2 4 2" xfId="11109"/>
    <cellStyle name="Normal 7 3 2 2 4 3" xfId="11110"/>
    <cellStyle name="Normal 7 3 2 2 5" xfId="11111"/>
    <cellStyle name="Normal 7 3 2 2 5 2" xfId="11112"/>
    <cellStyle name="Normal 7 3 2 2 5 3" xfId="11113"/>
    <cellStyle name="Normal 7 3 2 2 6" xfId="11114"/>
    <cellStyle name="Normal 7 3 2 2 7" xfId="11115"/>
    <cellStyle name="Normal 7 3 2 3" xfId="11116"/>
    <cellStyle name="Normal 7 3 2 3 2" xfId="11117"/>
    <cellStyle name="Normal 7 3 2 3 2 2" xfId="11118"/>
    <cellStyle name="Normal 7 3 2 3 2 2 2" xfId="11119"/>
    <cellStyle name="Normal 7 3 2 3 2 2 3" xfId="11120"/>
    <cellStyle name="Normal 7 3 2 3 2 3" xfId="11121"/>
    <cellStyle name="Normal 7 3 2 3 2 3 2" xfId="11122"/>
    <cellStyle name="Normal 7 3 2 3 2 3 3" xfId="11123"/>
    <cellStyle name="Normal 7 3 2 3 2 4" xfId="11124"/>
    <cellStyle name="Normal 7 3 2 3 2 5" xfId="11125"/>
    <cellStyle name="Normal 7 3 2 3 3" xfId="11126"/>
    <cellStyle name="Normal 7 3 2 3 3 2" xfId="11127"/>
    <cellStyle name="Normal 7 3 2 3 3 3" xfId="11128"/>
    <cellStyle name="Normal 7 3 2 3 4" xfId="11129"/>
    <cellStyle name="Normal 7 3 2 3 4 2" xfId="11130"/>
    <cellStyle name="Normal 7 3 2 3 4 3" xfId="11131"/>
    <cellStyle name="Normal 7 3 2 3 5" xfId="11132"/>
    <cellStyle name="Normal 7 3 2 3 6" xfId="11133"/>
    <cellStyle name="Normal 7 3 2 4" xfId="11134"/>
    <cellStyle name="Normal 7 3 2 4 2" xfId="11135"/>
    <cellStyle name="Normal 7 3 2 4 2 2" xfId="11136"/>
    <cellStyle name="Normal 7 3 2 4 2 3" xfId="11137"/>
    <cellStyle name="Normal 7 3 2 4 3" xfId="11138"/>
    <cellStyle name="Normal 7 3 2 4 3 2" xfId="11139"/>
    <cellStyle name="Normal 7 3 2 4 3 3" xfId="11140"/>
    <cellStyle name="Normal 7 3 2 4 4" xfId="11141"/>
    <cellStyle name="Normal 7 3 2 4 5" xfId="11142"/>
    <cellStyle name="Normal 7 3 2 5" xfId="11143"/>
    <cellStyle name="Normal 7 3 2 5 2" xfId="11144"/>
    <cellStyle name="Normal 7 3 2 5 3" xfId="11145"/>
    <cellStyle name="Normal 7 3 2 6" xfId="11146"/>
    <cellStyle name="Normal 7 3 2 6 2" xfId="11147"/>
    <cellStyle name="Normal 7 3 2 6 3" xfId="11148"/>
    <cellStyle name="Normal 7 3 2 7" xfId="11149"/>
    <cellStyle name="Normal 7 3 2 8" xfId="11150"/>
    <cellStyle name="Normal 7 3 3" xfId="11151"/>
    <cellStyle name="Normal 7 3 3 2" xfId="11152"/>
    <cellStyle name="Normal 7 3 3 2 2" xfId="11153"/>
    <cellStyle name="Normal 7 3 3 2 2 2" xfId="11154"/>
    <cellStyle name="Normal 7 3 3 2 2 2 2" xfId="11155"/>
    <cellStyle name="Normal 7 3 3 2 2 2 3" xfId="11156"/>
    <cellStyle name="Normal 7 3 3 2 2 3" xfId="11157"/>
    <cellStyle name="Normal 7 3 3 2 2 3 2" xfId="11158"/>
    <cellStyle name="Normal 7 3 3 2 2 3 3" xfId="11159"/>
    <cellStyle name="Normal 7 3 3 2 2 4" xfId="11160"/>
    <cellStyle name="Normal 7 3 3 2 2 5" xfId="11161"/>
    <cellStyle name="Normal 7 3 3 2 3" xfId="11162"/>
    <cellStyle name="Normal 7 3 3 2 3 2" xfId="11163"/>
    <cellStyle name="Normal 7 3 3 2 3 3" xfId="11164"/>
    <cellStyle name="Normal 7 3 3 2 4" xfId="11165"/>
    <cellStyle name="Normal 7 3 3 2 4 2" xfId="11166"/>
    <cellStyle name="Normal 7 3 3 2 4 3" xfId="11167"/>
    <cellStyle name="Normal 7 3 3 2 5" xfId="11168"/>
    <cellStyle name="Normal 7 3 3 2 6" xfId="11169"/>
    <cellStyle name="Normal 7 3 3 3" xfId="11170"/>
    <cellStyle name="Normal 7 3 3 3 2" xfId="11171"/>
    <cellStyle name="Normal 7 3 3 3 2 2" xfId="11172"/>
    <cellStyle name="Normal 7 3 3 3 2 3" xfId="11173"/>
    <cellStyle name="Normal 7 3 3 3 3" xfId="11174"/>
    <cellStyle name="Normal 7 3 3 3 3 2" xfId="11175"/>
    <cellStyle name="Normal 7 3 3 3 3 3" xfId="11176"/>
    <cellStyle name="Normal 7 3 3 3 4" xfId="11177"/>
    <cellStyle name="Normal 7 3 3 3 5" xfId="11178"/>
    <cellStyle name="Normal 7 3 3 4" xfId="11179"/>
    <cellStyle name="Normal 7 3 3 4 2" xfId="11180"/>
    <cellStyle name="Normal 7 3 3 4 3" xfId="11181"/>
    <cellStyle name="Normal 7 3 3 5" xfId="11182"/>
    <cellStyle name="Normal 7 3 3 5 2" xfId="11183"/>
    <cellStyle name="Normal 7 3 3 5 3" xfId="11184"/>
    <cellStyle name="Normal 7 3 3 6" xfId="11185"/>
    <cellStyle name="Normal 7 3 3 7" xfId="11186"/>
    <cellStyle name="Normal 7 3 4" xfId="11187"/>
    <cellStyle name="Normal 7 3 4 2" xfId="11188"/>
    <cellStyle name="Normal 7 3 4 2 2" xfId="11189"/>
    <cellStyle name="Normal 7 3 4 2 2 2" xfId="11190"/>
    <cellStyle name="Normal 7 3 4 2 2 3" xfId="11191"/>
    <cellStyle name="Normal 7 3 4 2 3" xfId="11192"/>
    <cellStyle name="Normal 7 3 4 2 3 2" xfId="11193"/>
    <cellStyle name="Normal 7 3 4 2 3 3" xfId="11194"/>
    <cellStyle name="Normal 7 3 4 2 4" xfId="11195"/>
    <cellStyle name="Normal 7 3 4 2 5" xfId="11196"/>
    <cellStyle name="Normal 7 3 4 3" xfId="11197"/>
    <cellStyle name="Normal 7 3 4 3 2" xfId="11198"/>
    <cellStyle name="Normal 7 3 4 3 3" xfId="11199"/>
    <cellStyle name="Normal 7 3 4 4" xfId="11200"/>
    <cellStyle name="Normal 7 3 4 4 2" xfId="11201"/>
    <cellStyle name="Normal 7 3 4 4 3" xfId="11202"/>
    <cellStyle name="Normal 7 3 4 5" xfId="11203"/>
    <cellStyle name="Normal 7 3 4 6" xfId="11204"/>
    <cellStyle name="Normal 7 3 5" xfId="11205"/>
    <cellStyle name="Normal 7 3 5 2" xfId="11206"/>
    <cellStyle name="Normal 7 3 5 2 2" xfId="11207"/>
    <cellStyle name="Normal 7 3 5 2 3" xfId="11208"/>
    <cellStyle name="Normal 7 3 5 3" xfId="11209"/>
    <cellStyle name="Normal 7 3 5 3 2" xfId="11210"/>
    <cellStyle name="Normal 7 3 5 3 3" xfId="11211"/>
    <cellStyle name="Normal 7 3 5 4" xfId="11212"/>
    <cellStyle name="Normal 7 3 5 5" xfId="11213"/>
    <cellStyle name="Normal 7 3 6" xfId="11214"/>
    <cellStyle name="Normal 7 3 6 2" xfId="11215"/>
    <cellStyle name="Normal 7 3 6 3" xfId="11216"/>
    <cellStyle name="Normal 7 3 7" xfId="11217"/>
    <cellStyle name="Normal 7 3 7 2" xfId="11218"/>
    <cellStyle name="Normal 7 3 7 3" xfId="11219"/>
    <cellStyle name="Normal 7 3 8" xfId="11220"/>
    <cellStyle name="Normal 7 3 9" xfId="11221"/>
    <cellStyle name="Normal 7 4" xfId="11222"/>
    <cellStyle name="Normal 7 4 2" xfId="11223"/>
    <cellStyle name="Normal 7 4 2 2" xfId="11224"/>
    <cellStyle name="Normal 7 4 2 2 2" xfId="11225"/>
    <cellStyle name="Normal 7 4 2 2 2 2" xfId="11226"/>
    <cellStyle name="Normal 7 4 2 2 2 2 2" xfId="11227"/>
    <cellStyle name="Normal 7 4 2 2 2 2 3" xfId="11228"/>
    <cellStyle name="Normal 7 4 2 2 2 3" xfId="11229"/>
    <cellStyle name="Normal 7 4 2 2 2 3 2" xfId="11230"/>
    <cellStyle name="Normal 7 4 2 2 2 3 3" xfId="11231"/>
    <cellStyle name="Normal 7 4 2 2 2 4" xfId="11232"/>
    <cellStyle name="Normal 7 4 2 2 2 5" xfId="11233"/>
    <cellStyle name="Normal 7 4 2 2 3" xfId="11234"/>
    <cellStyle name="Normal 7 4 2 2 3 2" xfId="11235"/>
    <cellStyle name="Normal 7 4 2 2 3 3" xfId="11236"/>
    <cellStyle name="Normal 7 4 2 2 4" xfId="11237"/>
    <cellStyle name="Normal 7 4 2 2 4 2" xfId="11238"/>
    <cellStyle name="Normal 7 4 2 2 4 3" xfId="11239"/>
    <cellStyle name="Normal 7 4 2 2 5" xfId="11240"/>
    <cellStyle name="Normal 7 4 2 2 6" xfId="11241"/>
    <cellStyle name="Normal 7 4 2 3" xfId="11242"/>
    <cellStyle name="Normal 7 4 2 3 2" xfId="11243"/>
    <cellStyle name="Normal 7 4 2 3 2 2" xfId="11244"/>
    <cellStyle name="Normal 7 4 2 3 2 3" xfId="11245"/>
    <cellStyle name="Normal 7 4 2 3 3" xfId="11246"/>
    <cellStyle name="Normal 7 4 2 3 3 2" xfId="11247"/>
    <cellStyle name="Normal 7 4 2 3 3 3" xfId="11248"/>
    <cellStyle name="Normal 7 4 2 3 4" xfId="11249"/>
    <cellStyle name="Normal 7 4 2 3 5" xfId="11250"/>
    <cellStyle name="Normal 7 4 2 4" xfId="11251"/>
    <cellStyle name="Normal 7 4 2 4 2" xfId="11252"/>
    <cellStyle name="Normal 7 4 2 4 3" xfId="11253"/>
    <cellStyle name="Normal 7 4 2 5" xfId="11254"/>
    <cellStyle name="Normal 7 4 2 5 2" xfId="11255"/>
    <cellStyle name="Normal 7 4 2 5 3" xfId="11256"/>
    <cellStyle name="Normal 7 4 2 6" xfId="11257"/>
    <cellStyle name="Normal 7 4 2 7" xfId="11258"/>
    <cellStyle name="Normal 7 4 3" xfId="11259"/>
    <cellStyle name="Normal 7 4 3 2" xfId="11260"/>
    <cellStyle name="Normal 7 4 3 2 2" xfId="11261"/>
    <cellStyle name="Normal 7 4 3 2 2 2" xfId="11262"/>
    <cellStyle name="Normal 7 4 3 2 2 3" xfId="11263"/>
    <cellStyle name="Normal 7 4 3 2 3" xfId="11264"/>
    <cellStyle name="Normal 7 4 3 2 3 2" xfId="11265"/>
    <cellStyle name="Normal 7 4 3 2 3 3" xfId="11266"/>
    <cellStyle name="Normal 7 4 3 2 4" xfId="11267"/>
    <cellStyle name="Normal 7 4 3 2 5" xfId="11268"/>
    <cellStyle name="Normal 7 4 3 3" xfId="11269"/>
    <cellStyle name="Normal 7 4 3 3 2" xfId="11270"/>
    <cellStyle name="Normal 7 4 3 3 3" xfId="11271"/>
    <cellStyle name="Normal 7 4 3 4" xfId="11272"/>
    <cellStyle name="Normal 7 4 3 4 2" xfId="11273"/>
    <cellStyle name="Normal 7 4 3 4 3" xfId="11274"/>
    <cellStyle name="Normal 7 4 3 5" xfId="11275"/>
    <cellStyle name="Normal 7 4 3 6" xfId="11276"/>
    <cellStyle name="Normal 7 4 4" xfId="11277"/>
    <cellStyle name="Normal 7 4 4 2" xfId="11278"/>
    <cellStyle name="Normal 7 4 4 2 2" xfId="11279"/>
    <cellStyle name="Normal 7 4 4 2 3" xfId="11280"/>
    <cellStyle name="Normal 7 4 4 3" xfId="11281"/>
    <cellStyle name="Normal 7 4 4 3 2" xfId="11282"/>
    <cellStyle name="Normal 7 4 4 3 3" xfId="11283"/>
    <cellStyle name="Normal 7 4 4 4" xfId="11284"/>
    <cellStyle name="Normal 7 4 4 5" xfId="11285"/>
    <cellStyle name="Normal 7 4 5" xfId="11286"/>
    <cellStyle name="Normal 7 4 5 2" xfId="11287"/>
    <cellStyle name="Normal 7 4 5 3" xfId="11288"/>
    <cellStyle name="Normal 7 4 6" xfId="11289"/>
    <cellStyle name="Normal 7 4 6 2" xfId="11290"/>
    <cellStyle name="Normal 7 4 6 3" xfId="11291"/>
    <cellStyle name="Normal 7 4 7" xfId="11292"/>
    <cellStyle name="Normal 7 4 8" xfId="11293"/>
    <cellStyle name="Normal 7 5" xfId="11294"/>
    <cellStyle name="Normal 7 5 2" xfId="11295"/>
    <cellStyle name="Normal 7 5 2 2" xfId="11296"/>
    <cellStyle name="Normal 7 5 2 2 2" xfId="11297"/>
    <cellStyle name="Normal 7 5 2 2 2 2" xfId="11298"/>
    <cellStyle name="Normal 7 5 2 2 2 2 2" xfId="11299"/>
    <cellStyle name="Normal 7 5 2 2 2 2 3" xfId="11300"/>
    <cellStyle name="Normal 7 5 2 2 2 3" xfId="11301"/>
    <cellStyle name="Normal 7 5 2 2 2 3 2" xfId="11302"/>
    <cellStyle name="Normal 7 5 2 2 2 3 3" xfId="11303"/>
    <cellStyle name="Normal 7 5 2 2 2 4" xfId="11304"/>
    <cellStyle name="Normal 7 5 2 2 2 5" xfId="11305"/>
    <cellStyle name="Normal 7 5 2 2 3" xfId="11306"/>
    <cellStyle name="Normal 7 5 2 2 3 2" xfId="11307"/>
    <cellStyle name="Normal 7 5 2 2 3 3" xfId="11308"/>
    <cellStyle name="Normal 7 5 2 2 4" xfId="11309"/>
    <cellStyle name="Normal 7 5 2 2 4 2" xfId="11310"/>
    <cellStyle name="Normal 7 5 2 2 4 3" xfId="11311"/>
    <cellStyle name="Normal 7 5 2 2 5" xfId="11312"/>
    <cellStyle name="Normal 7 5 2 2 6" xfId="11313"/>
    <cellStyle name="Normal 7 5 2 3" xfId="11314"/>
    <cellStyle name="Normal 7 5 2 3 2" xfId="11315"/>
    <cellStyle name="Normal 7 5 2 3 2 2" xfId="11316"/>
    <cellStyle name="Normal 7 5 2 3 2 3" xfId="11317"/>
    <cellStyle name="Normal 7 5 2 3 3" xfId="11318"/>
    <cellStyle name="Normal 7 5 2 3 3 2" xfId="11319"/>
    <cellStyle name="Normal 7 5 2 3 3 3" xfId="11320"/>
    <cellStyle name="Normal 7 5 2 3 4" xfId="11321"/>
    <cellStyle name="Normal 7 5 2 3 5" xfId="11322"/>
    <cellStyle name="Normal 7 5 2 4" xfId="11323"/>
    <cellStyle name="Normal 7 5 2 4 2" xfId="11324"/>
    <cellStyle name="Normal 7 5 2 4 3" xfId="11325"/>
    <cellStyle name="Normal 7 5 2 5" xfId="11326"/>
    <cellStyle name="Normal 7 5 2 5 2" xfId="11327"/>
    <cellStyle name="Normal 7 5 2 5 3" xfId="11328"/>
    <cellStyle name="Normal 7 5 2 6" xfId="11329"/>
    <cellStyle name="Normal 7 5 2 7" xfId="11330"/>
    <cellStyle name="Normal 7 5 3" xfId="11331"/>
    <cellStyle name="Normal 7 5 3 2" xfId="11332"/>
    <cellStyle name="Normal 7 5 3 2 2" xfId="11333"/>
    <cellStyle name="Normal 7 5 3 2 2 2" xfId="11334"/>
    <cellStyle name="Normal 7 5 3 2 2 3" xfId="11335"/>
    <cellStyle name="Normal 7 5 3 2 3" xfId="11336"/>
    <cellStyle name="Normal 7 5 3 2 3 2" xfId="11337"/>
    <cellStyle name="Normal 7 5 3 2 3 3" xfId="11338"/>
    <cellStyle name="Normal 7 5 3 2 4" xfId="11339"/>
    <cellStyle name="Normal 7 5 3 2 5" xfId="11340"/>
    <cellStyle name="Normal 7 5 3 3" xfId="11341"/>
    <cellStyle name="Normal 7 5 3 3 2" xfId="11342"/>
    <cellStyle name="Normal 7 5 3 3 3" xfId="11343"/>
    <cellStyle name="Normal 7 5 3 4" xfId="11344"/>
    <cellStyle name="Normal 7 5 3 4 2" xfId="11345"/>
    <cellStyle name="Normal 7 5 3 4 3" xfId="11346"/>
    <cellStyle name="Normal 7 5 3 5" xfId="11347"/>
    <cellStyle name="Normal 7 5 3 6" xfId="11348"/>
    <cellStyle name="Normal 7 5 4" xfId="11349"/>
    <cellStyle name="Normal 7 5 4 2" xfId="11350"/>
    <cellStyle name="Normal 7 5 4 2 2" xfId="11351"/>
    <cellStyle name="Normal 7 5 4 2 3" xfId="11352"/>
    <cellStyle name="Normal 7 5 4 3" xfId="11353"/>
    <cellStyle name="Normal 7 5 4 3 2" xfId="11354"/>
    <cellStyle name="Normal 7 5 4 3 3" xfId="11355"/>
    <cellStyle name="Normal 7 5 4 4" xfId="11356"/>
    <cellStyle name="Normal 7 5 4 5" xfId="11357"/>
    <cellStyle name="Normal 7 5 5" xfId="11358"/>
    <cellStyle name="Normal 7 5 5 2" xfId="11359"/>
    <cellStyle name="Normal 7 5 5 3" xfId="11360"/>
    <cellStyle name="Normal 7 5 6" xfId="11361"/>
    <cellStyle name="Normal 7 5 6 2" xfId="11362"/>
    <cellStyle name="Normal 7 5 6 3" xfId="11363"/>
    <cellStyle name="Normal 7 5 7" xfId="11364"/>
    <cellStyle name="Normal 7 5 8" xfId="11365"/>
    <cellStyle name="Normal 7 6" xfId="11366"/>
    <cellStyle name="Normal 7 6 2" xfId="11367"/>
    <cellStyle name="Normal 7 6 2 2" xfId="11368"/>
    <cellStyle name="Normal 7 6 2 2 2" xfId="11369"/>
    <cellStyle name="Normal 7 6 2 2 2 2" xfId="11370"/>
    <cellStyle name="Normal 7 6 2 2 2 3" xfId="11371"/>
    <cellStyle name="Normal 7 6 2 2 3" xfId="11372"/>
    <cellStyle name="Normal 7 6 2 2 3 2" xfId="11373"/>
    <cellStyle name="Normal 7 6 2 2 3 3" xfId="11374"/>
    <cellStyle name="Normal 7 6 2 2 4" xfId="11375"/>
    <cellStyle name="Normal 7 6 2 2 5" xfId="11376"/>
    <cellStyle name="Normal 7 6 2 3" xfId="11377"/>
    <cellStyle name="Normal 7 6 2 3 2" xfId="11378"/>
    <cellStyle name="Normal 7 6 2 3 3" xfId="11379"/>
    <cellStyle name="Normal 7 6 2 4" xfId="11380"/>
    <cellStyle name="Normal 7 6 2 4 2" xfId="11381"/>
    <cellStyle name="Normal 7 6 2 4 3" xfId="11382"/>
    <cellStyle name="Normal 7 6 2 5" xfId="11383"/>
    <cellStyle name="Normal 7 6 2 6" xfId="11384"/>
    <cellStyle name="Normal 7 6 3" xfId="11385"/>
    <cellStyle name="Normal 7 6 3 2" xfId="11386"/>
    <cellStyle name="Normal 7 6 3 2 2" xfId="11387"/>
    <cellStyle name="Normal 7 6 3 2 3" xfId="11388"/>
    <cellStyle name="Normal 7 6 3 3" xfId="11389"/>
    <cellStyle name="Normal 7 6 3 3 2" xfId="11390"/>
    <cellStyle name="Normal 7 6 3 3 3" xfId="11391"/>
    <cellStyle name="Normal 7 6 3 4" xfId="11392"/>
    <cellStyle name="Normal 7 6 3 5" xfId="11393"/>
    <cellStyle name="Normal 7 6 4" xfId="11394"/>
    <cellStyle name="Normal 7 6 4 2" xfId="11395"/>
    <cellStyle name="Normal 7 6 4 3" xfId="11396"/>
    <cellStyle name="Normal 7 6 5" xfId="11397"/>
    <cellStyle name="Normal 7 6 5 2" xfId="11398"/>
    <cellStyle name="Normal 7 6 5 3" xfId="11399"/>
    <cellStyle name="Normal 7 6 6" xfId="11400"/>
    <cellStyle name="Normal 7 6 7" xfId="11401"/>
    <cellStyle name="Normal 7 7" xfId="11402"/>
    <cellStyle name="Normal 7 7 2" xfId="11403"/>
    <cellStyle name="Normal 7 7 2 2" xfId="11404"/>
    <cellStyle name="Normal 7 7 2 2 2" xfId="11405"/>
    <cellStyle name="Normal 7 7 2 2 3" xfId="11406"/>
    <cellStyle name="Normal 7 7 2 3" xfId="11407"/>
    <cellStyle name="Normal 7 7 2 3 2" xfId="11408"/>
    <cellStyle name="Normal 7 7 2 3 3" xfId="11409"/>
    <cellStyle name="Normal 7 7 2 4" xfId="11410"/>
    <cellStyle name="Normal 7 7 2 5" xfId="11411"/>
    <cellStyle name="Normal 7 7 3" xfId="11412"/>
    <cellStyle name="Normal 7 7 3 2" xfId="11413"/>
    <cellStyle name="Normal 7 7 3 3" xfId="11414"/>
    <cellStyle name="Normal 7 7 4" xfId="11415"/>
    <cellStyle name="Normal 7 7 4 2" xfId="11416"/>
    <cellStyle name="Normal 7 7 4 3" xfId="11417"/>
    <cellStyle name="Normal 7 7 5" xfId="11418"/>
    <cellStyle name="Normal 7 7 6" xfId="11419"/>
    <cellStyle name="Normal 7 8" xfId="11420"/>
    <cellStyle name="Normal 7 8 2" xfId="11421"/>
    <cellStyle name="Normal 7 8 2 2" xfId="11422"/>
    <cellStyle name="Normal 7 8 2 3" xfId="11423"/>
    <cellStyle name="Normal 7 8 3" xfId="11424"/>
    <cellStyle name="Normal 7 8 3 2" xfId="11425"/>
    <cellStyle name="Normal 7 8 3 3" xfId="11426"/>
    <cellStyle name="Normal 7 8 4" xfId="11427"/>
    <cellStyle name="Normal 7 8 5" xfId="11428"/>
    <cellStyle name="Normal 7 9" xfId="11429"/>
    <cellStyle name="Normal 7 9 2" xfId="11430"/>
    <cellStyle name="Normal 7 9 3" xfId="11431"/>
    <cellStyle name="Normal 7_2180" xfId="11432"/>
    <cellStyle name="Normal 70" xfId="226"/>
    <cellStyle name="Normal 70 2" xfId="11433"/>
    <cellStyle name="Normal 70 3" xfId="11434"/>
    <cellStyle name="Normal 71" xfId="227"/>
    <cellStyle name="Normal 72" xfId="228"/>
    <cellStyle name="Normal 72 2" xfId="11435"/>
    <cellStyle name="Normal 72 2 2" xfId="11436"/>
    <cellStyle name="Normal 72 2 2 2" xfId="11437"/>
    <cellStyle name="Normal 72 2 2 2 2" xfId="11438"/>
    <cellStyle name="Normal 72 2 2 2 3" xfId="11439"/>
    <cellStyle name="Normal 72 2 2 3" xfId="11440"/>
    <cellStyle name="Normal 72 2 2 3 2" xfId="11441"/>
    <cellStyle name="Normal 72 2 2 3 3" xfId="11442"/>
    <cellStyle name="Normal 72 2 2 4" xfId="11443"/>
    <cellStyle name="Normal 72 2 2 5" xfId="11444"/>
    <cellStyle name="Normal 72 2 3" xfId="11445"/>
    <cellStyle name="Normal 72 2 3 2" xfId="11446"/>
    <cellStyle name="Normal 72 2 3 3" xfId="11447"/>
    <cellStyle name="Normal 72 2 4" xfId="11448"/>
    <cellStyle name="Normal 72 2 4 2" xfId="11449"/>
    <cellStyle name="Normal 72 2 4 3" xfId="11450"/>
    <cellStyle name="Normal 72 2 5" xfId="11451"/>
    <cellStyle name="Normal 72 2 6" xfId="11452"/>
    <cellStyle name="Normal 72 3" xfId="11453"/>
    <cellStyle name="Normal 72 3 2" xfId="11454"/>
    <cellStyle name="Normal 72 3 2 2" xfId="11455"/>
    <cellStyle name="Normal 72 3 2 3" xfId="11456"/>
    <cellStyle name="Normal 72 3 3" xfId="11457"/>
    <cellStyle name="Normal 72 3 3 2" xfId="11458"/>
    <cellStyle name="Normal 72 3 3 3" xfId="11459"/>
    <cellStyle name="Normal 72 3 4" xfId="11460"/>
    <cellStyle name="Normal 72 3 5" xfId="11461"/>
    <cellStyle name="Normal 72 4" xfId="11462"/>
    <cellStyle name="Normal 72 4 2" xfId="11463"/>
    <cellStyle name="Normal 72 4 3" xfId="11464"/>
    <cellStyle name="Normal 72 5" xfId="11465"/>
    <cellStyle name="Normal 72 5 2" xfId="11466"/>
    <cellStyle name="Normal 72 5 3" xfId="11467"/>
    <cellStyle name="Normal 72 6" xfId="11468"/>
    <cellStyle name="Normal 72 7" xfId="11469"/>
    <cellStyle name="Normal 73" xfId="229"/>
    <cellStyle name="Normal 73 2" xfId="11470"/>
    <cellStyle name="Normal 74" xfId="230"/>
    <cellStyle name="Normal 75" xfId="231"/>
    <cellStyle name="Normal 76" xfId="232"/>
    <cellStyle name="Normal 77" xfId="233"/>
    <cellStyle name="Normal 78" xfId="234"/>
    <cellStyle name="Normal 79" xfId="235"/>
    <cellStyle name="Normal 8" xfId="236"/>
    <cellStyle name="Normal 8 10" xfId="11471"/>
    <cellStyle name="Normal 8 11" xfId="11472"/>
    <cellStyle name="Normal 8 2" xfId="11473"/>
    <cellStyle name="Normal 8 2 2" xfId="11474"/>
    <cellStyle name="Normal 8 2 2 2" xfId="11475"/>
    <cellStyle name="Normal 8 2 2 2 2" xfId="11476"/>
    <cellStyle name="Normal 8 2 2 2 2 2" xfId="11477"/>
    <cellStyle name="Normal 8 2 2 2 2 2 2" xfId="11478"/>
    <cellStyle name="Normal 8 2 2 2 2 2 2 2" xfId="11479"/>
    <cellStyle name="Normal 8 2 2 2 2 2 2 3" xfId="11480"/>
    <cellStyle name="Normal 8 2 2 2 2 2 3" xfId="11481"/>
    <cellStyle name="Normal 8 2 2 2 2 2 3 2" xfId="11482"/>
    <cellStyle name="Normal 8 2 2 2 2 2 3 3" xfId="11483"/>
    <cellStyle name="Normal 8 2 2 2 2 2 4" xfId="11484"/>
    <cellStyle name="Normal 8 2 2 2 2 2 5" xfId="11485"/>
    <cellStyle name="Normal 8 2 2 2 2 3" xfId="11486"/>
    <cellStyle name="Normal 8 2 2 2 2 3 2" xfId="11487"/>
    <cellStyle name="Normal 8 2 2 2 2 3 3" xfId="11488"/>
    <cellStyle name="Normal 8 2 2 2 2 4" xfId="11489"/>
    <cellStyle name="Normal 8 2 2 2 2 4 2" xfId="11490"/>
    <cellStyle name="Normal 8 2 2 2 2 4 3" xfId="11491"/>
    <cellStyle name="Normal 8 2 2 2 2 5" xfId="11492"/>
    <cellStyle name="Normal 8 2 2 2 2 6" xfId="11493"/>
    <cellStyle name="Normal 8 2 2 2 3" xfId="11494"/>
    <cellStyle name="Normal 8 2 2 2 3 2" xfId="11495"/>
    <cellStyle name="Normal 8 2 2 2 3 2 2" xfId="11496"/>
    <cellStyle name="Normal 8 2 2 2 3 2 3" xfId="11497"/>
    <cellStyle name="Normal 8 2 2 2 3 3" xfId="11498"/>
    <cellStyle name="Normal 8 2 2 2 3 3 2" xfId="11499"/>
    <cellStyle name="Normal 8 2 2 2 3 3 3" xfId="11500"/>
    <cellStyle name="Normal 8 2 2 2 3 4" xfId="11501"/>
    <cellStyle name="Normal 8 2 2 2 3 5" xfId="11502"/>
    <cellStyle name="Normal 8 2 2 2 3 6" xfId="34902"/>
    <cellStyle name="Normal 8 2 2 2 4" xfId="11503"/>
    <cellStyle name="Normal 8 2 2 2 4 2" xfId="11504"/>
    <cellStyle name="Normal 8 2 2 2 4 3" xfId="11505"/>
    <cellStyle name="Normal 8 2 2 2 5" xfId="11506"/>
    <cellStyle name="Normal 8 2 2 2 5 2" xfId="11507"/>
    <cellStyle name="Normal 8 2 2 2 5 3" xfId="11508"/>
    <cellStyle name="Normal 8 2 2 2 6" xfId="11509"/>
    <cellStyle name="Normal 8 2 2 2 7" xfId="11510"/>
    <cellStyle name="Normal 8 2 2 3" xfId="11511"/>
    <cellStyle name="Normal 8 2 2 3 2" xfId="11512"/>
    <cellStyle name="Normal 8 2 2 3 2 2" xfId="11513"/>
    <cellStyle name="Normal 8 2 2 3 2 2 2" xfId="11514"/>
    <cellStyle name="Normal 8 2 2 3 2 2 3" xfId="11515"/>
    <cellStyle name="Normal 8 2 2 3 2 3" xfId="11516"/>
    <cellStyle name="Normal 8 2 2 3 2 3 2" xfId="11517"/>
    <cellStyle name="Normal 8 2 2 3 2 3 3" xfId="11518"/>
    <cellStyle name="Normal 8 2 2 3 2 4" xfId="11519"/>
    <cellStyle name="Normal 8 2 2 3 2 5" xfId="11520"/>
    <cellStyle name="Normal 8 2 2 3 3" xfId="11521"/>
    <cellStyle name="Normal 8 2 2 3 3 2" xfId="11522"/>
    <cellStyle name="Normal 8 2 2 3 3 3" xfId="11523"/>
    <cellStyle name="Normal 8 2 2 3 4" xfId="11524"/>
    <cellStyle name="Normal 8 2 2 3 4 2" xfId="11525"/>
    <cellStyle name="Normal 8 2 2 3 4 3" xfId="11526"/>
    <cellStyle name="Normal 8 2 2 3 5" xfId="11527"/>
    <cellStyle name="Normal 8 2 2 3 6" xfId="11528"/>
    <cellStyle name="Normal 8 2 2 4" xfId="11529"/>
    <cellStyle name="Normal 8 2 2 4 2" xfId="11530"/>
    <cellStyle name="Normal 8 2 2 4 2 2" xfId="11531"/>
    <cellStyle name="Normal 8 2 2 4 2 3" xfId="11532"/>
    <cellStyle name="Normal 8 2 2 4 3" xfId="11533"/>
    <cellStyle name="Normal 8 2 2 4 3 2" xfId="11534"/>
    <cellStyle name="Normal 8 2 2 4 3 3" xfId="11535"/>
    <cellStyle name="Normal 8 2 2 4 4" xfId="11536"/>
    <cellStyle name="Normal 8 2 2 4 5" xfId="11537"/>
    <cellStyle name="Normal 8 2 2 5" xfId="11538"/>
    <cellStyle name="Normal 8 2 2 5 2" xfId="11539"/>
    <cellStyle name="Normal 8 2 2 5 3" xfId="11540"/>
    <cellStyle name="Normal 8 2 2 6" xfId="11541"/>
    <cellStyle name="Normal 8 2 2 6 2" xfId="11542"/>
    <cellStyle name="Normal 8 2 2 6 3" xfId="11543"/>
    <cellStyle name="Normal 8 2 2 7" xfId="11544"/>
    <cellStyle name="Normal 8 2 2 8" xfId="11545"/>
    <cellStyle name="Normal 8 2 3" xfId="11546"/>
    <cellStyle name="Normal 8 2 3 2" xfId="11547"/>
    <cellStyle name="Normal 8 2 3 2 2" xfId="11548"/>
    <cellStyle name="Normal 8 2 3 2 2 2" xfId="11549"/>
    <cellStyle name="Normal 8 2 3 2 2 2 2" xfId="11550"/>
    <cellStyle name="Normal 8 2 3 2 2 2 3" xfId="11551"/>
    <cellStyle name="Normal 8 2 3 2 2 3" xfId="11552"/>
    <cellStyle name="Normal 8 2 3 2 2 3 2" xfId="11553"/>
    <cellStyle name="Normal 8 2 3 2 2 3 3" xfId="11554"/>
    <cellStyle name="Normal 8 2 3 2 2 4" xfId="11555"/>
    <cellStyle name="Normal 8 2 3 2 2 5" xfId="11556"/>
    <cellStyle name="Normal 8 2 3 2 3" xfId="11557"/>
    <cellStyle name="Normal 8 2 3 2 3 2" xfId="11558"/>
    <cellStyle name="Normal 8 2 3 2 3 3" xfId="11559"/>
    <cellStyle name="Normal 8 2 3 2 4" xfId="11560"/>
    <cellStyle name="Normal 8 2 3 2 4 2" xfId="11561"/>
    <cellStyle name="Normal 8 2 3 2 4 3" xfId="11562"/>
    <cellStyle name="Normal 8 2 3 2 5" xfId="11563"/>
    <cellStyle name="Normal 8 2 3 2 6" xfId="11564"/>
    <cellStyle name="Normal 8 2 3 3" xfId="11565"/>
    <cellStyle name="Normal 8 2 3 3 2" xfId="11566"/>
    <cellStyle name="Normal 8 2 3 3 2 2" xfId="11567"/>
    <cellStyle name="Normal 8 2 3 3 2 3" xfId="11568"/>
    <cellStyle name="Normal 8 2 3 3 3" xfId="11569"/>
    <cellStyle name="Normal 8 2 3 3 3 2" xfId="11570"/>
    <cellStyle name="Normal 8 2 3 3 3 3" xfId="11571"/>
    <cellStyle name="Normal 8 2 3 3 4" xfId="11572"/>
    <cellStyle name="Normal 8 2 3 3 5" xfId="11573"/>
    <cellStyle name="Normal 8 2 3 4" xfId="11574"/>
    <cellStyle name="Normal 8 2 3 4 2" xfId="11575"/>
    <cellStyle name="Normal 8 2 3 4 3" xfId="11576"/>
    <cellStyle name="Normal 8 2 3 5" xfId="11577"/>
    <cellStyle name="Normal 8 2 3 5 2" xfId="11578"/>
    <cellStyle name="Normal 8 2 3 5 3" xfId="11579"/>
    <cellStyle name="Normal 8 2 3 6" xfId="11580"/>
    <cellStyle name="Normal 8 2 3 7" xfId="11581"/>
    <cellStyle name="Normal 8 2 4" xfId="11582"/>
    <cellStyle name="Normal 8 2 4 2" xfId="11583"/>
    <cellStyle name="Normal 8 2 4 2 2" xfId="11584"/>
    <cellStyle name="Normal 8 2 4 2 2 2" xfId="11585"/>
    <cellStyle name="Normal 8 2 4 2 2 3" xfId="11586"/>
    <cellStyle name="Normal 8 2 4 2 3" xfId="11587"/>
    <cellStyle name="Normal 8 2 4 2 3 2" xfId="11588"/>
    <cellStyle name="Normal 8 2 4 2 3 3" xfId="11589"/>
    <cellStyle name="Normal 8 2 4 2 4" xfId="11590"/>
    <cellStyle name="Normal 8 2 4 2 5" xfId="11591"/>
    <cellStyle name="Normal 8 2 4 3" xfId="11592"/>
    <cellStyle name="Normal 8 2 4 3 2" xfId="11593"/>
    <cellStyle name="Normal 8 2 4 3 3" xfId="11594"/>
    <cellStyle name="Normal 8 2 4 4" xfId="11595"/>
    <cellStyle name="Normal 8 2 4 4 2" xfId="11596"/>
    <cellStyle name="Normal 8 2 4 4 3" xfId="11597"/>
    <cellStyle name="Normal 8 2 4 5" xfId="11598"/>
    <cellStyle name="Normal 8 2 4 6" xfId="11599"/>
    <cellStyle name="Normal 8 2 5" xfId="11600"/>
    <cellStyle name="Normal 8 2 5 2" xfId="11601"/>
    <cellStyle name="Normal 8 2 5 2 2" xfId="11602"/>
    <cellStyle name="Normal 8 2 5 2 3" xfId="11603"/>
    <cellStyle name="Normal 8 2 5 3" xfId="11604"/>
    <cellStyle name="Normal 8 2 5 3 2" xfId="11605"/>
    <cellStyle name="Normal 8 2 5 3 3" xfId="11606"/>
    <cellStyle name="Normal 8 2 5 4" xfId="11607"/>
    <cellStyle name="Normal 8 2 5 5" xfId="11608"/>
    <cellStyle name="Normal 8 2 6" xfId="11609"/>
    <cellStyle name="Normal 8 2 6 2" xfId="11610"/>
    <cellStyle name="Normal 8 2 6 3" xfId="11611"/>
    <cellStyle name="Normal 8 2 7" xfId="11612"/>
    <cellStyle name="Normal 8 2 7 2" xfId="11613"/>
    <cellStyle name="Normal 8 2 7 3" xfId="11614"/>
    <cellStyle name="Normal 8 2 8" xfId="11615"/>
    <cellStyle name="Normal 8 2 9" xfId="11616"/>
    <cellStyle name="Normal 8 3" xfId="11617"/>
    <cellStyle name="Normal 8 3 2" xfId="11618"/>
    <cellStyle name="Normal 8 3 2 2" xfId="11619"/>
    <cellStyle name="Normal 8 3 2 2 2" xfId="11620"/>
    <cellStyle name="Normal 8 3 2 2 2 2" xfId="11621"/>
    <cellStyle name="Normal 8 3 2 2 2 2 2" xfId="11622"/>
    <cellStyle name="Normal 8 3 2 2 2 2 3" xfId="11623"/>
    <cellStyle name="Normal 8 3 2 2 2 3" xfId="11624"/>
    <cellStyle name="Normal 8 3 2 2 2 3 2" xfId="11625"/>
    <cellStyle name="Normal 8 3 2 2 2 3 3" xfId="11626"/>
    <cellStyle name="Normal 8 3 2 2 2 4" xfId="11627"/>
    <cellStyle name="Normal 8 3 2 2 2 5" xfId="11628"/>
    <cellStyle name="Normal 8 3 2 2 3" xfId="11629"/>
    <cellStyle name="Normal 8 3 2 2 3 2" xfId="11630"/>
    <cellStyle name="Normal 8 3 2 2 3 3" xfId="11631"/>
    <cellStyle name="Normal 8 3 2 2 4" xfId="11632"/>
    <cellStyle name="Normal 8 3 2 2 4 2" xfId="11633"/>
    <cellStyle name="Normal 8 3 2 2 4 3" xfId="11634"/>
    <cellStyle name="Normal 8 3 2 2 5" xfId="11635"/>
    <cellStyle name="Normal 8 3 2 2 6" xfId="11636"/>
    <cellStyle name="Normal 8 3 2 3" xfId="11637"/>
    <cellStyle name="Normal 8 3 2 3 2" xfId="11638"/>
    <cellStyle name="Normal 8 3 2 3 2 2" xfId="11639"/>
    <cellStyle name="Normal 8 3 2 3 2 3" xfId="11640"/>
    <cellStyle name="Normal 8 3 2 3 3" xfId="11641"/>
    <cellStyle name="Normal 8 3 2 3 3 2" xfId="11642"/>
    <cellStyle name="Normal 8 3 2 3 3 3" xfId="11643"/>
    <cellStyle name="Normal 8 3 2 3 4" xfId="11644"/>
    <cellStyle name="Normal 8 3 2 3 5" xfId="11645"/>
    <cellStyle name="Normal 8 3 2 4" xfId="11646"/>
    <cellStyle name="Normal 8 3 2 4 2" xfId="11647"/>
    <cellStyle name="Normal 8 3 2 4 3" xfId="11648"/>
    <cellStyle name="Normal 8 3 2 5" xfId="11649"/>
    <cellStyle name="Normal 8 3 2 5 2" xfId="11650"/>
    <cellStyle name="Normal 8 3 2 5 3" xfId="11651"/>
    <cellStyle name="Normal 8 3 2 6" xfId="11652"/>
    <cellStyle name="Normal 8 3 2 7" xfId="11653"/>
    <cellStyle name="Normal 8 3 3" xfId="11654"/>
    <cellStyle name="Normal 8 3 3 2" xfId="11655"/>
    <cellStyle name="Normal 8 3 3 2 2" xfId="11656"/>
    <cellStyle name="Normal 8 3 3 2 2 2" xfId="11657"/>
    <cellStyle name="Normal 8 3 3 2 2 3" xfId="11658"/>
    <cellStyle name="Normal 8 3 3 2 3" xfId="11659"/>
    <cellStyle name="Normal 8 3 3 2 3 2" xfId="11660"/>
    <cellStyle name="Normal 8 3 3 2 3 3" xfId="11661"/>
    <cellStyle name="Normal 8 3 3 2 4" xfId="11662"/>
    <cellStyle name="Normal 8 3 3 2 5" xfId="11663"/>
    <cellStyle name="Normal 8 3 3 3" xfId="11664"/>
    <cellStyle name="Normal 8 3 3 3 2" xfId="11665"/>
    <cellStyle name="Normal 8 3 3 3 3" xfId="11666"/>
    <cellStyle name="Normal 8 3 3 4" xfId="11667"/>
    <cellStyle name="Normal 8 3 3 4 2" xfId="11668"/>
    <cellStyle name="Normal 8 3 3 4 3" xfId="11669"/>
    <cellStyle name="Normal 8 3 3 5" xfId="11670"/>
    <cellStyle name="Normal 8 3 3 6" xfId="11671"/>
    <cellStyle name="Normal 8 3 4" xfId="11672"/>
    <cellStyle name="Normal 8 3 4 2" xfId="11673"/>
    <cellStyle name="Normal 8 3 4 2 2" xfId="11674"/>
    <cellStyle name="Normal 8 3 4 2 3" xfId="11675"/>
    <cellStyle name="Normal 8 3 4 3" xfId="11676"/>
    <cellStyle name="Normal 8 3 4 3 2" xfId="11677"/>
    <cellStyle name="Normal 8 3 4 3 3" xfId="11678"/>
    <cellStyle name="Normal 8 3 4 4" xfId="11679"/>
    <cellStyle name="Normal 8 3 4 5" xfId="11680"/>
    <cellStyle name="Normal 8 3 5" xfId="11681"/>
    <cellStyle name="Normal 8 3 5 2" xfId="11682"/>
    <cellStyle name="Normal 8 3 5 3" xfId="11683"/>
    <cellStyle name="Normal 8 3 6" xfId="11684"/>
    <cellStyle name="Normal 8 3 6 2" xfId="11685"/>
    <cellStyle name="Normal 8 3 6 3" xfId="11686"/>
    <cellStyle name="Normal 8 3 7" xfId="11687"/>
    <cellStyle name="Normal 8 3 8" xfId="11688"/>
    <cellStyle name="Normal 8 4" xfId="11689"/>
    <cellStyle name="Normal 8 4 2" xfId="11690"/>
    <cellStyle name="Normal 8 4 2 2" xfId="11691"/>
    <cellStyle name="Normal 8 4 2 2 2" xfId="11692"/>
    <cellStyle name="Normal 8 4 2 2 2 2" xfId="11693"/>
    <cellStyle name="Normal 8 4 2 2 2 2 2" xfId="11694"/>
    <cellStyle name="Normal 8 4 2 2 2 2 3" xfId="11695"/>
    <cellStyle name="Normal 8 4 2 2 2 3" xfId="11696"/>
    <cellStyle name="Normal 8 4 2 2 2 3 2" xfId="11697"/>
    <cellStyle name="Normal 8 4 2 2 2 3 3" xfId="11698"/>
    <cellStyle name="Normal 8 4 2 2 2 4" xfId="11699"/>
    <cellStyle name="Normal 8 4 2 2 2 5" xfId="11700"/>
    <cellStyle name="Normal 8 4 2 2 3" xfId="11701"/>
    <cellStyle name="Normal 8 4 2 2 3 2" xfId="11702"/>
    <cellStyle name="Normal 8 4 2 2 3 3" xfId="11703"/>
    <cellStyle name="Normal 8 4 2 2 4" xfId="11704"/>
    <cellStyle name="Normal 8 4 2 2 4 2" xfId="11705"/>
    <cellStyle name="Normal 8 4 2 2 4 3" xfId="11706"/>
    <cellStyle name="Normal 8 4 2 2 5" xfId="11707"/>
    <cellStyle name="Normal 8 4 2 2 6" xfId="11708"/>
    <cellStyle name="Normal 8 4 2 3" xfId="11709"/>
    <cellStyle name="Normal 8 4 2 3 2" xfId="11710"/>
    <cellStyle name="Normal 8 4 2 3 2 2" xfId="11711"/>
    <cellStyle name="Normal 8 4 2 3 2 3" xfId="11712"/>
    <cellStyle name="Normal 8 4 2 3 3" xfId="11713"/>
    <cellStyle name="Normal 8 4 2 3 3 2" xfId="11714"/>
    <cellStyle name="Normal 8 4 2 3 3 3" xfId="11715"/>
    <cellStyle name="Normal 8 4 2 3 4" xfId="11716"/>
    <cellStyle name="Normal 8 4 2 3 5" xfId="11717"/>
    <cellStyle name="Normal 8 4 2 4" xfId="11718"/>
    <cellStyle name="Normal 8 4 2 4 2" xfId="11719"/>
    <cellStyle name="Normal 8 4 2 4 3" xfId="11720"/>
    <cellStyle name="Normal 8 4 2 5" xfId="11721"/>
    <cellStyle name="Normal 8 4 2 5 2" xfId="11722"/>
    <cellStyle name="Normal 8 4 2 5 3" xfId="11723"/>
    <cellStyle name="Normal 8 4 2 6" xfId="11724"/>
    <cellStyle name="Normal 8 4 2 7" xfId="11725"/>
    <cellStyle name="Normal 8 4 3" xfId="11726"/>
    <cellStyle name="Normal 8 4 3 2" xfId="11727"/>
    <cellStyle name="Normal 8 4 3 2 2" xfId="11728"/>
    <cellStyle name="Normal 8 4 3 2 2 2" xfId="11729"/>
    <cellStyle name="Normal 8 4 3 2 2 3" xfId="11730"/>
    <cellStyle name="Normal 8 4 3 2 3" xfId="11731"/>
    <cellStyle name="Normal 8 4 3 2 3 2" xfId="11732"/>
    <cellStyle name="Normal 8 4 3 2 3 3" xfId="11733"/>
    <cellStyle name="Normal 8 4 3 2 4" xfId="11734"/>
    <cellStyle name="Normal 8 4 3 2 5" xfId="11735"/>
    <cellStyle name="Normal 8 4 3 3" xfId="11736"/>
    <cellStyle name="Normal 8 4 3 3 2" xfId="11737"/>
    <cellStyle name="Normal 8 4 3 3 3" xfId="11738"/>
    <cellStyle name="Normal 8 4 3 4" xfId="11739"/>
    <cellStyle name="Normal 8 4 3 4 2" xfId="11740"/>
    <cellStyle name="Normal 8 4 3 4 3" xfId="11741"/>
    <cellStyle name="Normal 8 4 3 5" xfId="11742"/>
    <cellStyle name="Normal 8 4 3 6" xfId="11743"/>
    <cellStyle name="Normal 8 4 4" xfId="11744"/>
    <cellStyle name="Normal 8 4 4 2" xfId="11745"/>
    <cellStyle name="Normal 8 4 4 2 2" xfId="11746"/>
    <cellStyle name="Normal 8 4 4 2 3" xfId="11747"/>
    <cellStyle name="Normal 8 4 4 3" xfId="11748"/>
    <cellStyle name="Normal 8 4 4 3 2" xfId="11749"/>
    <cellStyle name="Normal 8 4 4 3 3" xfId="11750"/>
    <cellStyle name="Normal 8 4 4 4" xfId="11751"/>
    <cellStyle name="Normal 8 4 4 5" xfId="11752"/>
    <cellStyle name="Normal 8 4 5" xfId="11753"/>
    <cellStyle name="Normal 8 4 5 2" xfId="11754"/>
    <cellStyle name="Normal 8 4 5 3" xfId="11755"/>
    <cellStyle name="Normal 8 4 6" xfId="11756"/>
    <cellStyle name="Normal 8 4 6 2" xfId="11757"/>
    <cellStyle name="Normal 8 4 6 3" xfId="11758"/>
    <cellStyle name="Normal 8 4 7" xfId="11759"/>
    <cellStyle name="Normal 8 4 8" xfId="11760"/>
    <cellStyle name="Normal 8 5" xfId="11761"/>
    <cellStyle name="Normal 8 5 2" xfId="11762"/>
    <cellStyle name="Normal 8 5 2 2" xfId="11763"/>
    <cellStyle name="Normal 8 5 2 2 2" xfId="11764"/>
    <cellStyle name="Normal 8 5 2 2 2 2" xfId="11765"/>
    <cellStyle name="Normal 8 5 2 2 2 3" xfId="11766"/>
    <cellStyle name="Normal 8 5 2 2 3" xfId="11767"/>
    <cellStyle name="Normal 8 5 2 2 3 2" xfId="11768"/>
    <cellStyle name="Normal 8 5 2 2 3 3" xfId="11769"/>
    <cellStyle name="Normal 8 5 2 2 4" xfId="11770"/>
    <cellStyle name="Normal 8 5 2 2 5" xfId="11771"/>
    <cellStyle name="Normal 8 5 2 3" xfId="11772"/>
    <cellStyle name="Normal 8 5 2 3 2" xfId="11773"/>
    <cellStyle name="Normal 8 5 2 3 3" xfId="11774"/>
    <cellStyle name="Normal 8 5 2 4" xfId="11775"/>
    <cellStyle name="Normal 8 5 2 4 2" xfId="11776"/>
    <cellStyle name="Normal 8 5 2 4 3" xfId="11777"/>
    <cellStyle name="Normal 8 5 2 5" xfId="11778"/>
    <cellStyle name="Normal 8 5 2 6" xfId="11779"/>
    <cellStyle name="Normal 8 5 3" xfId="11780"/>
    <cellStyle name="Normal 8 5 3 2" xfId="11781"/>
    <cellStyle name="Normal 8 5 3 2 2" xfId="11782"/>
    <cellStyle name="Normal 8 5 3 2 3" xfId="11783"/>
    <cellStyle name="Normal 8 5 3 3" xfId="11784"/>
    <cellStyle name="Normal 8 5 3 3 2" xfId="11785"/>
    <cellStyle name="Normal 8 5 3 3 3" xfId="11786"/>
    <cellStyle name="Normal 8 5 3 4" xfId="11787"/>
    <cellStyle name="Normal 8 5 3 5" xfId="11788"/>
    <cellStyle name="Normal 8 5 4" xfId="11789"/>
    <cellStyle name="Normal 8 5 4 2" xfId="11790"/>
    <cellStyle name="Normal 8 5 4 3" xfId="11791"/>
    <cellStyle name="Normal 8 5 5" xfId="11792"/>
    <cellStyle name="Normal 8 5 5 2" xfId="11793"/>
    <cellStyle name="Normal 8 5 5 3" xfId="11794"/>
    <cellStyle name="Normal 8 5 6" xfId="11795"/>
    <cellStyle name="Normal 8 5 7" xfId="11796"/>
    <cellStyle name="Normal 8 6" xfId="11797"/>
    <cellStyle name="Normal 8 6 2" xfId="11798"/>
    <cellStyle name="Normal 8 6 2 2" xfId="11799"/>
    <cellStyle name="Normal 8 6 2 2 2" xfId="11800"/>
    <cellStyle name="Normal 8 6 2 2 3" xfId="11801"/>
    <cellStyle name="Normal 8 6 2 3" xfId="11802"/>
    <cellStyle name="Normal 8 6 2 3 2" xfId="11803"/>
    <cellStyle name="Normal 8 6 2 3 3" xfId="11804"/>
    <cellStyle name="Normal 8 6 2 4" xfId="11805"/>
    <cellStyle name="Normal 8 6 2 5" xfId="11806"/>
    <cellStyle name="Normal 8 6 3" xfId="11807"/>
    <cellStyle name="Normal 8 6 3 2" xfId="11808"/>
    <cellStyle name="Normal 8 6 3 3" xfId="11809"/>
    <cellStyle name="Normal 8 6 4" xfId="11810"/>
    <cellStyle name="Normal 8 6 4 2" xfId="11811"/>
    <cellStyle name="Normal 8 6 4 3" xfId="11812"/>
    <cellStyle name="Normal 8 6 5" xfId="11813"/>
    <cellStyle name="Normal 8 6 6" xfId="11814"/>
    <cellStyle name="Normal 8 7" xfId="11815"/>
    <cellStyle name="Normal 8 7 2" xfId="11816"/>
    <cellStyle name="Normal 8 7 2 2" xfId="11817"/>
    <cellStyle name="Normal 8 7 2 3" xfId="11818"/>
    <cellStyle name="Normal 8 7 3" xfId="11819"/>
    <cellStyle name="Normal 8 7 3 2" xfId="11820"/>
    <cellStyle name="Normal 8 7 3 3" xfId="11821"/>
    <cellStyle name="Normal 8 7 4" xfId="11822"/>
    <cellStyle name="Normal 8 7 5" xfId="11823"/>
    <cellStyle name="Normal 8 8" xfId="11824"/>
    <cellStyle name="Normal 8 8 2" xfId="11825"/>
    <cellStyle name="Normal 8 8 3" xfId="11826"/>
    <cellStyle name="Normal 8 9" xfId="11827"/>
    <cellStyle name="Normal 8 9 2" xfId="11828"/>
    <cellStyle name="Normal 8 9 3" xfId="11829"/>
    <cellStyle name="Normal 8_2180" xfId="11830"/>
    <cellStyle name="Normal 80" xfId="237"/>
    <cellStyle name="Normal 81" xfId="238"/>
    <cellStyle name="Normal 81 2" xfId="11831"/>
    <cellStyle name="Normal 81 2 2" xfId="11832"/>
    <cellStyle name="Normal 81 2 2 2" xfId="11833"/>
    <cellStyle name="Normal 81 2 2 3" xfId="11834"/>
    <cellStyle name="Normal 81 2 3" xfId="11835"/>
    <cellStyle name="Normal 81 2 3 2" xfId="11836"/>
    <cellStyle name="Normal 81 2 3 3" xfId="11837"/>
    <cellStyle name="Normal 81 2 4" xfId="11838"/>
    <cellStyle name="Normal 81 2 5" xfId="11839"/>
    <cellStyle name="Normal 81 3" xfId="11840"/>
    <cellStyle name="Normal 81 3 2" xfId="11841"/>
    <cellStyle name="Normal 81 3 3" xfId="11842"/>
    <cellStyle name="Normal 81 4" xfId="11843"/>
    <cellStyle name="Normal 81 4 2" xfId="11844"/>
    <cellStyle name="Normal 81 4 3" xfId="11845"/>
    <cellStyle name="Normal 81 5" xfId="11846"/>
    <cellStyle name="Normal 81 6" xfId="11847"/>
    <cellStyle name="Normal 82" xfId="239"/>
    <cellStyle name="Normal 82 2" xfId="11848"/>
    <cellStyle name="Normal 82 2 2" xfId="11849"/>
    <cellStyle name="Normal 82 2 2 2" xfId="11850"/>
    <cellStyle name="Normal 82 2 2 3" xfId="11851"/>
    <cellStyle name="Normal 82 2 3" xfId="11852"/>
    <cellStyle name="Normal 82 2 3 2" xfId="11853"/>
    <cellStyle name="Normal 82 2 3 3" xfId="11854"/>
    <cellStyle name="Normal 82 2 4" xfId="11855"/>
    <cellStyle name="Normal 82 2 5" xfId="11856"/>
    <cellStyle name="Normal 82 3" xfId="11857"/>
    <cellStyle name="Normal 82 3 2" xfId="11858"/>
    <cellStyle name="Normal 82 3 3" xfId="11859"/>
    <cellStyle name="Normal 82 4" xfId="11860"/>
    <cellStyle name="Normal 82 4 2" xfId="11861"/>
    <cellStyle name="Normal 82 4 3" xfId="11862"/>
    <cellStyle name="Normal 82 5" xfId="11863"/>
    <cellStyle name="Normal 82 6" xfId="11864"/>
    <cellStyle name="Normal 83" xfId="240"/>
    <cellStyle name="Normal 84" xfId="38"/>
    <cellStyle name="Normal 84 2" xfId="275"/>
    <cellStyle name="Normal 84 2 2" xfId="11865"/>
    <cellStyle name="Normal 84 2 2 2" xfId="11866"/>
    <cellStyle name="Normal 84 2 2 3" xfId="11867"/>
    <cellStyle name="Normal 84 2 3" xfId="11868"/>
    <cellStyle name="Normal 84 2 3 2" xfId="11869"/>
    <cellStyle name="Normal 84 2 3 3" xfId="11870"/>
    <cellStyle name="Normal 84 2 4" xfId="11871"/>
    <cellStyle name="Normal 84 2 5" xfId="11872"/>
    <cellStyle name="Normal 84 3" xfId="347"/>
    <cellStyle name="Normal 84 3 2" xfId="11873"/>
    <cellStyle name="Normal 84 3 3" xfId="11874"/>
    <cellStyle name="Normal 84 4" xfId="11875"/>
    <cellStyle name="Normal 84 4 2" xfId="11876"/>
    <cellStyle name="Normal 84 4 3" xfId="11877"/>
    <cellStyle name="Normal 84 5" xfId="11878"/>
    <cellStyle name="Normal 84 6" xfId="11879"/>
    <cellStyle name="Normal 85" xfId="249"/>
    <cellStyle name="Normal 85 2" xfId="368"/>
    <cellStyle name="Normal 85 2 2" xfId="11880"/>
    <cellStyle name="Normal 85 2 3" xfId="11881"/>
    <cellStyle name="Normal 85 3" xfId="11882"/>
    <cellStyle name="Normal 85 3 2" xfId="11883"/>
    <cellStyle name="Normal 85 3 3" xfId="11884"/>
    <cellStyle name="Normal 85 4" xfId="11885"/>
    <cellStyle name="Normal 85 5" xfId="11886"/>
    <cellStyle name="Normal 86" xfId="267"/>
    <cellStyle name="Normal 86 2" xfId="11887"/>
    <cellStyle name="Normal 86 3" xfId="11888"/>
    <cellStyle name="Normal 87" xfId="268"/>
    <cellStyle name="Normal 87 2" xfId="11889"/>
    <cellStyle name="Normal 88" xfId="269"/>
    <cellStyle name="Normal 88 2" xfId="11890"/>
    <cellStyle name="Normal 89" xfId="270"/>
    <cellStyle name="Normal 9" xfId="241"/>
    <cellStyle name="Normal 9 10" xfId="11891"/>
    <cellStyle name="Normal 9 11" xfId="11892"/>
    <cellStyle name="Normal 9 12" xfId="11893"/>
    <cellStyle name="Normal 9 13" xfId="11894"/>
    <cellStyle name="Normal 9 14" xfId="11895"/>
    <cellStyle name="Normal 9 2" xfId="11896"/>
    <cellStyle name="Normal 9 2 10" xfId="11897"/>
    <cellStyle name="Normal 9 2 11" xfId="11898"/>
    <cellStyle name="Normal 9 2 12" xfId="11899"/>
    <cellStyle name="Normal 9 2 2" xfId="11900"/>
    <cellStyle name="Normal 9 2 2 2" xfId="11901"/>
    <cellStyle name="Normal 9 2 2 2 2" xfId="11902"/>
    <cellStyle name="Normal 9 2 2 2 2 2" xfId="11903"/>
    <cellStyle name="Normal 9 2 2 2 2 2 2" xfId="11904"/>
    <cellStyle name="Normal 9 2 2 2 2 2 2 2" xfId="11905"/>
    <cellStyle name="Normal 9 2 2 2 2 2 2 3" xfId="11906"/>
    <cellStyle name="Normal 9 2 2 2 2 2 3" xfId="11907"/>
    <cellStyle name="Normal 9 2 2 2 2 2 3 2" xfId="11908"/>
    <cellStyle name="Normal 9 2 2 2 2 2 3 3" xfId="11909"/>
    <cellStyle name="Normal 9 2 2 2 2 2 4" xfId="11910"/>
    <cellStyle name="Normal 9 2 2 2 2 2 5" xfId="11911"/>
    <cellStyle name="Normal 9 2 2 2 2 3" xfId="11912"/>
    <cellStyle name="Normal 9 2 2 2 2 3 2" xfId="11913"/>
    <cellStyle name="Normal 9 2 2 2 2 3 3" xfId="11914"/>
    <cellStyle name="Normal 9 2 2 2 2 4" xfId="11915"/>
    <cellStyle name="Normal 9 2 2 2 2 4 2" xfId="11916"/>
    <cellStyle name="Normal 9 2 2 2 2 4 3" xfId="11917"/>
    <cellStyle name="Normal 9 2 2 2 2 5" xfId="11918"/>
    <cellStyle name="Normal 9 2 2 2 2 6" xfId="11919"/>
    <cellStyle name="Normal 9 2 2 2 3" xfId="11920"/>
    <cellStyle name="Normal 9 2 2 2 3 2" xfId="11921"/>
    <cellStyle name="Normal 9 2 2 2 3 2 2" xfId="11922"/>
    <cellStyle name="Normal 9 2 2 2 3 2 3" xfId="11923"/>
    <cellStyle name="Normal 9 2 2 2 3 3" xfId="11924"/>
    <cellStyle name="Normal 9 2 2 2 3 3 2" xfId="11925"/>
    <cellStyle name="Normal 9 2 2 2 3 3 3" xfId="11926"/>
    <cellStyle name="Normal 9 2 2 2 3 4" xfId="11927"/>
    <cellStyle name="Normal 9 2 2 2 3 5" xfId="11928"/>
    <cellStyle name="Normal 9 2 2 2 3 6" xfId="34904"/>
    <cellStyle name="Normal 9 2 2 2 4" xfId="11929"/>
    <cellStyle name="Normal 9 2 2 2 4 2" xfId="11930"/>
    <cellStyle name="Normal 9 2 2 2 4 3" xfId="11931"/>
    <cellStyle name="Normal 9 2 2 2 5" xfId="11932"/>
    <cellStyle name="Normal 9 2 2 2 5 2" xfId="11933"/>
    <cellStyle name="Normal 9 2 2 2 5 3" xfId="11934"/>
    <cellStyle name="Normal 9 2 2 2 6" xfId="11935"/>
    <cellStyle name="Normal 9 2 2 2 7" xfId="11936"/>
    <cellStyle name="Normal 9 2 2 3" xfId="11937"/>
    <cellStyle name="Normal 9 2 2 3 2" xfId="11938"/>
    <cellStyle name="Normal 9 2 2 3 2 2" xfId="11939"/>
    <cellStyle name="Normal 9 2 2 3 2 2 2" xfId="11940"/>
    <cellStyle name="Normal 9 2 2 3 2 2 3" xfId="11941"/>
    <cellStyle name="Normal 9 2 2 3 2 3" xfId="11942"/>
    <cellStyle name="Normal 9 2 2 3 2 3 2" xfId="11943"/>
    <cellStyle name="Normal 9 2 2 3 2 3 3" xfId="11944"/>
    <cellStyle name="Normal 9 2 2 3 2 4" xfId="11945"/>
    <cellStyle name="Normal 9 2 2 3 2 5" xfId="11946"/>
    <cellStyle name="Normal 9 2 2 3 3" xfId="11947"/>
    <cellStyle name="Normal 9 2 2 3 3 2" xfId="11948"/>
    <cellStyle name="Normal 9 2 2 3 3 3" xfId="11949"/>
    <cellStyle name="Normal 9 2 2 3 4" xfId="11950"/>
    <cellStyle name="Normal 9 2 2 3 4 2" xfId="11951"/>
    <cellStyle name="Normal 9 2 2 3 4 3" xfId="11952"/>
    <cellStyle name="Normal 9 2 2 3 5" xfId="11953"/>
    <cellStyle name="Normal 9 2 2 3 6" xfId="11954"/>
    <cellStyle name="Normal 9 2 2 4" xfId="11955"/>
    <cellStyle name="Normal 9 2 2 4 2" xfId="11956"/>
    <cellStyle name="Normal 9 2 2 4 2 2" xfId="11957"/>
    <cellStyle name="Normal 9 2 2 4 2 3" xfId="11958"/>
    <cellStyle name="Normal 9 2 2 4 3" xfId="11959"/>
    <cellStyle name="Normal 9 2 2 4 3 2" xfId="11960"/>
    <cellStyle name="Normal 9 2 2 4 3 3" xfId="11961"/>
    <cellStyle name="Normal 9 2 2 4 4" xfId="11962"/>
    <cellStyle name="Normal 9 2 2 4 5" xfId="11963"/>
    <cellStyle name="Normal 9 2 2 5" xfId="11964"/>
    <cellStyle name="Normal 9 2 2 5 2" xfId="11965"/>
    <cellStyle name="Normal 9 2 2 5 3" xfId="11966"/>
    <cellStyle name="Normal 9 2 2 6" xfId="11967"/>
    <cellStyle name="Normal 9 2 2 6 2" xfId="11968"/>
    <cellStyle name="Normal 9 2 2 6 3" xfId="11969"/>
    <cellStyle name="Normal 9 2 2 7" xfId="11970"/>
    <cellStyle name="Normal 9 2 2 8" xfId="11971"/>
    <cellStyle name="Normal 9 2 3" xfId="11972"/>
    <cellStyle name="Normal 9 2 3 2" xfId="11973"/>
    <cellStyle name="Normal 9 2 3 2 2" xfId="11974"/>
    <cellStyle name="Normal 9 2 3 2 2 2" xfId="11975"/>
    <cellStyle name="Normal 9 2 3 2 2 2 2" xfId="11976"/>
    <cellStyle name="Normal 9 2 3 2 2 2 3" xfId="11977"/>
    <cellStyle name="Normal 9 2 3 2 2 3" xfId="11978"/>
    <cellStyle name="Normal 9 2 3 2 2 3 2" xfId="11979"/>
    <cellStyle name="Normal 9 2 3 2 2 3 3" xfId="11980"/>
    <cellStyle name="Normal 9 2 3 2 2 4" xfId="11981"/>
    <cellStyle name="Normal 9 2 3 2 2 5" xfId="11982"/>
    <cellStyle name="Normal 9 2 3 2 3" xfId="11983"/>
    <cellStyle name="Normal 9 2 3 2 3 2" xfId="11984"/>
    <cellStyle name="Normal 9 2 3 2 3 3" xfId="11985"/>
    <cellStyle name="Normal 9 2 3 2 4" xfId="11986"/>
    <cellStyle name="Normal 9 2 3 2 4 2" xfId="11987"/>
    <cellStyle name="Normal 9 2 3 2 4 3" xfId="11988"/>
    <cellStyle name="Normal 9 2 3 2 5" xfId="11989"/>
    <cellStyle name="Normal 9 2 3 2 6" xfId="11990"/>
    <cellStyle name="Normal 9 2 3 3" xfId="11991"/>
    <cellStyle name="Normal 9 2 3 3 2" xfId="11992"/>
    <cellStyle name="Normal 9 2 3 3 2 2" xfId="11993"/>
    <cellStyle name="Normal 9 2 3 3 2 3" xfId="11994"/>
    <cellStyle name="Normal 9 2 3 3 3" xfId="11995"/>
    <cellStyle name="Normal 9 2 3 3 3 2" xfId="11996"/>
    <cellStyle name="Normal 9 2 3 3 3 3" xfId="11997"/>
    <cellStyle name="Normal 9 2 3 3 4" xfId="11998"/>
    <cellStyle name="Normal 9 2 3 3 5" xfId="11999"/>
    <cellStyle name="Normal 9 2 3 4" xfId="12000"/>
    <cellStyle name="Normal 9 2 3 4 2" xfId="12001"/>
    <cellStyle name="Normal 9 2 3 4 3" xfId="12002"/>
    <cellStyle name="Normal 9 2 3 5" xfId="12003"/>
    <cellStyle name="Normal 9 2 3 5 2" xfId="12004"/>
    <cellStyle name="Normal 9 2 3 5 3" xfId="12005"/>
    <cellStyle name="Normal 9 2 3 6" xfId="12006"/>
    <cellStyle name="Normal 9 2 3 7" xfId="12007"/>
    <cellStyle name="Normal 9 2 4" xfId="12008"/>
    <cellStyle name="Normal 9 2 4 2" xfId="12009"/>
    <cellStyle name="Normal 9 2 4 2 2" xfId="12010"/>
    <cellStyle name="Normal 9 2 4 2 2 2" xfId="12011"/>
    <cellStyle name="Normal 9 2 4 2 2 3" xfId="12012"/>
    <cellStyle name="Normal 9 2 4 2 3" xfId="12013"/>
    <cellStyle name="Normal 9 2 4 2 3 2" xfId="12014"/>
    <cellStyle name="Normal 9 2 4 2 3 3" xfId="12015"/>
    <cellStyle name="Normal 9 2 4 2 4" xfId="12016"/>
    <cellStyle name="Normal 9 2 4 2 5" xfId="12017"/>
    <cellStyle name="Normal 9 2 4 3" xfId="12018"/>
    <cellStyle name="Normal 9 2 4 3 2" xfId="12019"/>
    <cellStyle name="Normal 9 2 4 3 3" xfId="12020"/>
    <cellStyle name="Normal 9 2 4 4" xfId="12021"/>
    <cellStyle name="Normal 9 2 4 4 2" xfId="12022"/>
    <cellStyle name="Normal 9 2 4 4 3" xfId="12023"/>
    <cellStyle name="Normal 9 2 4 5" xfId="12024"/>
    <cellStyle name="Normal 9 2 4 6" xfId="12025"/>
    <cellStyle name="Normal 9 2 5" xfId="12026"/>
    <cellStyle name="Normal 9 2 5 2" xfId="12027"/>
    <cellStyle name="Normal 9 2 5 2 2" xfId="12028"/>
    <cellStyle name="Normal 9 2 5 2 2 2" xfId="12029"/>
    <cellStyle name="Normal 9 2 5 2 2 3" xfId="12030"/>
    <cellStyle name="Normal 9 2 5 2 2 4" xfId="12031"/>
    <cellStyle name="Normal 9 2 5 2 2 5" xfId="12032"/>
    <cellStyle name="Normal 9 2 5 2 3" xfId="12033"/>
    <cellStyle name="Normal 9 2 5 2 3 2" xfId="12034"/>
    <cellStyle name="Normal 9 2 5 2 3 3" xfId="12035"/>
    <cellStyle name="Normal 9 2 5 2 4" xfId="12036"/>
    <cellStyle name="Normal 9 2 5 2 4 2" xfId="12037"/>
    <cellStyle name="Normal 9 2 5 2 4 3" xfId="12038"/>
    <cellStyle name="Normal 9 2 5 2 5" xfId="12039"/>
    <cellStyle name="Normal 9 2 5 2 6" xfId="12040"/>
    <cellStyle name="Normal 9 2 5 3" xfId="12041"/>
    <cellStyle name="Normal 9 2 5 3 2" xfId="12042"/>
    <cellStyle name="Normal 9 2 5 3 2 2" xfId="12043"/>
    <cellStyle name="Normal 9 2 5 3 2 2 2" xfId="12044"/>
    <cellStyle name="Normal 9 2 5 3 2 2 3" xfId="12045"/>
    <cellStyle name="Normal 9 2 5 3 2 3" xfId="12046"/>
    <cellStyle name="Normal 9 2 5 3 2 3 2" xfId="12047"/>
    <cellStyle name="Normal 9 2 5 3 2 3 3" xfId="12048"/>
    <cellStyle name="Normal 9 2 5 3 2 4" xfId="12049"/>
    <cellStyle name="Normal 9 2 5 3 2 5" xfId="12050"/>
    <cellStyle name="Normal 9 2 5 3 3" xfId="12051"/>
    <cellStyle name="Normal 9 2 5 3 3 2" xfId="12052"/>
    <cellStyle name="Normal 9 2 5 3 3 3" xfId="12053"/>
    <cellStyle name="Normal 9 2 5 3 3 4" xfId="12054"/>
    <cellStyle name="Normal 9 2 5 3 3 5" xfId="12055"/>
    <cellStyle name="Normal 9 2 5 3 4" xfId="12056"/>
    <cellStyle name="Normal 9 2 5 3 4 2" xfId="12057"/>
    <cellStyle name="Normal 9 2 5 3 4 3" xfId="12058"/>
    <cellStyle name="Normal 9 2 5 3 5" xfId="12059"/>
    <cellStyle name="Normal 9 2 5 3 5 2" xfId="12060"/>
    <cellStyle name="Normal 9 2 5 3 5 3" xfId="12061"/>
    <cellStyle name="Normal 9 2 5 3 6" xfId="12062"/>
    <cellStyle name="Normal 9 2 5 3 7" xfId="12063"/>
    <cellStyle name="Normal 9 2 5 4" xfId="12064"/>
    <cellStyle name="Normal 9 2 5 4 2" xfId="12065"/>
    <cellStyle name="Normal 9 2 5 4 2 2" xfId="12066"/>
    <cellStyle name="Normal 9 2 5 4 2 3" xfId="12067"/>
    <cellStyle name="Normal 9 2 5 4 3" xfId="12068"/>
    <cellStyle name="Normal 9 2 5 4 3 2" xfId="12069"/>
    <cellStyle name="Normal 9 2 5 4 3 3" xfId="12070"/>
    <cellStyle name="Normal 9 2 5 4 4" xfId="12071"/>
    <cellStyle name="Normal 9 2 5 4 5" xfId="12072"/>
    <cellStyle name="Normal 9 2 5 5" xfId="12073"/>
    <cellStyle name="Normal 9 2 5 5 2" xfId="12074"/>
    <cellStyle name="Normal 9 2 5 5 3" xfId="12075"/>
    <cellStyle name="Normal 9 2 5 5 4" xfId="12076"/>
    <cellStyle name="Normal 9 2 5 5 5" xfId="12077"/>
    <cellStyle name="Normal 9 2 5 6" xfId="12078"/>
    <cellStyle name="Normal 9 2 5 6 2" xfId="12079"/>
    <cellStyle name="Normal 9 2 5 6 3" xfId="12080"/>
    <cellStyle name="Normal 9 2 5 7" xfId="12081"/>
    <cellStyle name="Normal 9 2 5 7 2" xfId="12082"/>
    <cellStyle name="Normal 9 2 5 7 3" xfId="12083"/>
    <cellStyle name="Normal 9 2 5 8" xfId="12084"/>
    <cellStyle name="Normal 9 2 5 9" xfId="12085"/>
    <cellStyle name="Normal 9 2 5_10070" xfId="12086"/>
    <cellStyle name="Normal 9 2 6" xfId="12087"/>
    <cellStyle name="Normal 9 2 6 2" xfId="12088"/>
    <cellStyle name="Normal 9 2 6 3" xfId="12089"/>
    <cellStyle name="Normal 9 2 6 4" xfId="12090"/>
    <cellStyle name="Normal 9 2 6 5" xfId="12091"/>
    <cellStyle name="Normal 9 2 7" xfId="12092"/>
    <cellStyle name="Normal 9 2 7 2" xfId="12093"/>
    <cellStyle name="Normal 9 2 7 3" xfId="12094"/>
    <cellStyle name="Normal 9 2 8" xfId="12095"/>
    <cellStyle name="Normal 9 2 8 2" xfId="12096"/>
    <cellStyle name="Normal 9 2 8 3" xfId="12097"/>
    <cellStyle name="Normal 9 2 9" xfId="12098"/>
    <cellStyle name="Normal 9 3" xfId="12099"/>
    <cellStyle name="Normal 9 3 2" xfId="12100"/>
    <cellStyle name="Normal 9 3 2 2" xfId="12101"/>
    <cellStyle name="Normal 9 3 2 2 2" xfId="12102"/>
    <cellStyle name="Normal 9 3 2 2 2 2" xfId="12103"/>
    <cellStyle name="Normal 9 3 2 2 2 2 2" xfId="12104"/>
    <cellStyle name="Normal 9 3 2 2 2 2 3" xfId="12105"/>
    <cellStyle name="Normal 9 3 2 2 2 3" xfId="12106"/>
    <cellStyle name="Normal 9 3 2 2 2 3 2" xfId="12107"/>
    <cellStyle name="Normal 9 3 2 2 2 3 3" xfId="12108"/>
    <cellStyle name="Normal 9 3 2 2 2 4" xfId="12109"/>
    <cellStyle name="Normal 9 3 2 2 2 5" xfId="12110"/>
    <cellStyle name="Normal 9 3 2 2 3" xfId="12111"/>
    <cellStyle name="Normal 9 3 2 2 3 2" xfId="12112"/>
    <cellStyle name="Normal 9 3 2 2 3 3" xfId="12113"/>
    <cellStyle name="Normal 9 3 2 2 4" xfId="12114"/>
    <cellStyle name="Normal 9 3 2 2 4 2" xfId="12115"/>
    <cellStyle name="Normal 9 3 2 2 4 3" xfId="12116"/>
    <cellStyle name="Normal 9 3 2 2 5" xfId="12117"/>
    <cellStyle name="Normal 9 3 2 2 6" xfId="12118"/>
    <cellStyle name="Normal 9 3 2 3" xfId="12119"/>
    <cellStyle name="Normal 9 3 2 3 2" xfId="12120"/>
    <cellStyle name="Normal 9 3 2 3 2 2" xfId="12121"/>
    <cellStyle name="Normal 9 3 2 3 2 3" xfId="12122"/>
    <cellStyle name="Normal 9 3 2 3 3" xfId="12123"/>
    <cellStyle name="Normal 9 3 2 3 3 2" xfId="12124"/>
    <cellStyle name="Normal 9 3 2 3 3 3" xfId="12125"/>
    <cellStyle name="Normal 9 3 2 3 4" xfId="12126"/>
    <cellStyle name="Normal 9 3 2 3 5" xfId="12127"/>
    <cellStyle name="Normal 9 3 2 4" xfId="12128"/>
    <cellStyle name="Normal 9 3 2 4 2" xfId="12129"/>
    <cellStyle name="Normal 9 3 2 4 3" xfId="12130"/>
    <cellStyle name="Normal 9 3 2 5" xfId="12131"/>
    <cellStyle name="Normal 9 3 2 5 2" xfId="12132"/>
    <cellStyle name="Normal 9 3 2 5 3" xfId="12133"/>
    <cellStyle name="Normal 9 3 2 6" xfId="12134"/>
    <cellStyle name="Normal 9 3 2 7" xfId="12135"/>
    <cellStyle name="Normal 9 3 3" xfId="12136"/>
    <cellStyle name="Normal 9 3 3 2" xfId="12137"/>
    <cellStyle name="Normal 9 3 3 2 2" xfId="12138"/>
    <cellStyle name="Normal 9 3 3 2 2 2" xfId="12139"/>
    <cellStyle name="Normal 9 3 3 2 2 3" xfId="12140"/>
    <cellStyle name="Normal 9 3 3 2 3" xfId="12141"/>
    <cellStyle name="Normal 9 3 3 2 3 2" xfId="12142"/>
    <cellStyle name="Normal 9 3 3 2 3 3" xfId="12143"/>
    <cellStyle name="Normal 9 3 3 2 4" xfId="12144"/>
    <cellStyle name="Normal 9 3 3 2 5" xfId="12145"/>
    <cellStyle name="Normal 9 3 3 3" xfId="12146"/>
    <cellStyle name="Normal 9 3 3 3 2" xfId="12147"/>
    <cellStyle name="Normal 9 3 3 3 3" xfId="12148"/>
    <cellStyle name="Normal 9 3 3 4" xfId="12149"/>
    <cellStyle name="Normal 9 3 3 4 2" xfId="12150"/>
    <cellStyle name="Normal 9 3 3 4 3" xfId="12151"/>
    <cellStyle name="Normal 9 3 3 5" xfId="12152"/>
    <cellStyle name="Normal 9 3 3 6" xfId="12153"/>
    <cellStyle name="Normal 9 3 4" xfId="12154"/>
    <cellStyle name="Normal 9 3 4 2" xfId="12155"/>
    <cellStyle name="Normal 9 3 4 2 2" xfId="12156"/>
    <cellStyle name="Normal 9 3 4 2 3" xfId="12157"/>
    <cellStyle name="Normal 9 3 4 3" xfId="12158"/>
    <cellStyle name="Normal 9 3 4 3 2" xfId="12159"/>
    <cellStyle name="Normal 9 3 4 3 3" xfId="12160"/>
    <cellStyle name="Normal 9 3 4 4" xfId="12161"/>
    <cellStyle name="Normal 9 3 4 5" xfId="12162"/>
    <cellStyle name="Normal 9 3 5" xfId="12163"/>
    <cellStyle name="Normal 9 3 5 2" xfId="12164"/>
    <cellStyle name="Normal 9 3 5 3" xfId="12165"/>
    <cellStyle name="Normal 9 3 6" xfId="12166"/>
    <cellStyle name="Normal 9 3 6 2" xfId="12167"/>
    <cellStyle name="Normal 9 3 6 3" xfId="12168"/>
    <cellStyle name="Normal 9 3 7" xfId="12169"/>
    <cellStyle name="Normal 9 3 8" xfId="12170"/>
    <cellStyle name="Normal 9 4" xfId="12171"/>
    <cellStyle name="Normal 9 4 2" xfId="12172"/>
    <cellStyle name="Normal 9 4 2 2" xfId="12173"/>
    <cellStyle name="Normal 9 4 2 2 2" xfId="12174"/>
    <cellStyle name="Normal 9 4 2 2 2 2" xfId="12175"/>
    <cellStyle name="Normal 9 4 2 2 2 2 2" xfId="12176"/>
    <cellStyle name="Normal 9 4 2 2 2 2 3" xfId="12177"/>
    <cellStyle name="Normal 9 4 2 2 2 3" xfId="12178"/>
    <cellStyle name="Normal 9 4 2 2 2 3 2" xfId="12179"/>
    <cellStyle name="Normal 9 4 2 2 2 3 3" xfId="12180"/>
    <cellStyle name="Normal 9 4 2 2 2 4" xfId="12181"/>
    <cellStyle name="Normal 9 4 2 2 2 5" xfId="12182"/>
    <cellStyle name="Normal 9 4 2 2 3" xfId="12183"/>
    <cellStyle name="Normal 9 4 2 2 3 2" xfId="12184"/>
    <cellStyle name="Normal 9 4 2 2 3 3" xfId="12185"/>
    <cellStyle name="Normal 9 4 2 2 4" xfId="12186"/>
    <cellStyle name="Normal 9 4 2 2 4 2" xfId="12187"/>
    <cellStyle name="Normal 9 4 2 2 4 3" xfId="12188"/>
    <cellStyle name="Normal 9 4 2 2 5" xfId="12189"/>
    <cellStyle name="Normal 9 4 2 2 6" xfId="12190"/>
    <cellStyle name="Normal 9 4 2 3" xfId="12191"/>
    <cellStyle name="Normal 9 4 2 3 2" xfId="12192"/>
    <cellStyle name="Normal 9 4 2 3 2 2" xfId="12193"/>
    <cellStyle name="Normal 9 4 2 3 2 3" xfId="12194"/>
    <cellStyle name="Normal 9 4 2 3 3" xfId="12195"/>
    <cellStyle name="Normal 9 4 2 3 3 2" xfId="12196"/>
    <cellStyle name="Normal 9 4 2 3 3 3" xfId="12197"/>
    <cellStyle name="Normal 9 4 2 3 4" xfId="12198"/>
    <cellStyle name="Normal 9 4 2 3 5" xfId="12199"/>
    <cellStyle name="Normal 9 4 2 4" xfId="12200"/>
    <cellStyle name="Normal 9 4 2 4 2" xfId="12201"/>
    <cellStyle name="Normal 9 4 2 4 3" xfId="12202"/>
    <cellStyle name="Normal 9 4 2 5" xfId="12203"/>
    <cellStyle name="Normal 9 4 2 5 2" xfId="12204"/>
    <cellStyle name="Normal 9 4 2 5 3" xfId="12205"/>
    <cellStyle name="Normal 9 4 2 6" xfId="12206"/>
    <cellStyle name="Normal 9 4 2 7" xfId="12207"/>
    <cellStyle name="Normal 9 4 3" xfId="12208"/>
    <cellStyle name="Normal 9 4 3 2" xfId="12209"/>
    <cellStyle name="Normal 9 4 3 2 2" xfId="12210"/>
    <cellStyle name="Normal 9 4 3 2 2 2" xfId="12211"/>
    <cellStyle name="Normal 9 4 3 2 2 3" xfId="12212"/>
    <cellStyle name="Normal 9 4 3 2 3" xfId="12213"/>
    <cellStyle name="Normal 9 4 3 2 3 2" xfId="12214"/>
    <cellStyle name="Normal 9 4 3 2 3 3" xfId="12215"/>
    <cellStyle name="Normal 9 4 3 2 4" xfId="12216"/>
    <cellStyle name="Normal 9 4 3 2 5" xfId="12217"/>
    <cellStyle name="Normal 9 4 3 3" xfId="12218"/>
    <cellStyle name="Normal 9 4 3 3 2" xfId="12219"/>
    <cellStyle name="Normal 9 4 3 3 3" xfId="12220"/>
    <cellStyle name="Normal 9 4 3 4" xfId="12221"/>
    <cellStyle name="Normal 9 4 3 4 2" xfId="12222"/>
    <cellStyle name="Normal 9 4 3 4 3" xfId="12223"/>
    <cellStyle name="Normal 9 4 3 5" xfId="12224"/>
    <cellStyle name="Normal 9 4 3 6" xfId="12225"/>
    <cellStyle name="Normal 9 4 4" xfId="12226"/>
    <cellStyle name="Normal 9 4 4 2" xfId="12227"/>
    <cellStyle name="Normal 9 4 4 2 2" xfId="12228"/>
    <cellStyle name="Normal 9 4 4 2 3" xfId="12229"/>
    <cellStyle name="Normal 9 4 4 3" xfId="12230"/>
    <cellStyle name="Normal 9 4 4 3 2" xfId="12231"/>
    <cellStyle name="Normal 9 4 4 3 3" xfId="12232"/>
    <cellStyle name="Normal 9 4 4 4" xfId="12233"/>
    <cellStyle name="Normal 9 4 4 5" xfId="12234"/>
    <cellStyle name="Normal 9 4 5" xfId="12235"/>
    <cellStyle name="Normal 9 4 5 2" xfId="12236"/>
    <cellStyle name="Normal 9 4 5 3" xfId="12237"/>
    <cellStyle name="Normal 9 4 6" xfId="12238"/>
    <cellStyle name="Normal 9 4 6 2" xfId="12239"/>
    <cellStyle name="Normal 9 4 6 3" xfId="12240"/>
    <cellStyle name="Normal 9 4 7" xfId="12241"/>
    <cellStyle name="Normal 9 4 8" xfId="12242"/>
    <cellStyle name="Normal 9 5" xfId="12243"/>
    <cellStyle name="Normal 9 5 2" xfId="12244"/>
    <cellStyle name="Normal 9 5 2 2" xfId="12245"/>
    <cellStyle name="Normal 9 5 2 2 2" xfId="12246"/>
    <cellStyle name="Normal 9 5 2 2 2 2" xfId="12247"/>
    <cellStyle name="Normal 9 5 2 2 2 3" xfId="12248"/>
    <cellStyle name="Normal 9 5 2 2 3" xfId="12249"/>
    <cellStyle name="Normal 9 5 2 2 3 2" xfId="12250"/>
    <cellStyle name="Normal 9 5 2 2 3 3" xfId="12251"/>
    <cellStyle name="Normal 9 5 2 2 4" xfId="12252"/>
    <cellStyle name="Normal 9 5 2 2 5" xfId="12253"/>
    <cellStyle name="Normal 9 5 2 3" xfId="12254"/>
    <cellStyle name="Normal 9 5 2 3 2" xfId="12255"/>
    <cellStyle name="Normal 9 5 2 3 3" xfId="12256"/>
    <cellStyle name="Normal 9 5 2 4" xfId="12257"/>
    <cellStyle name="Normal 9 5 2 4 2" xfId="12258"/>
    <cellStyle name="Normal 9 5 2 4 3" xfId="12259"/>
    <cellStyle name="Normal 9 5 2 5" xfId="12260"/>
    <cellStyle name="Normal 9 5 2 6" xfId="12261"/>
    <cellStyle name="Normal 9 5 3" xfId="12262"/>
    <cellStyle name="Normal 9 5 3 2" xfId="12263"/>
    <cellStyle name="Normal 9 5 3 2 2" xfId="12264"/>
    <cellStyle name="Normal 9 5 3 2 2 2" xfId="12265"/>
    <cellStyle name="Normal 9 5 3 2 2 3" xfId="12266"/>
    <cellStyle name="Normal 9 5 3 2 3" xfId="12267"/>
    <cellStyle name="Normal 9 5 3 2 3 2" xfId="12268"/>
    <cellStyle name="Normal 9 5 3 2 3 3" xfId="12269"/>
    <cellStyle name="Normal 9 5 3 2 4" xfId="12270"/>
    <cellStyle name="Normal 9 5 3 2 5" xfId="12271"/>
    <cellStyle name="Normal 9 5 3 3" xfId="12272"/>
    <cellStyle name="Normal 9 5 3 3 2" xfId="12273"/>
    <cellStyle name="Normal 9 5 3 3 3" xfId="12274"/>
    <cellStyle name="Normal 9 5 3 3 4" xfId="12275"/>
    <cellStyle name="Normal 9 5 3 3 5" xfId="12276"/>
    <cellStyle name="Normal 9 5 3 4" xfId="12277"/>
    <cellStyle name="Normal 9 5 3 4 2" xfId="12278"/>
    <cellStyle name="Normal 9 5 3 4 3" xfId="12279"/>
    <cellStyle name="Normal 9 5 3 5" xfId="12280"/>
    <cellStyle name="Normal 9 5 3 5 2" xfId="12281"/>
    <cellStyle name="Normal 9 5 3 5 3" xfId="12282"/>
    <cellStyle name="Normal 9 5 3 6" xfId="12283"/>
    <cellStyle name="Normal 9 5 3 7" xfId="12284"/>
    <cellStyle name="Normal 9 5 4" xfId="12285"/>
    <cellStyle name="Normal 9 5 4 2" xfId="12286"/>
    <cellStyle name="Normal 9 5 4 2 2" xfId="12287"/>
    <cellStyle name="Normal 9 5 4 2 3" xfId="12288"/>
    <cellStyle name="Normal 9 5 4 3" xfId="12289"/>
    <cellStyle name="Normal 9 5 4 3 2" xfId="12290"/>
    <cellStyle name="Normal 9 5 4 3 3" xfId="12291"/>
    <cellStyle name="Normal 9 5 4 4" xfId="12292"/>
    <cellStyle name="Normal 9 5 4 5" xfId="12293"/>
    <cellStyle name="Normal 9 5 5" xfId="12294"/>
    <cellStyle name="Normal 9 5 5 2" xfId="12295"/>
    <cellStyle name="Normal 9 5 5 3" xfId="12296"/>
    <cellStyle name="Normal 9 5 5 4" xfId="12297"/>
    <cellStyle name="Normal 9 5 5 5" xfId="12298"/>
    <cellStyle name="Normal 9 5 6" xfId="12299"/>
    <cellStyle name="Normal 9 5 6 2" xfId="12300"/>
    <cellStyle name="Normal 9 5 6 3" xfId="12301"/>
    <cellStyle name="Normal 9 5 7" xfId="12302"/>
    <cellStyle name="Normal 9 5 7 2" xfId="12303"/>
    <cellStyle name="Normal 9 5 7 3" xfId="12304"/>
    <cellStyle name="Normal 9 5 8" xfId="12305"/>
    <cellStyle name="Normal 9 5 9" xfId="12306"/>
    <cellStyle name="Normal 9 5_10070" xfId="12307"/>
    <cellStyle name="Normal 9 6" xfId="12308"/>
    <cellStyle name="Normal 9 6 2" xfId="12309"/>
    <cellStyle name="Normal 9 6 2 2" xfId="12310"/>
    <cellStyle name="Normal 9 6 2 2 2" xfId="12311"/>
    <cellStyle name="Normal 9 6 2 2 3" xfId="12312"/>
    <cellStyle name="Normal 9 6 2 3" xfId="12313"/>
    <cellStyle name="Normal 9 6 2 3 2" xfId="12314"/>
    <cellStyle name="Normal 9 6 2 3 3" xfId="12315"/>
    <cellStyle name="Normal 9 6 2 4" xfId="12316"/>
    <cellStyle name="Normal 9 6 2 5" xfId="12317"/>
    <cellStyle name="Normal 9 6 3" xfId="12318"/>
    <cellStyle name="Normal 9 6 3 2" xfId="12319"/>
    <cellStyle name="Normal 9 6 3 3" xfId="12320"/>
    <cellStyle name="Normal 9 6 4" xfId="12321"/>
    <cellStyle name="Normal 9 6 4 2" xfId="12322"/>
    <cellStyle name="Normal 9 6 4 3" xfId="12323"/>
    <cellStyle name="Normal 9 6 5" xfId="12324"/>
    <cellStyle name="Normal 9 6 6" xfId="12325"/>
    <cellStyle name="Normal 9 7" xfId="12326"/>
    <cellStyle name="Normal 9 7 2" xfId="12327"/>
    <cellStyle name="Normal 9 7 2 2" xfId="12328"/>
    <cellStyle name="Normal 9 7 2 3" xfId="12329"/>
    <cellStyle name="Normal 9 7 3" xfId="12330"/>
    <cellStyle name="Normal 9 7 3 2" xfId="12331"/>
    <cellStyle name="Normal 9 7 3 3" xfId="12332"/>
    <cellStyle name="Normal 9 7 4" xfId="12333"/>
    <cellStyle name="Normal 9 7 5" xfId="12334"/>
    <cellStyle name="Normal 9 8" xfId="12335"/>
    <cellStyle name="Normal 9 8 2" xfId="12336"/>
    <cellStyle name="Normal 9 8 3" xfId="12337"/>
    <cellStyle name="Normal 9 9" xfId="12338"/>
    <cellStyle name="Normal 9 9 2" xfId="12339"/>
    <cellStyle name="Normal 9 9 3" xfId="12340"/>
    <cellStyle name="Normal 9_2180" xfId="12341"/>
    <cellStyle name="Normal 90" xfId="271"/>
    <cellStyle name="Normal 90 2" xfId="12342"/>
    <cellStyle name="Normal 90 2 2" xfId="12343"/>
    <cellStyle name="Normal 91" xfId="276"/>
    <cellStyle name="Normal 92" xfId="12344"/>
    <cellStyle name="Normal 92 2" xfId="12345"/>
    <cellStyle name="Normal 92 2 2" xfId="12346"/>
    <cellStyle name="Normal 93" xfId="12347"/>
    <cellStyle name="Normal 93 2" xfId="12348"/>
    <cellStyle name="Normal 93 3" xfId="12349"/>
    <cellStyle name="Normal 94" xfId="12350"/>
    <cellStyle name="Normal 94 2" xfId="12351"/>
    <cellStyle name="Normal 94 3" xfId="12352"/>
    <cellStyle name="Normal 95" xfId="12353"/>
    <cellStyle name="Normal 95 2" xfId="12354"/>
    <cellStyle name="Normal 95 3" xfId="12355"/>
    <cellStyle name="Normal 96" xfId="12356"/>
    <cellStyle name="Normal 96 2" xfId="12357"/>
    <cellStyle name="Normal 96 3" xfId="12358"/>
    <cellStyle name="Normal 97" xfId="12359"/>
    <cellStyle name="Normal 97 2" xfId="12360"/>
    <cellStyle name="Normal 97 3" xfId="12361"/>
    <cellStyle name="Normal 98" xfId="12362"/>
    <cellStyle name="Normal 98 2" xfId="12363"/>
    <cellStyle name="Normal 98 2 2" xfId="12364"/>
    <cellStyle name="Normal 99" xfId="12365"/>
    <cellStyle name="Normal 99 2" xfId="12366"/>
    <cellStyle name="Normal 99 3" xfId="12367"/>
    <cellStyle name="Normal 99 4" xfId="12368"/>
    <cellStyle name="Normal_Murrey's Jan-Dec 2012" xfId="296"/>
    <cellStyle name="Normal_Price out" xfId="4"/>
    <cellStyle name="Normal_Regulated Price Out 9-6-2011 Final HL" xfId="37552"/>
    <cellStyle name="Normal_Sheet1" xfId="366"/>
    <cellStyle name="Note" xfId="13362" builtinId="10" customBuiltin="1"/>
    <cellStyle name="Note 2" xfId="243"/>
    <cellStyle name="Note 2 10" xfId="37403"/>
    <cellStyle name="Note 2 2" xfId="348"/>
    <cellStyle name="Note 2 2 2" xfId="12369"/>
    <cellStyle name="Note 2 2 2 10" xfId="14160"/>
    <cellStyle name="Note 2 2 2 11" xfId="13418"/>
    <cellStyle name="Note 2 2 2 12" xfId="14175"/>
    <cellStyle name="Note 2 2 2 13" xfId="15795"/>
    <cellStyle name="Note 2 2 2 14" xfId="15565"/>
    <cellStyle name="Note 2 2 2 15" xfId="26269"/>
    <cellStyle name="Note 2 2 2 16" xfId="27747"/>
    <cellStyle name="Note 2 2 2 17" xfId="26807"/>
    <cellStyle name="Note 2 2 2 18" xfId="26020"/>
    <cellStyle name="Note 2 2 2 19" xfId="27383"/>
    <cellStyle name="Note 2 2 2 2" xfId="12370"/>
    <cellStyle name="Note 2 2 2 2 10" xfId="14610"/>
    <cellStyle name="Note 2 2 2 2 11" xfId="26329"/>
    <cellStyle name="Note 2 2 2 2 12" xfId="27723"/>
    <cellStyle name="Note 2 2 2 2 13" xfId="26253"/>
    <cellStyle name="Note 2 2 2 2 14" xfId="26243"/>
    <cellStyle name="Note 2 2 2 2 15" xfId="27481"/>
    <cellStyle name="Note 2 2 2 2 16" xfId="27304"/>
    <cellStyle name="Note 2 2 2 2 17" xfId="26837"/>
    <cellStyle name="Note 2 2 2 2 18" xfId="35024"/>
    <cellStyle name="Note 2 2 2 2 19" xfId="35448"/>
    <cellStyle name="Note 2 2 2 2 2" xfId="14911"/>
    <cellStyle name="Note 2 2 2 2 3" xfId="13739"/>
    <cellStyle name="Note 2 2 2 2 4" xfId="15284"/>
    <cellStyle name="Note 2 2 2 2 5" xfId="15593"/>
    <cellStyle name="Note 2 2 2 2 6" xfId="14646"/>
    <cellStyle name="Note 2 2 2 2 7" xfId="17850"/>
    <cellStyle name="Note 2 2 2 2 8" xfId="18416"/>
    <cellStyle name="Note 2 2 2 2 9" xfId="14510"/>
    <cellStyle name="Note 2 2 2 20" xfId="26893"/>
    <cellStyle name="Note 2 2 2 21" xfId="26949"/>
    <cellStyle name="Note 2 2 2 22" xfId="34972"/>
    <cellStyle name="Note 2 2 2 23" xfId="35353"/>
    <cellStyle name="Note 2 2 2 24" xfId="37502"/>
    <cellStyle name="Note 2 2 2 3" xfId="12371"/>
    <cellStyle name="Note 2 2 2 3 10" xfId="15182"/>
    <cellStyle name="Note 2 2 2 3 11" xfId="26466"/>
    <cellStyle name="Note 2 2 2 3 12" xfId="27073"/>
    <cellStyle name="Note 2 2 2 3 13" xfId="27355"/>
    <cellStyle name="Note 2 2 2 3 14" xfId="27013"/>
    <cellStyle name="Note 2 2 2 3 15" xfId="26024"/>
    <cellStyle name="Note 2 2 2 3 16" xfId="26858"/>
    <cellStyle name="Note 2 2 2 3 17" xfId="27378"/>
    <cellStyle name="Note 2 2 2 3 18" xfId="35149"/>
    <cellStyle name="Note 2 2 2 3 19" xfId="34850"/>
    <cellStyle name="Note 2 2 2 3 2" xfId="14840"/>
    <cellStyle name="Note 2 2 2 3 3" xfId="14068"/>
    <cellStyle name="Note 2 2 2 3 4" xfId="15645"/>
    <cellStyle name="Note 2 2 2 3 5" xfId="13820"/>
    <cellStyle name="Note 2 2 2 3 6" xfId="15235"/>
    <cellStyle name="Note 2 2 2 3 7" xfId="15230"/>
    <cellStyle name="Note 2 2 2 3 8" xfId="14245"/>
    <cellStyle name="Note 2 2 2 3 9" xfId="13673"/>
    <cellStyle name="Note 2 2 2 4" xfId="12372"/>
    <cellStyle name="Note 2 2 2 4 10" xfId="20904"/>
    <cellStyle name="Note 2 2 2 4 11" xfId="26349"/>
    <cellStyle name="Note 2 2 2 4 12" xfId="27147"/>
    <cellStyle name="Note 2 2 2 4 13" xfId="26136"/>
    <cellStyle name="Note 2 2 2 4 14" xfId="27024"/>
    <cellStyle name="Note 2 2 2 4 15" xfId="25930"/>
    <cellStyle name="Note 2 2 2 4 16" xfId="26582"/>
    <cellStyle name="Note 2 2 2 4 17" xfId="29773"/>
    <cellStyle name="Note 2 2 2 4 18" xfId="35043"/>
    <cellStyle name="Note 2 2 2 4 19" xfId="35302"/>
    <cellStyle name="Note 2 2 2 4 2" xfId="14901"/>
    <cellStyle name="Note 2 2 2 4 3" xfId="15072"/>
    <cellStyle name="Note 2 2 2 4 4" xfId="15731"/>
    <cellStyle name="Note 2 2 2 4 5" xfId="13482"/>
    <cellStyle name="Note 2 2 2 4 6" xfId="14692"/>
    <cellStyle name="Note 2 2 2 4 7" xfId="14319"/>
    <cellStyle name="Note 2 2 2 4 8" xfId="13599"/>
    <cellStyle name="Note 2 2 2 4 9" xfId="15303"/>
    <cellStyle name="Note 2 2 2 5" xfId="12373"/>
    <cellStyle name="Note 2 2 2 5 10" xfId="15589"/>
    <cellStyle name="Note 2 2 2 5 11" xfId="26482"/>
    <cellStyle name="Note 2 2 2 5 12" xfId="27062"/>
    <cellStyle name="Note 2 2 2 5 13" xfId="26181"/>
    <cellStyle name="Note 2 2 2 5 14" xfId="27011"/>
    <cellStyle name="Note 2 2 2 5 15" xfId="26831"/>
    <cellStyle name="Note 2 2 2 5 16" xfId="26107"/>
    <cellStyle name="Note 2 2 2 5 17" xfId="26620"/>
    <cellStyle name="Note 2 2 2 5 18" xfId="35165"/>
    <cellStyle name="Note 2 2 2 5 19" xfId="35217"/>
    <cellStyle name="Note 2 2 2 5 2" xfId="14831"/>
    <cellStyle name="Note 2 2 2 5 3" xfId="15214"/>
    <cellStyle name="Note 2 2 2 5 4" xfId="13916"/>
    <cellStyle name="Note 2 2 2 5 5" xfId="15442"/>
    <cellStyle name="Note 2 2 2 5 6" xfId="13842"/>
    <cellStyle name="Note 2 2 2 5 7" xfId="14016"/>
    <cellStyle name="Note 2 2 2 5 8" xfId="14022"/>
    <cellStyle name="Note 2 2 2 5 9" xfId="14082"/>
    <cellStyle name="Note 2 2 2 6" xfId="14944"/>
    <cellStyle name="Note 2 2 2 7" xfId="15187"/>
    <cellStyle name="Note 2 2 2 8" xfId="13679"/>
    <cellStyle name="Note 2 2 2 9" xfId="14461"/>
    <cellStyle name="Note 2 2 3" xfId="12374"/>
    <cellStyle name="Note 2 2 3 10" xfId="14621"/>
    <cellStyle name="Note 2 2 3 11" xfId="15470"/>
    <cellStyle name="Note 2 2 3 12" xfId="21852"/>
    <cellStyle name="Note 2 2 3 13" xfId="14195"/>
    <cellStyle name="Note 2 2 3 14" xfId="13496"/>
    <cellStyle name="Note 2 2 3 15" xfId="26079"/>
    <cellStyle name="Note 2 2 3 16" xfId="27264"/>
    <cellStyle name="Note 2 2 3 17" xfId="28750"/>
    <cellStyle name="Note 2 2 3 18" xfId="27506"/>
    <cellStyle name="Note 2 2 3 19" xfId="25896"/>
    <cellStyle name="Note 2 2 3 2" xfId="12375"/>
    <cellStyle name="Note 2 2 3 2 10" xfId="15502"/>
    <cellStyle name="Note 2 2 3 2 11" xfId="26301"/>
    <cellStyle name="Note 2 2 3 2 12" xfId="27180"/>
    <cellStyle name="Note 2 2 3 2 13" xfId="26814"/>
    <cellStyle name="Note 2 2 3 2 14" xfId="26652"/>
    <cellStyle name="Note 2 2 3 2 15" xfId="27478"/>
    <cellStyle name="Note 2 2 3 2 16" xfId="27620"/>
    <cellStyle name="Note 2 2 3 2 17" xfId="27550"/>
    <cellStyle name="Note 2 2 3 2 18" xfId="34997"/>
    <cellStyle name="Note 2 2 3 2 19" xfId="35459"/>
    <cellStyle name="Note 2 2 3 2 2" xfId="15705"/>
    <cellStyle name="Note 2 2 3 2 3" xfId="13719"/>
    <cellStyle name="Note 2 2 3 2 4" xfId="15541"/>
    <cellStyle name="Note 2 2 3 2 5" xfId="14545"/>
    <cellStyle name="Note 2 2 3 2 6" xfId="14105"/>
    <cellStyle name="Note 2 2 3 2 7" xfId="15078"/>
    <cellStyle name="Note 2 2 3 2 8" xfId="18906"/>
    <cellStyle name="Note 2 2 3 2 9" xfId="14684"/>
    <cellStyle name="Note 2 2 3 20" xfId="25952"/>
    <cellStyle name="Note 2 2 3 21" xfId="29775"/>
    <cellStyle name="Note 2 2 3 22" xfId="34940"/>
    <cellStyle name="Note 2 2 3 23" xfId="34924"/>
    <cellStyle name="Note 2 2 3 3" xfId="12376"/>
    <cellStyle name="Note 2 2 3 3 10" xfId="15600"/>
    <cellStyle name="Note 2 2 3 3 11" xfId="26381"/>
    <cellStyle name="Note 2 2 3 3 12" xfId="27128"/>
    <cellStyle name="Note 2 2 3 3 13" xfId="27527"/>
    <cellStyle name="Note 2 2 3 3 14" xfId="27651"/>
    <cellStyle name="Note 2 2 3 3 15" xfId="27367"/>
    <cellStyle name="Note 2 2 3 3 16" xfId="28788"/>
    <cellStyle name="Note 2 2 3 3 17" xfId="27615"/>
    <cellStyle name="Note 2 2 3 3 18" xfId="35072"/>
    <cellStyle name="Note 2 2 3 3 19" xfId="35430"/>
    <cellStyle name="Note 2 2 3 3 2" xfId="14881"/>
    <cellStyle name="Note 2 2 3 3 3" xfId="13766"/>
    <cellStyle name="Note 2 2 3 3 4" xfId="15533"/>
    <cellStyle name="Note 2 2 3 3 5" xfId="14553"/>
    <cellStyle name="Note 2 2 3 3 6" xfId="15295"/>
    <cellStyle name="Note 2 2 3 3 7" xfId="15817"/>
    <cellStyle name="Note 2 2 3 3 8" xfId="14592"/>
    <cellStyle name="Note 2 2 3 3 9" xfId="18883"/>
    <cellStyle name="Note 2 2 3 4" xfId="12377"/>
    <cellStyle name="Note 2 2 3 4 10" xfId="13446"/>
    <cellStyle name="Note 2 2 3 4 11" xfId="26359"/>
    <cellStyle name="Note 2 2 3 4 12" xfId="26035"/>
    <cellStyle name="Note 2 2 3 4 13" xfId="27523"/>
    <cellStyle name="Note 2 2 3 4 14" xfId="25908"/>
    <cellStyle name="Note 2 2 3 4 15" xfId="26724"/>
    <cellStyle name="Note 2 2 3 4 16" xfId="27212"/>
    <cellStyle name="Note 2 2 3 4 17" xfId="27283"/>
    <cellStyle name="Note 2 2 3 4 18" xfId="35051"/>
    <cellStyle name="Note 2 2 3 4 19" xfId="35292"/>
    <cellStyle name="Note 2 2 3 4 2" xfId="13610"/>
    <cellStyle name="Note 2 2 3 4 3" xfId="14043"/>
    <cellStyle name="Note 2 2 3 4 4" xfId="15646"/>
    <cellStyle name="Note 2 2 3 4 5" xfId="14467"/>
    <cellStyle name="Note 2 2 3 4 6" xfId="14665"/>
    <cellStyle name="Note 2 2 3 4 7" xfId="15517"/>
    <cellStyle name="Note 2 2 3 4 8" xfId="14681"/>
    <cellStyle name="Note 2 2 3 4 9" xfId="14641"/>
    <cellStyle name="Note 2 2 3 5" xfId="12378"/>
    <cellStyle name="Note 2 2 3 5 10" xfId="14683"/>
    <cellStyle name="Note 2 2 3 5 11" xfId="26444"/>
    <cellStyle name="Note 2 2 3 5 12" xfId="27088"/>
    <cellStyle name="Note 2 2 3 5 13" xfId="26162"/>
    <cellStyle name="Note 2 2 3 5 14" xfId="27646"/>
    <cellStyle name="Note 2 2 3 5 15" xfId="27494"/>
    <cellStyle name="Note 2 2 3 5 16" xfId="26937"/>
    <cellStyle name="Note 2 2 3 5 17" xfId="26222"/>
    <cellStyle name="Note 2 2 3 5 18" xfId="35127"/>
    <cellStyle name="Note 2 2 3 5 19" xfId="35407"/>
    <cellStyle name="Note 2 2 3 5 2" xfId="15664"/>
    <cellStyle name="Note 2 2 3 5 3" xfId="13555"/>
    <cellStyle name="Note 2 2 3 5 4" xfId="15021"/>
    <cellStyle name="Note 2 2 3 5 5" xfId="14972"/>
    <cellStyle name="Note 2 2 3 5 6" xfId="14662"/>
    <cellStyle name="Note 2 2 3 5 7" xfId="15312"/>
    <cellStyle name="Note 2 2 3 5 8" xfId="17819"/>
    <cellStyle name="Note 2 2 3 5 9" xfId="15152"/>
    <cellStyle name="Note 2 2 3 6" xfId="13852"/>
    <cellStyle name="Note 2 2 3 7" xfId="14352"/>
    <cellStyle name="Note 2 2 3 8" xfId="15083"/>
    <cellStyle name="Note 2 2 3 9" xfId="15127"/>
    <cellStyle name="Note 2 2 4" xfId="12379"/>
    <cellStyle name="Note 2 2 4 10" xfId="24872"/>
    <cellStyle name="Note 2 2 4 11" xfId="25871"/>
    <cellStyle name="Note 2 2 4 12" xfId="28777"/>
    <cellStyle name="Note 2 2 4 13" xfId="29794"/>
    <cellStyle name="Note 2 2 4 14" xfId="30827"/>
    <cellStyle name="Note 2 2 4 15" xfId="31822"/>
    <cellStyle name="Note 2 2 4 16" xfId="32826"/>
    <cellStyle name="Note 2 2 4 17" xfId="33829"/>
    <cellStyle name="Note 2 2 4 18" xfId="34828"/>
    <cellStyle name="Note 2 2 4 19" xfId="36389"/>
    <cellStyle name="Note 2 2 4 2" xfId="16861"/>
    <cellStyle name="Note 2 2 4 20" xfId="37388"/>
    <cellStyle name="Note 2 2 4 3" xfId="17841"/>
    <cellStyle name="Note 2 2 4 4" xfId="18866"/>
    <cellStyle name="Note 2 2 4 5" xfId="19900"/>
    <cellStyle name="Note 2 2 4 6" xfId="20925"/>
    <cellStyle name="Note 2 2 4 7" xfId="21885"/>
    <cellStyle name="Note 2 2 4 8" xfId="22897"/>
    <cellStyle name="Note 2 2 4 9" xfId="23900"/>
    <cellStyle name="Note 2 2 5" xfId="12380"/>
    <cellStyle name="Note 2 2 5 10" xfId="24871"/>
    <cellStyle name="Note 2 2 5 11" xfId="25870"/>
    <cellStyle name="Note 2 2 5 12" xfId="28776"/>
    <cellStyle name="Note 2 2 5 13" xfId="29793"/>
    <cellStyle name="Note 2 2 5 14" xfId="30826"/>
    <cellStyle name="Note 2 2 5 15" xfId="31821"/>
    <cellStyle name="Note 2 2 5 16" xfId="32825"/>
    <cellStyle name="Note 2 2 5 17" xfId="33828"/>
    <cellStyle name="Note 2 2 5 18" xfId="34827"/>
    <cellStyle name="Note 2 2 5 19" xfId="36388"/>
    <cellStyle name="Note 2 2 5 2" xfId="16860"/>
    <cellStyle name="Note 2 2 5 20" xfId="37387"/>
    <cellStyle name="Note 2 2 5 3" xfId="17840"/>
    <cellStyle name="Note 2 2 5 4" xfId="18865"/>
    <cellStyle name="Note 2 2 5 5" xfId="19899"/>
    <cellStyle name="Note 2 2 5 6" xfId="20924"/>
    <cellStyle name="Note 2 2 5 7" xfId="21884"/>
    <cellStyle name="Note 2 2 5 8" xfId="22896"/>
    <cellStyle name="Note 2 2 5 9" xfId="23899"/>
    <cellStyle name="Note 2 2 6" xfId="37450"/>
    <cellStyle name="Note 2 3" xfId="12381"/>
    <cellStyle name="Note 2 3 10" xfId="27790"/>
    <cellStyle name="Note 2 3 11" xfId="26244"/>
    <cellStyle name="Note 2 3 12" xfId="27325"/>
    <cellStyle name="Note 2 3 13" xfId="29777"/>
    <cellStyle name="Note 2 3 14" xfId="26859"/>
    <cellStyle name="Note 2 3 15" xfId="34907"/>
    <cellStyle name="Note 2 3 16" xfId="34971"/>
    <cellStyle name="Note 2 3 17" xfId="37503"/>
    <cellStyle name="Note 2 3 2" xfId="12382"/>
    <cellStyle name="Note 2 3 2 10" xfId="17859"/>
    <cellStyle name="Note 2 3 2 11" xfId="14679"/>
    <cellStyle name="Note 2 3 2 12" xfId="15261"/>
    <cellStyle name="Note 2 3 2 13" xfId="15512"/>
    <cellStyle name="Note 2 3 2 14" xfId="18885"/>
    <cellStyle name="Note 2 3 2 15" xfId="26098"/>
    <cellStyle name="Note 2 3 2 16" xfId="27775"/>
    <cellStyle name="Note 2 3 2 17" xfId="28756"/>
    <cellStyle name="Note 2 3 2 18" xfId="26132"/>
    <cellStyle name="Note 2 3 2 19" xfId="26960"/>
    <cellStyle name="Note 2 3 2 2" xfId="12383"/>
    <cellStyle name="Note 2 3 2 2 10" xfId="13452"/>
    <cellStyle name="Note 2 3 2 2 11" xfId="26318"/>
    <cellStyle name="Note 2 3 2 2 12" xfId="27169"/>
    <cellStyle name="Note 2 3 2 2 13" xfId="27519"/>
    <cellStyle name="Note 2 3 2 2 14" xfId="26650"/>
    <cellStyle name="Note 2 3 2 2 15" xfId="26757"/>
    <cellStyle name="Note 2 3 2 2 16" xfId="26889"/>
    <cellStyle name="Note 2 3 2 2 17" xfId="26617"/>
    <cellStyle name="Note 2 3 2 2 18" xfId="35014"/>
    <cellStyle name="Note 2 3 2 2 19" xfId="35453"/>
    <cellStyle name="Note 2 3 2 2 2" xfId="15702"/>
    <cellStyle name="Note 2 3 2 2 3" xfId="13729"/>
    <cellStyle name="Note 2 3 2 2 4" xfId="14194"/>
    <cellStyle name="Note 2 3 2 2 5" xfId="15592"/>
    <cellStyle name="Note 2 3 2 2 6" xfId="15325"/>
    <cellStyle name="Note 2 3 2 2 7" xfId="15146"/>
    <cellStyle name="Note 2 3 2 2 8" xfId="15629"/>
    <cellStyle name="Note 2 3 2 2 9" xfId="15217"/>
    <cellStyle name="Note 2 3 2 20" xfId="27603"/>
    <cellStyle name="Note 2 3 2 21" xfId="27221"/>
    <cellStyle name="Note 2 3 2 22" xfId="34957"/>
    <cellStyle name="Note 2 3 2 23" xfId="35472"/>
    <cellStyle name="Note 2 3 2 3" xfId="12384"/>
    <cellStyle name="Note 2 3 2 3 10" xfId="15090"/>
    <cellStyle name="Note 2 3 2 3 11" xfId="26398"/>
    <cellStyle name="Note 2 3 2 3 12" xfId="27701"/>
    <cellStyle name="Note 2 3 2 3 13" xfId="26145"/>
    <cellStyle name="Note 2 3 2 3 14" xfId="27453"/>
    <cellStyle name="Note 2 3 2 3 15" xfId="26549"/>
    <cellStyle name="Note 2 3 2 3 16" xfId="26699"/>
    <cellStyle name="Note 2 3 2 3 17" xfId="26841"/>
    <cellStyle name="Note 2 3 2 3 18" xfId="35089"/>
    <cellStyle name="Note 2 3 2 3 19" xfId="35424"/>
    <cellStyle name="Note 2 3 2 3 2" xfId="15678"/>
    <cellStyle name="Note 2 3 2 3 3" xfId="15412"/>
    <cellStyle name="Note 2 3 2 3 4" xfId="14184"/>
    <cellStyle name="Note 2 3 2 3 5" xfId="15818"/>
    <cellStyle name="Note 2 3 2 3 6" xfId="14760"/>
    <cellStyle name="Note 2 3 2 3 7" xfId="13618"/>
    <cellStyle name="Note 2 3 2 3 8" xfId="14607"/>
    <cellStyle name="Note 2 3 2 3 9" xfId="18915"/>
    <cellStyle name="Note 2 3 2 4" xfId="12385"/>
    <cellStyle name="Note 2 3 2 4 10" xfId="14129"/>
    <cellStyle name="Note 2 3 2 4 11" xfId="26414"/>
    <cellStyle name="Note 2 3 2 4 12" xfId="27105"/>
    <cellStyle name="Note 2 3 2 4 13" xfId="26152"/>
    <cellStyle name="Note 2 3 2 4 14" xfId="25951"/>
    <cellStyle name="Note 2 3 2 4 15" xfId="26778"/>
    <cellStyle name="Note 2 3 2 4 16" xfId="26882"/>
    <cellStyle name="Note 2 3 2 4 17" xfId="26876"/>
    <cellStyle name="Note 2 3 2 4 18" xfId="35104"/>
    <cellStyle name="Note 2 3 2 4 19" xfId="35260"/>
    <cellStyle name="Note 2 3 2 4 2" xfId="14863"/>
    <cellStyle name="Note 2 3 2 4 3" xfId="13779"/>
    <cellStyle name="Note 2 3 2 4 4" xfId="15530"/>
    <cellStyle name="Note 2 3 2 4 5" xfId="14139"/>
    <cellStyle name="Note 2 3 2 4 6" xfId="13922"/>
    <cellStyle name="Note 2 3 2 4 7" xfId="13581"/>
    <cellStyle name="Note 2 3 2 4 8" xfId="13999"/>
    <cellStyle name="Note 2 3 2 4 9" xfId="14152"/>
    <cellStyle name="Note 2 3 2 5" xfId="12386"/>
    <cellStyle name="Note 2 3 2 5 10" xfId="15738"/>
    <cellStyle name="Note 2 3 2 5 11" xfId="26437"/>
    <cellStyle name="Note 2 3 2 5 12" xfId="27093"/>
    <cellStyle name="Note 2 3 2 5 13" xfId="26158"/>
    <cellStyle name="Note 2 3 2 5 14" xfId="27016"/>
    <cellStyle name="Note 2 3 2 5 15" xfId="27350"/>
    <cellStyle name="Note 2 3 2 5 16" xfId="27313"/>
    <cellStyle name="Note 2 3 2 5 17" xfId="27537"/>
    <cellStyle name="Note 2 3 2 5 18" xfId="35121"/>
    <cellStyle name="Note 2 3 2 5 19" xfId="35410"/>
    <cellStyle name="Note 2 3 2 5 2" xfId="15666"/>
    <cellStyle name="Note 2 3 2 5 3" xfId="13551"/>
    <cellStyle name="Note 2 3 2 5 4" xfId="15277"/>
    <cellStyle name="Note 2 3 2 5 5" xfId="14740"/>
    <cellStyle name="Note 2 3 2 5 6" xfId="15769"/>
    <cellStyle name="Note 2 3 2 5 7" xfId="15224"/>
    <cellStyle name="Note 2 3 2 5 8" xfId="13688"/>
    <cellStyle name="Note 2 3 2 5 9" xfId="13450"/>
    <cellStyle name="Note 2 3 2 6" xfId="13840"/>
    <cellStyle name="Note 2 3 2 7" xfId="15850"/>
    <cellStyle name="Note 2 3 2 8" xfId="14318"/>
    <cellStyle name="Note 2 3 2 9" xfId="17855"/>
    <cellStyle name="Note 2 3 3" xfId="12387"/>
    <cellStyle name="Note 2 3 3 10" xfId="19884"/>
    <cellStyle name="Note 2 3 3 11" xfId="14506"/>
    <cellStyle name="Note 2 3 3 12" xfId="26523"/>
    <cellStyle name="Note 2 3 3 13" xfId="27662"/>
    <cellStyle name="Note 2 3 3 14" xfId="26202"/>
    <cellStyle name="Note 2 3 3 15" xfId="27226"/>
    <cellStyle name="Note 2 3 3 16" xfId="26005"/>
    <cellStyle name="Note 2 3 3 17" xfId="27418"/>
    <cellStyle name="Note 2 3 3 18" xfId="26003"/>
    <cellStyle name="Note 2 3 3 19" xfId="35188"/>
    <cellStyle name="Note 2 3 3 2" xfId="13969"/>
    <cellStyle name="Note 2 3 3 20" xfId="35204"/>
    <cellStyle name="Note 2 3 3 3" xfId="14807"/>
    <cellStyle name="Note 2 3 3 4" xfId="15218"/>
    <cellStyle name="Note 2 3 3 5" xfId="13601"/>
    <cellStyle name="Note 2 3 3 6" xfId="15154"/>
    <cellStyle name="Note 2 3 3 7" xfId="15291"/>
    <cellStyle name="Note 2 3 3 8" xfId="14128"/>
    <cellStyle name="Note 2 3 3 9" xfId="16841"/>
    <cellStyle name="Note 2 3 4" xfId="14311"/>
    <cellStyle name="Note 2 3 5" xfId="15359"/>
    <cellStyle name="Note 2 3 6" xfId="13507"/>
    <cellStyle name="Note 2 3 7" xfId="13570"/>
    <cellStyle name="Note 2 3 8" xfId="15185"/>
    <cellStyle name="Note 2 3 9" xfId="26056"/>
    <cellStyle name="Note 2 4" xfId="12388"/>
    <cellStyle name="Note 2 4 10" xfId="27274"/>
    <cellStyle name="Note 2 4 11" xfId="25918"/>
    <cellStyle name="Note 2 4 12" xfId="26718"/>
    <cellStyle name="Note 2 4 13" xfId="26956"/>
    <cellStyle name="Note 2 4 14" xfId="26862"/>
    <cellStyle name="Note 2 4 15" xfId="34908"/>
    <cellStyle name="Note 2 4 16" xfId="34928"/>
    <cellStyle name="Note 2 4 17" xfId="37504"/>
    <cellStyle name="Note 2 4 2" xfId="12389"/>
    <cellStyle name="Note 2 4 2 10" xfId="13785"/>
    <cellStyle name="Note 2 4 2 11" xfId="13644"/>
    <cellStyle name="Note 2 4 2 12" xfId="13524"/>
    <cellStyle name="Note 2 4 2 13" xfId="14176"/>
    <cellStyle name="Note 2 4 2 14" xfId="21891"/>
    <cellStyle name="Note 2 4 2 15" xfId="26099"/>
    <cellStyle name="Note 2 4 2 16" xfId="27256"/>
    <cellStyle name="Note 2 4 2 17" xfId="27756"/>
    <cellStyle name="Note 2 4 2 18" xfId="27248"/>
    <cellStyle name="Note 2 4 2 19" xfId="26927"/>
    <cellStyle name="Note 2 4 2 2" xfId="12390"/>
    <cellStyle name="Note 2 4 2 2 10" xfId="14579"/>
    <cellStyle name="Note 2 4 2 2 11" xfId="26319"/>
    <cellStyle name="Note 2 4 2 2 12" xfId="27728"/>
    <cellStyle name="Note 2 4 2 2 13" xfId="26117"/>
    <cellStyle name="Note 2 4 2 2 14" xfId="26714"/>
    <cellStyle name="Note 2 4 2 2 15" xfId="26758"/>
    <cellStyle name="Note 2 4 2 2 16" xfId="27758"/>
    <cellStyle name="Note 2 4 2 2 17" xfId="26214"/>
    <cellStyle name="Note 2 4 2 2 18" xfId="35015"/>
    <cellStyle name="Note 2 4 2 2 19" xfId="35323"/>
    <cellStyle name="Note 2 4 2 2 2" xfId="14919"/>
    <cellStyle name="Note 2 4 2 2 3" xfId="13730"/>
    <cellStyle name="Note 2 4 2 2 4" xfId="14632"/>
    <cellStyle name="Note 2 4 2 2 5" xfId="13633"/>
    <cellStyle name="Note 2 4 2 2 6" xfId="14780"/>
    <cellStyle name="Note 2 4 2 2 7" xfId="15496"/>
    <cellStyle name="Note 2 4 2 2 8" xfId="14611"/>
    <cellStyle name="Note 2 4 2 2 9" xfId="18886"/>
    <cellStyle name="Note 2 4 2 20" xfId="27458"/>
    <cellStyle name="Note 2 4 2 21" xfId="26687"/>
    <cellStyle name="Note 2 4 2 22" xfId="34958"/>
    <cellStyle name="Note 2 4 2 23" xfId="35362"/>
    <cellStyle name="Note 2 4 2 3" xfId="12391"/>
    <cellStyle name="Note 2 4 2 3 10" xfId="15266"/>
    <cellStyle name="Note 2 4 2 3 11" xfId="26399"/>
    <cellStyle name="Note 2 4 2 3 12" xfId="27117"/>
    <cellStyle name="Note 2 4 2 3 13" xfId="26146"/>
    <cellStyle name="Note 2 4 2 3 14" xfId="27580"/>
    <cellStyle name="Note 2 4 2 3 15" xfId="26578"/>
    <cellStyle name="Note 2 4 2 3 16" xfId="26597"/>
    <cellStyle name="Note 2 4 2 3 17" xfId="27323"/>
    <cellStyle name="Note 2 4 2 3 18" xfId="35090"/>
    <cellStyle name="Note 2 4 2 3 19" xfId="35272"/>
    <cellStyle name="Note 2 4 2 3 2" xfId="14872"/>
    <cellStyle name="Note 2 4 2 3 3" xfId="15204"/>
    <cellStyle name="Note 2 4 2 3 4" xfId="14297"/>
    <cellStyle name="Note 2 4 2 3 5" xfId="14088"/>
    <cellStyle name="Note 2 4 2 3 6" xfId="15452"/>
    <cellStyle name="Note 2 4 2 3 7" xfId="15055"/>
    <cellStyle name="Note 2 4 2 3 8" xfId="17857"/>
    <cellStyle name="Note 2 4 2 3 9" xfId="14200"/>
    <cellStyle name="Note 2 4 2 4" xfId="12392"/>
    <cellStyle name="Note 2 4 2 4 10" xfId="13617"/>
    <cellStyle name="Note 2 4 2 4 11" xfId="26415"/>
    <cellStyle name="Note 2 4 2 4 12" xfId="27104"/>
    <cellStyle name="Note 2 4 2 4 13" xfId="25941"/>
    <cellStyle name="Note 2 4 2 4 14" xfId="26708"/>
    <cellStyle name="Note 2 4 2 4 15" xfId="27492"/>
    <cellStyle name="Note 2 4 2 4 16" xfId="29808"/>
    <cellStyle name="Note 2 4 2 4 17" xfId="27215"/>
    <cellStyle name="Note 2 4 2 4 18" xfId="35105"/>
    <cellStyle name="Note 2 4 2 4 19" xfId="35259"/>
    <cellStyle name="Note 2 4 2 4 2" xfId="14862"/>
    <cellStyle name="Note 2 4 2 4 3" xfId="14426"/>
    <cellStyle name="Note 2 4 2 4 4" xfId="15278"/>
    <cellStyle name="Note 2 4 2 4 5" xfId="14737"/>
    <cellStyle name="Note 2 4 2 4 6" xfId="13898"/>
    <cellStyle name="Note 2 4 2 4 7" xfId="15462"/>
    <cellStyle name="Note 2 4 2 4 8" xfId="14847"/>
    <cellStyle name="Note 2 4 2 4 9" xfId="14098"/>
    <cellStyle name="Note 2 4 2 5" xfId="12393"/>
    <cellStyle name="Note 2 4 2 5 10" xfId="15739"/>
    <cellStyle name="Note 2 4 2 5 11" xfId="26436"/>
    <cellStyle name="Note 2 4 2 5 12" xfId="27094"/>
    <cellStyle name="Note 2 4 2 5 13" xfId="27531"/>
    <cellStyle name="Note 2 4 2 5 14" xfId="27234"/>
    <cellStyle name="Note 2 4 2 5 15" xfId="27837"/>
    <cellStyle name="Note 2 4 2 5 16" xfId="26662"/>
    <cellStyle name="Note 2 4 2 5 17" xfId="26842"/>
    <cellStyle name="Note 2 4 2 5 18" xfId="35120"/>
    <cellStyle name="Note 2 4 2 5 19" xfId="35249"/>
    <cellStyle name="Note 2 4 2 5 2" xfId="14851"/>
    <cellStyle name="Note 2 4 2 5 3" xfId="13943"/>
    <cellStyle name="Note 2 4 2 5 4" xfId="14617"/>
    <cellStyle name="Note 2 4 2 5 5" xfId="15495"/>
    <cellStyle name="Note 2 4 2 5 6" xfId="15294"/>
    <cellStyle name="Note 2 4 2 5 7" xfId="13864"/>
    <cellStyle name="Note 2 4 2 5 8" xfId="14326"/>
    <cellStyle name="Note 2 4 2 5 9" xfId="14582"/>
    <cellStyle name="Note 2 4 2 6" xfId="15788"/>
    <cellStyle name="Note 2 4 2 7" xfId="14970"/>
    <cellStyle name="Note 2 4 2 8" xfId="13684"/>
    <cellStyle name="Note 2 4 2 9" xfId="15289"/>
    <cellStyle name="Note 2 4 3" xfId="12394"/>
    <cellStyle name="Note 2 4 3 10" xfId="15842"/>
    <cellStyle name="Note 2 4 3 11" xfId="14710"/>
    <cellStyle name="Note 2 4 3 12" xfId="26524"/>
    <cellStyle name="Note 2 4 3 13" xfId="27040"/>
    <cellStyle name="Note 2 4 3 14" xfId="26203"/>
    <cellStyle name="Note 2 4 3 15" xfId="27759"/>
    <cellStyle name="Note 2 4 3 16" xfId="26012"/>
    <cellStyle name="Note 2 4 3 17" xfId="27309"/>
    <cellStyle name="Note 2 4 3 18" xfId="26749"/>
    <cellStyle name="Note 2 4 3 19" xfId="35189"/>
    <cellStyle name="Note 2 4 3 2" xfId="13970"/>
    <cellStyle name="Note 2 4 3 20" xfId="35203"/>
    <cellStyle name="Note 2 4 3 3" xfId="14806"/>
    <cellStyle name="Note 2 4 3 4" xfId="15429"/>
    <cellStyle name="Note 2 4 3 5" xfId="15749"/>
    <cellStyle name="Note 2 4 3 6" xfId="14399"/>
    <cellStyle name="Note 2 4 3 7" xfId="15634"/>
    <cellStyle name="Note 2 4 3 8" xfId="14075"/>
    <cellStyle name="Note 2 4 3 9" xfId="14990"/>
    <cellStyle name="Note 2 4 4" xfId="14376"/>
    <cellStyle name="Note 2 4 5" xfId="15781"/>
    <cellStyle name="Note 2 4 6" xfId="14123"/>
    <cellStyle name="Note 2 4 7" xfId="15790"/>
    <cellStyle name="Note 2 4 8" xfId="19879"/>
    <cellStyle name="Note 2 4 9" xfId="26057"/>
    <cellStyle name="Note 2 5" xfId="12395"/>
    <cellStyle name="Note 2 5 10" xfId="13590"/>
    <cellStyle name="Note 2 5 11" xfId="15473"/>
    <cellStyle name="Note 2 5 12" xfId="21851"/>
    <cellStyle name="Note 2 5 13" xfId="13803"/>
    <cellStyle name="Note 2 5 14" xfId="15775"/>
    <cellStyle name="Note 2 5 15" xfId="26078"/>
    <cellStyle name="Note 2 5 16" xfId="27783"/>
    <cellStyle name="Note 2 5 17" xfId="26432"/>
    <cellStyle name="Note 2 5 18" xfId="26568"/>
    <cellStyle name="Note 2 5 19" xfId="27467"/>
    <cellStyle name="Note 2 5 2" xfId="12396"/>
    <cellStyle name="Note 2 5 2 10" xfId="14131"/>
    <cellStyle name="Note 2 5 2 11" xfId="26300"/>
    <cellStyle name="Note 2 5 2 12" xfId="27181"/>
    <cellStyle name="Note 2 5 2 13" xfId="26813"/>
    <cellStyle name="Note 2 5 2 14" xfId="27655"/>
    <cellStyle name="Note 2 5 2 15" xfId="26754"/>
    <cellStyle name="Note 2 5 2 16" xfId="27567"/>
    <cellStyle name="Note 2 5 2 17" xfId="27538"/>
    <cellStyle name="Note 2 5 2 18" xfId="34996"/>
    <cellStyle name="Note 2 5 2 19" xfId="35335"/>
    <cellStyle name="Note 2 5 2 2" xfId="14927"/>
    <cellStyle name="Note 2 5 2 3" xfId="13718"/>
    <cellStyle name="Note 2 5 2 4" xfId="14634"/>
    <cellStyle name="Note 2 5 2 5" xfId="14544"/>
    <cellStyle name="Note 2 5 2 6" xfId="14344"/>
    <cellStyle name="Note 2 5 2 7" xfId="14713"/>
    <cellStyle name="Note 2 5 2 8" xfId="14580"/>
    <cellStyle name="Note 2 5 2 9" xfId="13597"/>
    <cellStyle name="Note 2 5 20" xfId="27412"/>
    <cellStyle name="Note 2 5 21" xfId="30835"/>
    <cellStyle name="Note 2 5 22" xfId="34939"/>
    <cellStyle name="Note 2 5 23" xfId="34925"/>
    <cellStyle name="Note 2 5 3" xfId="12397"/>
    <cellStyle name="Note 2 5 3 10" xfId="14605"/>
    <cellStyle name="Note 2 5 3 11" xfId="26380"/>
    <cellStyle name="Note 2 5 3 12" xfId="27707"/>
    <cellStyle name="Note 2 5 3 13" xfId="26826"/>
    <cellStyle name="Note 2 5 3 14" xfId="25987"/>
    <cellStyle name="Note 2 5 3 15" xfId="25877"/>
    <cellStyle name="Note 2 5 3 16" xfId="27619"/>
    <cellStyle name="Note 2 5 3 17" xfId="27214"/>
    <cellStyle name="Note 2 5 3 18" xfId="35071"/>
    <cellStyle name="Note 2 5 3 19" xfId="35284"/>
    <cellStyle name="Note 2 5 3 2" xfId="15681"/>
    <cellStyle name="Note 2 5 3 3" xfId="14049"/>
    <cellStyle name="Note 2 5 3 4" xfId="14784"/>
    <cellStyle name="Note 2 5 3 5" xfId="13814"/>
    <cellStyle name="Note 2 5 3 6" xfId="14499"/>
    <cellStyle name="Note 2 5 3 7" xfId="13528"/>
    <cellStyle name="Note 2 5 3 8" xfId="14978"/>
    <cellStyle name="Note 2 5 3 9" xfId="15501"/>
    <cellStyle name="Note 2 5 4" xfId="12398"/>
    <cellStyle name="Note 2 5 4 10" xfId="14567"/>
    <cellStyle name="Note 2 5 4 11" xfId="26358"/>
    <cellStyle name="Note 2 5 4 12" xfId="25904"/>
    <cellStyle name="Note 2 5 4 13" xfId="25971"/>
    <cellStyle name="Note 2 5 4 14" xfId="27414"/>
    <cellStyle name="Note 2 5 4 15" xfId="25996"/>
    <cellStyle name="Note 2 5 4 16" xfId="26671"/>
    <cellStyle name="Note 2 5 4 17" xfId="26702"/>
    <cellStyle name="Note 2 5 4 18" xfId="35050"/>
    <cellStyle name="Note 2 5 4 19" xfId="35293"/>
    <cellStyle name="Note 2 5 4 2" xfId="13611"/>
    <cellStyle name="Note 2 5 4 3" xfId="13755"/>
    <cellStyle name="Note 2 5 4 4" xfId="15535"/>
    <cellStyle name="Note 2 5 4 5" xfId="14550"/>
    <cellStyle name="Note 2 5 4 6" xfId="15563"/>
    <cellStyle name="Note 2 5 4 7" xfId="15515"/>
    <cellStyle name="Note 2 5 4 8" xfId="13998"/>
    <cellStyle name="Note 2 5 4 9" xfId="15482"/>
    <cellStyle name="Note 2 5 5" xfId="12399"/>
    <cellStyle name="Note 2 5 5 10" xfId="14236"/>
    <cellStyle name="Note 2 5 5 11" xfId="26366"/>
    <cellStyle name="Note 2 5 5 12" xfId="25901"/>
    <cellStyle name="Note 2 5 5 13" xfId="26824"/>
    <cellStyle name="Note 2 5 5 14" xfId="26644"/>
    <cellStyle name="Note 2 5 5 15" xfId="26189"/>
    <cellStyle name="Note 2 5 5 16" xfId="27000"/>
    <cellStyle name="Note 2 5 5 17" xfId="26610"/>
    <cellStyle name="Note 2 5 5 18" xfId="35058"/>
    <cellStyle name="Note 2 5 5 19" xfId="34842"/>
    <cellStyle name="Note 2 5 5 2" xfId="14889"/>
    <cellStyle name="Note 2 5 5 3" xfId="14045"/>
    <cellStyle name="Note 2 5 5 4" xfId="15626"/>
    <cellStyle name="Note 2 5 5 5" xfId="15436"/>
    <cellStyle name="Note 2 5 5 6" xfId="15777"/>
    <cellStyle name="Note 2 5 5 7" xfId="13502"/>
    <cellStyle name="Note 2 5 5 8" xfId="15601"/>
    <cellStyle name="Note 2 5 5 9" xfId="14271"/>
    <cellStyle name="Note 2 5 6" xfId="13853"/>
    <cellStyle name="Note 2 5 7" xfId="13987"/>
    <cellStyle name="Note 2 5 8" xfId="15044"/>
    <cellStyle name="Note 2 5 9" xfId="13534"/>
    <cellStyle name="Note 2 6" xfId="12400"/>
    <cellStyle name="Note 2 6 10" xfId="18894"/>
    <cellStyle name="Note 2 6 11" xfId="14650"/>
    <cellStyle name="Note 2 6 12" xfId="26525"/>
    <cellStyle name="Note 2 6 13" xfId="27039"/>
    <cellStyle name="Note 2 6 14" xfId="26204"/>
    <cellStyle name="Note 2 6 15" xfId="27225"/>
    <cellStyle name="Note 2 6 16" xfId="25979"/>
    <cellStyle name="Note 2 6 17" xfId="27240"/>
    <cellStyle name="Note 2 6 18" xfId="25953"/>
    <cellStyle name="Note 2 6 19" xfId="35190"/>
    <cellStyle name="Note 2 6 2" xfId="13971"/>
    <cellStyle name="Note 2 6 20" xfId="35202"/>
    <cellStyle name="Note 2 6 3" xfId="15638"/>
    <cellStyle name="Note 2 6 4" xfId="14079"/>
    <cellStyle name="Note 2 6 5" xfId="17344"/>
    <cellStyle name="Note 2 6 6" xfId="15844"/>
    <cellStyle name="Note 2 6 7" xfId="14653"/>
    <cellStyle name="Note 2 6 8" xfId="14717"/>
    <cellStyle name="Note 2 6 9" xfId="13905"/>
    <cellStyle name="Note 2 7" xfId="12401"/>
    <cellStyle name="Note 2 8" xfId="12402"/>
    <cellStyle name="Note 2 8 10" xfId="24863"/>
    <cellStyle name="Note 2 8 11" xfId="25862"/>
    <cellStyle name="Note 2 8 12" xfId="28768"/>
    <cellStyle name="Note 2 8 13" xfId="29785"/>
    <cellStyle name="Note 2 8 14" xfId="30818"/>
    <cellStyle name="Note 2 8 15" xfId="31813"/>
    <cellStyle name="Note 2 8 16" xfId="32817"/>
    <cellStyle name="Note 2 8 17" xfId="33820"/>
    <cellStyle name="Note 2 8 18" xfId="34819"/>
    <cellStyle name="Note 2 8 19" xfId="36380"/>
    <cellStyle name="Note 2 8 2" xfId="16852"/>
    <cellStyle name="Note 2 8 20" xfId="37379"/>
    <cellStyle name="Note 2 8 3" xfId="17832"/>
    <cellStyle name="Note 2 8 4" xfId="18857"/>
    <cellStyle name="Note 2 8 5" xfId="19891"/>
    <cellStyle name="Note 2 8 6" xfId="20916"/>
    <cellStyle name="Note 2 8 7" xfId="21876"/>
    <cellStyle name="Note 2 8 8" xfId="22888"/>
    <cellStyle name="Note 2 8 9" xfId="23891"/>
    <cellStyle name="Note 2 9" xfId="37399"/>
    <cellStyle name="Note 3" xfId="242"/>
    <cellStyle name="Note 3 2" xfId="349"/>
    <cellStyle name="Note 3 2 2" xfId="12403"/>
    <cellStyle name="Note 3 2 2 10" xfId="14812"/>
    <cellStyle name="Note 3 2 2 11" xfId="14670"/>
    <cellStyle name="Note 3 2 2 12" xfId="15722"/>
    <cellStyle name="Note 3 2 2 13" xfId="14749"/>
    <cellStyle name="Note 3 2 2 14" xfId="14247"/>
    <cellStyle name="Note 3 2 2 15" xfId="26270"/>
    <cellStyle name="Note 3 2 2 16" xfId="27198"/>
    <cellStyle name="Note 3 2 2 17" xfId="26808"/>
    <cellStyle name="Note 3 2 2 18" xfId="26715"/>
    <cellStyle name="Note 3 2 2 19" xfId="27631"/>
    <cellStyle name="Note 3 2 2 2" xfId="12404"/>
    <cellStyle name="Note 3 2 2 2 10" xfId="18924"/>
    <cellStyle name="Note 3 2 2 2 11" xfId="26330"/>
    <cellStyle name="Note 3 2 2 2 12" xfId="27160"/>
    <cellStyle name="Note 3 2 2 2 13" xfId="25884"/>
    <cellStyle name="Note 3 2 2 2 14" xfId="27025"/>
    <cellStyle name="Note 3 2 2 2 15" xfId="26540"/>
    <cellStyle name="Note 3 2 2 2 16" xfId="27390"/>
    <cellStyle name="Note 3 2 2 2 17" xfId="27445"/>
    <cellStyle name="Note 3 2 2 2 18" xfId="35025"/>
    <cellStyle name="Note 3 2 2 2 19" xfId="35314"/>
    <cellStyle name="Note 3 2 2 2 2" xfId="15697"/>
    <cellStyle name="Note 3 2 2 2 3" xfId="13740"/>
    <cellStyle name="Note 3 2 2 2 4" xfId="13442"/>
    <cellStyle name="Note 3 2 2 2 5" xfId="13854"/>
    <cellStyle name="Note 3 2 2 2 6" xfId="14703"/>
    <cellStyle name="Note 3 2 2 2 7" xfId="14512"/>
    <cellStyle name="Note 3 2 2 2 8" xfId="15242"/>
    <cellStyle name="Note 3 2 2 2 9" xfId="15631"/>
    <cellStyle name="Note 3 2 2 20" xfId="26853"/>
    <cellStyle name="Note 3 2 2 21" xfId="27444"/>
    <cellStyle name="Note 3 2 2 22" xfId="34973"/>
    <cellStyle name="Note 3 2 2 23" xfId="35468"/>
    <cellStyle name="Note 3 2 2 24" xfId="37505"/>
    <cellStyle name="Note 3 2 2 3" xfId="12405"/>
    <cellStyle name="Note 3 2 2 3 10" xfId="13518"/>
    <cellStyle name="Note 3 2 2 3 11" xfId="26467"/>
    <cellStyle name="Note 3 2 2 3 12" xfId="27675"/>
    <cellStyle name="Note 3 2 2 3 13" xfId="25888"/>
    <cellStyle name="Note 3 2 2 3 14" xfId="26638"/>
    <cellStyle name="Note 3 2 2 3 15" xfId="26557"/>
    <cellStyle name="Note 3 2 2 3 16" xfId="27607"/>
    <cellStyle name="Note 3 2 2 3 17" xfId="27841"/>
    <cellStyle name="Note 3 2 2 3 18" xfId="35150"/>
    <cellStyle name="Note 3 2 2 3 19" xfId="35399"/>
    <cellStyle name="Note 3 2 2 3 2" xfId="15658"/>
    <cellStyle name="Note 3 2 2 3 3" xfId="15417"/>
    <cellStyle name="Note 3 2 2 3 4" xfId="15014"/>
    <cellStyle name="Note 3 2 2 3 5" xfId="15391"/>
    <cellStyle name="Note 3 2 2 3 6" xfId="15088"/>
    <cellStyle name="Note 3 2 2 3 7" xfId="15250"/>
    <cellStyle name="Note 3 2 2 3 8" xfId="21434"/>
    <cellStyle name="Note 3 2 2 3 9" xfId="21436"/>
    <cellStyle name="Note 3 2 2 4" xfId="12406"/>
    <cellStyle name="Note 3 2 2 4 10" xfId="13828"/>
    <cellStyle name="Note 3 2 2 4 11" xfId="26365"/>
    <cellStyle name="Note 3 2 2 4 12" xfId="26030"/>
    <cellStyle name="Note 3 2 2 4 13" xfId="25973"/>
    <cellStyle name="Note 3 2 2 4 14" xfId="26016"/>
    <cellStyle name="Note 3 2 2 4 15" xfId="26765"/>
    <cellStyle name="Note 3 2 2 4 16" xfId="27545"/>
    <cellStyle name="Note 3 2 2 4 17" xfId="26630"/>
    <cellStyle name="Note 3 2 2 4 18" xfId="35057"/>
    <cellStyle name="Note 3 2 2 4 19" xfId="34895"/>
    <cellStyle name="Note 3 2 2 4 2" xfId="14890"/>
    <cellStyle name="Note 3 2 2 4 3" xfId="13760"/>
    <cellStyle name="Note 3 2 2 4 4" xfId="14626"/>
    <cellStyle name="Note 3 2 2 4 5" xfId="15490"/>
    <cellStyle name="Note 3 2 2 4 6" xfId="14519"/>
    <cellStyle name="Note 3 2 2 4 7" xfId="15329"/>
    <cellStyle name="Note 3 2 2 4 8" xfId="15828"/>
    <cellStyle name="Note 3 2 2 4 9" xfId="13796"/>
    <cellStyle name="Note 3 2 2 5" xfId="12407"/>
    <cellStyle name="Note 3 2 2 5 10" xfId="14109"/>
    <cellStyle name="Note 3 2 2 5 11" xfId="26483"/>
    <cellStyle name="Note 3 2 2 5 12" xfId="27669"/>
    <cellStyle name="Note 3 2 2 5 13" xfId="25891"/>
    <cellStyle name="Note 3 2 2 5 14" xfId="27408"/>
    <cellStyle name="Note 3 2 2 5 15" xfId="26791"/>
    <cellStyle name="Note 3 2 2 5 16" xfId="26819"/>
    <cellStyle name="Note 3 2 2 5 17" xfId="27299"/>
    <cellStyle name="Note 3 2 2 5 18" xfId="35166"/>
    <cellStyle name="Note 3 2 2 5 19" xfId="35393"/>
    <cellStyle name="Note 3 2 2 5 2" xfId="13606"/>
    <cellStyle name="Note 3 2 2 5 3" xfId="14438"/>
    <cellStyle name="Note 3 2 2 5 4" xfId="15010"/>
    <cellStyle name="Note 3 2 2 5 5" xfId="15392"/>
    <cellStyle name="Note 3 2 2 5 6" xfId="14320"/>
    <cellStyle name="Note 3 2 2 5 7" xfId="14794"/>
    <cellStyle name="Note 3 2 2 5 8" xfId="14162"/>
    <cellStyle name="Note 3 2 2 5 9" xfId="14950"/>
    <cellStyle name="Note 3 2 2 6" xfId="15718"/>
    <cellStyle name="Note 3 2 2 7" xfId="13694"/>
    <cellStyle name="Note 3 2 2 8" xfId="14639"/>
    <cellStyle name="Note 3 2 2 9" xfId="14132"/>
    <cellStyle name="Note 3 2 3" xfId="12408"/>
    <cellStyle name="Note 3 2 3 10" xfId="13416"/>
    <cellStyle name="Note 3 2 3 11" xfId="14521"/>
    <cellStyle name="Note 3 2 3 12" xfId="21853"/>
    <cellStyle name="Note 3 2 3 13" xfId="20951"/>
    <cellStyle name="Note 3 2 3 14" xfId="17848"/>
    <cellStyle name="Note 3 2 3 15" xfId="26081"/>
    <cellStyle name="Note 3 2 3 16" xfId="27782"/>
    <cellStyle name="Note 3 2 3 17" xfId="28751"/>
    <cellStyle name="Note 3 2 3 18" xfId="26050"/>
    <cellStyle name="Note 3 2 3 19" xfId="27438"/>
    <cellStyle name="Note 3 2 3 2" xfId="12409"/>
    <cellStyle name="Note 3 2 3 2 10" xfId="14757"/>
    <cellStyle name="Note 3 2 3 2 11" xfId="26303"/>
    <cellStyle name="Note 3 2 3 2 12" xfId="27179"/>
    <cellStyle name="Note 3 2 3 2 13" xfId="27515"/>
    <cellStyle name="Note 3 2 3 2 14" xfId="26921"/>
    <cellStyle name="Note 3 2 3 2 15" xfId="26084"/>
    <cellStyle name="Note 3 2 3 2 16" xfId="25985"/>
    <cellStyle name="Note 3 2 3 2 17" xfId="26995"/>
    <cellStyle name="Note 3 2 3 2 18" xfId="34999"/>
    <cellStyle name="Note 3 2 3 2 19" xfId="35333"/>
    <cellStyle name="Note 3 2 3 2 2" xfId="14925"/>
    <cellStyle name="Note 3 2 3 2 3" xfId="14031"/>
    <cellStyle name="Note 3 2 3 2 4" xfId="14789"/>
    <cellStyle name="Note 3 2 3 2 5" xfId="13521"/>
    <cellStyle name="Note 3 2 3 2 6" xfId="13469"/>
    <cellStyle name="Note 3 2 3 2 7" xfId="15268"/>
    <cellStyle name="Note 3 2 3 2 8" xfId="15820"/>
    <cellStyle name="Note 3 2 3 2 9" xfId="14598"/>
    <cellStyle name="Note 3 2 3 20" xfId="26912"/>
    <cellStyle name="Note 3 2 3 21" xfId="26976"/>
    <cellStyle name="Note 3 2 3 22" xfId="34942"/>
    <cellStyle name="Note 3 2 3 23" xfId="35478"/>
    <cellStyle name="Note 3 2 3 3" xfId="12410"/>
    <cellStyle name="Note 3 2 3 3 10" xfId="14146"/>
    <cellStyle name="Note 3 2 3 3 11" xfId="26383"/>
    <cellStyle name="Note 3 2 3 3 12" xfId="27127"/>
    <cellStyle name="Note 3 2 3 3 13" xfId="25925"/>
    <cellStyle name="Note 3 2 3 3 14" xfId="26710"/>
    <cellStyle name="Note 3 2 3 3 15" xfId="26770"/>
    <cellStyle name="Note 3 2 3 3 16" xfId="26566"/>
    <cellStyle name="Note 3 2 3 3 17" xfId="26697"/>
    <cellStyle name="Note 3 2 3 3 18" xfId="35074"/>
    <cellStyle name="Note 3 2 3 3 19" xfId="35282"/>
    <cellStyle name="Note 3 2 3 3 2" xfId="14880"/>
    <cellStyle name="Note 3 2 3 3 3" xfId="13767"/>
    <cellStyle name="Note 3 2 3 3 4" xfId="15280"/>
    <cellStyle name="Note 3 2 3 3 5" xfId="15595"/>
    <cellStyle name="Note 3 2 3 3 6" xfId="13588"/>
    <cellStyle name="Note 3 2 3 3 7" xfId="13996"/>
    <cellStyle name="Note 3 2 3 3 8" xfId="14568"/>
    <cellStyle name="Note 3 2 3 3 9" xfId="15397"/>
    <cellStyle name="Note 3 2 3 4" xfId="12411"/>
    <cellStyle name="Note 3 2 3 4 10" xfId="15034"/>
    <cellStyle name="Note 3 2 3 4 11" xfId="26360"/>
    <cellStyle name="Note 3 2 3 4 12" xfId="26034"/>
    <cellStyle name="Note 3 2 3 4 13" xfId="26139"/>
    <cellStyle name="Note 3 2 3 4 14" xfId="27238"/>
    <cellStyle name="Note 3 2 3 4 15" xfId="27366"/>
    <cellStyle name="Note 3 2 3 4 16" xfId="27565"/>
    <cellStyle name="Note 3 2 3 4 17" xfId="26562"/>
    <cellStyle name="Note 3 2 3 4 18" xfId="35052"/>
    <cellStyle name="Note 3 2 3 4 19" xfId="34893"/>
    <cellStyle name="Note 3 2 3 4 2" xfId="15687"/>
    <cellStyle name="Note 3 2 3 4 3" xfId="13756"/>
    <cellStyle name="Note 3 2 3 4 4" xfId="14189"/>
    <cellStyle name="Note 3 2 3 4 5" xfId="14263"/>
    <cellStyle name="Note 3 2 3 4 6" xfId="15507"/>
    <cellStyle name="Note 3 2 3 4 7" xfId="14753"/>
    <cellStyle name="Note 3 2 3 4 8" xfId="14668"/>
    <cellStyle name="Note 3 2 3 4 9" xfId="15551"/>
    <cellStyle name="Note 3 2 3 5" xfId="12412"/>
    <cellStyle name="Note 3 2 3 5 10" xfId="15041"/>
    <cellStyle name="Note 3 2 3 5 11" xfId="26468"/>
    <cellStyle name="Note 3 2 3 5 12" xfId="27071"/>
    <cellStyle name="Note 3 2 3 5 13" xfId="25889"/>
    <cellStyle name="Note 3 2 3 5 14" xfId="26706"/>
    <cellStyle name="Note 3 2 3 5 15" xfId="27373"/>
    <cellStyle name="Note 3 2 3 5 16" xfId="27642"/>
    <cellStyle name="Note 3 2 3 5 17" xfId="27268"/>
    <cellStyle name="Note 3 2 3 5 18" xfId="35151"/>
    <cellStyle name="Note 3 2 3 5 19" xfId="35398"/>
    <cellStyle name="Note 3 2 3 5 2" xfId="15657"/>
    <cellStyle name="Note 3 2 3 5 3" xfId="15418"/>
    <cellStyle name="Note 3 2 3 5 4" xfId="15761"/>
    <cellStyle name="Note 3 2 3 5 5" xfId="15800"/>
    <cellStyle name="Note 3 2 3 5 6" xfId="15756"/>
    <cellStyle name="Note 3 2 3 5 7" xfId="14019"/>
    <cellStyle name="Note 3 2 3 5 8" xfId="18902"/>
    <cellStyle name="Note 3 2 3 5 9" xfId="14949"/>
    <cellStyle name="Note 3 2 3 6" xfId="13850"/>
    <cellStyle name="Note 3 2 3 7" xfId="15373"/>
    <cellStyle name="Note 3 2 3 8" xfId="15054"/>
    <cellStyle name="Note 3 2 3 9" xfId="14942"/>
    <cellStyle name="Note 3 2 4" xfId="12413"/>
    <cellStyle name="Note 3 2 4 10" xfId="24873"/>
    <cellStyle name="Note 3 2 4 11" xfId="25872"/>
    <cellStyle name="Note 3 2 4 12" xfId="28778"/>
    <cellStyle name="Note 3 2 4 13" xfId="29795"/>
    <cellStyle name="Note 3 2 4 14" xfId="30828"/>
    <cellStyle name="Note 3 2 4 15" xfId="31823"/>
    <cellStyle name="Note 3 2 4 16" xfId="32827"/>
    <cellStyle name="Note 3 2 4 17" xfId="33830"/>
    <cellStyle name="Note 3 2 4 18" xfId="34829"/>
    <cellStyle name="Note 3 2 4 19" xfId="36390"/>
    <cellStyle name="Note 3 2 4 2" xfId="16862"/>
    <cellStyle name="Note 3 2 4 20" xfId="37389"/>
    <cellStyle name="Note 3 2 4 3" xfId="17842"/>
    <cellStyle name="Note 3 2 4 4" xfId="18867"/>
    <cellStyle name="Note 3 2 4 5" xfId="19901"/>
    <cellStyle name="Note 3 2 4 6" xfId="20926"/>
    <cellStyle name="Note 3 2 4 7" xfId="21886"/>
    <cellStyle name="Note 3 2 4 8" xfId="22898"/>
    <cellStyle name="Note 3 2 4 9" xfId="23901"/>
    <cellStyle name="Note 3 2 5" xfId="12414"/>
    <cellStyle name="Note 3 2 5 10" xfId="24857"/>
    <cellStyle name="Note 3 2 5 11" xfId="25856"/>
    <cellStyle name="Note 3 2 5 12" xfId="28762"/>
    <cellStyle name="Note 3 2 5 13" xfId="29779"/>
    <cellStyle name="Note 3 2 5 14" xfId="30812"/>
    <cellStyle name="Note 3 2 5 15" xfId="31807"/>
    <cellStyle name="Note 3 2 5 16" xfId="32811"/>
    <cellStyle name="Note 3 2 5 17" xfId="33814"/>
    <cellStyle name="Note 3 2 5 18" xfId="34813"/>
    <cellStyle name="Note 3 2 5 19" xfId="36374"/>
    <cellStyle name="Note 3 2 5 2" xfId="16846"/>
    <cellStyle name="Note 3 2 5 20" xfId="37373"/>
    <cellStyle name="Note 3 2 5 3" xfId="17826"/>
    <cellStyle name="Note 3 2 5 4" xfId="18851"/>
    <cellStyle name="Note 3 2 5 5" xfId="19885"/>
    <cellStyle name="Note 3 2 5 6" xfId="20910"/>
    <cellStyle name="Note 3 2 5 7" xfId="21870"/>
    <cellStyle name="Note 3 2 5 8" xfId="22882"/>
    <cellStyle name="Note 3 2 5 9" xfId="23885"/>
    <cellStyle name="Note 3 2 6" xfId="37465"/>
    <cellStyle name="Note 3 3" xfId="12415"/>
    <cellStyle name="Note 3 3 10" xfId="26242"/>
    <cellStyle name="Note 3 3 11" xfId="28745"/>
    <cellStyle name="Note 3 3 12" xfId="27464"/>
    <cellStyle name="Note 3 3 13" xfId="27825"/>
    <cellStyle name="Note 3 3 14" xfId="31806"/>
    <cellStyle name="Note 3 3 15" xfId="34909"/>
    <cellStyle name="Note 3 3 16" xfId="34927"/>
    <cellStyle name="Note 3 3 17" xfId="37506"/>
    <cellStyle name="Note 3 3 2" xfId="12416"/>
    <cellStyle name="Note 3 3 2 10" xfId="18920"/>
    <cellStyle name="Note 3 3 2 11" xfId="14793"/>
    <cellStyle name="Note 3 3 2 12" xfId="15125"/>
    <cellStyle name="Note 3 3 2 13" xfId="15253"/>
    <cellStyle name="Note 3 3 2 14" xfId="15464"/>
    <cellStyle name="Note 3 3 2 15" xfId="26100"/>
    <cellStyle name="Note 3 3 2 16" xfId="27255"/>
    <cellStyle name="Note 3 3 2 17" xfId="25959"/>
    <cellStyle name="Note 3 3 2 18" xfId="25910"/>
    <cellStyle name="Note 3 3 2 19" xfId="26727"/>
    <cellStyle name="Note 3 3 2 2" xfId="12417"/>
    <cellStyle name="Note 3 3 2 2 10" xfId="13527"/>
    <cellStyle name="Note 3 3 2 2 11" xfId="26320"/>
    <cellStyle name="Note 3 3 2 2 12" xfId="27168"/>
    <cellStyle name="Note 3 3 2 2 13" xfId="26135"/>
    <cellStyle name="Note 3 3 2 2 14" xfId="27764"/>
    <cellStyle name="Note 3 3 2 2 15" xfId="29829"/>
    <cellStyle name="Note 3 3 2 2 16" xfId="27388"/>
    <cellStyle name="Note 3 3 2 2 17" xfId="27005"/>
    <cellStyle name="Note 3 3 2 2 18" xfId="35016"/>
    <cellStyle name="Note 3 3 2 2 19" xfId="35322"/>
    <cellStyle name="Note 3 3 2 2 2" xfId="14918"/>
    <cellStyle name="Note 3 3 2 2 3" xfId="14035"/>
    <cellStyle name="Note 3 3 2 2 4" xfId="15334"/>
    <cellStyle name="Note 3 3 2 2 5" xfId="14087"/>
    <cellStyle name="Note 3 3 2 2 6" xfId="15575"/>
    <cellStyle name="Note 3 3 2 2 7" xfId="13639"/>
    <cellStyle name="Note 3 3 2 2 8" xfId="13666"/>
    <cellStyle name="Note 3 3 2 2 9" xfId="15740"/>
    <cellStyle name="Note 3 3 2 20" xfId="30850"/>
    <cellStyle name="Note 3 3 2 21" xfId="27546"/>
    <cellStyle name="Note 3 3 2 22" xfId="34959"/>
    <cellStyle name="Note 3 3 2 23" xfId="35361"/>
    <cellStyle name="Note 3 3 2 3" xfId="12418"/>
    <cellStyle name="Note 3 3 2 3 10" xfId="14606"/>
    <cellStyle name="Note 3 3 2 3 11" xfId="26400"/>
    <cellStyle name="Note 3 3 2 3 12" xfId="27700"/>
    <cellStyle name="Note 3 3 2 3 13" xfId="27663"/>
    <cellStyle name="Note 3 3 2 3 14" xfId="27019"/>
    <cellStyle name="Note 3 3 2 3 15" xfId="26774"/>
    <cellStyle name="Note 3 3 2 3 16" xfId="27811"/>
    <cellStyle name="Note 3 3 2 3 17" xfId="26830"/>
    <cellStyle name="Note 3 3 2 3 18" xfId="35091"/>
    <cellStyle name="Note 3 3 2 3 19" xfId="35271"/>
    <cellStyle name="Note 3 3 2 3 2" xfId="15677"/>
    <cellStyle name="Note 3 3 2 3 3" xfId="13773"/>
    <cellStyle name="Note 3 3 2 3 4" xfId="14622"/>
    <cellStyle name="Note 3 3 2 3 5" xfId="14556"/>
    <cellStyle name="Note 3 3 2 3 6" xfId="15750"/>
    <cellStyle name="Note 3 3 2 3 7" xfId="14800"/>
    <cellStyle name="Note 3 3 2 3 8" xfId="13795"/>
    <cellStyle name="Note 3 3 2 3 9" xfId="14095"/>
    <cellStyle name="Note 3 3 2 4" xfId="12419"/>
    <cellStyle name="Note 3 3 2 4 10" xfId="15608"/>
    <cellStyle name="Note 3 3 2 4 11" xfId="26416"/>
    <cellStyle name="Note 3 3 2 4 12" xfId="27693"/>
    <cellStyle name="Note 3 3 2 4 13" xfId="26153"/>
    <cellStyle name="Note 3 3 2 4 14" xfId="26913"/>
    <cellStyle name="Note 3 3 2 4 15" xfId="26429"/>
    <cellStyle name="Note 3 3 2 4 16" xfId="26845"/>
    <cellStyle name="Note 3 3 2 4 17" xfId="26596"/>
    <cellStyle name="Note 3 3 2 4 18" xfId="35106"/>
    <cellStyle name="Note 3 3 2 4 19" xfId="35417"/>
    <cellStyle name="Note 3 3 2 4 2" xfId="15673"/>
    <cellStyle name="Note 3 3 2 4 3" xfId="15206"/>
    <cellStyle name="Note 3 3 2 4 4" xfId="15109"/>
    <cellStyle name="Note 3 3 2 4 5" xfId="14472"/>
    <cellStyle name="Note 3 3 2 4 6" xfId="13494"/>
    <cellStyle name="Note 3 3 2 4 7" xfId="14518"/>
    <cellStyle name="Note 3 3 2 4 8" xfId="15118"/>
    <cellStyle name="Note 3 3 2 4 9" xfId="13674"/>
    <cellStyle name="Note 3 3 2 5" xfId="12420"/>
    <cellStyle name="Note 3 3 2 5 10" xfId="14164"/>
    <cellStyle name="Note 3 3 2 5 11" xfId="26457"/>
    <cellStyle name="Note 3 3 2 5 12" xfId="27079"/>
    <cellStyle name="Note 3 3 2 5 13" xfId="26169"/>
    <cellStyle name="Note 3 3 2 5 14" xfId="26228"/>
    <cellStyle name="Note 3 3 2 5 15" xfId="26555"/>
    <cellStyle name="Note 3 3 2 5 16" xfId="27596"/>
    <cellStyle name="Note 3 3 2 5 17" xfId="27399"/>
    <cellStyle name="Note 3 3 2 5 18" xfId="35140"/>
    <cellStyle name="Note 3 3 2 5 19" xfId="35234"/>
    <cellStyle name="Note 3 3 2 5 2" xfId="14844"/>
    <cellStyle name="Note 3 3 2 5 3" xfId="13560"/>
    <cellStyle name="Note 3 3 2 5 4" xfId="15018"/>
    <cellStyle name="Note 3 3 2 5 5" xfId="14008"/>
    <cellStyle name="Note 3 3 2 5 6" xfId="15293"/>
    <cellStyle name="Note 3 3 2 5 7" xfId="14127"/>
    <cellStyle name="Note 3 3 2 5 8" xfId="14695"/>
    <cellStyle name="Note 3 3 2 5 9" xfId="13944"/>
    <cellStyle name="Note 3 3 2 6" xfId="15053"/>
    <cellStyle name="Note 3 3 2 7" xfId="15169"/>
    <cellStyle name="Note 3 3 2 8" xfId="13652"/>
    <cellStyle name="Note 3 3 2 9" xfId="13470"/>
    <cellStyle name="Note 3 3 3" xfId="12421"/>
    <cellStyle name="Note 3 3 3 10" xfId="13799"/>
    <cellStyle name="Note 3 3 3 11" xfId="15406"/>
    <cellStyle name="Note 3 3 3 12" xfId="26526"/>
    <cellStyle name="Note 3 3 3 13" xfId="27661"/>
    <cellStyle name="Note 3 3 3 14" xfId="27379"/>
    <cellStyle name="Note 3 3 3 15" xfId="26703"/>
    <cellStyle name="Note 3 3 3 16" xfId="26989"/>
    <cellStyle name="Note 3 3 3 17" xfId="25909"/>
    <cellStyle name="Note 3 3 3 18" xfId="27395"/>
    <cellStyle name="Note 3 3 3 19" xfId="35191"/>
    <cellStyle name="Note 3 3 3 2" xfId="13972"/>
    <cellStyle name="Note 3 3 3 20" xfId="35384"/>
    <cellStyle name="Note 3 3 3 3" xfId="14805"/>
    <cellStyle name="Note 3 3 3 4" xfId="14453"/>
    <cellStyle name="Note 3 3 3 5" xfId="14995"/>
    <cellStyle name="Note 3 3 3 6" xfId="13478"/>
    <cellStyle name="Note 3 3 3 7" xfId="15132"/>
    <cellStyle name="Note 3 3 3 8" xfId="19916"/>
    <cellStyle name="Note 3 3 3 9" xfId="20906"/>
    <cellStyle name="Note 3 3 4" xfId="15346"/>
    <cellStyle name="Note 3 3 5" xfId="17858"/>
    <cellStyle name="Note 3 3 6" xfId="14522"/>
    <cellStyle name="Note 3 3 7" xfId="13403"/>
    <cellStyle name="Note 3 3 8" xfId="14122"/>
    <cellStyle name="Note 3 3 9" xfId="26058"/>
    <cellStyle name="Note 3 4" xfId="12422"/>
    <cellStyle name="Note 3 4 10" xfId="27789"/>
    <cellStyle name="Note 3 4 11" xfId="25954"/>
    <cellStyle name="Note 3 4 12" xfId="28785"/>
    <cellStyle name="Note 3 4 13" xfId="29811"/>
    <cellStyle name="Note 3 4 14" xfId="26857"/>
    <cellStyle name="Note 3 4 15" xfId="34910"/>
    <cellStyle name="Note 3 4 16" xfId="35482"/>
    <cellStyle name="Note 3 4 17" xfId="37507"/>
    <cellStyle name="Note 3 4 2" xfId="12423"/>
    <cellStyle name="Note 3 4 2 10" xfId="14849"/>
    <cellStyle name="Note 3 4 2 11" xfId="15582"/>
    <cellStyle name="Note 3 4 2 12" xfId="21861"/>
    <cellStyle name="Note 3 4 2 13" xfId="13561"/>
    <cellStyle name="Note 3 4 2 14" xfId="13419"/>
    <cellStyle name="Note 3 4 2 15" xfId="26101"/>
    <cellStyle name="Note 3 4 2 16" xfId="27774"/>
    <cellStyle name="Note 3 4 2 17" xfId="28757"/>
    <cellStyle name="Note 3 4 2 18" xfId="26232"/>
    <cellStyle name="Note 3 4 2 19" xfId="26009"/>
    <cellStyle name="Note 3 4 2 2" xfId="12424"/>
    <cellStyle name="Note 3 4 2 2 10" xfId="15481"/>
    <cellStyle name="Note 3 4 2 2 11" xfId="26321"/>
    <cellStyle name="Note 3 4 2 2 12" xfId="27727"/>
    <cellStyle name="Note 3 4 2 2 13" xfId="26818"/>
    <cellStyle name="Note 3 4 2 2 14" xfId="26919"/>
    <cellStyle name="Note 3 4 2 2 15" xfId="27363"/>
    <cellStyle name="Note 3 4 2 2 16" xfId="27314"/>
    <cellStyle name="Note 3 4 2 2 17" xfId="27384"/>
    <cellStyle name="Note 3 4 2 2 18" xfId="35017"/>
    <cellStyle name="Note 3 4 2 2 19" xfId="35452"/>
    <cellStyle name="Note 3 4 2 2 2" xfId="15701"/>
    <cellStyle name="Note 3 4 2 2 3" xfId="13731"/>
    <cellStyle name="Note 3 4 2 2 4" xfId="14193"/>
    <cellStyle name="Note 3 4 2 2 5" xfId="13516"/>
    <cellStyle name="Note 3 4 2 2 6" xfId="13506"/>
    <cellStyle name="Note 3 4 2 2 7" xfId="14600"/>
    <cellStyle name="Note 3 4 2 2 8" xfId="14227"/>
    <cellStyle name="Note 3 4 2 2 9" xfId="13981"/>
    <cellStyle name="Note 3 4 2 20" xfId="25911"/>
    <cellStyle name="Note 3 4 2 21" xfId="27588"/>
    <cellStyle name="Note 3 4 2 22" xfId="34960"/>
    <cellStyle name="Note 3 4 2 23" xfId="35471"/>
    <cellStyle name="Note 3 4 2 3" xfId="12425"/>
    <cellStyle name="Note 3 4 2 3 10" xfId="15274"/>
    <cellStyle name="Note 3 4 2 3 11" xfId="26401"/>
    <cellStyle name="Note 3 4 2 3 12" xfId="27116"/>
    <cellStyle name="Note 3 4 2 3 13" xfId="26258"/>
    <cellStyle name="Note 3 4 2 3 14" xfId="26643"/>
    <cellStyle name="Note 3 4 2 3 15" xfId="26775"/>
    <cellStyle name="Note 3 4 2 3 16" xfId="27288"/>
    <cellStyle name="Note 3 4 2 3 17" xfId="27202"/>
    <cellStyle name="Note 3 4 2 3 18" xfId="35092"/>
    <cellStyle name="Note 3 4 2 3 19" xfId="35270"/>
    <cellStyle name="Note 3 4 2 3 2" xfId="14871"/>
    <cellStyle name="Note 3 4 2 3 3" xfId="14425"/>
    <cellStyle name="Note 3 4 2 3 4" xfId="13953"/>
    <cellStyle name="Note 3 4 2 3 5" xfId="15096"/>
    <cellStyle name="Note 3 4 2 3 6" xfId="15288"/>
    <cellStyle name="Note 3 4 2 3 7" xfId="15432"/>
    <cellStyle name="Note 3 4 2 3 8" xfId="15227"/>
    <cellStyle name="Note 3 4 2 3 9" xfId="13500"/>
    <cellStyle name="Note 3 4 2 4" xfId="12426"/>
    <cellStyle name="Note 3 4 2 4 10" xfId="20900"/>
    <cellStyle name="Note 3 4 2 4 11" xfId="26417"/>
    <cellStyle name="Note 3 4 2 4 12" xfId="27103"/>
    <cellStyle name="Note 3 4 2 4 13" xfId="26154"/>
    <cellStyle name="Note 3 4 2 4 14" xfId="25921"/>
    <cellStyle name="Note 3 4 2 4 15" xfId="27370"/>
    <cellStyle name="Note 3 4 2 4 16" xfId="26939"/>
    <cellStyle name="Note 3 4 2 4 17" xfId="26901"/>
    <cellStyle name="Note 3 4 2 4 18" xfId="35107"/>
    <cellStyle name="Note 3 4 2 4 19" xfId="35258"/>
    <cellStyle name="Note 3 4 2 4 2" xfId="14861"/>
    <cellStyle name="Note 3 4 2 4 3" xfId="15414"/>
    <cellStyle name="Note 3 4 2 4 4" xfId="15767"/>
    <cellStyle name="Note 3 4 2 4 5" xfId="14383"/>
    <cellStyle name="Note 3 4 2 4 6" xfId="14218"/>
    <cellStyle name="Note 3 4 2 4 7" xfId="14490"/>
    <cellStyle name="Note 3 4 2 4 8" xfId="15186"/>
    <cellStyle name="Note 3 4 2 4 9" xfId="15801"/>
    <cellStyle name="Note 3 4 2 5" xfId="12427"/>
    <cellStyle name="Note 3 4 2 5 10" xfId="14460"/>
    <cellStyle name="Note 3 4 2 5 11" xfId="26369"/>
    <cellStyle name="Note 3 4 2 5 12" xfId="27712"/>
    <cellStyle name="Note 3 4 2 5 13" xfId="26257"/>
    <cellStyle name="Note 3 4 2 5 14" xfId="25931"/>
    <cellStyle name="Note 3 4 2 5 15" xfId="26766"/>
    <cellStyle name="Note 3 4 2 5 16" xfId="27031"/>
    <cellStyle name="Note 3 4 2 5 17" xfId="26875"/>
    <cellStyle name="Note 3 4 2 5 18" xfId="35061"/>
    <cellStyle name="Note 3 4 2 5 19" xfId="34844"/>
    <cellStyle name="Note 3 4 2 5 2" xfId="15684"/>
    <cellStyle name="Note 3 4 2 5 3" xfId="13762"/>
    <cellStyle name="Note 3 4 2 5 4" xfId="14188"/>
    <cellStyle name="Note 3 4 2 5 5" xfId="15315"/>
    <cellStyle name="Note 3 4 2 5 6" xfId="14307"/>
    <cellStyle name="Note 3 4 2 5 7" xfId="14130"/>
    <cellStyle name="Note 3 4 2 5 8" xfId="13883"/>
    <cellStyle name="Note 3 4 2 5 9" xfId="14759"/>
    <cellStyle name="Note 3 4 2 6" xfId="15787"/>
    <cellStyle name="Note 3 4 2 7" xfId="15377"/>
    <cellStyle name="Note 3 4 2 8" xfId="15149"/>
    <cellStyle name="Note 3 4 2 9" xfId="15134"/>
    <cellStyle name="Note 3 4 3" xfId="12428"/>
    <cellStyle name="Note 3 4 3 10" xfId="18895"/>
    <cellStyle name="Note 3 4 3 11" xfId="20944"/>
    <cellStyle name="Note 3 4 3 12" xfId="26527"/>
    <cellStyle name="Note 3 4 3 13" xfId="27038"/>
    <cellStyle name="Note 3 4 3 14" xfId="26205"/>
    <cellStyle name="Note 3 4 3 15" xfId="27224"/>
    <cellStyle name="Note 3 4 3 16" xfId="27281"/>
    <cellStyle name="Note 3 4 3 17" xfId="27337"/>
    <cellStyle name="Note 3 4 3 18" xfId="31831"/>
    <cellStyle name="Note 3 4 3 19" xfId="35192"/>
    <cellStyle name="Note 3 4 3 2" xfId="13973"/>
    <cellStyle name="Note 3 4 3 20" xfId="35201"/>
    <cellStyle name="Note 3 4 3 3" xfId="15637"/>
    <cellStyle name="Note 3 4 3 4" xfId="15430"/>
    <cellStyle name="Note 3 4 3 5" xfId="14994"/>
    <cellStyle name="Note 3 4 3 6" xfId="14400"/>
    <cellStyle name="Note 3 4 3 7" xfId="14799"/>
    <cellStyle name="Note 3 4 3 8" xfId="14533"/>
    <cellStyle name="Note 3 4 3 9" xfId="13925"/>
    <cellStyle name="Note 3 4 4" xfId="15172"/>
    <cellStyle name="Note 3 4 5" xfId="15564"/>
    <cellStyle name="Note 3 4 6" xfId="14330"/>
    <cellStyle name="Note 3 4 7" xfId="20909"/>
    <cellStyle name="Note 3 4 8" xfId="13675"/>
    <cellStyle name="Note 3 4 9" xfId="26059"/>
    <cellStyle name="Note 3 5" xfId="12429"/>
    <cellStyle name="Note 3 5 10" xfId="15145"/>
    <cellStyle name="Note 3 5 11" xfId="15583"/>
    <cellStyle name="Note 3 5 12" xfId="14680"/>
    <cellStyle name="Note 3 5 13" xfId="18888"/>
    <cellStyle name="Note 3 5 14" xfId="13897"/>
    <cellStyle name="Note 3 5 15" xfId="26080"/>
    <cellStyle name="Note 3 5 16" xfId="26052"/>
    <cellStyle name="Note 3 5 17" xfId="25957"/>
    <cellStyle name="Note 3 5 18" xfId="26433"/>
    <cellStyle name="Note 3 5 19" xfId="25945"/>
    <cellStyle name="Note 3 5 2" xfId="12430"/>
    <cellStyle name="Note 3 5 2 10" xfId="13578"/>
    <cellStyle name="Note 3 5 2 11" xfId="26302"/>
    <cellStyle name="Note 3 5 2 12" xfId="27734"/>
    <cellStyle name="Note 3 5 2 13" xfId="25968"/>
    <cellStyle name="Note 3 5 2 14" xfId="25892"/>
    <cellStyle name="Note 3 5 2 15" xfId="26666"/>
    <cellStyle name="Note 3 5 2 16" xfId="27301"/>
    <cellStyle name="Note 3 5 2 17" xfId="27448"/>
    <cellStyle name="Note 3 5 2 18" xfId="34998"/>
    <cellStyle name="Note 3 5 2 19" xfId="35334"/>
    <cellStyle name="Note 3 5 2 2" xfId="14926"/>
    <cellStyle name="Note 3 5 2 3" xfId="13875"/>
    <cellStyle name="Note 3 5 2 4" xfId="15733"/>
    <cellStyle name="Note 3 5 2 5" xfId="13480"/>
    <cellStyle name="Note 3 5 2 6" xfId="14179"/>
    <cellStyle name="Note 3 5 2 7" xfId="13622"/>
    <cellStyle name="Note 3 5 2 8" xfId="15450"/>
    <cellStyle name="Note 3 5 2 9" xfId="15267"/>
    <cellStyle name="Note 3 5 20" xfId="27377"/>
    <cellStyle name="Note 3 5 21" xfId="27322"/>
    <cellStyle name="Note 3 5 22" xfId="34941"/>
    <cellStyle name="Note 3 5 23" xfId="34882"/>
    <cellStyle name="Note 3 5 3" xfId="12431"/>
    <cellStyle name="Note 3 5 3 10" xfId="14205"/>
    <cellStyle name="Note 3 5 3 11" xfId="26382"/>
    <cellStyle name="Note 3 5 3 12" xfId="27706"/>
    <cellStyle name="Note 3 5 3 13" xfId="26143"/>
    <cellStyle name="Note 3 5 3 14" xfId="25983"/>
    <cellStyle name="Note 3 5 3 15" xfId="25949"/>
    <cellStyle name="Note 3 5 3 16" xfId="26663"/>
    <cellStyle name="Note 3 5 3 17" xfId="27501"/>
    <cellStyle name="Note 3 5 3 18" xfId="35073"/>
    <cellStyle name="Note 3 5 3 19" xfId="35283"/>
    <cellStyle name="Note 3 5 3 2" xfId="15680"/>
    <cellStyle name="Note 3 5 3 3" xfId="15202"/>
    <cellStyle name="Note 3 5 3 4" xfId="14298"/>
    <cellStyle name="Note 3 5 3 5" xfId="15437"/>
    <cellStyle name="Note 3 5 3 6" xfId="15557"/>
    <cellStyle name="Note 3 5 3 7" xfId="13994"/>
    <cellStyle name="Note 3 5 3 8" xfId="14507"/>
    <cellStyle name="Note 3 5 3 9" xfId="13791"/>
    <cellStyle name="Note 3 5 4" xfId="12432"/>
    <cellStyle name="Note 3 5 4 10" xfId="14541"/>
    <cellStyle name="Note 3 5 4 11" xfId="26344"/>
    <cellStyle name="Note 3 5 4 12" xfId="27150"/>
    <cellStyle name="Note 3 5 4 13" xfId="27353"/>
    <cellStyle name="Note 3 5 4 14" xfId="26129"/>
    <cellStyle name="Note 3 5 4 15" xfId="29824"/>
    <cellStyle name="Note 3 5 4 16" xfId="27391"/>
    <cellStyle name="Note 3 5 4 17" xfId="27617"/>
    <cellStyle name="Note 3 5 4 18" xfId="35038"/>
    <cellStyle name="Note 3 5 4 19" xfId="35305"/>
    <cellStyle name="Note 3 5 4 2" xfId="14903"/>
    <cellStyle name="Note 3 5 4 3" xfId="15161"/>
    <cellStyle name="Note 3 5 4 4" xfId="15137"/>
    <cellStyle name="Note 3 5 4 5" xfId="17856"/>
    <cellStyle name="Note 3 5 4 6" xfId="16867"/>
    <cellStyle name="Note 3 5 4 7" xfId="14699"/>
    <cellStyle name="Note 3 5 4 8" xfId="14409"/>
    <cellStyle name="Note 3 5 4 9" xfId="14260"/>
    <cellStyle name="Note 3 5 5" xfId="12433"/>
    <cellStyle name="Note 3 5 5 10" xfId="15486"/>
    <cellStyle name="Note 3 5 5 11" xfId="26465"/>
    <cellStyle name="Note 3 5 5 12" xfId="27074"/>
    <cellStyle name="Note 3 5 5 13" xfId="26259"/>
    <cellStyle name="Note 3 5 5 14" xfId="26909"/>
    <cellStyle name="Note 3 5 5 15" xfId="27497"/>
    <cellStyle name="Note 3 5 5 16" xfId="27030"/>
    <cellStyle name="Note 3 5 5 17" xfId="26969"/>
    <cellStyle name="Note 3 5 5 18" xfId="35148"/>
    <cellStyle name="Note 3 5 5 19" xfId="35228"/>
    <cellStyle name="Note 3 5 5 2" xfId="14841"/>
    <cellStyle name="Note 3 5 5 3" xfId="14432"/>
    <cellStyle name="Note 3 5 5 4" xfId="15762"/>
    <cellStyle name="Note 3 5 5 5" xfId="14391"/>
    <cellStyle name="Note 3 5 5 6" xfId="14201"/>
    <cellStyle name="Note 3 5 5 7" xfId="14539"/>
    <cellStyle name="Note 3 5 5 8" xfId="14505"/>
    <cellStyle name="Note 3 5 5 9" xfId="18872"/>
    <cellStyle name="Note 3 5 6" xfId="13851"/>
    <cellStyle name="Note 3 5 7" xfId="15167"/>
    <cellStyle name="Note 3 5 8" xfId="13915"/>
    <cellStyle name="Note 3 5 9" xfId="15361"/>
    <cellStyle name="Note 3 6" xfId="12434"/>
    <cellStyle name="Note 3 6 10" xfId="15147"/>
    <cellStyle name="Note 3 6 11" xfId="20948"/>
    <cellStyle name="Note 3 6 12" xfId="26528"/>
    <cellStyle name="Note 3 6 13" xfId="27037"/>
    <cellStyle name="Note 3 6 14" xfId="26585"/>
    <cellStyle name="Note 3 6 15" xfId="27007"/>
    <cellStyle name="Note 3 6 16" xfId="26218"/>
    <cellStyle name="Note 3 6 17" xfId="27819"/>
    <cellStyle name="Note 3 6 18" xfId="26004"/>
    <cellStyle name="Note 3 6 19" xfId="35193"/>
    <cellStyle name="Note 3 6 2" xfId="13974"/>
    <cellStyle name="Note 3 6 20" xfId="35383"/>
    <cellStyle name="Note 3 6 3" xfId="14804"/>
    <cellStyle name="Note 3 6 4" xfId="14080"/>
    <cellStyle name="Note 3 6 5" xfId="13901"/>
    <cellStyle name="Note 3 6 6" xfId="13467"/>
    <cellStyle name="Note 3 6 7" xfId="13635"/>
    <cellStyle name="Note 3 6 8" xfId="20425"/>
    <cellStyle name="Note 3 6 9" xfId="15178"/>
    <cellStyle name="Note 3 7" xfId="12435"/>
    <cellStyle name="Note 3 7 10" xfId="24869"/>
    <cellStyle name="Note 3 7 11" xfId="25868"/>
    <cellStyle name="Note 3 7 12" xfId="28774"/>
    <cellStyle name="Note 3 7 13" xfId="29791"/>
    <cellStyle name="Note 3 7 14" xfId="30824"/>
    <cellStyle name="Note 3 7 15" xfId="31819"/>
    <cellStyle name="Note 3 7 16" xfId="32823"/>
    <cellStyle name="Note 3 7 17" xfId="33826"/>
    <cellStyle name="Note 3 7 18" xfId="34825"/>
    <cellStyle name="Note 3 7 19" xfId="36386"/>
    <cellStyle name="Note 3 7 2" xfId="16858"/>
    <cellStyle name="Note 3 7 20" xfId="37385"/>
    <cellStyle name="Note 3 7 3" xfId="17838"/>
    <cellStyle name="Note 3 7 4" xfId="18863"/>
    <cellStyle name="Note 3 7 5" xfId="19897"/>
    <cellStyle name="Note 3 7 6" xfId="20922"/>
    <cellStyle name="Note 3 7 7" xfId="21882"/>
    <cellStyle name="Note 3 7 8" xfId="22894"/>
    <cellStyle name="Note 3 7 9" xfId="23897"/>
    <cellStyle name="Note 3 8" xfId="37398"/>
    <cellStyle name="Note 3 9" xfId="37451"/>
    <cellStyle name="Note 4" xfId="12436"/>
    <cellStyle name="Note 4 10" xfId="20943"/>
    <cellStyle name="Note 4 11" xfId="26060"/>
    <cellStyle name="Note 4 12" xfId="27273"/>
    <cellStyle name="Note 4 13" xfId="28746"/>
    <cellStyle name="Note 4 14" xfId="26719"/>
    <cellStyle name="Note 4 15" xfId="26021"/>
    <cellStyle name="Note 4 16" xfId="27275"/>
    <cellStyle name="Note 4 17" xfId="34911"/>
    <cellStyle name="Note 4 18" xfId="35375"/>
    <cellStyle name="Note 4 19" xfId="37508"/>
    <cellStyle name="Note 4 2" xfId="12437"/>
    <cellStyle name="Note 4 3" xfId="12438"/>
    <cellStyle name="Note 4 3 10" xfId="18921"/>
    <cellStyle name="Note 4 3 11" xfId="13569"/>
    <cellStyle name="Note 4 3 12" xfId="15773"/>
    <cellStyle name="Note 4 3 13" xfId="15004"/>
    <cellStyle name="Note 4 3 14" xfId="20907"/>
    <cellStyle name="Note 4 3 15" xfId="26102"/>
    <cellStyle name="Note 4 3 16" xfId="27254"/>
    <cellStyle name="Note 4 3 17" xfId="25960"/>
    <cellStyle name="Note 4 3 18" xfId="27294"/>
    <cellStyle name="Note 4 3 19" xfId="26657"/>
    <cellStyle name="Note 4 3 2" xfId="12439"/>
    <cellStyle name="Note 4 3 2 10" xfId="15085"/>
    <cellStyle name="Note 4 3 2 11" xfId="26322"/>
    <cellStyle name="Note 4 3 2 12" xfId="27167"/>
    <cellStyle name="Note 4 3 2 13" xfId="27843"/>
    <cellStyle name="Note 4 3 2 14" xfId="27653"/>
    <cellStyle name="Note 4 3 2 15" xfId="30337"/>
    <cellStyle name="Note 4 3 2 16" xfId="26855"/>
    <cellStyle name="Note 4 3 2 17" xfId="26216"/>
    <cellStyle name="Note 4 3 2 18" xfId="35018"/>
    <cellStyle name="Note 4 3 2 19" xfId="35321"/>
    <cellStyle name="Note 4 3 2 2" xfId="14917"/>
    <cellStyle name="Note 4 3 2 3" xfId="15194"/>
    <cellStyle name="Note 4 3 2 4" xfId="15627"/>
    <cellStyle name="Note 4 3 2 5" xfId="14465"/>
    <cellStyle name="Note 4 3 2 6" xfId="14984"/>
    <cellStyle name="Note 4 3 2 7" xfId="14590"/>
    <cellStyle name="Note 4 3 2 8" xfId="15290"/>
    <cellStyle name="Note 4 3 2 9" xfId="17821"/>
    <cellStyle name="Note 4 3 20" xfId="30851"/>
    <cellStyle name="Note 4 3 21" xfId="26686"/>
    <cellStyle name="Note 4 3 22" xfId="34961"/>
    <cellStyle name="Note 4 3 23" xfId="35360"/>
    <cellStyle name="Note 4 3 3" xfId="12440"/>
    <cellStyle name="Note 4 3 3 10" xfId="15525"/>
    <cellStyle name="Note 4 3 3 11" xfId="26402"/>
    <cellStyle name="Note 4 3 3 12" xfId="27115"/>
    <cellStyle name="Note 4 3 3 13" xfId="27354"/>
    <cellStyle name="Note 4 3 3 14" xfId="27762"/>
    <cellStyle name="Note 4 3 3 15" xfId="26738"/>
    <cellStyle name="Note 4 3 3 16" xfId="27547"/>
    <cellStyle name="Note 4 3 3 17" xfId="27630"/>
    <cellStyle name="Note 4 3 3 18" xfId="35093"/>
    <cellStyle name="Note 4 3 3 19" xfId="34846"/>
    <cellStyle name="Note 4 3 3 2" xfId="14870"/>
    <cellStyle name="Note 4 3 3 3" xfId="14054"/>
    <cellStyle name="Note 4 3 3 4" xfId="13598"/>
    <cellStyle name="Note 4 3 3 5" xfId="15438"/>
    <cellStyle name="Note 4 3 3 6" xfId="16838"/>
    <cellStyle name="Note 4 3 3 7" xfId="13596"/>
    <cellStyle name="Note 4 3 3 8" xfId="14750"/>
    <cellStyle name="Note 4 3 3 9" xfId="14309"/>
    <cellStyle name="Note 4 3 4" xfId="12441"/>
    <cellStyle name="Note 4 3 4 10" xfId="13616"/>
    <cellStyle name="Note 4 3 4 11" xfId="26418"/>
    <cellStyle name="Note 4 3 4 12" xfId="27102"/>
    <cellStyle name="Note 4 3 4 13" xfId="26155"/>
    <cellStyle name="Note 4 3 4 14" xfId="27648"/>
    <cellStyle name="Note 4 3 4 15" xfId="25893"/>
    <cellStyle name="Note 4 3 4 16" xfId="26881"/>
    <cellStyle name="Note 4 3 4 17" xfId="26619"/>
    <cellStyle name="Note 4 3 4 18" xfId="35108"/>
    <cellStyle name="Note 4 3 4 19" xfId="35416"/>
    <cellStyle name="Note 4 3 4 2" xfId="14860"/>
    <cellStyle name="Note 4 3 4 3" xfId="14057"/>
    <cellStyle name="Note 4 3 4 4" xfId="15826"/>
    <cellStyle name="Note 4 3 4 5" xfId="13401"/>
    <cellStyle name="Note 4 3 4 6" xfId="15143"/>
    <cellStyle name="Note 4 3 4 7" xfId="14603"/>
    <cellStyle name="Note 4 3 4 8" xfId="15569"/>
    <cellStyle name="Note 4 3 4 9" xfId="15336"/>
    <cellStyle name="Note 4 3 5" xfId="12442"/>
    <cellStyle name="Note 4 3 5 10" xfId="14206"/>
    <cellStyle name="Note 4 3 5 11" xfId="26460"/>
    <cellStyle name="Note 4 3 5 12" xfId="27076"/>
    <cellStyle name="Note 4 3 5 13" xfId="25887"/>
    <cellStyle name="Note 4 3 5 14" xfId="26639"/>
    <cellStyle name="Note 4 3 5 15" xfId="26556"/>
    <cellStyle name="Note 4 3 5 16" xfId="27761"/>
    <cellStyle name="Note 4 3 5 17" xfId="27795"/>
    <cellStyle name="Note 4 3 5 18" xfId="35143"/>
    <cellStyle name="Note 4 3 5 19" xfId="35232"/>
    <cellStyle name="Note 4 3 5 2" xfId="15660"/>
    <cellStyle name="Note 4 3 5 3" xfId="14430"/>
    <cellStyle name="Note 4 3 5 4" xfId="15016"/>
    <cellStyle name="Note 4 3 5 5" xfId="15390"/>
    <cellStyle name="Note 4 3 5 6" xfId="15001"/>
    <cellStyle name="Note 4 3 5 7" xfId="14744"/>
    <cellStyle name="Note 4 3 5 8" xfId="20956"/>
    <cellStyle name="Note 4 3 5 9" xfId="13835"/>
    <cellStyle name="Note 4 3 6" xfId="15052"/>
    <cellStyle name="Note 4 3 7" xfId="14971"/>
    <cellStyle name="Note 4 3 8" xfId="13936"/>
    <cellStyle name="Note 4 3 9" xfId="15113"/>
    <cellStyle name="Note 4 4" xfId="12443"/>
    <cellStyle name="Note 4 4 10" xfId="15129"/>
    <cellStyle name="Note 4 4 11" xfId="15523"/>
    <cellStyle name="Note 4 4 12" xfId="26529"/>
    <cellStyle name="Note 4 4 13" xfId="27660"/>
    <cellStyle name="Note 4 4 14" xfId="26828"/>
    <cellStyle name="Note 4 4 15" xfId="27223"/>
    <cellStyle name="Note 4 4 16" xfId="26694"/>
    <cellStyle name="Note 4 4 17" xfId="27592"/>
    <cellStyle name="Note 4 4 18" xfId="27553"/>
    <cellStyle name="Note 4 4 19" xfId="35194"/>
    <cellStyle name="Note 4 4 2" xfId="13975"/>
    <cellStyle name="Note 4 4 20" xfId="35200"/>
    <cellStyle name="Note 4 4 3" xfId="14803"/>
    <cellStyle name="Note 4 4 4" xfId="13562"/>
    <cellStyle name="Note 4 4 5" xfId="14993"/>
    <cellStyle name="Note 4 4 6" xfId="15395"/>
    <cellStyle name="Note 4 4 7" xfId="14209"/>
    <cellStyle name="Note 4 4 8" xfId="13912"/>
    <cellStyle name="Note 4 4 9" xfId="15576"/>
    <cellStyle name="Note 4 5" xfId="12444"/>
    <cellStyle name="Note 4 6" xfId="15356"/>
    <cellStyle name="Note 4 7" xfId="13394"/>
    <cellStyle name="Note 4 8" xfId="18908"/>
    <cellStyle name="Note 4 9" xfId="15796"/>
    <cellStyle name="Note 5" xfId="12445"/>
    <cellStyle name="Note 5 2" xfId="12446"/>
    <cellStyle name="Note 5 2 10" xfId="13476"/>
    <cellStyle name="Note 5 2 11" xfId="13968"/>
    <cellStyle name="Note 5 2 12" xfId="14018"/>
    <cellStyle name="Note 5 2 13" xfId="14988"/>
    <cellStyle name="Note 5 2 14" xfId="15742"/>
    <cellStyle name="Note 5 2 15" xfId="27746"/>
    <cellStyle name="Note 5 2 16" xfId="27589"/>
    <cellStyle name="Note 5 2 17" xfId="26217"/>
    <cellStyle name="Note 5 2 18" xfId="25894"/>
    <cellStyle name="Note 5 2 19" xfId="26219"/>
    <cellStyle name="Note 5 2 2" xfId="12447"/>
    <cellStyle name="Note 5 2 2 10" xfId="14689"/>
    <cellStyle name="Note 5 2 2 11" xfId="27159"/>
    <cellStyle name="Note 5 2 2 12" xfId="26425"/>
    <cellStyle name="Note 5 2 2 13" xfId="26130"/>
    <cellStyle name="Note 5 2 2 14" xfId="27423"/>
    <cellStyle name="Note 5 2 2 15" xfId="26809"/>
    <cellStyle name="Note 5 2 2 16" xfId="35447"/>
    <cellStyle name="Note 5 2 2 2" xfId="14910"/>
    <cellStyle name="Note 5 2 2 3" xfId="13741"/>
    <cellStyle name="Note 5 2 2 4" xfId="15808"/>
    <cellStyle name="Note 5 2 2 5" xfId="15062"/>
    <cellStyle name="Note 5 2 2 6" xfId="14887"/>
    <cellStyle name="Note 5 2 2 7" xfId="15318"/>
    <cellStyle name="Note 5 2 2 8" xfId="14405"/>
    <cellStyle name="Note 5 2 2 9" xfId="15216"/>
    <cellStyle name="Note 5 2 20" xfId="35352"/>
    <cellStyle name="Note 5 2 21" xfId="37509"/>
    <cellStyle name="Note 5 2 3" xfId="12448"/>
    <cellStyle name="Note 5 2 3 10" xfId="14482"/>
    <cellStyle name="Note 5 2 3 11" xfId="27072"/>
    <cellStyle name="Note 5 2 3 12" xfId="27576"/>
    <cellStyle name="Note 5 2 3 13" xfId="26788"/>
    <cellStyle name="Note 5 2 3 14" xfId="26660"/>
    <cellStyle name="Note 5 2 3 15" xfId="27633"/>
    <cellStyle name="Note 5 2 3 16" xfId="35227"/>
    <cellStyle name="Note 5 2 3 2" xfId="14839"/>
    <cellStyle name="Note 5 2 3 3" xfId="14433"/>
    <cellStyle name="Note 5 2 3 4" xfId="15013"/>
    <cellStyle name="Note 5 2 3 5" xfId="14392"/>
    <cellStyle name="Note 5 2 3 6" xfId="14969"/>
    <cellStyle name="Note 5 2 3 7" xfId="14257"/>
    <cellStyle name="Note 5 2 3 8" xfId="14647"/>
    <cellStyle name="Note 5 2 3 9" xfId="15369"/>
    <cellStyle name="Note 5 2 4" xfId="12449"/>
    <cellStyle name="Note 5 2 4 10" xfId="15269"/>
    <cellStyle name="Note 5 2 4 11" xfId="27099"/>
    <cellStyle name="Note 5 2 4 12" xfId="27327"/>
    <cellStyle name="Note 5 2 4 13" xfId="26248"/>
    <cellStyle name="Note 5 2 4 14" xfId="26998"/>
    <cellStyle name="Note 5 2 4 15" xfId="26877"/>
    <cellStyle name="Note 5 2 4 16" xfId="35413"/>
    <cellStyle name="Note 5 2 4 2" xfId="14857"/>
    <cellStyle name="Note 5 2 4 3" xfId="13543"/>
    <cellStyle name="Note 5 2 4 4" xfId="14182"/>
    <cellStyle name="Note 5 2 4 5" xfId="14738"/>
    <cellStyle name="Note 5 2 4 6" xfId="13397"/>
    <cellStyle name="Note 5 2 4 7" xfId="15585"/>
    <cellStyle name="Note 5 2 4 8" xfId="15008"/>
    <cellStyle name="Note 5 2 4 9" xfId="14484"/>
    <cellStyle name="Note 5 2 5" xfId="12450"/>
    <cellStyle name="Note 5 2 5 10" xfId="14764"/>
    <cellStyle name="Note 5 2 5 11" xfId="27061"/>
    <cellStyle name="Note 5 2 5 12" xfId="26906"/>
    <cellStyle name="Note 5 2 5 13" xfId="27374"/>
    <cellStyle name="Note 5 2 5 14" xfId="26932"/>
    <cellStyle name="Note 5 2 5 15" xfId="26223"/>
    <cellStyle name="Note 5 2 5 16" xfId="35216"/>
    <cellStyle name="Note 5 2 5 2" xfId="13605"/>
    <cellStyle name="Note 5 2 5 3" xfId="15421"/>
    <cellStyle name="Note 5 2 5 4" xfId="13830"/>
    <cellStyle name="Note 5 2 5 5" xfId="14011"/>
    <cellStyle name="Note 5 2 5 6" xfId="15553"/>
    <cellStyle name="Note 5 2 5 7" xfId="15519"/>
    <cellStyle name="Note 5 2 5 8" xfId="14366"/>
    <cellStyle name="Note 5 2 5 9" xfId="14124"/>
    <cellStyle name="Note 5 2 6" xfId="14943"/>
    <cellStyle name="Note 5 2 7" xfId="13485"/>
    <cellStyle name="Note 5 2 8" xfId="15112"/>
    <cellStyle name="Note 5 2 9" xfId="15433"/>
    <cellStyle name="Note 6" xfId="12451"/>
    <cellStyle name="Notes" xfId="244"/>
    <cellStyle name="Notes 2" xfId="12452"/>
    <cellStyle name="Output" xfId="13357" builtinId="21" customBuiltin="1"/>
    <cellStyle name="Output 2" xfId="246"/>
    <cellStyle name="Output 2 2" xfId="12453"/>
    <cellStyle name="Output 2 2 10" xfId="19908"/>
    <cellStyle name="Output 2 2 11" xfId="26062"/>
    <cellStyle name="Output 2 2 12" xfId="27272"/>
    <cellStyle name="Output 2 2 13" xfId="26097"/>
    <cellStyle name="Output 2 2 14" xfId="25895"/>
    <cellStyle name="Output 2 2 15" xfId="27604"/>
    <cellStyle name="Output 2 2 16" xfId="27302"/>
    <cellStyle name="Output 2 2 17" xfId="34912"/>
    <cellStyle name="Output 2 2 18" xfId="34970"/>
    <cellStyle name="Output 2 2 19" xfId="37453"/>
    <cellStyle name="Output 2 2 2" xfId="12454"/>
    <cellStyle name="Output 2 2 2 10" xfId="27788"/>
    <cellStyle name="Output 2 2 2 11" xfId="26571"/>
    <cellStyle name="Output 2 2 2 12" xfId="28784"/>
    <cellStyle name="Output 2 2 2 13" xfId="27396"/>
    <cellStyle name="Output 2 2 2 14" xfId="26109"/>
    <cellStyle name="Output 2 2 2 15" xfId="34913"/>
    <cellStyle name="Output 2 2 2 16" xfId="34929"/>
    <cellStyle name="Output 2 2 2 17" xfId="35481"/>
    <cellStyle name="Output 2 2 2 18" xfId="37511"/>
    <cellStyle name="Output 2 2 2 2" xfId="12455"/>
    <cellStyle name="Output 2 2 2 2 10" xfId="13963"/>
    <cellStyle name="Output 2 2 2 2 11" xfId="19881"/>
    <cellStyle name="Output 2 2 2 2 12" xfId="21863"/>
    <cellStyle name="Output 2 2 2 2 13" xfId="15746"/>
    <cellStyle name="Output 2 2 2 2 14" xfId="26104"/>
    <cellStyle name="Output 2 2 2 2 15" xfId="27252"/>
    <cellStyle name="Output 2 2 2 2 16" xfId="27315"/>
    <cellStyle name="Output 2 2 2 2 17" xfId="25899"/>
    <cellStyle name="Output 2 2 2 2 18" xfId="26231"/>
    <cellStyle name="Output 2 2 2 2 19" xfId="30836"/>
    <cellStyle name="Output 2 2 2 2 2" xfId="12456"/>
    <cellStyle name="Output 2 2 2 2 2 10" xfId="26324"/>
    <cellStyle name="Output 2 2 2 2 2 11" xfId="27726"/>
    <cellStyle name="Output 2 2 2 2 2 12" xfId="27239"/>
    <cellStyle name="Output 2 2 2 2 2 13" xfId="26691"/>
    <cellStyle name="Output 2 2 2 2 2 14" xfId="27219"/>
    <cellStyle name="Output 2 2 2 2 2 15" xfId="27279"/>
    <cellStyle name="Output 2 2 2 2 2 16" xfId="35020"/>
    <cellStyle name="Output 2 2 2 2 2 17" xfId="35451"/>
    <cellStyle name="Output 2 2 2 2 2 2" xfId="14915"/>
    <cellStyle name="Output 2 2 2 2 2 3" xfId="13733"/>
    <cellStyle name="Output 2 2 2 2 2 4" xfId="15539"/>
    <cellStyle name="Output 2 2 2 2 2 5" xfId="15244"/>
    <cellStyle name="Output 2 2 2 2 2 6" xfId="14178"/>
    <cellStyle name="Output 2 2 2 2 2 7" xfId="14742"/>
    <cellStyle name="Output 2 2 2 2 2 8" xfId="15609"/>
    <cellStyle name="Output 2 2 2 2 2 9" xfId="13579"/>
    <cellStyle name="Output 2 2 2 2 20" xfId="34963"/>
    <cellStyle name="Output 2 2 2 2 21" xfId="35359"/>
    <cellStyle name="Output 2 2 2 2 3" xfId="12457"/>
    <cellStyle name="Output 2 2 2 2 3 10" xfId="26404"/>
    <cellStyle name="Output 2 2 2 2 3 11" xfId="27114"/>
    <cellStyle name="Output 2 2 2 2 3 12" xfId="26914"/>
    <cellStyle name="Output 2 2 2 2 3 13" xfId="26776"/>
    <cellStyle name="Output 2 2 2 2 3 14" xfId="27287"/>
    <cellStyle name="Output 2 2 2 2 3 15" xfId="31829"/>
    <cellStyle name="Output 2 2 2 2 3 16" xfId="35095"/>
    <cellStyle name="Output 2 2 2 2 3 17" xfId="35269"/>
    <cellStyle name="Output 2 2 2 2 3 2" xfId="14869"/>
    <cellStyle name="Output 2 2 2 2 3 3" xfId="13774"/>
    <cellStyle name="Output 2 2 2 2 3 4" xfId="15531"/>
    <cellStyle name="Output 2 2 2 2 3 5" xfId="14138"/>
    <cellStyle name="Output 2 2 2 2 3 6" xfId="15545"/>
    <cellStyle name="Output 2 2 2 2 3 7" xfId="13805"/>
    <cellStyle name="Output 2 2 2 2 3 8" xfId="14576"/>
    <cellStyle name="Output 2 2 2 2 3 9" xfId="15821"/>
    <cellStyle name="Output 2 2 2 2 4" xfId="12458"/>
    <cellStyle name="Output 2 2 2 2 4 10" xfId="26420"/>
    <cellStyle name="Output 2 2 2 2 4 11" xfId="27101"/>
    <cellStyle name="Output 2 2 2 2 4 12" xfId="26128"/>
    <cellStyle name="Output 2 2 2 2 4 13" xfId="27493"/>
    <cellStyle name="Output 2 2 2 2 4 14" xfId="26844"/>
    <cellStyle name="Output 2 2 2 2 4 15" xfId="29804"/>
    <cellStyle name="Output 2 2 2 2 4 16" xfId="35110"/>
    <cellStyle name="Output 2 2 2 2 4 17" xfId="35256"/>
    <cellStyle name="Output 2 2 2 2 4 2" xfId="13608"/>
    <cellStyle name="Output 2 2 2 2 4 3" xfId="13539"/>
    <cellStyle name="Output 2 2 2 2 4 4" xfId="14620"/>
    <cellStyle name="Output 2 2 2 2 4 5" xfId="14558"/>
    <cellStyle name="Output 2 2 2 2 4 6" xfId="14497"/>
    <cellStyle name="Output 2 2 2 2 4 7" xfId="14528"/>
    <cellStyle name="Output 2 2 2 2 4 8" xfId="14219"/>
    <cellStyle name="Output 2 2 2 2 4 9" xfId="19878"/>
    <cellStyle name="Output 2 2 2 2 5" xfId="12459"/>
    <cellStyle name="Output 2 2 2 2 5 10" xfId="26435"/>
    <cellStyle name="Output 2 2 2 2 5 11" xfId="27687"/>
    <cellStyle name="Output 2 2 2 2 5 12" xfId="26061"/>
    <cellStyle name="Output 2 2 2 2 5 13" xfId="27349"/>
    <cellStyle name="Output 2 2 2 2 5 14" xfId="26141"/>
    <cellStyle name="Output 2 2 2 2 5 15" xfId="26962"/>
    <cellStyle name="Output 2 2 2 2 5 16" xfId="35119"/>
    <cellStyle name="Output 2 2 2 2 5 17" xfId="35411"/>
    <cellStyle name="Output 2 2 2 2 5 2" xfId="15667"/>
    <cellStyle name="Output 2 2 2 2 5 3" xfId="13550"/>
    <cellStyle name="Output 2 2 2 2 5 4" xfId="14181"/>
    <cellStyle name="Output 2 2 2 2 5 5" xfId="14739"/>
    <cellStyle name="Output 2 2 2 2 5 6" xfId="14322"/>
    <cellStyle name="Output 2 2 2 2 5 7" xfId="15155"/>
    <cellStyle name="Output 2 2 2 2 5 8" xfId="13671"/>
    <cellStyle name="Output 2 2 2 2 5 9" xfId="22905"/>
    <cellStyle name="Output 2 2 2 2 6" xfId="15786"/>
    <cellStyle name="Output 2 2 2 2 7" xfId="14359"/>
    <cellStyle name="Output 2 2 2 2 8" xfId="15082"/>
    <cellStyle name="Output 2 2 2 2 9" xfId="14335"/>
    <cellStyle name="Output 2 2 2 3" xfId="12460"/>
    <cellStyle name="Output 2 2 2 3 10" xfId="26290"/>
    <cellStyle name="Output 2 2 2 3 11" xfId="27188"/>
    <cellStyle name="Output 2 2 2 3 12" xfId="26922"/>
    <cellStyle name="Output 2 2 2 3 13" xfId="26743"/>
    <cellStyle name="Output 2 2 2 3 14" xfId="27474"/>
    <cellStyle name="Output 2 2 2 3 15" xfId="26994"/>
    <cellStyle name="Output 2 2 2 3 16" xfId="34987"/>
    <cellStyle name="Output 2 2 2 3 17" xfId="35342"/>
    <cellStyle name="Output 2 2 2 3 2" xfId="14931"/>
    <cellStyle name="Output 2 2 2 3 3" xfId="14028"/>
    <cellStyle name="Output 2 2 2 3 4" xfId="14304"/>
    <cellStyle name="Output 2 2 2 3 5" xfId="15348"/>
    <cellStyle name="Output 2 2 2 3 6" xfId="15580"/>
    <cellStyle name="Output 2 2 2 3 7" xfId="15642"/>
    <cellStyle name="Output 2 2 2 3 8" xfId="15092"/>
    <cellStyle name="Output 2 2 2 3 9" xfId="13903"/>
    <cellStyle name="Output 2 2 2 4" xfId="15793"/>
    <cellStyle name="Output 2 2 2 5" xfId="16844"/>
    <cellStyle name="Output 2 2 2 6" xfId="13392"/>
    <cellStyle name="Output 2 2 2 7" xfId="15240"/>
    <cellStyle name="Output 2 2 2 8" xfId="13895"/>
    <cellStyle name="Output 2 2 2 9" xfId="26063"/>
    <cellStyle name="Output 2 2 20" xfId="37510"/>
    <cellStyle name="Output 2 2 21" xfId="37560"/>
    <cellStyle name="Output 2 2 3" xfId="12461"/>
    <cellStyle name="Output 2 2 3 10" xfId="15540"/>
    <cellStyle name="Output 2 2 3 11" xfId="14706"/>
    <cellStyle name="Output 2 2 3 12" xfId="21862"/>
    <cellStyle name="Output 2 2 3 13" xfId="15570"/>
    <cellStyle name="Output 2 2 3 14" xfId="14228"/>
    <cellStyle name="Output 2 2 3 15" xfId="26103"/>
    <cellStyle name="Output 2 2 3 16" xfId="27253"/>
    <cellStyle name="Output 2 2 3 17" xfId="27293"/>
    <cellStyle name="Output 2 2 3 18" xfId="25926"/>
    <cellStyle name="Output 2 2 3 19" xfId="27027"/>
    <cellStyle name="Output 2 2 3 2" xfId="12462"/>
    <cellStyle name="Output 2 2 3 2 10" xfId="20931"/>
    <cellStyle name="Output 2 2 3 2 11" xfId="26323"/>
    <cellStyle name="Output 2 2 3 2 12" xfId="27166"/>
    <cellStyle name="Output 2 2 3 2 13" xfId="27415"/>
    <cellStyle name="Output 2 2 3 2 14" xfId="26613"/>
    <cellStyle name="Output 2 2 3 2 15" xfId="27002"/>
    <cellStyle name="Output 2 2 3 2 16" xfId="26990"/>
    <cellStyle name="Output 2 2 3 2 17" xfId="35019"/>
    <cellStyle name="Output 2 2 3 2 18" xfId="35320"/>
    <cellStyle name="Output 2 2 3 2 2" xfId="14916"/>
    <cellStyle name="Output 2 2 3 2 3" xfId="13732"/>
    <cellStyle name="Output 2 2 3 2 4" xfId="15028"/>
    <cellStyle name="Output 2 2 3 2 5" xfId="14002"/>
    <cellStyle name="Output 2 2 3 2 6" xfId="14158"/>
    <cellStyle name="Output 2 2 3 2 7" xfId="13800"/>
    <cellStyle name="Output 2 2 3 2 8" xfId="14957"/>
    <cellStyle name="Output 2 2 3 2 9" xfId="15030"/>
    <cellStyle name="Output 2 2 3 20" xfId="26678"/>
    <cellStyle name="Output 2 2 3 21" xfId="34962"/>
    <cellStyle name="Output 2 2 3 22" xfId="35470"/>
    <cellStyle name="Output 2 2 3 3" xfId="12463"/>
    <cellStyle name="Output 2 2 3 3 10" xfId="15737"/>
    <cellStyle name="Output 2 2 3 3 11" xfId="26403"/>
    <cellStyle name="Output 2 2 3 3 12" xfId="27699"/>
    <cellStyle name="Output 2 2 3 3 13" xfId="27649"/>
    <cellStyle name="Output 2 2 3 3 14" xfId="27369"/>
    <cellStyle name="Output 2 2 3 3 15" xfId="26716"/>
    <cellStyle name="Output 2 2 3 3 16" xfId="26022"/>
    <cellStyle name="Output 2 2 3 3 17" xfId="35094"/>
    <cellStyle name="Output 2 2 3 3 18" xfId="35423"/>
    <cellStyle name="Output 2 2 3 3 2" xfId="15676"/>
    <cellStyle name="Output 2 2 3 3 3" xfId="15413"/>
    <cellStyle name="Output 2 2 3 3 4" xfId="15025"/>
    <cellStyle name="Output 2 2 3 3 5" xfId="15173"/>
    <cellStyle name="Output 2 2 3 3 6" xfId="14643"/>
    <cellStyle name="Output 2 2 3 3 7" xfId="15095"/>
    <cellStyle name="Output 2 2 3 3 8" xfId="14763"/>
    <cellStyle name="Output 2 2 3 3 9" xfId="15042"/>
    <cellStyle name="Output 2 2 3 4" xfId="12464"/>
    <cellStyle name="Output 2 2 3 4 10" xfId="13952"/>
    <cellStyle name="Output 2 2 3 4 11" xfId="26419"/>
    <cellStyle name="Output 2 2 3 4 12" xfId="27692"/>
    <cellStyle name="Output 2 2 3 4 13" xfId="26641"/>
    <cellStyle name="Output 2 2 3 4 14" xfId="26779"/>
    <cellStyle name="Output 2 2 3 4 15" xfId="27229"/>
    <cellStyle name="Output 2 2 3 4 16" xfId="26865"/>
    <cellStyle name="Output 2 2 3 4 17" xfId="35109"/>
    <cellStyle name="Output 2 2 3 4 18" xfId="35257"/>
    <cellStyle name="Output 2 2 3 4 2" xfId="14859"/>
    <cellStyle name="Output 2 2 3 4 3" xfId="13780"/>
    <cellStyle name="Output 2 2 3 4 4" xfId="15024"/>
    <cellStyle name="Output 2 2 3 4 5" xfId="14005"/>
    <cellStyle name="Output 2 2 3 4 6" xfId="15822"/>
    <cellStyle name="Output 2 2 3 4 7" xfId="14743"/>
    <cellStyle name="Output 2 2 3 4 8" xfId="13440"/>
    <cellStyle name="Output 2 2 3 4 9" xfId="15128"/>
    <cellStyle name="Output 2 2 3 5" xfId="12465"/>
    <cellStyle name="Output 2 2 3 5 10" xfId="14081"/>
    <cellStyle name="Output 2 2 3 5 11" xfId="26423"/>
    <cellStyle name="Output 2 2 3 5 12" xfId="27690"/>
    <cellStyle name="Output 2 2 3 5 13" xfId="27208"/>
    <cellStyle name="Output 2 2 3 5 14" xfId="27793"/>
    <cellStyle name="Output 2 2 3 5 15" xfId="29820"/>
    <cellStyle name="Output 2 2 3 5 16" xfId="26684"/>
    <cellStyle name="Output 2 2 3 5 17" xfId="35112"/>
    <cellStyle name="Output 2 2 3 5 18" xfId="35414"/>
    <cellStyle name="Output 2 2 3 5 2" xfId="15672"/>
    <cellStyle name="Output 2 2 3 5 3" xfId="13542"/>
    <cellStyle name="Output 2 2 3 5 4" xfId="14619"/>
    <cellStyle name="Output 2 2 3 5 5" xfId="15494"/>
    <cellStyle name="Output 2 2 3 5 6" xfId="17852"/>
    <cellStyle name="Output 2 2 3 5 7" xfId="14769"/>
    <cellStyle name="Output 2 2 3 5 8" xfId="13404"/>
    <cellStyle name="Output 2 2 3 5 9" xfId="14494"/>
    <cellStyle name="Output 2 2 3 6" xfId="13839"/>
    <cellStyle name="Output 2 2 3 7" xfId="13992"/>
    <cellStyle name="Output 2 2 3 8" xfId="13459"/>
    <cellStyle name="Output 2 2 3 9" xfId="15362"/>
    <cellStyle name="Output 2 2 4" xfId="12466"/>
    <cellStyle name="Output 2 2 4 10" xfId="14253"/>
    <cellStyle name="Output 2 2 4 11" xfId="19880"/>
    <cellStyle name="Output 2 2 4 12" xfId="26530"/>
    <cellStyle name="Output 2 2 4 13" xfId="27036"/>
    <cellStyle name="Output 2 2 4 14" xfId="27532"/>
    <cellStyle name="Output 2 2 4 15" xfId="26047"/>
    <cellStyle name="Output 2 2 4 16" xfId="27797"/>
    <cellStyle name="Output 2 2 4 17" xfId="26929"/>
    <cellStyle name="Output 2 2 4 18" xfId="26677"/>
    <cellStyle name="Output 2 2 4 19" xfId="35195"/>
    <cellStyle name="Output 2 2 4 2" xfId="13976"/>
    <cellStyle name="Output 2 2 4 20" xfId="35199"/>
    <cellStyle name="Output 2 2 4 3" xfId="15636"/>
    <cellStyle name="Output 2 2 4 4" xfId="14454"/>
    <cellStyle name="Output 2 2 4 5" xfId="15748"/>
    <cellStyle name="Output 2 2 4 6" xfId="13642"/>
    <cellStyle name="Output 2 2 4 7" xfId="14652"/>
    <cellStyle name="Output 2 2 4 8" xfId="15239"/>
    <cellStyle name="Output 2 2 4 9" xfId="13647"/>
    <cellStyle name="Output 2 2 5" xfId="13983"/>
    <cellStyle name="Output 2 2 6" xfId="14362"/>
    <cellStyle name="Output 2 2 7" xfId="13486"/>
    <cellStyle name="Output 2 2 8" xfId="14250"/>
    <cellStyle name="Output 2 2 9" xfId="14450"/>
    <cellStyle name="Output 2 3" xfId="12467"/>
    <cellStyle name="Output 2 3 10" xfId="27271"/>
    <cellStyle name="Output 2 3 11" xfId="26802"/>
    <cellStyle name="Output 2 3 12" xfId="25915"/>
    <cellStyle name="Output 2 3 13" xfId="26138"/>
    <cellStyle name="Output 2 3 14" xfId="26609"/>
    <cellStyle name="Output 2 3 15" xfId="34914"/>
    <cellStyle name="Output 2 3 16" xfId="34930"/>
    <cellStyle name="Output 2 3 17" xfId="35374"/>
    <cellStyle name="Output 2 3 18" xfId="37512"/>
    <cellStyle name="Output 2 3 2" xfId="12468"/>
    <cellStyle name="Output 2 3 2 10" xfId="18922"/>
    <cellStyle name="Output 2 3 2 11" xfId="18884"/>
    <cellStyle name="Output 2 3 2 12" xfId="14669"/>
    <cellStyle name="Output 2 3 2 13" xfId="14259"/>
    <cellStyle name="Output 2 3 2 14" xfId="26105"/>
    <cellStyle name="Output 2 3 2 15" xfId="25906"/>
    <cellStyle name="Output 2 3 2 16" xfId="26067"/>
    <cellStyle name="Output 2 3 2 17" xfId="27033"/>
    <cellStyle name="Output 2 3 2 18" xfId="30852"/>
    <cellStyle name="Output 2 3 2 19" xfId="30843"/>
    <cellStyle name="Output 2 3 2 2" xfId="12469"/>
    <cellStyle name="Output 2 3 2 2 10" xfId="26325"/>
    <cellStyle name="Output 2 3 2 2 11" xfId="27165"/>
    <cellStyle name="Output 2 3 2 2 12" xfId="26713"/>
    <cellStyle name="Output 2 3 2 2 13" xfId="27340"/>
    <cellStyle name="Output 2 3 2 2 14" xfId="26849"/>
    <cellStyle name="Output 2 3 2 2 15" xfId="26679"/>
    <cellStyle name="Output 2 3 2 2 16" xfId="35021"/>
    <cellStyle name="Output 2 3 2 2 17" xfId="35319"/>
    <cellStyle name="Output 2 3 2 2 2" xfId="15700"/>
    <cellStyle name="Output 2 3 2 2 3" xfId="14036"/>
    <cellStyle name="Output 2 3 2 2 4" xfId="14788"/>
    <cellStyle name="Output 2 3 2 2 5" xfId="13810"/>
    <cellStyle name="Output 2 3 2 2 6" xfId="14503"/>
    <cellStyle name="Output 2 3 2 2 7" xfId="15380"/>
    <cellStyle name="Output 2 3 2 2 8" xfId="15317"/>
    <cellStyle name="Output 2 3 2 2 9" xfId="13477"/>
    <cellStyle name="Output 2 3 2 20" xfId="34964"/>
    <cellStyle name="Output 2 3 2 21" xfId="35358"/>
    <cellStyle name="Output 2 3 2 3" xfId="12470"/>
    <cellStyle name="Output 2 3 2 3 10" xfId="26405"/>
    <cellStyle name="Output 2 3 2 3 11" xfId="27113"/>
    <cellStyle name="Output 2 3 2 3 12" xfId="26642"/>
    <cellStyle name="Output 2 3 2 3 13" xfId="27491"/>
    <cellStyle name="Output 2 3 2 3 14" xfId="30841"/>
    <cellStyle name="Output 2 3 2 3 15" xfId="26798"/>
    <cellStyle name="Output 2 3 2 3 16" xfId="35096"/>
    <cellStyle name="Output 2 3 2 3 17" xfId="35422"/>
    <cellStyle name="Output 2 3 2 3 2" xfId="14868"/>
    <cellStyle name="Output 2 3 2 3 3" xfId="13775"/>
    <cellStyle name="Output 2 3 2 3 4" xfId="15279"/>
    <cellStyle name="Output 2 3 2 3 5" xfId="15097"/>
    <cellStyle name="Output 2 3 2 3 6" xfId="18905"/>
    <cellStyle name="Output 2 3 2 3 7" xfId="19913"/>
    <cellStyle name="Output 2 3 2 3 8" xfId="20950"/>
    <cellStyle name="Output 2 3 2 3 9" xfId="14222"/>
    <cellStyle name="Output 2 3 2 4" xfId="12471"/>
    <cellStyle name="Output 2 3 2 4 10" xfId="26421"/>
    <cellStyle name="Output 2 3 2 4 11" xfId="27691"/>
    <cellStyle name="Output 2 3 2 4 12" xfId="27578"/>
    <cellStyle name="Output 2 3 2 4 13" xfId="29827"/>
    <cellStyle name="Output 2 3 2 4 14" xfId="26821"/>
    <cellStyle name="Output 2 3 2 4 15" xfId="26588"/>
    <cellStyle name="Output 2 3 2 4 16" xfId="35111"/>
    <cellStyle name="Output 2 3 2 4 17" xfId="35415"/>
    <cellStyle name="Output 2 3 2 4 2" xfId="13607"/>
    <cellStyle name="Output 2 3 2 4 3" xfId="14058"/>
    <cellStyle name="Output 2 3 2 4 4" xfId="15108"/>
    <cellStyle name="Output 2 3 2 4 5" xfId="15439"/>
    <cellStyle name="Output 2 3 2 4 6" xfId="14323"/>
    <cellStyle name="Output 2 3 2 4 7" xfId="15845"/>
    <cellStyle name="Output 2 3 2 4 8" xfId="14768"/>
    <cellStyle name="Output 2 3 2 4 9" xfId="15615"/>
    <cellStyle name="Output 2 3 2 5" xfId="12472"/>
    <cellStyle name="Output 2 3 2 5 10" xfId="26434"/>
    <cellStyle name="Output 2 3 2 5 11" xfId="27095"/>
    <cellStyle name="Output 2 3 2 5 12" xfId="27647"/>
    <cellStyle name="Output 2 3 2 5 13" xfId="27341"/>
    <cellStyle name="Output 2 3 2 5 14" xfId="29813"/>
    <cellStyle name="Output 2 3 2 5 15" xfId="27560"/>
    <cellStyle name="Output 2 3 2 5 16" xfId="35118"/>
    <cellStyle name="Output 2 3 2 5 17" xfId="34899"/>
    <cellStyle name="Output 2 3 2 5 2" xfId="14852"/>
    <cellStyle name="Output 2 3 2 5 3" xfId="15209"/>
    <cellStyle name="Output 2 3 2 5 4" xfId="15825"/>
    <cellStyle name="Output 2 3 2 5 5" xfId="14090"/>
    <cellStyle name="Output 2 3 2 5 6" xfId="13428"/>
    <cellStyle name="Output 2 3 2 5 7" xfId="15798"/>
    <cellStyle name="Output 2 3 2 5 8" xfId="15093"/>
    <cellStyle name="Output 2 3 2 5 9" xfId="13894"/>
    <cellStyle name="Output 2 3 2 6" xfId="15051"/>
    <cellStyle name="Output 2 3 2 7" xfId="15735"/>
    <cellStyle name="Output 2 3 2 8" xfId="14973"/>
    <cellStyle name="Output 2 3 2 9" xfId="14410"/>
    <cellStyle name="Output 2 3 3" xfId="12473"/>
    <cellStyle name="Output 2 3 3 10" xfId="26291"/>
    <cellStyle name="Output 2 3 3 11" xfId="27738"/>
    <cellStyle name="Output 2 3 3 12" xfId="27029"/>
    <cellStyle name="Output 2 3 3 13" xfId="26751"/>
    <cellStyle name="Output 2 3 3 14" xfId="26851"/>
    <cellStyle name="Output 2 3 3 15" xfId="26131"/>
    <cellStyle name="Output 2 3 3 16" xfId="34988"/>
    <cellStyle name="Output 2 3 3 17" xfId="35463"/>
    <cellStyle name="Output 2 3 3 2" xfId="15710"/>
    <cellStyle name="Output 2 3 3 3" xfId="13710"/>
    <cellStyle name="Output 2 3 3 4" xfId="15543"/>
    <cellStyle name="Output 2 3 3 5" xfId="15243"/>
    <cellStyle name="Output 2 3 3 6" xfId="13825"/>
    <cellStyle name="Output 2 3 3 7" xfId="13421"/>
    <cellStyle name="Output 2 3 3 8" xfId="15606"/>
    <cellStyle name="Output 2 3 3 9" xfId="14230"/>
    <cellStyle name="Output 2 3 4" xfId="15060"/>
    <cellStyle name="Output 2 3 5" xfId="15832"/>
    <cellStyle name="Output 2 3 6" xfId="15360"/>
    <cellStyle name="Output 2 3 7" xfId="18849"/>
    <cellStyle name="Output 2 3 8" xfId="13668"/>
    <cellStyle name="Output 2 3 9" xfId="26064"/>
    <cellStyle name="Output 2 4" xfId="12474"/>
    <cellStyle name="Output 2 4 10" xfId="13699"/>
    <cellStyle name="Output 2 4 11" xfId="15474"/>
    <cellStyle name="Output 2 4 12" xfId="15616"/>
    <cellStyle name="Output 2 4 13" xfId="20940"/>
    <cellStyle name="Output 2 4 14" xfId="21894"/>
    <cellStyle name="Output 2 4 15" xfId="26082"/>
    <cellStyle name="Output 2 4 16" xfId="26051"/>
    <cellStyle name="Output 2 4 17" xfId="27333"/>
    <cellStyle name="Output 2 4 18" xfId="25980"/>
    <cellStyle name="Output 2 4 19" xfId="25933"/>
    <cellStyle name="Output 2 4 2" xfId="12475"/>
    <cellStyle name="Output 2 4 2 10" xfId="15383"/>
    <cellStyle name="Output 2 4 2 11" xfId="26304"/>
    <cellStyle name="Output 2 4 2 12" xfId="27733"/>
    <cellStyle name="Output 2 4 2 13" xfId="26651"/>
    <cellStyle name="Output 2 4 2 14" xfId="26537"/>
    <cellStyle name="Output 2 4 2 15" xfId="27818"/>
    <cellStyle name="Output 2 4 2 16" xfId="27849"/>
    <cellStyle name="Output 2 4 2 17" xfId="35000"/>
    <cellStyle name="Output 2 4 2 18" xfId="35458"/>
    <cellStyle name="Output 2 4 2 2" xfId="14924"/>
    <cellStyle name="Output 2 4 2 3" xfId="13720"/>
    <cellStyle name="Output 2 4 2 4" xfId="14196"/>
    <cellStyle name="Output 2 4 2 5" xfId="13515"/>
    <cellStyle name="Output 2 4 2 6" xfId="15558"/>
    <cellStyle name="Output 2 4 2 7" xfId="13423"/>
    <cellStyle name="Output 2 4 2 8" xfId="15736"/>
    <cellStyle name="Output 2 4 2 9" xfId="19914"/>
    <cellStyle name="Output 2 4 20" xfId="26957"/>
    <cellStyle name="Output 2 4 21" xfId="34943"/>
    <cellStyle name="Output 2 4 22" xfId="35367"/>
    <cellStyle name="Output 2 4 23" xfId="37513"/>
    <cellStyle name="Output 2 4 3" xfId="12476"/>
    <cellStyle name="Output 2 4 3 10" xfId="14378"/>
    <cellStyle name="Output 2 4 3 11" xfId="26384"/>
    <cellStyle name="Output 2 4 3 12" xfId="27126"/>
    <cellStyle name="Output 2 4 3 13" xfId="27236"/>
    <cellStyle name="Output 2 4 3 14" xfId="26547"/>
    <cellStyle name="Output 2 4 3 15" xfId="26999"/>
    <cellStyle name="Output 2 4 3 16" xfId="26221"/>
    <cellStyle name="Output 2 4 3 17" xfId="35075"/>
    <cellStyle name="Output 2 4 3 18" xfId="35281"/>
    <cellStyle name="Output 2 4 3 2" xfId="14879"/>
    <cellStyle name="Output 2 4 3 3" xfId="13768"/>
    <cellStyle name="Output 2 4 3 4" xfId="14623"/>
    <cellStyle name="Output 2 4 3 5" xfId="15492"/>
    <cellStyle name="Output 2 4 3 6" xfId="15611"/>
    <cellStyle name="Output 2 4 3 7" xfId="13655"/>
    <cellStyle name="Output 2 4 3 8" xfId="14756"/>
    <cellStyle name="Output 2 4 3 9" xfId="13641"/>
    <cellStyle name="Output 2 4 4" xfId="12477"/>
    <cellStyle name="Output 2 4 4 10" xfId="21895"/>
    <cellStyle name="Output 2 4 4 11" xfId="26361"/>
    <cellStyle name="Output 2 4 4 12" xfId="25903"/>
    <cellStyle name="Output 2 4 4 13" xfId="26068"/>
    <cellStyle name="Output 2 4 4 14" xfId="27470"/>
    <cellStyle name="Output 2 4 4 15" xfId="27203"/>
    <cellStyle name="Output 2 4 4 16" xfId="27634"/>
    <cellStyle name="Output 2 4 4 17" xfId="35053"/>
    <cellStyle name="Output 2 4 4 18" xfId="34838"/>
    <cellStyle name="Output 2 4 4 2" xfId="14893"/>
    <cellStyle name="Output 2 4 4 3" xfId="14044"/>
    <cellStyle name="Output 2 4 4 4" xfId="13932"/>
    <cellStyle name="Output 2 4 4 5" xfId="13812"/>
    <cellStyle name="Output 2 4 4 6" xfId="15275"/>
    <cellStyle name="Output 2 4 4 7" xfId="13995"/>
    <cellStyle name="Output 2 4 4 8" xfId="15258"/>
    <cellStyle name="Output 2 4 4 9" xfId="15400"/>
    <cellStyle name="Output 2 4 5" xfId="12478"/>
    <cellStyle name="Output 2 4 5 10" xfId="14709"/>
    <cellStyle name="Output 2 4 5 11" xfId="26348"/>
    <cellStyle name="Output 2 4 5 12" xfId="27716"/>
    <cellStyle name="Output 2 4 5 13" xfId="26213"/>
    <cellStyle name="Output 2 4 5 14" xfId="26945"/>
    <cellStyle name="Output 2 4 5 15" xfId="26823"/>
    <cellStyle name="Output 2 4 5 16" xfId="27317"/>
    <cellStyle name="Output 2 4 5 17" xfId="35042"/>
    <cellStyle name="Output 2 4 5 18" xfId="35440"/>
    <cellStyle name="Output 2 4 5 2" xfId="15692"/>
    <cellStyle name="Output 2 4 5 3" xfId="13878"/>
    <cellStyle name="Output 2 4 5 4" xfId="14963"/>
    <cellStyle name="Output 2 4 5 5" xfId="15403"/>
    <cellStyle name="Output 2 4 5 6" xfId="15188"/>
    <cellStyle name="Output 2 4 5 7" xfId="13661"/>
    <cellStyle name="Output 2 4 5 8" xfId="13787"/>
    <cellStyle name="Output 2 4 5 9" xfId="14286"/>
    <cellStyle name="Output 2 4 6" xfId="13849"/>
    <cellStyle name="Output 2 4 7" xfId="13681"/>
    <cellStyle name="Output 2 4 8" xfId="14921"/>
    <cellStyle name="Output 2 4 9" xfId="15354"/>
    <cellStyle name="Output 2 5" xfId="12479"/>
    <cellStyle name="Output 2 5 10" xfId="21900"/>
    <cellStyle name="Output 2 5 11" xfId="20949"/>
    <cellStyle name="Output 2 5 12" xfId="26531"/>
    <cellStyle name="Output 2 5 13" xfId="27659"/>
    <cellStyle name="Output 2 5 14" xfId="26586"/>
    <cellStyle name="Output 2 5 15" xfId="27449"/>
    <cellStyle name="Output 2 5 16" xfId="27358"/>
    <cellStyle name="Output 2 5 17" xfId="27329"/>
    <cellStyle name="Output 2 5 18" xfId="26868"/>
    <cellStyle name="Output 2 5 19" xfId="35196"/>
    <cellStyle name="Output 2 5 2" xfId="13977"/>
    <cellStyle name="Output 2 5 20" xfId="35382"/>
    <cellStyle name="Output 2 5 3" xfId="14802"/>
    <cellStyle name="Output 2 5 4" xfId="14455"/>
    <cellStyle name="Output 2 5 5" xfId="14992"/>
    <cellStyle name="Output 2 5 6" xfId="14401"/>
    <cellStyle name="Output 2 5 7" xfId="13389"/>
    <cellStyle name="Output 2 5 8" xfId="17854"/>
    <cellStyle name="Output 2 5 9" xfId="15513"/>
    <cellStyle name="Output 2 6" xfId="12480"/>
    <cellStyle name="Output 2 6 10" xfId="24862"/>
    <cellStyle name="Output 2 6 11" xfId="25861"/>
    <cellStyle name="Output 2 6 12" xfId="28767"/>
    <cellStyle name="Output 2 6 13" xfId="29784"/>
    <cellStyle name="Output 2 6 14" xfId="30817"/>
    <cellStyle name="Output 2 6 15" xfId="31812"/>
    <cellStyle name="Output 2 6 16" xfId="32816"/>
    <cellStyle name="Output 2 6 17" xfId="33819"/>
    <cellStyle name="Output 2 6 18" xfId="34818"/>
    <cellStyle name="Output 2 6 19" xfId="36379"/>
    <cellStyle name="Output 2 6 2" xfId="16851"/>
    <cellStyle name="Output 2 6 20" xfId="37378"/>
    <cellStyle name="Output 2 6 3" xfId="17831"/>
    <cellStyle name="Output 2 6 4" xfId="18856"/>
    <cellStyle name="Output 2 6 5" xfId="19890"/>
    <cellStyle name="Output 2 6 6" xfId="20915"/>
    <cellStyle name="Output 2 6 7" xfId="21875"/>
    <cellStyle name="Output 2 6 8" xfId="22887"/>
    <cellStyle name="Output 2 6 9" xfId="23890"/>
    <cellStyle name="Output 2 7" xfId="37452"/>
    <cellStyle name="Output 2 8" xfId="37559"/>
    <cellStyle name="Output 3" xfId="245"/>
    <cellStyle name="Output 3 10" xfId="37454"/>
    <cellStyle name="Output 3 11" xfId="37514"/>
    <cellStyle name="Output 3 12" xfId="37561"/>
    <cellStyle name="Output 3 2" xfId="12482"/>
    <cellStyle name="Output 3 2 10" xfId="26241"/>
    <cellStyle name="Output 3 2 11" xfId="26570"/>
    <cellStyle name="Output 3 2 12" xfId="27460"/>
    <cellStyle name="Output 3 2 13" xfId="27425"/>
    <cellStyle name="Output 3 2 14" xfId="29770"/>
    <cellStyle name="Output 3 2 15" xfId="34915"/>
    <cellStyle name="Output 3 2 16" xfId="34931"/>
    <cellStyle name="Output 3 2 17" xfId="34969"/>
    <cellStyle name="Output 3 2 18" xfId="37515"/>
    <cellStyle name="Output 3 2 2" xfId="12483"/>
    <cellStyle name="Output 3 2 2 10" xfId="15827"/>
    <cellStyle name="Output 3 2 2 11" xfId="18917"/>
    <cellStyle name="Output 3 2 2 12" xfId="21864"/>
    <cellStyle name="Output 3 2 2 13" xfId="14369"/>
    <cellStyle name="Output 3 2 2 14" xfId="26106"/>
    <cellStyle name="Output 3 2 2 15" xfId="27773"/>
    <cellStyle name="Output 3 2 2 16" xfId="27766"/>
    <cellStyle name="Output 3 2 2 17" xfId="25946"/>
    <cellStyle name="Output 3 2 2 18" xfId="25986"/>
    <cellStyle name="Output 3 2 2 19" xfId="29814"/>
    <cellStyle name="Output 3 2 2 2" xfId="12484"/>
    <cellStyle name="Output 3 2 2 2 10" xfId="26326"/>
    <cellStyle name="Output 3 2 2 2 11" xfId="27164"/>
    <cellStyle name="Output 3 2 2 2 12" xfId="27584"/>
    <cellStyle name="Output 3 2 2 2 13" xfId="27480"/>
    <cellStyle name="Output 3 2 2 2 14" xfId="27566"/>
    <cellStyle name="Output 3 2 2 2 15" xfId="27375"/>
    <cellStyle name="Output 3 2 2 2 16" xfId="35022"/>
    <cellStyle name="Output 3 2 2 2 17" xfId="35450"/>
    <cellStyle name="Output 3 2 2 2 2" xfId="14914"/>
    <cellStyle name="Output 3 2 2 2 3" xfId="13734"/>
    <cellStyle name="Output 3 2 2 2 4" xfId="15285"/>
    <cellStyle name="Output 3 2 2 2 5" xfId="14730"/>
    <cellStyle name="Output 3 2 2 2 6" xfId="13595"/>
    <cellStyle name="Output 3 2 2 2 7" xfId="13863"/>
    <cellStyle name="Output 3 2 2 2 8" xfId="14108"/>
    <cellStyle name="Output 3 2 2 2 9" xfId="15311"/>
    <cellStyle name="Output 3 2 2 20" xfId="34965"/>
    <cellStyle name="Output 3 2 2 21" xfId="35469"/>
    <cellStyle name="Output 3 2 2 3" xfId="12485"/>
    <cellStyle name="Output 3 2 2 3 10" xfId="26406"/>
    <cellStyle name="Output 3 2 2 3 11" xfId="27698"/>
    <cellStyle name="Output 3 2 2 3 12" xfId="26709"/>
    <cellStyle name="Output 3 2 2 3 13" xfId="27760"/>
    <cellStyle name="Output 3 2 2 3 14" xfId="27544"/>
    <cellStyle name="Output 3 2 2 3 15" xfId="26668"/>
    <cellStyle name="Output 3 2 2 3 16" xfId="35097"/>
    <cellStyle name="Output 3 2 2 3 17" xfId="35268"/>
    <cellStyle name="Output 3 2 2 3 2" xfId="14867"/>
    <cellStyle name="Output 3 2 2 3 3" xfId="15639"/>
    <cellStyle name="Output 3 2 2 3 4" xfId="15640"/>
    <cellStyle name="Output 3 2 2 3 5" xfId="15427"/>
    <cellStyle name="Output 3 2 2 3 6" xfId="14248"/>
    <cellStyle name="Output 3 2 2 3 7" xfId="14113"/>
    <cellStyle name="Output 3 2 2 3 8" xfId="15783"/>
    <cellStyle name="Output 3 2 2 3 9" xfId="13643"/>
    <cellStyle name="Output 3 2 2 4" xfId="12486"/>
    <cellStyle name="Output 3 2 2 4 10" xfId="26350"/>
    <cellStyle name="Output 3 2 2 4 11" xfId="27146"/>
    <cellStyle name="Output 3 2 2 4 12" xfId="28760"/>
    <cellStyle name="Output 3 2 2 4 13" xfId="26961"/>
    <cellStyle name="Output 3 2 2 4 14" xfId="26567"/>
    <cellStyle name="Output 3 2 2 4 15" xfId="26572"/>
    <cellStyle name="Output 3 2 2 4 16" xfId="35044"/>
    <cellStyle name="Output 3 2 2 4 17" xfId="35301"/>
    <cellStyle name="Output 3 2 2 4 2" xfId="14900"/>
    <cellStyle name="Output 3 2 2 4 3" xfId="15853"/>
    <cellStyle name="Output 3 2 2 4 4" xfId="14317"/>
    <cellStyle name="Output 3 2 2 4 5" xfId="14334"/>
    <cellStyle name="Output 3 2 2 4 6" xfId="13843"/>
    <cellStyle name="Output 3 2 2 4 7" xfId="15353"/>
    <cellStyle name="Output 3 2 2 4 8" xfId="14183"/>
    <cellStyle name="Output 3 2 2 4 9" xfId="14986"/>
    <cellStyle name="Output 3 2 2 5" xfId="12487"/>
    <cellStyle name="Output 3 2 2 5 10" xfId="26368"/>
    <cellStyle name="Output 3 2 2 5 11" xfId="27139"/>
    <cellStyle name="Output 3 2 2 5 12" xfId="26015"/>
    <cellStyle name="Output 3 2 2 5 13" xfId="26737"/>
    <cellStyle name="Output 3 2 2 5 14" xfId="26885"/>
    <cellStyle name="Output 3 2 2 5 15" xfId="27555"/>
    <cellStyle name="Output 3 2 2 5 16" xfId="35060"/>
    <cellStyle name="Output 3 2 2 5 17" xfId="34896"/>
    <cellStyle name="Output 3 2 2 5 2" xfId="14888"/>
    <cellStyle name="Output 3 2 2 5 3" xfId="15200"/>
    <cellStyle name="Output 3 2 2 5 4" xfId="14786"/>
    <cellStyle name="Output 3 2 2 5 5" xfId="13509"/>
    <cellStyle name="Output 3 2 2 5 6" xfId="14155"/>
    <cellStyle name="Output 3 2 2 5 7" xfId="13455"/>
    <cellStyle name="Output 3 2 2 5 8" xfId="17862"/>
    <cellStyle name="Output 3 2 2 5 9" xfId="13693"/>
    <cellStyle name="Output 3 2 2 6" xfId="13838"/>
    <cellStyle name="Output 3 2 2 7" xfId="13993"/>
    <cellStyle name="Output 3 2 2 8" xfId="13651"/>
    <cellStyle name="Output 3 2 2 9" xfId="14340"/>
    <cellStyle name="Output 3 2 3" xfId="12488"/>
    <cellStyle name="Output 3 2 3 10" xfId="26292"/>
    <cellStyle name="Output 3 2 3 11" xfId="27187"/>
    <cellStyle name="Output 3 2 3 12" xfId="26653"/>
    <cellStyle name="Output 3 2 3 13" xfId="27476"/>
    <cellStyle name="Output 3 2 3 14" xfId="27230"/>
    <cellStyle name="Output 3 2 3 15" xfId="27571"/>
    <cellStyle name="Output 3 2 3 16" xfId="34989"/>
    <cellStyle name="Output 3 2 3 17" xfId="35341"/>
    <cellStyle name="Output 3 2 3 2" xfId="14930"/>
    <cellStyle name="Output 3 2 3 3" xfId="13711"/>
    <cellStyle name="Output 3 2 3 4" xfId="14635"/>
    <cellStyle name="Output 3 2 3 5" xfId="13574"/>
    <cellStyle name="Output 3 2 3 6" xfId="15754"/>
    <cellStyle name="Output 3 2 3 7" xfId="13967"/>
    <cellStyle name="Output 3 2 3 8" xfId="15000"/>
    <cellStyle name="Output 3 2 3 9" xfId="15101"/>
    <cellStyle name="Output 3 2 4" xfId="15792"/>
    <cellStyle name="Output 3 2 5" xfId="13628"/>
    <cellStyle name="Output 3 2 6" xfId="14325"/>
    <cellStyle name="Output 3 2 7" xfId="13695"/>
    <cellStyle name="Output 3 2 8" xfId="15835"/>
    <cellStyle name="Output 3 2 9" xfId="26065"/>
    <cellStyle name="Output 3 3" xfId="12489"/>
    <cellStyle name="Output 3 3 10" xfId="14781"/>
    <cellStyle name="Output 3 3 11" xfId="14480"/>
    <cellStyle name="Output 3 3 12" xfId="15337"/>
    <cellStyle name="Output 3 3 13" xfId="14488"/>
    <cellStyle name="Output 3 3 14" xfId="26286"/>
    <cellStyle name="Output 3 3 15" xfId="27191"/>
    <cellStyle name="Output 3 3 16" xfId="27587"/>
    <cellStyle name="Output 3 3 17" xfId="26534"/>
    <cellStyle name="Output 3 3 18" xfId="26905"/>
    <cellStyle name="Output 3 3 19" xfId="27282"/>
    <cellStyle name="Output 3 3 2" xfId="12490"/>
    <cellStyle name="Output 3 3 2 10" xfId="26339"/>
    <cellStyle name="Output 3 3 2 11" xfId="27153"/>
    <cellStyle name="Output 3 3 2 12" xfId="26712"/>
    <cellStyle name="Output 3 3 2 13" xfId="27364"/>
    <cellStyle name="Output 3 3 2 14" xfId="27032"/>
    <cellStyle name="Output 3 3 2 15" xfId="26717"/>
    <cellStyle name="Output 3 3 2 16" xfId="35034"/>
    <cellStyle name="Output 3 3 2 17" xfId="35308"/>
    <cellStyle name="Output 3 3 2 2" xfId="15695"/>
    <cellStyle name="Output 3 3 2 3" xfId="13743"/>
    <cellStyle name="Output 3 3 2 4" xfId="15538"/>
    <cellStyle name="Output 3 3 2 5" xfId="14546"/>
    <cellStyle name="Output 3 3 2 6" xfId="14202"/>
    <cellStyle name="Output 3 3 2 7" xfId="14459"/>
    <cellStyle name="Output 3 3 2 8" xfId="15457"/>
    <cellStyle name="Output 3 3 2 9" xfId="15122"/>
    <cellStyle name="Output 3 3 20" xfId="34982"/>
    <cellStyle name="Output 3 3 21" xfId="35345"/>
    <cellStyle name="Output 3 3 22" xfId="37516"/>
    <cellStyle name="Output 3 3 3" xfId="12491"/>
    <cellStyle name="Output 3 3 3 10" xfId="26478"/>
    <cellStyle name="Output 3 3 3 11" xfId="27671"/>
    <cellStyle name="Output 3 3 3 12" xfId="26636"/>
    <cellStyle name="Output 3 3 3 13" xfId="26790"/>
    <cellStyle name="Output 3 3 3 14" xfId="26933"/>
    <cellStyle name="Output 3 3 3 15" xfId="26800"/>
    <cellStyle name="Output 3 3 3 16" xfId="35161"/>
    <cellStyle name="Output 3 3 3 17" xfId="35220"/>
    <cellStyle name="Output 3 3 3 2" xfId="14833"/>
    <cellStyle name="Output 3 3 3 3" xfId="14436"/>
    <cellStyle name="Output 3 3 3 4" xfId="15011"/>
    <cellStyle name="Output 3 3 3 5" xfId="14010"/>
    <cellStyle name="Output 3 3 3 6" xfId="15116"/>
    <cellStyle name="Output 3 3 3 7" xfId="14687"/>
    <cellStyle name="Output 3 3 3 8" xfId="14174"/>
    <cellStyle name="Output 3 3 3 9" xfId="14085"/>
    <cellStyle name="Output 3 3 4" xfId="12492"/>
    <cellStyle name="Output 3 3 4 10" xfId="26463"/>
    <cellStyle name="Output 3 3 4 11" xfId="27075"/>
    <cellStyle name="Output 3 3 4 12" xfId="27752"/>
    <cellStyle name="Output 3 3 4 13" xfId="29774"/>
    <cellStyle name="Output 3 3 4 14" xfId="26934"/>
    <cellStyle name="Output 3 3 4 15" xfId="25972"/>
    <cellStyle name="Output 3 3 4 16" xfId="35146"/>
    <cellStyle name="Output 3 3 4 17" xfId="35230"/>
    <cellStyle name="Output 3 3 4 2" xfId="15659"/>
    <cellStyle name="Output 3 3 4 3" xfId="15212"/>
    <cellStyle name="Output 3 3 4 4" xfId="15106"/>
    <cellStyle name="Output 3 3 4 5" xfId="15221"/>
    <cellStyle name="Output 3 3 4 6" xfId="13980"/>
    <cellStyle name="Output 3 3 4 7" xfId="15478"/>
    <cellStyle name="Output 3 3 4 8" xfId="15153"/>
    <cellStyle name="Output 3 3 4 9" xfId="14373"/>
    <cellStyle name="Output 3 3 5" xfId="12493"/>
    <cellStyle name="Output 3 3 5 10" xfId="26492"/>
    <cellStyle name="Output 3 3 5 11" xfId="27055"/>
    <cellStyle name="Output 3 3 5 12" xfId="27010"/>
    <cellStyle name="Output 3 3 5 13" xfId="26692"/>
    <cellStyle name="Output 3 3 5 14" xfId="26206"/>
    <cellStyle name="Output 3 3 5 15" xfId="27629"/>
    <cellStyle name="Output 3 3 5 16" xfId="35175"/>
    <cellStyle name="Output 3 3 5 17" xfId="35389"/>
    <cellStyle name="Output 3 3 5 2" xfId="14829"/>
    <cellStyle name="Output 3 3 5 3" xfId="14443"/>
    <cellStyle name="Output 3 3 5 4" xfId="15758"/>
    <cellStyle name="Output 3 3 5 5" xfId="14012"/>
    <cellStyle name="Output 3 3 5 6" xfId="15561"/>
    <cellStyle name="Output 3 3 5 7" xfId="14014"/>
    <cellStyle name="Output 3 3 5 8" xfId="14112"/>
    <cellStyle name="Output 3 3 5 9" xfId="14023"/>
    <cellStyle name="Output 3 3 6" xfId="15712"/>
    <cellStyle name="Output 3 3 7" xfId="13705"/>
    <cellStyle name="Output 3 3 8" xfId="14198"/>
    <cellStyle name="Output 3 3 9" xfId="13439"/>
    <cellStyle name="Output 3 4" xfId="12494"/>
    <cellStyle name="Output 3 4 10" xfId="13451"/>
    <cellStyle name="Output 3 4 11" xfId="14638"/>
    <cellStyle name="Output 3 4 12" xfId="21854"/>
    <cellStyle name="Output 3 4 13" xfId="14997"/>
    <cellStyle name="Output 3 4 14" xfId="26083"/>
    <cellStyle name="Output 3 4 15" xfId="25920"/>
    <cellStyle name="Output 3 4 16" xfId="27161"/>
    <cellStyle name="Output 3 4 17" xfId="27786"/>
    <cellStyle name="Output 3 4 18" xfId="27829"/>
    <cellStyle name="Output 3 4 19" xfId="27657"/>
    <cellStyle name="Output 3 4 2" xfId="12495"/>
    <cellStyle name="Output 3 4 2 10" xfId="26305"/>
    <cellStyle name="Output 3 4 2 11" xfId="27178"/>
    <cellStyle name="Output 3 4 2 12" xfId="27028"/>
    <cellStyle name="Output 3 4 2 13" xfId="26108"/>
    <cellStyle name="Output 3 4 2 14" xfId="27406"/>
    <cellStyle name="Output 3 4 2 15" xfId="27799"/>
    <cellStyle name="Output 3 4 2 16" xfId="35001"/>
    <cellStyle name="Output 3 4 2 17" xfId="35332"/>
    <cellStyle name="Output 3 4 2 2" xfId="13965"/>
    <cellStyle name="Output 3 4 2 3" xfId="14032"/>
    <cellStyle name="Output 3 4 2 4" xfId="14303"/>
    <cellStyle name="Output 3 4 2 5" xfId="15849"/>
    <cellStyle name="Output 3 4 2 6" xfId="15526"/>
    <cellStyle name="Output 3 4 2 7" xfId="14946"/>
    <cellStyle name="Output 3 4 2 8" xfId="14368"/>
    <cellStyle name="Output 3 4 2 9" xfId="15114"/>
    <cellStyle name="Output 3 4 20" xfId="34944"/>
    <cellStyle name="Output 3 4 21" xfId="35477"/>
    <cellStyle name="Output 3 4 22" xfId="37517"/>
    <cellStyle name="Output 3 4 3" xfId="12496"/>
    <cellStyle name="Output 3 4 3 10" xfId="26385"/>
    <cellStyle name="Output 3 4 3 11" xfId="27705"/>
    <cellStyle name="Output 3 4 3 12" xfId="26520"/>
    <cellStyle name="Output 3 4 3 13" xfId="26110"/>
    <cellStyle name="Output 3 4 3 14" xfId="26602"/>
    <cellStyle name="Output 3 4 3 15" xfId="26900"/>
    <cellStyle name="Output 3 4 3 16" xfId="35076"/>
    <cellStyle name="Output 3 4 3 17" xfId="35429"/>
    <cellStyle name="Output 3 4 3 2" xfId="15679"/>
    <cellStyle name="Output 3 4 3 3" xfId="14050"/>
    <cellStyle name="Output 3 4 3 4" xfId="15110"/>
    <cellStyle name="Output 3 4 3 5" xfId="13663"/>
    <cellStyle name="Output 3 4 3 6" xfId="13909"/>
    <cellStyle name="Output 3 4 3 7" xfId="14267"/>
    <cellStyle name="Output 3 4 3 8" xfId="18844"/>
    <cellStyle name="Output 3 4 3 9" xfId="14457"/>
    <cellStyle name="Output 3 4 4" xfId="12497"/>
    <cellStyle name="Output 3 4 4 10" xfId="26345"/>
    <cellStyle name="Output 3 4 4 11" xfId="27149"/>
    <cellStyle name="Output 3 4 4 12" xfId="25897"/>
    <cellStyle name="Output 3 4 4 13" xfId="28761"/>
    <cellStyle name="Output 3 4 4 14" xfId="27289"/>
    <cellStyle name="Output 3 4 4 15" xfId="27397"/>
    <cellStyle name="Output 3 4 4 16" xfId="35039"/>
    <cellStyle name="Output 3 4 4 17" xfId="35441"/>
    <cellStyle name="Output 3 4 4 2" xfId="15693"/>
    <cellStyle name="Output 3 4 4 3" xfId="15804"/>
    <cellStyle name="Output 3 4 4 4" xfId="15732"/>
    <cellStyle name="Output 3 4 4 5" xfId="14414"/>
    <cellStyle name="Output 3 4 4 6" xfId="15546"/>
    <cellStyle name="Output 3 4 4 7" xfId="14083"/>
    <cellStyle name="Output 3 4 4 8" xfId="14161"/>
    <cellStyle name="Output 3 4 4 9" xfId="13631"/>
    <cellStyle name="Output 3 4 5" xfId="12498"/>
    <cellStyle name="Output 3 4 5 10" xfId="26456"/>
    <cellStyle name="Output 3 4 5 11" xfId="27080"/>
    <cellStyle name="Output 3 4 5 12" xfId="26910"/>
    <cellStyle name="Output 3 4 5 13" xfId="26746"/>
    <cellStyle name="Output 3 4 5 14" xfId="27428"/>
    <cellStyle name="Output 3 4 5 15" xfId="27475"/>
    <cellStyle name="Output 3 4 5 16" xfId="35139"/>
    <cellStyle name="Output 3 4 5 17" xfId="35235"/>
    <cellStyle name="Output 3 4 5 2" xfId="15661"/>
    <cellStyle name="Output 3 4 5 3" xfId="14066"/>
    <cellStyle name="Output 3 4 5 4" xfId="16845"/>
    <cellStyle name="Output 3 4 5 5" xfId="15441"/>
    <cellStyle name="Output 3 4 5 6" xfId="15049"/>
    <cellStyle name="Output 3 4 5 7" xfId="14940"/>
    <cellStyle name="Output 3 4 5 8" xfId="15855"/>
    <cellStyle name="Output 3 4 5 9" xfId="13951"/>
    <cellStyle name="Output 3 4 6" xfId="13848"/>
    <cellStyle name="Output 3 4 7" xfId="13988"/>
    <cellStyle name="Output 3 4 8" xfId="13833"/>
    <cellStyle name="Output 3 4 9" xfId="13535"/>
    <cellStyle name="Output 3 5" xfId="12499"/>
    <cellStyle name="Output 3 5 10" xfId="26289"/>
    <cellStyle name="Output 3 5 11" xfId="27739"/>
    <cellStyle name="Output 3 5 12" xfId="25927"/>
    <cellStyle name="Output 3 5 13" xfId="27850"/>
    <cellStyle name="Output 3 5 14" xfId="26852"/>
    <cellStyle name="Output 3 5 15" xfId="26594"/>
    <cellStyle name="Output 3 5 16" xfId="34986"/>
    <cellStyle name="Output 3 5 17" xfId="35464"/>
    <cellStyle name="Output 3 5 2" xfId="14932"/>
    <cellStyle name="Output 3 5 3" xfId="14027"/>
    <cellStyle name="Output 3 5 4" xfId="14791"/>
    <cellStyle name="Output 3 5 5" xfId="13437"/>
    <cellStyle name="Output 3 5 6" xfId="15456"/>
    <cellStyle name="Output 3 5 7" xfId="13571"/>
    <cellStyle name="Output 3 5 8" xfId="14299"/>
    <cellStyle name="Output 3 5 9" xfId="15257"/>
    <cellStyle name="Output 3 6" xfId="12500"/>
    <cellStyle name="Output 3 6 10" xfId="24870"/>
    <cellStyle name="Output 3 6 11" xfId="25869"/>
    <cellStyle name="Output 3 6 12" xfId="28775"/>
    <cellStyle name="Output 3 6 13" xfId="29792"/>
    <cellStyle name="Output 3 6 14" xfId="30825"/>
    <cellStyle name="Output 3 6 15" xfId="31820"/>
    <cellStyle name="Output 3 6 16" xfId="32824"/>
    <cellStyle name="Output 3 6 17" xfId="33827"/>
    <cellStyle name="Output 3 6 18" xfId="34826"/>
    <cellStyle name="Output 3 6 19" xfId="36387"/>
    <cellStyle name="Output 3 6 2" xfId="16859"/>
    <cellStyle name="Output 3 6 20" xfId="37386"/>
    <cellStyle name="Output 3 6 3" xfId="17839"/>
    <cellStyle name="Output 3 6 4" xfId="18864"/>
    <cellStyle name="Output 3 6 5" xfId="19898"/>
    <cellStyle name="Output 3 6 6" xfId="20923"/>
    <cellStyle name="Output 3 6 7" xfId="21883"/>
    <cellStyle name="Output 3 6 8" xfId="22895"/>
    <cellStyle name="Output 3 6 9" xfId="23898"/>
    <cellStyle name="Output 3 7" xfId="12481"/>
    <cellStyle name="Output 3 8" xfId="34886"/>
    <cellStyle name="Output 3 9" xfId="37400"/>
    <cellStyle name="Output 4" xfId="12501"/>
    <cellStyle name="Output 5" xfId="12502"/>
    <cellStyle name="Percent" xfId="3" builtinId="5"/>
    <cellStyle name="Percent 10" xfId="12503"/>
    <cellStyle name="Percent 10 2" xfId="12504"/>
    <cellStyle name="Percent 10 2 2" xfId="12505"/>
    <cellStyle name="Percent 10 3" xfId="12506"/>
    <cellStyle name="Percent 10 4" xfId="12507"/>
    <cellStyle name="Percent 10 5" xfId="34916"/>
    <cellStyle name="Percent 11" xfId="12508"/>
    <cellStyle name="Percent 11 2" xfId="12509"/>
    <cellStyle name="Percent 11 2 2" xfId="12510"/>
    <cellStyle name="Percent 11 2 3" xfId="12511"/>
    <cellStyle name="Percent 11 3" xfId="12512"/>
    <cellStyle name="Percent 11 3 2" xfId="12513"/>
    <cellStyle name="Percent 11 3 3" xfId="12514"/>
    <cellStyle name="Percent 11 4" xfId="12515"/>
    <cellStyle name="Percent 11 5" xfId="12516"/>
    <cellStyle name="Percent 12" xfId="12517"/>
    <cellStyle name="Percent 13" xfId="12518"/>
    <cellStyle name="Percent 14" xfId="12519"/>
    <cellStyle name="Percent 14 2" xfId="12520"/>
    <cellStyle name="Percent 14 2 2" xfId="12521"/>
    <cellStyle name="Percent 15" xfId="12522"/>
    <cellStyle name="Percent 16 2" xfId="12523"/>
    <cellStyle name="Percent 16 2 2" xfId="12524"/>
    <cellStyle name="Percent 2" xfId="24"/>
    <cellStyle name="Percent 2 2" xfId="25"/>
    <cellStyle name="Percent 2 2 2" xfId="248"/>
    <cellStyle name="Percent 2 2 3" xfId="12525"/>
    <cellStyle name="Percent 2 2 3 2" xfId="12526"/>
    <cellStyle name="Percent 2 2 4" xfId="12527"/>
    <cellStyle name="Percent 2 3" xfId="350"/>
    <cellStyle name="Percent 2 3 2" xfId="12528"/>
    <cellStyle name="Percent 2 3 3" xfId="12529"/>
    <cellStyle name="Percent 2 3 4" xfId="37440"/>
    <cellStyle name="Percent 2 4" xfId="12530"/>
    <cellStyle name="Percent 2 4 2" xfId="12531"/>
    <cellStyle name="Percent 2 4 3" xfId="12532"/>
    <cellStyle name="Percent 2 5" xfId="12533"/>
    <cellStyle name="Percent 2 6" xfId="26"/>
    <cellStyle name="Percent 2 7" xfId="12534"/>
    <cellStyle name="Percent 3" xfId="27"/>
    <cellStyle name="Percent 3 10" xfId="12535"/>
    <cellStyle name="Percent 3 11" xfId="12536"/>
    <cellStyle name="Percent 3 2" xfId="28"/>
    <cellStyle name="Percent 3 2 2" xfId="12537"/>
    <cellStyle name="Percent 3 2 2 2" xfId="12538"/>
    <cellStyle name="Percent 3 2 2 2 2" xfId="12539"/>
    <cellStyle name="Percent 3 2 2 2 2 2" xfId="12540"/>
    <cellStyle name="Percent 3 2 2 2 2 2 2" xfId="12541"/>
    <cellStyle name="Percent 3 2 2 2 2 2 2 2" xfId="12542"/>
    <cellStyle name="Percent 3 2 2 2 2 2 2 3" xfId="12543"/>
    <cellStyle name="Percent 3 2 2 2 2 2 3" xfId="12544"/>
    <cellStyle name="Percent 3 2 2 2 2 2 3 2" xfId="12545"/>
    <cellStyle name="Percent 3 2 2 2 2 2 3 3" xfId="12546"/>
    <cellStyle name="Percent 3 2 2 2 2 2 4" xfId="12547"/>
    <cellStyle name="Percent 3 2 2 2 2 2 5" xfId="12548"/>
    <cellStyle name="Percent 3 2 2 2 2 3" xfId="12549"/>
    <cellStyle name="Percent 3 2 2 2 2 3 2" xfId="12550"/>
    <cellStyle name="Percent 3 2 2 2 2 3 3" xfId="12551"/>
    <cellStyle name="Percent 3 2 2 2 2 4" xfId="12552"/>
    <cellStyle name="Percent 3 2 2 2 2 4 2" xfId="12553"/>
    <cellStyle name="Percent 3 2 2 2 2 4 3" xfId="12554"/>
    <cellStyle name="Percent 3 2 2 2 2 5" xfId="12555"/>
    <cellStyle name="Percent 3 2 2 2 2 6" xfId="12556"/>
    <cellStyle name="Percent 3 2 2 2 3" xfId="12557"/>
    <cellStyle name="Percent 3 2 2 2 3 2" xfId="12558"/>
    <cellStyle name="Percent 3 2 2 2 3 2 2" xfId="12559"/>
    <cellStyle name="Percent 3 2 2 2 3 2 3" xfId="12560"/>
    <cellStyle name="Percent 3 2 2 2 3 3" xfId="12561"/>
    <cellStyle name="Percent 3 2 2 2 3 3 2" xfId="12562"/>
    <cellStyle name="Percent 3 2 2 2 3 3 3" xfId="12563"/>
    <cellStyle name="Percent 3 2 2 2 3 4" xfId="12564"/>
    <cellStyle name="Percent 3 2 2 2 3 5" xfId="12565"/>
    <cellStyle name="Percent 3 2 2 2 4" xfId="12566"/>
    <cellStyle name="Percent 3 2 2 2 4 2" xfId="12567"/>
    <cellStyle name="Percent 3 2 2 2 4 3" xfId="12568"/>
    <cellStyle name="Percent 3 2 2 2 5" xfId="12569"/>
    <cellStyle name="Percent 3 2 2 2 5 2" xfId="12570"/>
    <cellStyle name="Percent 3 2 2 2 5 3" xfId="12571"/>
    <cellStyle name="Percent 3 2 2 2 6" xfId="12572"/>
    <cellStyle name="Percent 3 2 2 2 7" xfId="12573"/>
    <cellStyle name="Percent 3 2 2 3" xfId="12574"/>
    <cellStyle name="Percent 3 2 2 3 2" xfId="12575"/>
    <cellStyle name="Percent 3 2 2 3 2 2" xfId="12576"/>
    <cellStyle name="Percent 3 2 2 3 2 2 2" xfId="12577"/>
    <cellStyle name="Percent 3 2 2 3 2 2 3" xfId="12578"/>
    <cellStyle name="Percent 3 2 2 3 2 3" xfId="12579"/>
    <cellStyle name="Percent 3 2 2 3 2 3 2" xfId="12580"/>
    <cellStyle name="Percent 3 2 2 3 2 3 3" xfId="12581"/>
    <cellStyle name="Percent 3 2 2 3 2 4" xfId="12582"/>
    <cellStyle name="Percent 3 2 2 3 2 5" xfId="12583"/>
    <cellStyle name="Percent 3 2 2 3 3" xfId="12584"/>
    <cellStyle name="Percent 3 2 2 3 3 2" xfId="12585"/>
    <cellStyle name="Percent 3 2 2 3 3 3" xfId="12586"/>
    <cellStyle name="Percent 3 2 2 3 4" xfId="12587"/>
    <cellStyle name="Percent 3 2 2 3 4 2" xfId="12588"/>
    <cellStyle name="Percent 3 2 2 3 4 3" xfId="12589"/>
    <cellStyle name="Percent 3 2 2 3 5" xfId="12590"/>
    <cellStyle name="Percent 3 2 2 3 6" xfId="12591"/>
    <cellStyle name="Percent 3 2 2 4" xfId="12592"/>
    <cellStyle name="Percent 3 2 2 4 2" xfId="12593"/>
    <cellStyle name="Percent 3 2 2 4 2 2" xfId="12594"/>
    <cellStyle name="Percent 3 2 2 4 2 3" xfId="12595"/>
    <cellStyle name="Percent 3 2 2 4 3" xfId="12596"/>
    <cellStyle name="Percent 3 2 2 4 3 2" xfId="12597"/>
    <cellStyle name="Percent 3 2 2 4 3 3" xfId="12598"/>
    <cellStyle name="Percent 3 2 2 4 4" xfId="12599"/>
    <cellStyle name="Percent 3 2 2 4 5" xfId="12600"/>
    <cellStyle name="Percent 3 2 2 5" xfId="12601"/>
    <cellStyle name="Percent 3 2 2 5 2" xfId="12602"/>
    <cellStyle name="Percent 3 2 2 5 3" xfId="12603"/>
    <cellStyle name="Percent 3 2 2 6" xfId="12604"/>
    <cellStyle name="Percent 3 2 2 6 2" xfId="12605"/>
    <cellStyle name="Percent 3 2 2 6 3" xfId="12606"/>
    <cellStyle name="Percent 3 2 2 7" xfId="12607"/>
    <cellStyle name="Percent 3 2 2 8" xfId="12608"/>
    <cellStyle name="Percent 3 2 3" xfId="12609"/>
    <cellStyle name="Percent 3 2 3 2" xfId="12610"/>
    <cellStyle name="Percent 3 2 3 2 2" xfId="12611"/>
    <cellStyle name="Percent 3 2 3 2 2 2" xfId="12612"/>
    <cellStyle name="Percent 3 2 3 2 2 2 2" xfId="12613"/>
    <cellStyle name="Percent 3 2 3 2 2 2 3" xfId="12614"/>
    <cellStyle name="Percent 3 2 3 2 2 3" xfId="12615"/>
    <cellStyle name="Percent 3 2 3 2 2 3 2" xfId="12616"/>
    <cellStyle name="Percent 3 2 3 2 2 3 3" xfId="12617"/>
    <cellStyle name="Percent 3 2 3 2 2 4" xfId="12618"/>
    <cellStyle name="Percent 3 2 3 2 2 5" xfId="12619"/>
    <cellStyle name="Percent 3 2 3 2 3" xfId="12620"/>
    <cellStyle name="Percent 3 2 3 2 3 2" xfId="12621"/>
    <cellStyle name="Percent 3 2 3 2 3 3" xfId="12622"/>
    <cellStyle name="Percent 3 2 3 2 4" xfId="12623"/>
    <cellStyle name="Percent 3 2 3 2 4 2" xfId="12624"/>
    <cellStyle name="Percent 3 2 3 2 4 3" xfId="12625"/>
    <cellStyle name="Percent 3 2 3 2 5" xfId="12626"/>
    <cellStyle name="Percent 3 2 3 2 6" xfId="12627"/>
    <cellStyle name="Percent 3 2 3 3" xfId="12628"/>
    <cellStyle name="Percent 3 2 3 3 2" xfId="12629"/>
    <cellStyle name="Percent 3 2 3 3 2 2" xfId="12630"/>
    <cellStyle name="Percent 3 2 3 3 2 3" xfId="12631"/>
    <cellStyle name="Percent 3 2 3 3 3" xfId="12632"/>
    <cellStyle name="Percent 3 2 3 3 3 2" xfId="12633"/>
    <cellStyle name="Percent 3 2 3 3 3 3" xfId="12634"/>
    <cellStyle name="Percent 3 2 3 3 4" xfId="12635"/>
    <cellStyle name="Percent 3 2 3 3 5" xfId="12636"/>
    <cellStyle name="Percent 3 2 3 4" xfId="12637"/>
    <cellStyle name="Percent 3 2 3 4 2" xfId="12638"/>
    <cellStyle name="Percent 3 2 3 4 3" xfId="12639"/>
    <cellStyle name="Percent 3 2 3 5" xfId="12640"/>
    <cellStyle name="Percent 3 2 3 5 2" xfId="12641"/>
    <cellStyle name="Percent 3 2 3 5 3" xfId="12642"/>
    <cellStyle name="Percent 3 2 3 6" xfId="12643"/>
    <cellStyle name="Percent 3 2 3 7" xfId="12644"/>
    <cellStyle name="Percent 3 2 4" xfId="12645"/>
    <cellStyle name="Percent 3 2 4 2" xfId="12646"/>
    <cellStyle name="Percent 3 2 4 2 2" xfId="12647"/>
    <cellStyle name="Percent 3 2 4 2 2 2" xfId="12648"/>
    <cellStyle name="Percent 3 2 4 2 2 3" xfId="12649"/>
    <cellStyle name="Percent 3 2 4 2 3" xfId="12650"/>
    <cellStyle name="Percent 3 2 4 2 3 2" xfId="12651"/>
    <cellStyle name="Percent 3 2 4 2 3 3" xfId="12652"/>
    <cellStyle name="Percent 3 2 4 2 4" xfId="12653"/>
    <cellStyle name="Percent 3 2 4 2 5" xfId="12654"/>
    <cellStyle name="Percent 3 2 4 3" xfId="12655"/>
    <cellStyle name="Percent 3 2 4 3 2" xfId="12656"/>
    <cellStyle name="Percent 3 2 4 3 3" xfId="12657"/>
    <cellStyle name="Percent 3 2 4 4" xfId="12658"/>
    <cellStyle name="Percent 3 2 4 4 2" xfId="12659"/>
    <cellStyle name="Percent 3 2 4 4 3" xfId="12660"/>
    <cellStyle name="Percent 3 2 4 5" xfId="12661"/>
    <cellStyle name="Percent 3 2 4 6" xfId="12662"/>
    <cellStyle name="Percent 3 2 5" xfId="12663"/>
    <cellStyle name="Percent 3 2 5 2" xfId="12664"/>
    <cellStyle name="Percent 3 2 5 2 2" xfId="12665"/>
    <cellStyle name="Percent 3 2 5 2 3" xfId="12666"/>
    <cellStyle name="Percent 3 2 5 3" xfId="12667"/>
    <cellStyle name="Percent 3 2 5 3 2" xfId="12668"/>
    <cellStyle name="Percent 3 2 5 3 3" xfId="12669"/>
    <cellStyle name="Percent 3 2 5 4" xfId="12670"/>
    <cellStyle name="Percent 3 2 5 5" xfId="12671"/>
    <cellStyle name="Percent 3 2 6" xfId="12672"/>
    <cellStyle name="Percent 3 2 6 2" xfId="12673"/>
    <cellStyle name="Percent 3 2 6 3" xfId="12674"/>
    <cellStyle name="Percent 3 2 7" xfId="12675"/>
    <cellStyle name="Percent 3 2 7 2" xfId="12676"/>
    <cellStyle name="Percent 3 2 7 3" xfId="12677"/>
    <cellStyle name="Percent 3 2 8" xfId="12678"/>
    <cellStyle name="Percent 3 2 9" xfId="12679"/>
    <cellStyle name="Percent 3 3" xfId="12680"/>
    <cellStyle name="Percent 3 3 2" xfId="12681"/>
    <cellStyle name="Percent 3 3 2 2" xfId="12682"/>
    <cellStyle name="Percent 3 3 2 2 2" xfId="12683"/>
    <cellStyle name="Percent 3 3 2 2 2 2" xfId="12684"/>
    <cellStyle name="Percent 3 3 2 2 2 2 2" xfId="12685"/>
    <cellStyle name="Percent 3 3 2 2 2 2 3" xfId="12686"/>
    <cellStyle name="Percent 3 3 2 2 2 3" xfId="12687"/>
    <cellStyle name="Percent 3 3 2 2 2 3 2" xfId="12688"/>
    <cellStyle name="Percent 3 3 2 2 2 3 3" xfId="12689"/>
    <cellStyle name="Percent 3 3 2 2 2 4" xfId="12690"/>
    <cellStyle name="Percent 3 3 2 2 2 5" xfId="12691"/>
    <cellStyle name="Percent 3 3 2 2 3" xfId="12692"/>
    <cellStyle name="Percent 3 3 2 2 3 2" xfId="12693"/>
    <cellStyle name="Percent 3 3 2 2 3 3" xfId="12694"/>
    <cellStyle name="Percent 3 3 2 2 4" xfId="12695"/>
    <cellStyle name="Percent 3 3 2 2 4 2" xfId="12696"/>
    <cellStyle name="Percent 3 3 2 2 4 3" xfId="12697"/>
    <cellStyle name="Percent 3 3 2 2 5" xfId="12698"/>
    <cellStyle name="Percent 3 3 2 2 6" xfId="12699"/>
    <cellStyle name="Percent 3 3 2 3" xfId="12700"/>
    <cellStyle name="Percent 3 3 2 3 2" xfId="12701"/>
    <cellStyle name="Percent 3 3 2 3 2 2" xfId="12702"/>
    <cellStyle name="Percent 3 3 2 3 2 3" xfId="12703"/>
    <cellStyle name="Percent 3 3 2 3 3" xfId="12704"/>
    <cellStyle name="Percent 3 3 2 3 3 2" xfId="12705"/>
    <cellStyle name="Percent 3 3 2 3 3 3" xfId="12706"/>
    <cellStyle name="Percent 3 3 2 3 4" xfId="12707"/>
    <cellStyle name="Percent 3 3 2 3 5" xfId="12708"/>
    <cellStyle name="Percent 3 3 2 4" xfId="12709"/>
    <cellStyle name="Percent 3 3 2 4 2" xfId="12710"/>
    <cellStyle name="Percent 3 3 2 4 3" xfId="12711"/>
    <cellStyle name="Percent 3 3 2 5" xfId="12712"/>
    <cellStyle name="Percent 3 3 2 5 2" xfId="12713"/>
    <cellStyle name="Percent 3 3 2 5 3" xfId="12714"/>
    <cellStyle name="Percent 3 3 2 6" xfId="12715"/>
    <cellStyle name="Percent 3 3 2 7" xfId="12716"/>
    <cellStyle name="Percent 3 3 3" xfId="12717"/>
    <cellStyle name="Percent 3 3 3 2" xfId="12718"/>
    <cellStyle name="Percent 3 3 3 2 2" xfId="12719"/>
    <cellStyle name="Percent 3 3 3 2 2 2" xfId="12720"/>
    <cellStyle name="Percent 3 3 3 2 2 3" xfId="12721"/>
    <cellStyle name="Percent 3 3 3 2 3" xfId="12722"/>
    <cellStyle name="Percent 3 3 3 2 3 2" xfId="12723"/>
    <cellStyle name="Percent 3 3 3 2 3 3" xfId="12724"/>
    <cellStyle name="Percent 3 3 3 2 4" xfId="12725"/>
    <cellStyle name="Percent 3 3 3 2 5" xfId="12726"/>
    <cellStyle name="Percent 3 3 3 3" xfId="12727"/>
    <cellStyle name="Percent 3 3 3 3 2" xfId="12728"/>
    <cellStyle name="Percent 3 3 3 3 3" xfId="12729"/>
    <cellStyle name="Percent 3 3 3 4" xfId="12730"/>
    <cellStyle name="Percent 3 3 3 4 2" xfId="12731"/>
    <cellStyle name="Percent 3 3 3 4 3" xfId="12732"/>
    <cellStyle name="Percent 3 3 3 5" xfId="12733"/>
    <cellStyle name="Percent 3 3 3 6" xfId="12734"/>
    <cellStyle name="Percent 3 3 4" xfId="12735"/>
    <cellStyle name="Percent 3 3 4 2" xfId="12736"/>
    <cellStyle name="Percent 3 3 4 2 2" xfId="12737"/>
    <cellStyle name="Percent 3 3 4 2 3" xfId="12738"/>
    <cellStyle name="Percent 3 3 4 3" xfId="12739"/>
    <cellStyle name="Percent 3 3 4 3 2" xfId="12740"/>
    <cellStyle name="Percent 3 3 4 3 3" xfId="12741"/>
    <cellStyle name="Percent 3 3 4 4" xfId="12742"/>
    <cellStyle name="Percent 3 3 4 5" xfId="12743"/>
    <cellStyle name="Percent 3 3 5" xfId="12744"/>
    <cellStyle name="Percent 3 3 5 2" xfId="12745"/>
    <cellStyle name="Percent 3 3 5 3" xfId="12746"/>
    <cellStyle name="Percent 3 3 6" xfId="12747"/>
    <cellStyle name="Percent 3 3 6 2" xfId="12748"/>
    <cellStyle name="Percent 3 3 6 3" xfId="12749"/>
    <cellStyle name="Percent 3 3 7" xfId="12750"/>
    <cellStyle name="Percent 3 3 8" xfId="12751"/>
    <cellStyle name="Percent 3 4" xfId="12752"/>
    <cellStyle name="Percent 3 4 2" xfId="12753"/>
    <cellStyle name="Percent 3 4 2 2" xfId="12754"/>
    <cellStyle name="Percent 3 4 2 2 2" xfId="12755"/>
    <cellStyle name="Percent 3 4 2 2 2 2" xfId="12756"/>
    <cellStyle name="Percent 3 4 2 2 2 2 2" xfId="12757"/>
    <cellStyle name="Percent 3 4 2 2 2 2 3" xfId="12758"/>
    <cellStyle name="Percent 3 4 2 2 2 3" xfId="12759"/>
    <cellStyle name="Percent 3 4 2 2 2 3 2" xfId="12760"/>
    <cellStyle name="Percent 3 4 2 2 2 3 3" xfId="12761"/>
    <cellStyle name="Percent 3 4 2 2 2 4" xfId="12762"/>
    <cellStyle name="Percent 3 4 2 2 2 5" xfId="12763"/>
    <cellStyle name="Percent 3 4 2 2 3" xfId="12764"/>
    <cellStyle name="Percent 3 4 2 2 3 2" xfId="12765"/>
    <cellStyle name="Percent 3 4 2 2 3 3" xfId="12766"/>
    <cellStyle name="Percent 3 4 2 2 4" xfId="12767"/>
    <cellStyle name="Percent 3 4 2 2 4 2" xfId="12768"/>
    <cellStyle name="Percent 3 4 2 2 4 3" xfId="12769"/>
    <cellStyle name="Percent 3 4 2 2 5" xfId="12770"/>
    <cellStyle name="Percent 3 4 2 2 6" xfId="12771"/>
    <cellStyle name="Percent 3 4 2 3" xfId="12772"/>
    <cellStyle name="Percent 3 4 2 3 2" xfId="12773"/>
    <cellStyle name="Percent 3 4 2 3 2 2" xfId="12774"/>
    <cellStyle name="Percent 3 4 2 3 2 3" xfId="12775"/>
    <cellStyle name="Percent 3 4 2 3 3" xfId="12776"/>
    <cellStyle name="Percent 3 4 2 3 3 2" xfId="12777"/>
    <cellStyle name="Percent 3 4 2 3 3 3" xfId="12778"/>
    <cellStyle name="Percent 3 4 2 3 4" xfId="12779"/>
    <cellStyle name="Percent 3 4 2 3 5" xfId="12780"/>
    <cellStyle name="Percent 3 4 2 4" xfId="12781"/>
    <cellStyle name="Percent 3 4 2 4 2" xfId="12782"/>
    <cellStyle name="Percent 3 4 2 4 3" xfId="12783"/>
    <cellStyle name="Percent 3 4 2 5" xfId="12784"/>
    <cellStyle name="Percent 3 4 2 5 2" xfId="12785"/>
    <cellStyle name="Percent 3 4 2 5 3" xfId="12786"/>
    <cellStyle name="Percent 3 4 2 6" xfId="12787"/>
    <cellStyle name="Percent 3 4 2 7" xfId="12788"/>
    <cellStyle name="Percent 3 4 3" xfId="12789"/>
    <cellStyle name="Percent 3 4 3 2" xfId="12790"/>
    <cellStyle name="Percent 3 4 3 2 2" xfId="12791"/>
    <cellStyle name="Percent 3 4 3 2 2 2" xfId="12792"/>
    <cellStyle name="Percent 3 4 3 2 2 3" xfId="12793"/>
    <cellStyle name="Percent 3 4 3 2 3" xfId="12794"/>
    <cellStyle name="Percent 3 4 3 2 3 2" xfId="12795"/>
    <cellStyle name="Percent 3 4 3 2 3 3" xfId="12796"/>
    <cellStyle name="Percent 3 4 3 2 4" xfId="12797"/>
    <cellStyle name="Percent 3 4 3 2 5" xfId="12798"/>
    <cellStyle name="Percent 3 4 3 3" xfId="12799"/>
    <cellStyle name="Percent 3 4 3 3 2" xfId="12800"/>
    <cellStyle name="Percent 3 4 3 3 3" xfId="12801"/>
    <cellStyle name="Percent 3 4 3 4" xfId="12802"/>
    <cellStyle name="Percent 3 4 3 4 2" xfId="12803"/>
    <cellStyle name="Percent 3 4 3 4 3" xfId="12804"/>
    <cellStyle name="Percent 3 4 3 5" xfId="12805"/>
    <cellStyle name="Percent 3 4 3 6" xfId="12806"/>
    <cellStyle name="Percent 3 4 4" xfId="12807"/>
    <cellStyle name="Percent 3 4 4 2" xfId="12808"/>
    <cellStyle name="Percent 3 4 4 2 2" xfId="12809"/>
    <cellStyle name="Percent 3 4 4 2 3" xfId="12810"/>
    <cellStyle name="Percent 3 4 4 3" xfId="12811"/>
    <cellStyle name="Percent 3 4 4 3 2" xfId="12812"/>
    <cellStyle name="Percent 3 4 4 3 3" xfId="12813"/>
    <cellStyle name="Percent 3 4 4 4" xfId="12814"/>
    <cellStyle name="Percent 3 4 4 5" xfId="12815"/>
    <cellStyle name="Percent 3 4 5" xfId="12816"/>
    <cellStyle name="Percent 3 4 5 2" xfId="12817"/>
    <cellStyle name="Percent 3 4 5 3" xfId="12818"/>
    <cellStyle name="Percent 3 4 6" xfId="12819"/>
    <cellStyle name="Percent 3 4 6 2" xfId="12820"/>
    <cellStyle name="Percent 3 4 6 3" xfId="12821"/>
    <cellStyle name="Percent 3 4 7" xfId="12822"/>
    <cellStyle name="Percent 3 4 8" xfId="12823"/>
    <cellStyle name="Percent 3 5" xfId="12824"/>
    <cellStyle name="Percent 3 5 2" xfId="12825"/>
    <cellStyle name="Percent 3 5 3" xfId="34917"/>
    <cellStyle name="Percent 3 6" xfId="12826"/>
    <cellStyle name="Percent 3 6 2" xfId="12827"/>
    <cellStyle name="Percent 3 6 2 2" xfId="12828"/>
    <cellStyle name="Percent 3 6 2 2 2" xfId="12829"/>
    <cellStyle name="Percent 3 6 2 2 3" xfId="12830"/>
    <cellStyle name="Percent 3 6 2 3" xfId="12831"/>
    <cellStyle name="Percent 3 6 2 3 2" xfId="12832"/>
    <cellStyle name="Percent 3 6 2 3 3" xfId="12833"/>
    <cellStyle name="Percent 3 6 2 4" xfId="12834"/>
    <cellStyle name="Percent 3 6 2 5" xfId="12835"/>
    <cellStyle name="Percent 3 6 3" xfId="12836"/>
    <cellStyle name="Percent 3 6 3 2" xfId="12837"/>
    <cellStyle name="Percent 3 6 3 3" xfId="12838"/>
    <cellStyle name="Percent 3 6 4" xfId="12839"/>
    <cellStyle name="Percent 3 6 4 2" xfId="12840"/>
    <cellStyle name="Percent 3 6 4 3" xfId="12841"/>
    <cellStyle name="Percent 3 6 5" xfId="12842"/>
    <cellStyle name="Percent 3 6 6" xfId="12843"/>
    <cellStyle name="Percent 3 7" xfId="12844"/>
    <cellStyle name="Percent 3 7 2" xfId="12845"/>
    <cellStyle name="Percent 3 7 2 2" xfId="12846"/>
    <cellStyle name="Percent 3 7 2 3" xfId="12847"/>
    <cellStyle name="Percent 3 7 3" xfId="12848"/>
    <cellStyle name="Percent 3 7 3 2" xfId="12849"/>
    <cellStyle name="Percent 3 7 3 3" xfId="12850"/>
    <cellStyle name="Percent 3 7 4" xfId="12851"/>
    <cellStyle name="Percent 3 7 5" xfId="12852"/>
    <cellStyle name="Percent 3 8" xfId="12853"/>
    <cellStyle name="Percent 3 8 2" xfId="12854"/>
    <cellStyle name="Percent 3 8 3" xfId="12855"/>
    <cellStyle name="Percent 3 9" xfId="12856"/>
    <cellStyle name="Percent 3 9 2" xfId="12857"/>
    <cellStyle name="Percent 3 9 3" xfId="12858"/>
    <cellStyle name="Percent 4" xfId="29"/>
    <cellStyle name="Percent 4 2" xfId="352"/>
    <cellStyle name="Percent 4 2 2" xfId="12859"/>
    <cellStyle name="Percent 4 2 3" xfId="12860"/>
    <cellStyle name="Percent 4 2 4" xfId="37457"/>
    <cellStyle name="Percent 4 2 5" xfId="37439"/>
    <cellStyle name="Percent 4 3" xfId="351"/>
    <cellStyle name="Percent 4 3 2" xfId="12861"/>
    <cellStyle name="Percent 4 4" xfId="12862"/>
    <cellStyle name="Percent 4 4 2" xfId="12863"/>
    <cellStyle name="Percent 4 4 2 2" xfId="12864"/>
    <cellStyle name="Percent 4 4 2 3" xfId="34918"/>
    <cellStyle name="Percent 4 4 3" xfId="12865"/>
    <cellStyle name="Percent 4 5" xfId="12866"/>
    <cellStyle name="Percent 4 6" xfId="12867"/>
    <cellStyle name="Percent 5" xfId="250"/>
    <cellStyle name="Percent 5 10" xfId="37438"/>
    <cellStyle name="Percent 5 2" xfId="12868"/>
    <cellStyle name="Percent 5 2 2" xfId="12869"/>
    <cellStyle name="Percent 5 2 2 2" xfId="12870"/>
    <cellStyle name="Percent 5 2 2 2 2" xfId="12871"/>
    <cellStyle name="Percent 5 2 2 2 2 2" xfId="12872"/>
    <cellStyle name="Percent 5 2 2 2 2 2 2" xfId="12873"/>
    <cellStyle name="Percent 5 2 2 2 2 2 3" xfId="12874"/>
    <cellStyle name="Percent 5 2 2 2 2 3" xfId="12875"/>
    <cellStyle name="Percent 5 2 2 2 2 3 2" xfId="12876"/>
    <cellStyle name="Percent 5 2 2 2 2 3 3" xfId="12877"/>
    <cellStyle name="Percent 5 2 2 2 2 4" xfId="12878"/>
    <cellStyle name="Percent 5 2 2 2 2 5" xfId="12879"/>
    <cellStyle name="Percent 5 2 2 2 3" xfId="12880"/>
    <cellStyle name="Percent 5 2 2 2 3 2" xfId="12881"/>
    <cellStyle name="Percent 5 2 2 2 3 3" xfId="12882"/>
    <cellStyle name="Percent 5 2 2 2 4" xfId="12883"/>
    <cellStyle name="Percent 5 2 2 2 4 2" xfId="12884"/>
    <cellStyle name="Percent 5 2 2 2 4 3" xfId="12885"/>
    <cellStyle name="Percent 5 2 2 2 5" xfId="12886"/>
    <cellStyle name="Percent 5 2 2 2 6" xfId="12887"/>
    <cellStyle name="Percent 5 2 2 3" xfId="12888"/>
    <cellStyle name="Percent 5 2 2 3 2" xfId="12889"/>
    <cellStyle name="Percent 5 2 2 3 2 2" xfId="12890"/>
    <cellStyle name="Percent 5 2 2 3 2 3" xfId="12891"/>
    <cellStyle name="Percent 5 2 2 3 3" xfId="12892"/>
    <cellStyle name="Percent 5 2 2 3 3 2" xfId="12893"/>
    <cellStyle name="Percent 5 2 2 3 3 3" xfId="12894"/>
    <cellStyle name="Percent 5 2 2 3 4" xfId="12895"/>
    <cellStyle name="Percent 5 2 2 3 5" xfId="12896"/>
    <cellStyle name="Percent 5 2 2 4" xfId="12897"/>
    <cellStyle name="Percent 5 2 2 4 2" xfId="12898"/>
    <cellStyle name="Percent 5 2 2 4 3" xfId="12899"/>
    <cellStyle name="Percent 5 2 2 5" xfId="12900"/>
    <cellStyle name="Percent 5 2 2 5 2" xfId="12901"/>
    <cellStyle name="Percent 5 2 2 5 3" xfId="12902"/>
    <cellStyle name="Percent 5 2 2 6" xfId="12903"/>
    <cellStyle name="Percent 5 2 2 7" xfId="12904"/>
    <cellStyle name="Percent 5 2 3" xfId="12905"/>
    <cellStyle name="Percent 5 2 3 2" xfId="12906"/>
    <cellStyle name="Percent 5 2 3 2 2" xfId="12907"/>
    <cellStyle name="Percent 5 2 3 2 2 2" xfId="12908"/>
    <cellStyle name="Percent 5 2 3 2 2 3" xfId="12909"/>
    <cellStyle name="Percent 5 2 3 2 3" xfId="12910"/>
    <cellStyle name="Percent 5 2 3 2 3 2" xfId="12911"/>
    <cellStyle name="Percent 5 2 3 2 3 3" xfId="12912"/>
    <cellStyle name="Percent 5 2 3 2 4" xfId="12913"/>
    <cellStyle name="Percent 5 2 3 2 5" xfId="12914"/>
    <cellStyle name="Percent 5 2 3 3" xfId="12915"/>
    <cellStyle name="Percent 5 2 3 3 2" xfId="12916"/>
    <cellStyle name="Percent 5 2 3 3 3" xfId="12917"/>
    <cellStyle name="Percent 5 2 3 4" xfId="12918"/>
    <cellStyle name="Percent 5 2 3 4 2" xfId="12919"/>
    <cellStyle name="Percent 5 2 3 4 3" xfId="12920"/>
    <cellStyle name="Percent 5 2 3 5" xfId="12921"/>
    <cellStyle name="Percent 5 2 3 6" xfId="12922"/>
    <cellStyle name="Percent 5 2 4" xfId="12923"/>
    <cellStyle name="Percent 5 2 4 2" xfId="12924"/>
    <cellStyle name="Percent 5 2 4 2 2" xfId="12925"/>
    <cellStyle name="Percent 5 2 4 2 3" xfId="12926"/>
    <cellStyle name="Percent 5 2 4 3" xfId="12927"/>
    <cellStyle name="Percent 5 2 4 3 2" xfId="12928"/>
    <cellStyle name="Percent 5 2 4 3 3" xfId="12929"/>
    <cellStyle name="Percent 5 2 4 4" xfId="12930"/>
    <cellStyle name="Percent 5 2 4 5" xfId="12931"/>
    <cellStyle name="Percent 5 2 5" xfId="12932"/>
    <cellStyle name="Percent 5 2 5 2" xfId="12933"/>
    <cellStyle name="Percent 5 2 5 3" xfId="12934"/>
    <cellStyle name="Percent 5 2 6" xfId="12935"/>
    <cellStyle name="Percent 5 2 6 2" xfId="12936"/>
    <cellStyle name="Percent 5 2 6 3" xfId="12937"/>
    <cellStyle name="Percent 5 2 7" xfId="12938"/>
    <cellStyle name="Percent 5 2 8" xfId="12939"/>
    <cellStyle name="Percent 5 3" xfId="12940"/>
    <cellStyle name="Percent 5 3 2" xfId="12941"/>
    <cellStyle name="Percent 5 3 2 2" xfId="12942"/>
    <cellStyle name="Percent 5 3 2 2 2" xfId="12943"/>
    <cellStyle name="Percent 5 3 2 2 2 2" xfId="12944"/>
    <cellStyle name="Percent 5 3 2 2 2 3" xfId="12945"/>
    <cellStyle name="Percent 5 3 2 2 3" xfId="12946"/>
    <cellStyle name="Percent 5 3 2 2 3 2" xfId="12947"/>
    <cellStyle name="Percent 5 3 2 2 3 3" xfId="12948"/>
    <cellStyle name="Percent 5 3 2 2 4" xfId="12949"/>
    <cellStyle name="Percent 5 3 2 2 5" xfId="12950"/>
    <cellStyle name="Percent 5 3 2 3" xfId="12951"/>
    <cellStyle name="Percent 5 3 2 3 2" xfId="12952"/>
    <cellStyle name="Percent 5 3 2 3 3" xfId="12953"/>
    <cellStyle name="Percent 5 3 2 4" xfId="12954"/>
    <cellStyle name="Percent 5 3 2 4 2" xfId="12955"/>
    <cellStyle name="Percent 5 3 2 4 3" xfId="12956"/>
    <cellStyle name="Percent 5 3 2 5" xfId="12957"/>
    <cellStyle name="Percent 5 3 2 6" xfId="12958"/>
    <cellStyle name="Percent 5 3 3" xfId="12959"/>
    <cellStyle name="Percent 5 3 3 2" xfId="12960"/>
    <cellStyle name="Percent 5 3 3 2 2" xfId="12961"/>
    <cellStyle name="Percent 5 3 3 2 3" xfId="12962"/>
    <cellStyle name="Percent 5 3 3 3" xfId="12963"/>
    <cellStyle name="Percent 5 3 3 3 2" xfId="12964"/>
    <cellStyle name="Percent 5 3 3 3 3" xfId="12965"/>
    <cellStyle name="Percent 5 3 3 4" xfId="12966"/>
    <cellStyle name="Percent 5 3 3 5" xfId="12967"/>
    <cellStyle name="Percent 5 3 4" xfId="12968"/>
    <cellStyle name="Percent 5 3 4 2" xfId="12969"/>
    <cellStyle name="Percent 5 3 4 3" xfId="12970"/>
    <cellStyle name="Percent 5 3 5" xfId="12971"/>
    <cellStyle name="Percent 5 3 5 2" xfId="12972"/>
    <cellStyle name="Percent 5 3 5 3" xfId="12973"/>
    <cellStyle name="Percent 5 3 6" xfId="12974"/>
    <cellStyle name="Percent 5 3 7" xfId="12975"/>
    <cellStyle name="Percent 5 4" xfId="12976"/>
    <cellStyle name="Percent 5 4 2" xfId="12977"/>
    <cellStyle name="Percent 5 4 2 2" xfId="12978"/>
    <cellStyle name="Percent 5 4 2 2 2" xfId="12979"/>
    <cellStyle name="Percent 5 4 2 2 3" xfId="12980"/>
    <cellStyle name="Percent 5 4 2 3" xfId="12981"/>
    <cellStyle name="Percent 5 4 2 3 2" xfId="12982"/>
    <cellStyle name="Percent 5 4 2 3 3" xfId="12983"/>
    <cellStyle name="Percent 5 4 2 4" xfId="12984"/>
    <cellStyle name="Percent 5 4 2 5" xfId="12985"/>
    <cellStyle name="Percent 5 4 3" xfId="12986"/>
    <cellStyle name="Percent 5 4 3 2" xfId="12987"/>
    <cellStyle name="Percent 5 4 3 3" xfId="12988"/>
    <cellStyle name="Percent 5 4 4" xfId="12989"/>
    <cellStyle name="Percent 5 4 4 2" xfId="12990"/>
    <cellStyle name="Percent 5 4 4 3" xfId="12991"/>
    <cellStyle name="Percent 5 4 5" xfId="12992"/>
    <cellStyle name="Percent 5 4 6" xfId="12993"/>
    <cellStyle name="Percent 5 5" xfId="12994"/>
    <cellStyle name="Percent 5 5 2" xfId="12995"/>
    <cellStyle name="Percent 5 5 2 2" xfId="12996"/>
    <cellStyle name="Percent 5 5 2 3" xfId="12997"/>
    <cellStyle name="Percent 5 5 3" xfId="12998"/>
    <cellStyle name="Percent 5 5 3 2" xfId="12999"/>
    <cellStyle name="Percent 5 5 3 3" xfId="13000"/>
    <cellStyle name="Percent 5 5 4" xfId="13001"/>
    <cellStyle name="Percent 5 5 5" xfId="13002"/>
    <cellStyle name="Percent 5 6" xfId="13003"/>
    <cellStyle name="Percent 5 6 2" xfId="13004"/>
    <cellStyle name="Percent 5 6 3" xfId="13005"/>
    <cellStyle name="Percent 5 7" xfId="13006"/>
    <cellStyle name="Percent 5 7 2" xfId="13007"/>
    <cellStyle name="Percent 5 7 3" xfId="13008"/>
    <cellStyle name="Percent 5 8" xfId="13009"/>
    <cellStyle name="Percent 5 9" xfId="13010"/>
    <cellStyle name="Percent 6" xfId="251"/>
    <cellStyle name="Percent 6 2" xfId="13011"/>
    <cellStyle name="Percent 6 2 2" xfId="13012"/>
    <cellStyle name="Percent 6 2 2 2" xfId="13013"/>
    <cellStyle name="Percent 6 2 2 2 2" xfId="13014"/>
    <cellStyle name="Percent 6 2 2 2 2 2" xfId="13015"/>
    <cellStyle name="Percent 6 2 2 2 2 3" xfId="13016"/>
    <cellStyle name="Percent 6 2 2 2 3" xfId="13017"/>
    <cellStyle name="Percent 6 2 2 2 3 2" xfId="13018"/>
    <cellStyle name="Percent 6 2 2 2 3 3" xfId="13019"/>
    <cellStyle name="Percent 6 2 2 2 4" xfId="13020"/>
    <cellStyle name="Percent 6 2 2 2 5" xfId="13021"/>
    <cellStyle name="Percent 6 2 2 3" xfId="13022"/>
    <cellStyle name="Percent 6 2 2 3 2" xfId="13023"/>
    <cellStyle name="Percent 6 2 2 3 3" xfId="13024"/>
    <cellStyle name="Percent 6 2 2 4" xfId="13025"/>
    <cellStyle name="Percent 6 2 2 4 2" xfId="13026"/>
    <cellStyle name="Percent 6 2 2 4 3" xfId="13027"/>
    <cellStyle name="Percent 6 2 2 5" xfId="13028"/>
    <cellStyle name="Percent 6 2 2 6" xfId="13029"/>
    <cellStyle name="Percent 6 2 3" xfId="13030"/>
    <cellStyle name="Percent 6 2 3 2" xfId="13031"/>
    <cellStyle name="Percent 6 2 3 2 2" xfId="13032"/>
    <cellStyle name="Percent 6 2 3 2 3" xfId="13033"/>
    <cellStyle name="Percent 6 2 3 3" xfId="13034"/>
    <cellStyle name="Percent 6 2 3 3 2" xfId="13035"/>
    <cellStyle name="Percent 6 2 3 3 3" xfId="13036"/>
    <cellStyle name="Percent 6 2 3 4" xfId="13037"/>
    <cellStyle name="Percent 6 2 3 5" xfId="13038"/>
    <cellStyle name="Percent 6 2 4" xfId="13039"/>
    <cellStyle name="Percent 6 2 4 2" xfId="13040"/>
    <cellStyle name="Percent 6 2 4 3" xfId="13041"/>
    <cellStyle name="Percent 6 2 5" xfId="13042"/>
    <cellStyle name="Percent 6 2 5 2" xfId="13043"/>
    <cellStyle name="Percent 6 2 5 3" xfId="13044"/>
    <cellStyle name="Percent 6 2 6" xfId="13045"/>
    <cellStyle name="Percent 6 2 7" xfId="13046"/>
    <cellStyle name="Percent 6 3" xfId="13047"/>
    <cellStyle name="Percent 6 3 2" xfId="13048"/>
    <cellStyle name="Percent 6 3 2 2" xfId="13049"/>
    <cellStyle name="Percent 6 3 2 2 2" xfId="13050"/>
    <cellStyle name="Percent 6 3 2 2 3" xfId="13051"/>
    <cellStyle name="Percent 6 3 2 3" xfId="13052"/>
    <cellStyle name="Percent 6 3 2 3 2" xfId="13053"/>
    <cellStyle name="Percent 6 3 2 3 3" xfId="13054"/>
    <cellStyle name="Percent 6 3 2 4" xfId="13055"/>
    <cellStyle name="Percent 6 3 2 5" xfId="13056"/>
    <cellStyle name="Percent 6 3 3" xfId="13057"/>
    <cellStyle name="Percent 6 3 3 2" xfId="13058"/>
    <cellStyle name="Percent 6 3 3 3" xfId="13059"/>
    <cellStyle name="Percent 6 3 4" xfId="13060"/>
    <cellStyle name="Percent 6 3 4 2" xfId="13061"/>
    <cellStyle name="Percent 6 3 4 3" xfId="13062"/>
    <cellStyle name="Percent 6 3 5" xfId="13063"/>
    <cellStyle name="Percent 6 3 6" xfId="13064"/>
    <cellStyle name="Percent 6 4" xfId="13065"/>
    <cellStyle name="Percent 6 4 2" xfId="13066"/>
    <cellStyle name="Percent 6 4 2 2" xfId="13067"/>
    <cellStyle name="Percent 6 4 2 3" xfId="13068"/>
    <cellStyle name="Percent 6 4 3" xfId="13069"/>
    <cellStyle name="Percent 6 4 3 2" xfId="13070"/>
    <cellStyle name="Percent 6 4 3 3" xfId="13071"/>
    <cellStyle name="Percent 6 4 4" xfId="13072"/>
    <cellStyle name="Percent 6 4 5" xfId="13073"/>
    <cellStyle name="Percent 6 5" xfId="13074"/>
    <cellStyle name="Percent 6 5 2" xfId="13075"/>
    <cellStyle name="Percent 6 5 3" xfId="13076"/>
    <cellStyle name="Percent 6 6" xfId="13077"/>
    <cellStyle name="Percent 6 6 2" xfId="13078"/>
    <cellStyle name="Percent 6 6 3" xfId="13079"/>
    <cellStyle name="Percent 6 7" xfId="13080"/>
    <cellStyle name="Percent 6 8" xfId="13081"/>
    <cellStyle name="Percent 7" xfId="247"/>
    <cellStyle name="Percent 7 2" xfId="272"/>
    <cellStyle name="Percent 7 2 2" xfId="13082"/>
    <cellStyle name="Percent 7 2 2 2" xfId="13083"/>
    <cellStyle name="Percent 7 2 2 2 2" xfId="13084"/>
    <cellStyle name="Percent 7 2 2 2 2 2" xfId="13085"/>
    <cellStyle name="Percent 7 2 2 2 2 3" xfId="13086"/>
    <cellStyle name="Percent 7 2 2 2 3" xfId="13087"/>
    <cellStyle name="Percent 7 2 2 2 3 2" xfId="13088"/>
    <cellStyle name="Percent 7 2 2 2 3 3" xfId="13089"/>
    <cellStyle name="Percent 7 2 2 2 4" xfId="13090"/>
    <cellStyle name="Percent 7 2 2 2 5" xfId="13091"/>
    <cellStyle name="Percent 7 2 2 3" xfId="13092"/>
    <cellStyle name="Percent 7 2 2 3 2" xfId="13093"/>
    <cellStyle name="Percent 7 2 2 3 3" xfId="13094"/>
    <cellStyle name="Percent 7 2 2 4" xfId="13095"/>
    <cellStyle name="Percent 7 2 2 4 2" xfId="13096"/>
    <cellStyle name="Percent 7 2 2 4 3" xfId="13097"/>
    <cellStyle name="Percent 7 2 2 5" xfId="13098"/>
    <cellStyle name="Percent 7 2 2 6" xfId="13099"/>
    <cellStyle name="Percent 7 2 3" xfId="13100"/>
    <cellStyle name="Percent 7 2 3 2" xfId="13101"/>
    <cellStyle name="Percent 7 2 3 2 2" xfId="13102"/>
    <cellStyle name="Percent 7 2 3 2 3" xfId="13103"/>
    <cellStyle name="Percent 7 2 3 3" xfId="13104"/>
    <cellStyle name="Percent 7 2 3 3 2" xfId="13105"/>
    <cellStyle name="Percent 7 2 3 3 3" xfId="13106"/>
    <cellStyle name="Percent 7 2 3 4" xfId="13107"/>
    <cellStyle name="Percent 7 2 3 5" xfId="13108"/>
    <cellStyle name="Percent 7 2 4" xfId="13109"/>
    <cellStyle name="Percent 7 2 4 2" xfId="13110"/>
    <cellStyle name="Percent 7 2 4 3" xfId="13111"/>
    <cellStyle name="Percent 7 2 5" xfId="13112"/>
    <cellStyle name="Percent 7 2 5 2" xfId="13113"/>
    <cellStyle name="Percent 7 2 5 3" xfId="13114"/>
    <cellStyle name="Percent 7 2 6" xfId="13115"/>
    <cellStyle name="Percent 7 2 7" xfId="13116"/>
    <cellStyle name="Percent 7 3" xfId="353"/>
    <cellStyle name="Percent 7 3 2" xfId="13117"/>
    <cellStyle name="Percent 7 3 2 2" xfId="13118"/>
    <cellStyle name="Percent 7 3 2 2 2" xfId="13119"/>
    <cellStyle name="Percent 7 3 2 2 3" xfId="13120"/>
    <cellStyle name="Percent 7 3 2 3" xfId="13121"/>
    <cellStyle name="Percent 7 3 2 3 2" xfId="13122"/>
    <cellStyle name="Percent 7 3 2 3 3" xfId="13123"/>
    <cellStyle name="Percent 7 3 2 4" xfId="13124"/>
    <cellStyle name="Percent 7 3 2 5" xfId="13125"/>
    <cellStyle name="Percent 7 3 3" xfId="13126"/>
    <cellStyle name="Percent 7 3 3 2" xfId="13127"/>
    <cellStyle name="Percent 7 3 3 3" xfId="13128"/>
    <cellStyle name="Percent 7 3 4" xfId="13129"/>
    <cellStyle name="Percent 7 3 4 2" xfId="13130"/>
    <cellStyle name="Percent 7 3 4 3" xfId="13131"/>
    <cellStyle name="Percent 7 3 5" xfId="13132"/>
    <cellStyle name="Percent 7 3 6" xfId="13133"/>
    <cellStyle name="Percent 7 4" xfId="13134"/>
    <cellStyle name="Percent 7 4 2" xfId="13135"/>
    <cellStyle name="Percent 7 4 2 2" xfId="13136"/>
    <cellStyle name="Percent 7 4 2 3" xfId="13137"/>
    <cellStyle name="Percent 7 4 3" xfId="13138"/>
    <cellStyle name="Percent 7 4 3 2" xfId="13139"/>
    <cellStyle name="Percent 7 4 3 3" xfId="13140"/>
    <cellStyle name="Percent 7 4 4" xfId="13141"/>
    <cellStyle name="Percent 7 4 5" xfId="13142"/>
    <cellStyle name="Percent 7 5" xfId="13143"/>
    <cellStyle name="Percent 7 5 2" xfId="13144"/>
    <cellStyle name="Percent 7 5 3" xfId="13145"/>
    <cellStyle name="Percent 7 6" xfId="13146"/>
    <cellStyle name="Percent 7 6 2" xfId="13147"/>
    <cellStyle name="Percent 7 6 3" xfId="13148"/>
    <cellStyle name="Percent 7 7" xfId="13149"/>
    <cellStyle name="Percent 7 8" xfId="13150"/>
    <cellStyle name="Percent 8" xfId="354"/>
    <cellStyle name="Percent 8 2" xfId="13151"/>
    <cellStyle name="Percent 8 2 2" xfId="13152"/>
    <cellStyle name="Percent 8 2 2 2" xfId="13153"/>
    <cellStyle name="Percent 8 2 2 2 2" xfId="13154"/>
    <cellStyle name="Percent 8 2 2 2 3" xfId="13155"/>
    <cellStyle name="Percent 8 2 2 3" xfId="13156"/>
    <cellStyle name="Percent 8 2 2 3 2" xfId="13157"/>
    <cellStyle name="Percent 8 2 2 3 3" xfId="13158"/>
    <cellStyle name="Percent 8 2 2 4" xfId="13159"/>
    <cellStyle name="Percent 8 2 2 5" xfId="13160"/>
    <cellStyle name="Percent 8 2 3" xfId="13161"/>
    <cellStyle name="Percent 8 2 3 2" xfId="13162"/>
    <cellStyle name="Percent 8 2 3 3" xfId="13163"/>
    <cellStyle name="Percent 8 2 4" xfId="13164"/>
    <cellStyle name="Percent 8 2 4 2" xfId="13165"/>
    <cellStyle name="Percent 8 2 4 3" xfId="13166"/>
    <cellStyle name="Percent 8 2 5" xfId="13167"/>
    <cellStyle name="Percent 8 2 6" xfId="13168"/>
    <cellStyle name="Percent 8 3" xfId="13169"/>
    <cellStyle name="Percent 8 3 2" xfId="13170"/>
    <cellStyle name="Percent 8 3 2 2" xfId="13171"/>
    <cellStyle name="Percent 8 3 2 3" xfId="13172"/>
    <cellStyle name="Percent 8 3 3" xfId="13173"/>
    <cellStyle name="Percent 8 3 3 2" xfId="13174"/>
    <cellStyle name="Percent 8 3 3 3" xfId="13175"/>
    <cellStyle name="Percent 8 3 4" xfId="13176"/>
    <cellStyle name="Percent 8 3 5" xfId="13177"/>
    <cellStyle name="Percent 8 4" xfId="13178"/>
    <cellStyle name="Percent 8 4 2" xfId="13179"/>
    <cellStyle name="Percent 8 4 3" xfId="13180"/>
    <cellStyle name="Percent 8 5" xfId="13181"/>
    <cellStyle name="Percent 8 5 2" xfId="13182"/>
    <cellStyle name="Percent 8 5 3" xfId="13183"/>
    <cellStyle name="Percent 8 6" xfId="13184"/>
    <cellStyle name="Percent 8 7" xfId="13185"/>
    <cellStyle name="Percent 9" xfId="13186"/>
    <cellStyle name="Percent 9 2" xfId="13187"/>
    <cellStyle name="Percent 9 3" xfId="13188"/>
    <cellStyle name="Percent 9 4" xfId="13189"/>
    <cellStyle name="Percent(1)" xfId="252"/>
    <cellStyle name="Percent(1) 2" xfId="13190"/>
    <cellStyle name="Percent(2)" xfId="253"/>
    <cellStyle name="Percent(2) 2" xfId="13191"/>
    <cellStyle name="Posting_Period" xfId="13192"/>
    <cellStyle name="PRM" xfId="254"/>
    <cellStyle name="PRM 2" xfId="255"/>
    <cellStyle name="PRM 3" xfId="256"/>
    <cellStyle name="PRM 4" xfId="13193"/>
    <cellStyle name="PRM_2011-11" xfId="257"/>
    <cellStyle name="PS_Comma" xfId="30"/>
    <cellStyle name="PSChar" xfId="31"/>
    <cellStyle name="PSChar 2" xfId="13194"/>
    <cellStyle name="PSDate" xfId="32"/>
    <cellStyle name="PSDec" xfId="33"/>
    <cellStyle name="PSHeading" xfId="34"/>
    <cellStyle name="PSHeading 2" xfId="13195"/>
    <cellStyle name="PSHeading 2 2" xfId="13196"/>
    <cellStyle name="PSHeading 2 3" xfId="15848"/>
    <cellStyle name="PSHeading 3" xfId="13197"/>
    <cellStyle name="PSInt" xfId="35"/>
    <cellStyle name="PSSpacer" xfId="36"/>
    <cellStyle name="Reset  - Style4" xfId="13198"/>
    <cellStyle name="Reset  - Style7" xfId="13199"/>
    <cellStyle name="STYL0 - Style1" xfId="355"/>
    <cellStyle name="STYL1 - Style2" xfId="356"/>
    <cellStyle name="STYL2 - Style3" xfId="357"/>
    <cellStyle name="STYL3 - Style4" xfId="358"/>
    <cellStyle name="STYL4 - Style5" xfId="359"/>
    <cellStyle name="STYL5 - Style6" xfId="360"/>
    <cellStyle name="STYL6 - Style7" xfId="361"/>
    <cellStyle name="STYL7 - Style8" xfId="362"/>
    <cellStyle name="Style 1" xfId="258"/>
    <cellStyle name="Style 1 2" xfId="259"/>
    <cellStyle name="Style 1 2 2" xfId="13200"/>
    <cellStyle name="Style 1 3" xfId="13201"/>
    <cellStyle name="Style 1 4" xfId="13202"/>
    <cellStyle name="Style 1 5" xfId="13203"/>
    <cellStyle name="Style 1_Recycle Center Commodities MRF" xfId="13204"/>
    <cellStyle name="STYLE1" xfId="260"/>
    <cellStyle name="STYLE1 2" xfId="13205"/>
    <cellStyle name="STYLE1 3" xfId="13206"/>
    <cellStyle name="sub heading" xfId="363"/>
    <cellStyle name="Table  - Style5" xfId="13207"/>
    <cellStyle name="Table  - Style5 10" xfId="14667"/>
    <cellStyle name="Table  - Style5 11" xfId="14287"/>
    <cellStyle name="Table  - Style5 12" xfId="14418"/>
    <cellStyle name="Table  - Style5 13" xfId="13592"/>
    <cellStyle name="Table  - Style5 14" xfId="14284"/>
    <cellStyle name="Table  - Style5 15" xfId="26278"/>
    <cellStyle name="Table  - Style5 16" xfId="27195"/>
    <cellStyle name="Table  - Style5 17" xfId="25999"/>
    <cellStyle name="Table  - Style5 18" xfId="26924"/>
    <cellStyle name="Table  - Style5 19" xfId="26195"/>
    <cellStyle name="Table  - Style5 2" xfId="13208"/>
    <cellStyle name="Table  - Style5 2 10" xfId="15140"/>
    <cellStyle name="Table  - Style5 2 11" xfId="26331"/>
    <cellStyle name="Table  - Style5 2 12" xfId="27722"/>
    <cellStyle name="Table  - Style5 2 13" xfId="27324"/>
    <cellStyle name="Table  - Style5 2 14" xfId="27456"/>
    <cellStyle name="Table  - Style5 2 15" xfId="26943"/>
    <cellStyle name="Table  - Style5 2 16" xfId="30833"/>
    <cellStyle name="Table  - Style5 2 17" xfId="27558"/>
    <cellStyle name="Table  - Style5 2 18" xfId="35026"/>
    <cellStyle name="Table  - Style5 2 19" xfId="35313"/>
    <cellStyle name="Table  - Style5 2 2" xfId="14909"/>
    <cellStyle name="Table  - Style5 2 3" xfId="15069"/>
    <cellStyle name="Table  - Style5 2 4" xfId="14967"/>
    <cellStyle name="Table  - Style5 2 5" xfId="15401"/>
    <cellStyle name="Table  - Style5 2 6" xfId="18891"/>
    <cellStyle name="Table  - Style5 2 7" xfId="13701"/>
    <cellStyle name="Table  - Style5 2 8" xfId="20937"/>
    <cellStyle name="Table  - Style5 2 9" xfId="15813"/>
    <cellStyle name="Table  - Style5 20" xfId="25879"/>
    <cellStyle name="Table  - Style5 21" xfId="26988"/>
    <cellStyle name="Table  - Style5 22" xfId="34974"/>
    <cellStyle name="Table  - Style5 23" xfId="35351"/>
    <cellStyle name="Table  - Style5 24" xfId="37519"/>
    <cellStyle name="Table  - Style5 3" xfId="13209"/>
    <cellStyle name="Table  - Style5 3 10" xfId="15302"/>
    <cellStyle name="Table  - Style5 3 11" xfId="26469"/>
    <cellStyle name="Table  - Style5 3 12" xfId="27674"/>
    <cellStyle name="Table  - Style5 3 13" xfId="26174"/>
    <cellStyle name="Table  - Style5 3 14" xfId="26908"/>
    <cellStyle name="Table  - Style5 3 15" xfId="27641"/>
    <cellStyle name="Table  - Style5 3 16" xfId="26621"/>
    <cellStyle name="Table  - Style5 3 17" xfId="27393"/>
    <cellStyle name="Table  - Style5 3 18" xfId="35152"/>
    <cellStyle name="Table  - Style5 3 19" xfId="35226"/>
    <cellStyle name="Table  - Style5 3 2" xfId="14838"/>
    <cellStyle name="Table  - Style5 3 3" xfId="14810"/>
    <cellStyle name="Table  - Style5 3 4" xfId="15428"/>
    <cellStyle name="Table  - Style5 3 5" xfId="14996"/>
    <cellStyle name="Table  - Style5 3 6" xfId="15610"/>
    <cellStyle name="Table  - Style5 3 7" xfId="13865"/>
    <cellStyle name="Table  - Style5 3 8" xfId="14224"/>
    <cellStyle name="Table  - Style5 3 9" xfId="14396"/>
    <cellStyle name="Table  - Style5 4" xfId="13210"/>
    <cellStyle name="Table  - Style5 4 10" xfId="14282"/>
    <cellStyle name="Table  - Style5 4 11" xfId="26451"/>
    <cellStyle name="Table  - Style5 4 12" xfId="27083"/>
    <cellStyle name="Table  - Style5 4 13" xfId="26167"/>
    <cellStyle name="Table  - Style5 4 14" xfId="26911"/>
    <cellStyle name="Table  - Style5 4 15" xfId="27495"/>
    <cellStyle name="Table  - Style5 4 16" xfId="27597"/>
    <cellStyle name="Table  - Style5 4 17" xfId="27357"/>
    <cellStyle name="Table  - Style5 4 18" xfId="35134"/>
    <cellStyle name="Table  - Style5 4 19" xfId="35238"/>
    <cellStyle name="Table  - Style5 4 2" xfId="15663"/>
    <cellStyle name="Table  - Style5 4 3" xfId="15415"/>
    <cellStyle name="Table  - Style5 4 4" xfId="15764"/>
    <cellStyle name="Table  - Style5 4 5" xfId="14387"/>
    <cellStyle name="Table  - Style5 4 6" xfId="14882"/>
    <cellStyle name="Table  - Style5 4 7" xfId="14342"/>
    <cellStyle name="Table  - Style5 4 8" xfId="14624"/>
    <cellStyle name="Table  - Style5 4 9" xfId="14595"/>
    <cellStyle name="Table  - Style5 5" xfId="13211"/>
    <cellStyle name="Table  - Style5 5 10" xfId="14588"/>
    <cellStyle name="Table  - Style5 5 11" xfId="26484"/>
    <cellStyle name="Table  - Style5 5 12" xfId="27060"/>
    <cellStyle name="Table  - Style5 5 13" xfId="26121"/>
    <cellStyle name="Table  - Style5 5 14" xfId="27643"/>
    <cellStyle name="Table  - Style5 5 15" xfId="26590"/>
    <cellStyle name="Table  - Style5 5 16" xfId="26670"/>
    <cellStyle name="Table  - Style5 5 17" xfId="26690"/>
    <cellStyle name="Table  - Style5 5 18" xfId="35167"/>
    <cellStyle name="Table  - Style5 5 19" xfId="35392"/>
    <cellStyle name="Table  - Style5 5 2" xfId="13604"/>
    <cellStyle name="Table  - Style5 5 3" xfId="14072"/>
    <cellStyle name="Table  - Style5 5 4" xfId="15104"/>
    <cellStyle name="Table  - Style5 5 5" xfId="13821"/>
    <cellStyle name="Table  - Style5 5 6" xfId="14674"/>
    <cellStyle name="Table  - Style5 5 7" xfId="18878"/>
    <cellStyle name="Table  - Style5 5 8" xfId="14584"/>
    <cellStyle name="Table  - Style5 5 9" xfId="15544"/>
    <cellStyle name="Table  - Style5 6" xfId="14939"/>
    <cellStyle name="Table  - Style5 7" xfId="14024"/>
    <cellStyle name="Table  - Style5 8" xfId="15630"/>
    <cellStyle name="Table  - Style5 9" xfId="13941"/>
    <cellStyle name="Table  - Style6" xfId="13212"/>
    <cellStyle name="Table  - Style6 10" xfId="15635"/>
    <cellStyle name="Table  - Style6 11" xfId="14537"/>
    <cellStyle name="Table  - Style6 12" xfId="13424"/>
    <cellStyle name="Table  - Style6 13" xfId="15338"/>
    <cellStyle name="Table  - Style6 14" xfId="15566"/>
    <cellStyle name="Table  - Style6 15" xfId="26279"/>
    <cellStyle name="Table  - Style6 16" xfId="27744"/>
    <cellStyle name="Table  - Style6 17" xfId="26250"/>
    <cellStyle name="Table  - Style6 18" xfId="26655"/>
    <cellStyle name="Table  - Style6 19" xfId="26045"/>
    <cellStyle name="Table  - Style6 2" xfId="13213"/>
    <cellStyle name="Table  - Style6 2 10" xfId="18874"/>
    <cellStyle name="Table  - Style6 2 11" xfId="26332"/>
    <cellStyle name="Table  - Style6 2 12" xfId="27158"/>
    <cellStyle name="Table  - Style6 2 13" xfId="25934"/>
    <cellStyle name="Table  - Style6 2 14" xfId="26917"/>
    <cellStyle name="Table  - Style6 2 15" xfId="28787"/>
    <cellStyle name="Table  - Style6 2 16" xfId="27840"/>
    <cellStyle name="Table  - Style6 2 17" xfId="26971"/>
    <cellStyle name="Table  - Style6 2 18" xfId="35027"/>
    <cellStyle name="Table  - Style6 2 19" xfId="35312"/>
    <cellStyle name="Table  - Style6 2 2" xfId="15696"/>
    <cellStyle name="Table  - Style6 2 3" xfId="15802"/>
    <cellStyle name="Table  - Style6 2 4" xfId="14966"/>
    <cellStyle name="Table  - Style6 2 5" xfId="13938"/>
    <cellStyle name="Table  - Style6 2 6" xfId="14295"/>
    <cellStyle name="Table  - Style6 2 7" xfId="15549"/>
    <cellStyle name="Table  - Style6 2 8" xfId="15532"/>
    <cellStyle name="Table  - Style6 2 9" xfId="14306"/>
    <cellStyle name="Table  - Style6 20" xfId="29778"/>
    <cellStyle name="Table  - Style6 21" xfId="27791"/>
    <cellStyle name="Table  - Style6 22" xfId="34975"/>
    <cellStyle name="Table  - Style6 23" xfId="35350"/>
    <cellStyle name="Table  - Style6 24" xfId="37520"/>
    <cellStyle name="Table  - Style6 3" xfId="13214"/>
    <cellStyle name="Table  - Style6 3 10" xfId="14241"/>
    <cellStyle name="Table  - Style6 3 11" xfId="26470"/>
    <cellStyle name="Table  - Style6 3 12" xfId="27070"/>
    <cellStyle name="Table  - Style6 3 13" xfId="26175"/>
    <cellStyle name="Table  - Style6 3 14" xfId="26637"/>
    <cellStyle name="Table  - Style6 3 15" xfId="27424"/>
    <cellStyle name="Table  - Style6 3 16" xfId="27539"/>
    <cellStyle name="Table  - Style6 3 17" xfId="27561"/>
    <cellStyle name="Table  - Style6 3 18" xfId="35153"/>
    <cellStyle name="Table  - Style6 3 19" xfId="35225"/>
    <cellStyle name="Table  - Style6 3 2" xfId="14837"/>
    <cellStyle name="Table  - Style6 3 3" xfId="13879"/>
    <cellStyle name="Table  - Style6 3 4" xfId="15728"/>
    <cellStyle name="Table  - Style6 3 5" xfId="13685"/>
    <cellStyle name="Table  - Style6 3 6" xfId="14496"/>
    <cellStyle name="Table  - Style6 3 7" xfId="14377"/>
    <cellStyle name="Table  - Style6 3 8" xfId="15144"/>
    <cellStyle name="Table  - Style6 3 9" xfId="18850"/>
    <cellStyle name="Table  - Style6 4" xfId="13215"/>
    <cellStyle name="Table  - Style6 4 10" xfId="13687"/>
    <cellStyle name="Table  - Style6 4 11" xfId="26426"/>
    <cellStyle name="Table  - Style6 4 12" xfId="27098"/>
    <cellStyle name="Table  - Style6 4 13" xfId="25977"/>
    <cellStyle name="Table  - Style6 4 14" xfId="27207"/>
    <cellStyle name="Table  - Style6 4 15" xfId="27473"/>
    <cellStyle name="Table  - Style6 4 16" xfId="26722"/>
    <cellStyle name="Table  - Style6 4 17" xfId="27635"/>
    <cellStyle name="Table  - Style6 4 18" xfId="35114"/>
    <cellStyle name="Table  - Style6 4 19" xfId="35254"/>
    <cellStyle name="Table  - Style6 4 2" xfId="15671"/>
    <cellStyle name="Table  - Style6 4 3" xfId="14059"/>
    <cellStyle name="Table  - Style6 4 4" xfId="13899"/>
    <cellStyle name="Table  - Style6 4 5" xfId="14473"/>
    <cellStyle name="Table  - Style6 4 6" xfId="15080"/>
    <cellStyle name="Table  - Style6 4 7" xfId="14563"/>
    <cellStyle name="Table  - Style6 4 8" xfId="14656"/>
    <cellStyle name="Table  - Style6 4 9" xfId="15856"/>
    <cellStyle name="Table  - Style6 5" xfId="13216"/>
    <cellStyle name="Table  - Style6 5 10" xfId="15644"/>
    <cellStyle name="Table  - Style6 5 11" xfId="26485"/>
    <cellStyle name="Table  - Style6 5 12" xfId="27668"/>
    <cellStyle name="Table  - Style6 5 13" xfId="26182"/>
    <cellStyle name="Table  - Style6 5 14" xfId="26635"/>
    <cellStyle name="Table  - Style6 5 15" xfId="26792"/>
    <cellStyle name="Table  - Style6 5 16" xfId="27420"/>
    <cellStyle name="Table  - Style6 5 17" xfId="26211"/>
    <cellStyle name="Table  - Style6 5 18" xfId="35168"/>
    <cellStyle name="Table  - Style6 5 19" xfId="35215"/>
    <cellStyle name="Table  - Style6 5 2" xfId="13603"/>
    <cellStyle name="Table  - Style6 5 3" xfId="14439"/>
    <cellStyle name="Table  - Style6 5 4" xfId="15760"/>
    <cellStyle name="Table  - Style6 5 5" xfId="13536"/>
    <cellStyle name="Table  - Style6 5 6" xfId="15292"/>
    <cellStyle name="Table  - Style6 5 7" xfId="14531"/>
    <cellStyle name="Table  - Style6 5 8" xfId="13495"/>
    <cellStyle name="Table  - Style6 5 9" xfId="14372"/>
    <cellStyle name="Table  - Style6 6" xfId="14938"/>
    <cellStyle name="Table  - Style6 7" xfId="13698"/>
    <cellStyle name="Table  - Style6 8" xfId="14636"/>
    <cellStyle name="Table  - Style6 9" xfId="14542"/>
    <cellStyle name="Tax_Rate" xfId="13217"/>
    <cellStyle name="Title" xfId="13348" builtinId="15" customBuiltin="1"/>
    <cellStyle name="Title  - Style1" xfId="13218"/>
    <cellStyle name="Title  - Style6" xfId="13219"/>
    <cellStyle name="Title 10" xfId="13220"/>
    <cellStyle name="Title 11" xfId="13221"/>
    <cellStyle name="Title 12" xfId="13222"/>
    <cellStyle name="Title 13" xfId="13223"/>
    <cellStyle name="Title 14" xfId="13224"/>
    <cellStyle name="Title 15" xfId="13225"/>
    <cellStyle name="Title 16" xfId="13226"/>
    <cellStyle name="Title 17" xfId="13227"/>
    <cellStyle name="Title 18" xfId="13228"/>
    <cellStyle name="Title 19" xfId="13229"/>
    <cellStyle name="Title 2" xfId="262"/>
    <cellStyle name="Title 2 2" xfId="13230"/>
    <cellStyle name="Title 2 2 2" xfId="13231"/>
    <cellStyle name="Title 2 3" xfId="13232"/>
    <cellStyle name="Title 20" xfId="13233"/>
    <cellStyle name="Title 21" xfId="13234"/>
    <cellStyle name="Title 22" xfId="13235"/>
    <cellStyle name="Title 23" xfId="13236"/>
    <cellStyle name="Title 24" xfId="13237"/>
    <cellStyle name="Title 25" xfId="13238"/>
    <cellStyle name="Title 3" xfId="261"/>
    <cellStyle name="Title 3 2" xfId="13240"/>
    <cellStyle name="Title 3 3" xfId="13239"/>
    <cellStyle name="Title 4" xfId="13241"/>
    <cellStyle name="Title 5" xfId="13242"/>
    <cellStyle name="Title 6" xfId="13243"/>
    <cellStyle name="Title 7" xfId="13244"/>
    <cellStyle name="Title 8" xfId="13245"/>
    <cellStyle name="Title 9" xfId="13246"/>
    <cellStyle name="Total" xfId="13364" builtinId="25" customBuiltin="1"/>
    <cellStyle name="Total 2" xfId="264"/>
    <cellStyle name="Total 2 2" xfId="364"/>
    <cellStyle name="Total 2 2 2" xfId="13247"/>
    <cellStyle name="Total 2 2 2 10" xfId="14159"/>
    <cellStyle name="Total 2 2 2 11" xfId="13497"/>
    <cellStyle name="Total 2 2 2 12" xfId="13908"/>
    <cellStyle name="Total 2 2 2 13" xfId="13664"/>
    <cellStyle name="Total 2 2 2 14" xfId="15469"/>
    <cellStyle name="Total 2 2 2 15" xfId="26280"/>
    <cellStyle name="Total 2 2 2 16" xfId="27743"/>
    <cellStyle name="Total 2 2 2 17" xfId="27510"/>
    <cellStyle name="Total 2 2 2 18" xfId="26069"/>
    <cellStyle name="Total 2 2 2 19" xfId="26871"/>
    <cellStyle name="Total 2 2 2 2" xfId="13248"/>
    <cellStyle name="Total 2 2 2 2 10" xfId="15232"/>
    <cellStyle name="Total 2 2 2 2 11" xfId="26333"/>
    <cellStyle name="Total 2 2 2 2 12" xfId="27721"/>
    <cellStyle name="Total 2 2 2 2 13" xfId="27583"/>
    <cellStyle name="Total 2 2 2 2 14" xfId="27601"/>
    <cellStyle name="Total 2 2 2 2 15" xfId="27402"/>
    <cellStyle name="Total 2 2 2 2 16" xfId="26795"/>
    <cellStyle name="Total 2 2 2 2 17" xfId="35028"/>
    <cellStyle name="Total 2 2 2 2 18" xfId="35446"/>
    <cellStyle name="Total 2 2 2 2 2" xfId="14908"/>
    <cellStyle name="Total 2 2 2 2 3" xfId="13876"/>
    <cellStyle name="Total 2 2 2 2 4" xfId="14965"/>
    <cellStyle name="Total 2 2 2 2 5" xfId="14412"/>
    <cellStyle name="Total 2 2 2 2 6" xfId="13584"/>
    <cellStyle name="Total 2 2 2 2 7" xfId="14116"/>
    <cellStyle name="Total 2 2 2 2 8" xfId="18876"/>
    <cellStyle name="Total 2 2 2 2 9" xfId="14207"/>
    <cellStyle name="Total 2 2 2 20" xfId="27004"/>
    <cellStyle name="Total 2 2 2 21" xfId="26070"/>
    <cellStyle name="Total 2 2 2 22" xfId="34976"/>
    <cellStyle name="Total 2 2 2 23" xfId="35467"/>
    <cellStyle name="Total 2 2 2 24" xfId="37521"/>
    <cellStyle name="Total 2 2 2 3" xfId="13249"/>
    <cellStyle name="Total 2 2 2 3 10" xfId="15254"/>
    <cellStyle name="Total 2 2 2 3 11" xfId="26471"/>
    <cellStyle name="Total 2 2 2 3 12" xfId="27673"/>
    <cellStyle name="Total 2 2 2 3 13" xfId="27644"/>
    <cellStyle name="Total 2 2 2 3 14" xfId="29826"/>
    <cellStyle name="Total 2 2 2 3 15" xfId="30845"/>
    <cellStyle name="Total 2 2 2 3 16" xfId="26984"/>
    <cellStyle name="Total 2 2 2 3 17" xfId="35154"/>
    <cellStyle name="Total 2 2 2 3 18" xfId="35397"/>
    <cellStyle name="Total 2 2 2 3 2" xfId="15656"/>
    <cellStyle name="Total 2 2 2 3 3" xfId="15164"/>
    <cellStyle name="Total 2 2 2 3 4" xfId="14315"/>
    <cellStyle name="Total 2 2 2 3 5" xfId="13798"/>
    <cellStyle name="Total 2 2 2 3 6" xfId="18912"/>
    <cellStyle name="Total 2 2 2 3 7" xfId="15136"/>
    <cellStyle name="Total 2 2 2 3 8" xfId="15045"/>
    <cellStyle name="Total 2 2 2 3 9" xfId="15725"/>
    <cellStyle name="Total 2 2 2 4" xfId="13250"/>
    <cellStyle name="Total 2 2 2 4 10" xfId="15305"/>
    <cellStyle name="Total 2 2 2 4 11" xfId="26452"/>
    <cellStyle name="Total 2 2 2 4 12" xfId="27082"/>
    <cellStyle name="Total 2 2 2 4 13" xfId="27452"/>
    <cellStyle name="Total 2 2 2 4 14" xfId="26784"/>
    <cellStyle name="Total 2 2 2 4 15" xfId="27816"/>
    <cellStyle name="Total 2 2 2 4 16" xfId="27502"/>
    <cellStyle name="Total 2 2 2 4 17" xfId="35135"/>
    <cellStyle name="Total 2 2 2 4 18" xfId="35404"/>
    <cellStyle name="Total 2 2 2 4 2" xfId="14846"/>
    <cellStyle name="Total 2 2 2 4 3" xfId="13441"/>
    <cellStyle name="Total 2 2 2 4 4" xfId="15020"/>
    <cellStyle name="Total 2 2 2 4 5" xfId="15175"/>
    <cellStyle name="Total 2 2 2 4 6" xfId="14216"/>
    <cellStyle name="Total 2 2 2 4 7" xfId="14529"/>
    <cellStyle name="Total 2 2 2 4 8" xfId="14107"/>
    <cellStyle name="Total 2 2 2 4 9" xfId="15465"/>
    <cellStyle name="Total 2 2 2 5" xfId="13251"/>
    <cellStyle name="Total 2 2 2 5 10" xfId="15857"/>
    <cellStyle name="Total 2 2 2 5 11" xfId="26486"/>
    <cellStyle name="Total 2 2 2 5 12" xfId="27059"/>
    <cellStyle name="Total 2 2 2 5 13" xfId="27231"/>
    <cellStyle name="Total 2 2 2 5 14" xfId="27500"/>
    <cellStyle name="Total 2 2 2 5 15" xfId="27331"/>
    <cellStyle name="Total 2 2 2 5 16" xfId="27785"/>
    <cellStyle name="Total 2 2 2 5 17" xfId="35169"/>
    <cellStyle name="Total 2 2 2 5 18" xfId="35214"/>
    <cellStyle name="Total 2 2 2 5 2" xfId="15653"/>
    <cellStyle name="Total 2 2 2 5 3" xfId="14440"/>
    <cellStyle name="Total 2 2 2 5 4" xfId="15009"/>
    <cellStyle name="Total 2 2 2 5 5" xfId="13682"/>
    <cellStyle name="Total 2 2 2 5 6" xfId="15703"/>
    <cellStyle name="Total 2 2 2 5 7" xfId="13680"/>
    <cellStyle name="Total 2 2 2 5 8" xfId="14302"/>
    <cellStyle name="Total 2 2 2 5 9" xfId="15449"/>
    <cellStyle name="Total 2 2 2 6" xfId="15714"/>
    <cellStyle name="Total 2 2 2 7" xfId="13700"/>
    <cellStyle name="Total 2 2 2 8" xfId="15287"/>
    <cellStyle name="Total 2 2 2 9" xfId="14725"/>
    <cellStyle name="Total 2 2 3" xfId="13252"/>
    <cellStyle name="Total 2 2 3 10" xfId="13653"/>
    <cellStyle name="Total 2 2 3 11" xfId="18896"/>
    <cellStyle name="Total 2 2 3 12" xfId="13650"/>
    <cellStyle name="Total 2 2 3 13" xfId="15603"/>
    <cellStyle name="Total 2 2 3 14" xfId="15098"/>
    <cellStyle name="Total 2 2 3 15" xfId="26086"/>
    <cellStyle name="Total 2 2 3 16" xfId="27781"/>
    <cellStyle name="Total 2 2 3 17" xfId="25958"/>
    <cellStyle name="Total 2 2 3 18" xfId="27316"/>
    <cellStyle name="Total 2 2 3 19" xfId="26008"/>
    <cellStyle name="Total 2 2 3 2" xfId="13253"/>
    <cellStyle name="Total 2 2 3 2 10" xfId="13461"/>
    <cellStyle name="Total 2 2 3 2 11" xfId="26307"/>
    <cellStyle name="Total 2 2 3 2 12" xfId="27732"/>
    <cellStyle name="Total 2 2 3 2 13" xfId="26920"/>
    <cellStyle name="Total 2 2 3 2 14" xfId="26755"/>
    <cellStyle name="Total 2 2 3 2 15" xfId="26856"/>
    <cellStyle name="Total 2 2 3 2 16" xfId="26970"/>
    <cellStyle name="Total 2 2 3 2 17" xfId="35003"/>
    <cellStyle name="Total 2 2 3 2 18" xfId="35457"/>
    <cellStyle name="Total 2 2 3 2 2" xfId="13613"/>
    <cellStyle name="Total 2 2 3 2 3" xfId="13722"/>
    <cellStyle name="Total 2 2 3 2 4" xfId="15286"/>
    <cellStyle name="Total 2 2 3 2 5" xfId="14728"/>
    <cellStyle name="Total 2 2 3 2 6" xfId="14704"/>
    <cellStyle name="Total 2 2 3 2 7" xfId="15618"/>
    <cellStyle name="Total 2 2 3 2 8" xfId="14569"/>
    <cellStyle name="Total 2 2 3 2 9" xfId="14408"/>
    <cellStyle name="Total 2 2 3 20" xfId="27336"/>
    <cellStyle name="Total 2 2 3 21" xfId="26656"/>
    <cellStyle name="Total 2 2 3 22" xfId="34946"/>
    <cellStyle name="Total 2 2 3 23" xfId="35476"/>
    <cellStyle name="Total 2 2 3 24" xfId="37522"/>
    <cellStyle name="Total 2 2 3 3" xfId="13254"/>
    <cellStyle name="Total 2 2 3 3 10" xfId="14269"/>
    <cellStyle name="Total 2 2 3 3 11" xfId="26387"/>
    <cellStyle name="Total 2 2 3 3 12" xfId="27124"/>
    <cellStyle name="Total 2 2 3 3 13" xfId="27413"/>
    <cellStyle name="Total 2 2 3 3 14" xfId="26771"/>
    <cellStyle name="Total 2 2 3 3 15" xfId="26598"/>
    <cellStyle name="Total 2 2 3 3 16" xfId="27559"/>
    <cellStyle name="Total 2 2 3 3 17" xfId="35078"/>
    <cellStyle name="Total 2 2 3 3 18" xfId="35428"/>
    <cellStyle name="Total 2 2 3 3 2" xfId="14877"/>
    <cellStyle name="Total 2 2 3 3 3" xfId="14423"/>
    <cellStyle name="Total 2 2 3 3 4" xfId="15768"/>
    <cellStyle name="Total 2 2 3 3 5" xfId="14382"/>
    <cellStyle name="Total 2 2 3 3 6" xfId="13856"/>
    <cellStyle name="Total 2 2 3 3 7" xfId="15744"/>
    <cellStyle name="Total 2 2 3 3 8" xfId="15521"/>
    <cellStyle name="Total 2 2 3 3 9" xfId="14020"/>
    <cellStyle name="Total 2 2 3 4" xfId="13255"/>
    <cellStyle name="Total 2 2 3 4 10" xfId="15623"/>
    <cellStyle name="Total 2 2 3 4 11" xfId="26363"/>
    <cellStyle name="Total 2 2 3 4 12" xfId="26032"/>
    <cellStyle name="Total 2 2 3 4 13" xfId="26645"/>
    <cellStyle name="Total 2 2 3 4 14" xfId="26764"/>
    <cellStyle name="Total 2 2 3 4 15" xfId="27461"/>
    <cellStyle name="Total 2 2 3 4 16" xfId="27213"/>
    <cellStyle name="Total 2 2 3 4 17" xfId="35055"/>
    <cellStyle name="Total 2 2 3 4 18" xfId="34894"/>
    <cellStyle name="Total 2 2 3 4 2" xfId="14892"/>
    <cellStyle name="Total 2 2 3 4 3" xfId="13758"/>
    <cellStyle name="Total 2 2 3 4 4" xfId="15282"/>
    <cellStyle name="Total 2 2 3 4 5" xfId="15594"/>
    <cellStyle name="Total 2 2 3 4 6" xfId="14612"/>
    <cellStyle name="Total 2 2 3 4 7" xfId="14561"/>
    <cellStyle name="Total 2 2 3 4 8" xfId="13415"/>
    <cellStyle name="Total 2 2 3 4 9" xfId="14078"/>
    <cellStyle name="Total 2 2 3 5" xfId="13256"/>
    <cellStyle name="Total 2 2 3 5 10" xfId="15184"/>
    <cellStyle name="Total 2 2 3 5 11" xfId="26464"/>
    <cellStyle name="Total 2 2 3 5 12" xfId="27676"/>
    <cellStyle name="Total 2 2 3 5 13" xfId="27645"/>
    <cellStyle name="Total 2 2 3 5 14" xfId="26787"/>
    <cellStyle name="Total 2 2 3 5 15" xfId="26693"/>
    <cellStyle name="Total 2 2 3 5 16" xfId="27796"/>
    <cellStyle name="Total 2 2 3 5 17" xfId="35147"/>
    <cellStyle name="Total 2 2 3 5 18" xfId="35229"/>
    <cellStyle name="Total 2 2 3 5 2" xfId="14842"/>
    <cellStyle name="Total 2 2 3 5 3" xfId="14431"/>
    <cellStyle name="Total 2 2 3 5 4" xfId="15015"/>
    <cellStyle name="Total 2 2 3 5 5" xfId="15176"/>
    <cellStyle name="Total 2 2 3 5 6" xfId="14808"/>
    <cellStyle name="Total 2 2 3 5 7" xfId="15352"/>
    <cellStyle name="Total 2 2 3 5 8" xfId="18890"/>
    <cellStyle name="Total 2 2 3 5 9" xfId="13408"/>
    <cellStyle name="Total 2 2 3 6" xfId="13846"/>
    <cellStyle name="Total 2 2 3 7" xfId="15374"/>
    <cellStyle name="Total 2 2 3 8" xfId="14922"/>
    <cellStyle name="Total 2 2 3 9" xfId="15340"/>
    <cellStyle name="Total 2 2 4" xfId="13257"/>
    <cellStyle name="Total 2 2 4 10" xfId="24874"/>
    <cellStyle name="Total 2 2 4 11" xfId="25873"/>
    <cellStyle name="Total 2 2 4 12" xfId="28779"/>
    <cellStyle name="Total 2 2 4 13" xfId="29796"/>
    <cellStyle name="Total 2 2 4 14" xfId="30829"/>
    <cellStyle name="Total 2 2 4 15" xfId="31824"/>
    <cellStyle name="Total 2 2 4 16" xfId="32828"/>
    <cellStyle name="Total 2 2 4 17" xfId="33831"/>
    <cellStyle name="Total 2 2 4 18" xfId="34830"/>
    <cellStyle name="Total 2 2 4 19" xfId="36391"/>
    <cellStyle name="Total 2 2 4 2" xfId="16863"/>
    <cellStyle name="Total 2 2 4 20" xfId="37390"/>
    <cellStyle name="Total 2 2 4 3" xfId="17843"/>
    <cellStyle name="Total 2 2 4 4" xfId="18868"/>
    <cellStyle name="Total 2 2 4 5" xfId="19902"/>
    <cellStyle name="Total 2 2 4 6" xfId="20927"/>
    <cellStyle name="Total 2 2 4 7" xfId="21887"/>
    <cellStyle name="Total 2 2 4 8" xfId="22899"/>
    <cellStyle name="Total 2 2 4 9" xfId="23902"/>
    <cellStyle name="Total 2 2 5" xfId="13258"/>
    <cellStyle name="Total 2 2 5 10" xfId="24876"/>
    <cellStyle name="Total 2 2 5 11" xfId="25875"/>
    <cellStyle name="Total 2 2 5 12" xfId="28781"/>
    <cellStyle name="Total 2 2 5 13" xfId="29798"/>
    <cellStyle name="Total 2 2 5 14" xfId="30831"/>
    <cellStyle name="Total 2 2 5 15" xfId="31826"/>
    <cellStyle name="Total 2 2 5 16" xfId="32830"/>
    <cellStyle name="Total 2 2 5 17" xfId="33833"/>
    <cellStyle name="Total 2 2 5 18" xfId="34832"/>
    <cellStyle name="Total 2 2 5 19" xfId="36393"/>
    <cellStyle name="Total 2 2 5 2" xfId="16865"/>
    <cellStyle name="Total 2 2 5 20" xfId="37392"/>
    <cellStyle name="Total 2 2 5 3" xfId="17845"/>
    <cellStyle name="Total 2 2 5 4" xfId="18870"/>
    <cellStyle name="Total 2 2 5 5" xfId="19904"/>
    <cellStyle name="Total 2 2 5 6" xfId="20929"/>
    <cellStyle name="Total 2 2 5 7" xfId="21889"/>
    <cellStyle name="Total 2 2 5 8" xfId="22901"/>
    <cellStyle name="Total 2 2 5 9" xfId="23904"/>
    <cellStyle name="Total 2 2 6" xfId="37461"/>
    <cellStyle name="Total 2 3" xfId="13259"/>
    <cellStyle name="Total 2 3 10" xfId="15050"/>
    <cellStyle name="Total 2 3 11" xfId="15130"/>
    <cellStyle name="Total 2 3 12" xfId="15717"/>
    <cellStyle name="Total 2 3 13" xfId="15511"/>
    <cellStyle name="Total 2 3 14" xfId="14165"/>
    <cellStyle name="Total 2 3 15" xfId="16843"/>
    <cellStyle name="Total 2 3 16" xfId="27267"/>
    <cellStyle name="Total 2 3 17" xfId="26496"/>
    <cellStyle name="Total 2 3 18" xfId="27338"/>
    <cellStyle name="Total 2 3 19" xfId="27612"/>
    <cellStyle name="Total 2 3 2" xfId="13260"/>
    <cellStyle name="Total 2 3 2 10" xfId="15133"/>
    <cellStyle name="Total 2 3 2 11" xfId="14226"/>
    <cellStyle name="Total 2 3 2 12" xfId="21865"/>
    <cellStyle name="Total 2 3 2 13" xfId="19911"/>
    <cellStyle name="Total 2 3 2 14" xfId="21869"/>
    <cellStyle name="Total 2 3 2 15" xfId="27251"/>
    <cellStyle name="Total 2 3 2 16" xfId="25936"/>
    <cellStyle name="Total 2 3 2 17" xfId="27770"/>
    <cellStyle name="Total 2 3 2 18" xfId="26608"/>
    <cellStyle name="Total 2 3 2 19" xfId="27233"/>
    <cellStyle name="Total 2 3 2 2" xfId="13261"/>
    <cellStyle name="Total 2 3 2 2 10" xfId="14682"/>
    <cellStyle name="Total 2 3 2 2 11" xfId="27163"/>
    <cellStyle name="Total 2 3 2 2 12" xfId="25883"/>
    <cellStyle name="Total 2 3 2 2 13" xfId="26237"/>
    <cellStyle name="Total 2 3 2 2 14" xfId="26872"/>
    <cellStyle name="Total 2 3 2 2 15" xfId="27218"/>
    <cellStyle name="Total 2 3 2 2 16" xfId="27242"/>
    <cellStyle name="Total 2 3 2 2 17" xfId="35318"/>
    <cellStyle name="Total 2 3 2 2 2" xfId="15699"/>
    <cellStyle name="Total 2 3 2 2 3" xfId="13735"/>
    <cellStyle name="Total 2 3 2 2 4" xfId="15027"/>
    <cellStyle name="Total 2 3 2 2 5" xfId="14380"/>
    <cellStyle name="Total 2 3 2 2 6" xfId="14613"/>
    <cellStyle name="Total 2 3 2 2 7" xfId="14331"/>
    <cellStyle name="Total 2 3 2 2 8" xfId="15066"/>
    <cellStyle name="Total 2 3 2 2 9" xfId="13504"/>
    <cellStyle name="Total 2 3 2 20" xfId="26628"/>
    <cellStyle name="Total 2 3 2 21" xfId="35357"/>
    <cellStyle name="Total 2 3 2 3" xfId="13262"/>
    <cellStyle name="Total 2 3 2 3 10" xfId="13435"/>
    <cellStyle name="Total 2 3 2 3 11" xfId="27112"/>
    <cellStyle name="Total 2 3 2 3 12" xfId="26147"/>
    <cellStyle name="Total 2 3 2 3 13" xfId="27579"/>
    <cellStyle name="Total 2 3 2 3 14" xfId="27295"/>
    <cellStyle name="Total 2 3 2 3 15" xfId="27563"/>
    <cellStyle name="Total 2 3 2 3 16" xfId="27199"/>
    <cellStyle name="Total 2 3 2 3 17" xfId="35267"/>
    <cellStyle name="Total 2 3 2 3 2" xfId="15675"/>
    <cellStyle name="Total 2 3 2 3 3" xfId="15075"/>
    <cellStyle name="Total 2 3 2 3 4" xfId="14960"/>
    <cellStyle name="Total 2 3 2 3 5" xfId="15404"/>
    <cellStyle name="Total 2 3 2 3 6" xfId="15259"/>
    <cellStyle name="Total 2 3 2 3 7" xfId="14223"/>
    <cellStyle name="Total 2 3 2 3 8" xfId="16839"/>
    <cellStyle name="Total 2 3 2 3 9" xfId="14489"/>
    <cellStyle name="Total 2 3 2 4" xfId="13263"/>
    <cellStyle name="Total 2 3 2 4 10" xfId="20903"/>
    <cellStyle name="Total 2 3 2 4 11" xfId="26039"/>
    <cellStyle name="Total 2 3 2 4 12" xfId="26137"/>
    <cellStyle name="Total 2 3 2 4 13" xfId="27023"/>
    <cellStyle name="Total 2 3 2 4 14" xfId="26541"/>
    <cellStyle name="Total 2 3 2 4 15" xfId="26740"/>
    <cellStyle name="Total 2 3 2 4 16" xfId="26796"/>
    <cellStyle name="Total 2 3 2 4 17" xfId="35298"/>
    <cellStyle name="Total 2 3 2 4 2" xfId="15690"/>
    <cellStyle name="Total 2 3 2 4 3" xfId="13746"/>
    <cellStyle name="Total 2 3 2 4 4" xfId="14629"/>
    <cellStyle name="Total 2 3 2 4 5" xfId="15488"/>
    <cellStyle name="Total 2 3 2 4 6" xfId="15454"/>
    <cellStyle name="Total 2 3 2 4 7" xfId="13665"/>
    <cellStyle name="Total 2 3 2 4 8" xfId="13880"/>
    <cellStyle name="Total 2 3 2 4 9" xfId="15148"/>
    <cellStyle name="Total 2 3 2 5" xfId="13264"/>
    <cellStyle name="Total 2 3 2 5 10" xfId="15100"/>
    <cellStyle name="Total 2 3 2 5 11" xfId="27077"/>
    <cellStyle name="Total 2 3 2 5 12" xfId="26171"/>
    <cellStyle name="Total 2 3 2 5 13" xfId="26707"/>
    <cellStyle name="Total 2 3 2 5 14" xfId="26785"/>
    <cellStyle name="Total 2 3 2 5 15" xfId="27311"/>
    <cellStyle name="Total 2 3 2 5 16" xfId="26593"/>
    <cellStyle name="Total 2 3 2 5 17" xfId="35401"/>
    <cellStyle name="Total 2 3 2 5 2" xfId="14843"/>
    <cellStyle name="Total 2 3 2 5 3" xfId="14429"/>
    <cellStyle name="Total 2 3 2 5 4" xfId="15017"/>
    <cellStyle name="Total 2 3 2 5 5" xfId="14009"/>
    <cellStyle name="Total 2 3 2 5 6" xfId="15031"/>
    <cellStyle name="Total 2 3 2 5 7" xfId="15365"/>
    <cellStyle name="Total 2 3 2 5 8" xfId="15559"/>
    <cellStyle name="Total 2 3 2 5 9" xfId="18846"/>
    <cellStyle name="Total 2 3 2 6" xfId="13837"/>
    <cellStyle name="Total 2 3 2 7" xfId="14360"/>
    <cellStyle name="Total 2 3 2 8" xfId="13841"/>
    <cellStyle name="Total 2 3 2 9" xfId="14313"/>
    <cellStyle name="Total 2 3 20" xfId="27610"/>
    <cellStyle name="Total 2 3 21" xfId="26589"/>
    <cellStyle name="Total 2 3 22" xfId="35373"/>
    <cellStyle name="Total 2 3 23" xfId="37523"/>
    <cellStyle name="Total 2 3 3" xfId="13265"/>
    <cellStyle name="Total 2 3 3 10" xfId="15382"/>
    <cellStyle name="Total 2 3 3 11" xfId="27186"/>
    <cellStyle name="Total 2 3 3 12" xfId="26000"/>
    <cellStyle name="Total 2 3 3 13" xfId="26229"/>
    <cellStyle name="Total 2 3 3 14" xfId="26744"/>
    <cellStyle name="Total 2 3 3 15" xfId="26664"/>
    <cellStyle name="Total 2 3 3 16" xfId="26224"/>
    <cellStyle name="Total 2 3 3 17" xfId="35462"/>
    <cellStyle name="Total 2 3 3 2" xfId="15709"/>
    <cellStyle name="Total 2 3 3 3" xfId="15190"/>
    <cellStyle name="Total 2 3 3 4" xfId="14790"/>
    <cellStyle name="Total 2 3 3 5" xfId="13432"/>
    <cellStyle name="Total 2 3 3 6" xfId="13940"/>
    <cellStyle name="Total 2 3 3 7" xfId="14599"/>
    <cellStyle name="Total 2 3 3 8" xfId="14746"/>
    <cellStyle name="Total 2 3 3 9" xfId="15371"/>
    <cellStyle name="Total 2 3 4" xfId="13266"/>
    <cellStyle name="Total 2 3 4 10" xfId="14678"/>
    <cellStyle name="Total 2 3 4 11" xfId="27136"/>
    <cellStyle name="Total 2 3 4 12" xfId="26140"/>
    <cellStyle name="Total 2 3 4 13" xfId="27763"/>
    <cellStyle name="Total 2 3 4 14" xfId="26767"/>
    <cellStyle name="Total 2 3 4 15" xfId="27817"/>
    <cellStyle name="Total 2 3 4 16" xfId="26996"/>
    <cellStyle name="Total 2 3 4 17" xfId="35291"/>
    <cellStyle name="Total 2 3 4 2" xfId="14886"/>
    <cellStyle name="Total 2 3 4 3" xfId="14420"/>
    <cellStyle name="Total 2 3 4 4" xfId="15281"/>
    <cellStyle name="Total 2 3 4 5" xfId="14734"/>
    <cellStyle name="Total 2 3 4 6" xfId="14664"/>
    <cellStyle name="Total 2 3 4 7" xfId="15468"/>
    <cellStyle name="Total 2 3 4 8" xfId="15251"/>
    <cellStyle name="Total 2 3 4 9" xfId="14956"/>
    <cellStyle name="Total 2 3 5" xfId="13267"/>
    <cellStyle name="Total 2 3 5 10" xfId="14705"/>
    <cellStyle name="Total 2 3 5 11" xfId="27141"/>
    <cellStyle name="Total 2 3 5 12" xfId="25970"/>
    <cellStyle name="Total 2 3 5 13" xfId="27022"/>
    <cellStyle name="Total 2 3 5 14" xfId="27365"/>
    <cellStyle name="Total 2 3 5 15" xfId="27450"/>
    <cellStyle name="Total 2 3 5 16" xfId="26899"/>
    <cellStyle name="Total 2 3 5 17" xfId="35295"/>
    <cellStyle name="Total 2 3 5 2" xfId="15688"/>
    <cellStyle name="Total 2 3 5 3" xfId="13751"/>
    <cellStyle name="Total 2 3 5 4" xfId="15536"/>
    <cellStyle name="Total 2 3 5 5" xfId="15489"/>
    <cellStyle name="Total 2 3 5 6" xfId="15002"/>
    <cellStyle name="Total 2 3 5 7" xfId="14700"/>
    <cellStyle name="Total 2 3 5 8" xfId="14451"/>
    <cellStyle name="Total 2 3 5 9" xfId="13937"/>
    <cellStyle name="Total 2 3 6" xfId="13268"/>
    <cellStyle name="Total 2 3 6 10" xfId="15180"/>
    <cellStyle name="Total 2 3 6 11" xfId="27711"/>
    <cellStyle name="Total 2 3 6 12" xfId="28330"/>
    <cellStyle name="Total 2 3 6 13" xfId="27303"/>
    <cellStyle name="Total 2 3 6 14" xfId="26544"/>
    <cellStyle name="Total 2 3 6 15" xfId="27053"/>
    <cellStyle name="Total 2 3 6 16" xfId="27622"/>
    <cellStyle name="Total 2 3 6 17" xfId="35435"/>
    <cellStyle name="Total 2 3 6 2" xfId="15683"/>
    <cellStyle name="Total 2 3 6 3" xfId="13764"/>
    <cellStyle name="Total 2 3 6 4" xfId="15534"/>
    <cellStyle name="Total 2 3 6 5" xfId="15246"/>
    <cellStyle name="Total 2 3 6 6" xfId="16365"/>
    <cellStyle name="Total 2 3 6 7" xfId="14365"/>
    <cellStyle name="Total 2 3 6 8" xfId="14772"/>
    <cellStyle name="Total 2 3 6 9" xfId="13525"/>
    <cellStyle name="Total 2 3 7" xfId="13862"/>
    <cellStyle name="Total 2 3 8" xfId="15141"/>
    <cellStyle name="Total 2 3 9" xfId="14332"/>
    <cellStyle name="Total 2 4" xfId="13269"/>
    <cellStyle name="Total 2 4 10" xfId="14339"/>
    <cellStyle name="Total 2 4 11" xfId="15120"/>
    <cellStyle name="Total 2 4 12" xfId="14458"/>
    <cellStyle name="Total 2 4 13" xfId="13884"/>
    <cellStyle name="Total 2 4 14" xfId="19910"/>
    <cellStyle name="Total 2 4 15" xfId="14701"/>
    <cellStyle name="Total 2 4 16" xfId="27266"/>
    <cellStyle name="Total 2 4 17" xfId="26665"/>
    <cellStyle name="Total 2 4 18" xfId="27463"/>
    <cellStyle name="Total 2 4 19" xfId="26803"/>
    <cellStyle name="Total 2 4 2" xfId="13270"/>
    <cellStyle name="Total 2 4 2 10" xfId="14536"/>
    <cellStyle name="Total 2 4 2 11" xfId="13826"/>
    <cellStyle name="Total 2 4 2 12" xfId="14951"/>
    <cellStyle name="Total 2 4 2 13" xfId="20941"/>
    <cellStyle name="Total 2 4 2 14" xfId="13882"/>
    <cellStyle name="Total 2 4 2 15" xfId="27772"/>
    <cellStyle name="Total 2 4 2 16" xfId="27241"/>
    <cellStyle name="Total 2 4 2 17" xfId="26186"/>
    <cellStyle name="Total 2 4 2 18" xfId="27554"/>
    <cellStyle name="Total 2 4 2 19" xfId="27440"/>
    <cellStyle name="Total 2 4 2 2" xfId="13271"/>
    <cellStyle name="Total 2 4 2 2 10" xfId="15621"/>
    <cellStyle name="Total 2 4 2 2 11" xfId="26042"/>
    <cellStyle name="Total 2 4 2 2 12" xfId="26649"/>
    <cellStyle name="Total 2 4 2 2 13" xfId="26734"/>
    <cellStyle name="Total 2 4 2 2 14" xfId="26599"/>
    <cellStyle name="Total 2 4 2 2 15" xfId="27404"/>
    <cellStyle name="Total 2 4 2 2 16" xfId="35317"/>
    <cellStyle name="Total 2 4 2 2 2" xfId="14913"/>
    <cellStyle name="Total 2 4 2 2 3" xfId="14037"/>
    <cellStyle name="Total 2 4 2 2 4" xfId="14301"/>
    <cellStyle name="Total 2 4 2 2 5" xfId="15435"/>
    <cellStyle name="Total 2 4 2 2 6" xfId="15226"/>
    <cellStyle name="Total 2 4 2 2 7" xfId="15165"/>
    <cellStyle name="Total 2 4 2 2 8" xfId="13691"/>
    <cellStyle name="Total 2 4 2 2 9" xfId="14758"/>
    <cellStyle name="Total 2 4 2 20" xfId="35356"/>
    <cellStyle name="Total 2 4 2 3" xfId="13272"/>
    <cellStyle name="Total 2 4 2 3 10" xfId="15035"/>
    <cellStyle name="Total 2 4 2 3 11" xfId="27697"/>
    <cellStyle name="Total 2 4 2 3 12" xfId="27018"/>
    <cellStyle name="Total 2 4 2 3 13" xfId="27430"/>
    <cellStyle name="Total 2 4 2 3 14" xfId="26157"/>
    <cellStyle name="Total 2 4 2 3 15" xfId="27285"/>
    <cellStyle name="Total 2 4 2 3 16" xfId="35421"/>
    <cellStyle name="Total 2 4 2 3 2" xfId="14866"/>
    <cellStyle name="Total 2 4 2 3 3" xfId="15854"/>
    <cellStyle name="Total 2 4 2 3 4" xfId="14316"/>
    <cellStyle name="Total 2 4 2 3 5" xfId="13670"/>
    <cellStyle name="Total 2 4 2 3 6" xfId="13393"/>
    <cellStyle name="Total 2 4 2 3 7" xfId="15599"/>
    <cellStyle name="Total 2 4 2 3 8" xfId="14585"/>
    <cellStyle name="Total 2 4 2 3 9" xfId="21897"/>
    <cellStyle name="Total 2 4 2 4" xfId="13273"/>
    <cellStyle name="Total 2 4 2 4 10" xfId="15032"/>
    <cellStyle name="Total 2 4 2 4 11" xfId="26038"/>
    <cellStyle name="Total 2 4 2 4 12" xfId="26018"/>
    <cellStyle name="Total 2 4 2 4 13" xfId="27483"/>
    <cellStyle name="Total 2 4 2 4 14" xfId="28743"/>
    <cellStyle name="Total 2 4 2 4 15" xfId="27572"/>
    <cellStyle name="Total 2 4 2 4 16" xfId="35297"/>
    <cellStyle name="Total 2 4 2 4 2" xfId="14897"/>
    <cellStyle name="Total 2 4 2 4 3" xfId="13747"/>
    <cellStyle name="Total 2 4 2 4 4" xfId="15537"/>
    <cellStyle name="Total 2 4 2 4 5" xfId="14548"/>
    <cellStyle name="Total 2 4 2 4 6" xfId="15811"/>
    <cellStyle name="Total 2 4 2 4 7" xfId="17860"/>
    <cellStyle name="Total 2 4 2 4 8" xfId="14724"/>
    <cellStyle name="Total 2 4 2 4 9" xfId="14712"/>
    <cellStyle name="Total 2 4 2 5" xfId="13274"/>
    <cellStyle name="Total 2 4 2 5 10" xfId="13447"/>
    <cellStyle name="Total 2 4 2 5 11" xfId="27096"/>
    <cellStyle name="Total 2 4 2 5 12" xfId="26271"/>
    <cellStyle name="Total 2 4 2 5 13" xfId="27348"/>
    <cellStyle name="Total 2 4 2 5 14" xfId="27407"/>
    <cellStyle name="Total 2 4 2 5 15" xfId="27757"/>
    <cellStyle name="Total 2 4 2 5 16" xfId="34849"/>
    <cellStyle name="Total 2 4 2 5 2" xfId="14853"/>
    <cellStyle name="Total 2 4 2 5 3" xfId="13942"/>
    <cellStyle name="Total 2 4 2 5 4" xfId="15528"/>
    <cellStyle name="Total 2 4 2 5 5" xfId="15248"/>
    <cellStyle name="Total 2 4 2 5 6" xfId="15005"/>
    <cellStyle name="Total 2 4 2 5 7" xfId="14142"/>
    <cellStyle name="Total 2 4 2 5 8" xfId="15033"/>
    <cellStyle name="Total 2 4 2 5 9" xfId="14231"/>
    <cellStyle name="Total 2 4 2 6" xfId="15785"/>
    <cellStyle name="Total 2 4 2 7" xfId="15170"/>
    <cellStyle name="Total 2 4 2 8" xfId="13458"/>
    <cellStyle name="Total 2 4 2 9" xfId="13471"/>
    <cellStyle name="Total 2 4 20" xfId="31828"/>
    <cellStyle name="Total 2 4 21" xfId="35372"/>
    <cellStyle name="Total 2 4 22" xfId="37524"/>
    <cellStyle name="Total 2 4 3" xfId="13275"/>
    <cellStyle name="Total 2 4 3 10" xfId="14213"/>
    <cellStyle name="Total 2 4 3 11" xfId="27185"/>
    <cellStyle name="Total 2 4 3 12" xfId="26049"/>
    <cellStyle name="Total 2 4 3 13" xfId="26535"/>
    <cellStyle name="Total 2 4 3 14" xfId="26891"/>
    <cellStyle name="Total 2 4 3 15" xfId="26873"/>
    <cellStyle name="Total 2 4 3 16" xfId="35340"/>
    <cellStyle name="Total 2 4 3 2" xfId="14929"/>
    <cellStyle name="Total 2 4 3 3" xfId="13712"/>
    <cellStyle name="Total 2 4 3 4" xfId="14197"/>
    <cellStyle name="Total 2 4 3 5" xfId="13514"/>
    <cellStyle name="Total 2 4 3 6" xfId="14762"/>
    <cellStyle name="Total 2 4 3 7" xfId="15091"/>
    <cellStyle name="Total 2 4 3 8" xfId="15237"/>
    <cellStyle name="Total 2 4 3 9" xfId="15734"/>
    <cellStyle name="Total 2 4 4" xfId="13276"/>
    <cellStyle name="Total 2 4 4 10" xfId="14795"/>
    <cellStyle name="Total 2 4 4 11" xfId="27135"/>
    <cellStyle name="Total 2 4 4 12" xfId="26014"/>
    <cellStyle name="Total 2 4 4 13" xfId="26545"/>
    <cellStyle name="Total 2 4 4 14" xfId="27447"/>
    <cellStyle name="Total 2 4 4 15" xfId="26838"/>
    <cellStyle name="Total 2 4 4 16" xfId="35434"/>
    <cellStyle name="Total 2 4 4 2" xfId="14885"/>
    <cellStyle name="Total 2 4 4 3" xfId="15407"/>
    <cellStyle name="Total 2 4 4 4" xfId="14625"/>
    <cellStyle name="Total 2 4 4 5" xfId="15491"/>
    <cellStyle name="Total 2 4 4 6" xfId="14761"/>
    <cellStyle name="Total 2 4 4 7" xfId="13623"/>
    <cellStyle name="Total 2 4 4 8" xfId="14776"/>
    <cellStyle name="Total 2 4 4 9" xfId="13638"/>
    <cellStyle name="Total 2 4 5" xfId="13277"/>
    <cellStyle name="Total 2 4 5 10" xfId="13602"/>
    <cellStyle name="Total 2 4 5 11" xfId="27140"/>
    <cellStyle name="Total 2 4 5 12" xfId="26506"/>
    <cellStyle name="Total 2 4 5 13" xfId="25994"/>
    <cellStyle name="Total 2 4 5 14" xfId="27542"/>
    <cellStyle name="Total 2 4 5 15" xfId="25923"/>
    <cellStyle name="Total 2 4 5 16" xfId="34880"/>
    <cellStyle name="Total 2 4 5 2" xfId="14894"/>
    <cellStyle name="Total 2 4 5 3" xfId="13752"/>
    <cellStyle name="Total 2 4 5 4" xfId="14628"/>
    <cellStyle name="Total 2 4 5 5" xfId="14134"/>
    <cellStyle name="Total 2 4 5 6" xfId="14104"/>
    <cellStyle name="Total 2 4 5 7" xfId="15778"/>
    <cellStyle name="Total 2 4 5 8" xfId="13782"/>
    <cellStyle name="Total 2 4 5 9" xfId="15046"/>
    <cellStyle name="Total 2 4 6" xfId="13278"/>
    <cellStyle name="Total 2 4 6 10" xfId="14229"/>
    <cellStyle name="Total 2 4 6 11" xfId="25900"/>
    <cellStyle name="Total 2 4 6 12" xfId="27753"/>
    <cellStyle name="Total 2 4 6 13" xfId="27851"/>
    <cellStyle name="Total 2 4 6 14" xfId="26407"/>
    <cellStyle name="Total 2 4 6 15" xfId="27286"/>
    <cellStyle name="Total 2 4 6 16" xfId="35252"/>
    <cellStyle name="Total 2 4 6 2" xfId="15670"/>
    <cellStyle name="Total 2 4 6 3" xfId="14060"/>
    <cellStyle name="Total 2 4 6 4" xfId="15151"/>
    <cellStyle name="Total 2 4 6 5" xfId="15220"/>
    <cellStyle name="Total 2 4 6 6" xfId="15662"/>
    <cellStyle name="Total 2 4 6 7" xfId="14774"/>
    <cellStyle name="Total 2 4 6 8" xfId="13891"/>
    <cellStyle name="Total 2 4 6 9" xfId="15036"/>
    <cellStyle name="Total 2 4 7" xfId="13861"/>
    <cellStyle name="Total 2 4 8" xfId="13984"/>
    <cellStyle name="Total 2 4 9" xfId="13931"/>
    <cellStyle name="Total 2 5" xfId="13279"/>
    <cellStyle name="Total 2 5 10" xfId="18904"/>
    <cellStyle name="Total 2 5 11" xfId="19912"/>
    <cellStyle name="Total 2 5 12" xfId="20947"/>
    <cellStyle name="Total 2 5 13" xfId="14516"/>
    <cellStyle name="Total 2 5 14" xfId="22904"/>
    <cellStyle name="Total 2 5 15" xfId="26085"/>
    <cellStyle name="Total 2 5 16" xfId="26234"/>
    <cellStyle name="Total 2 5 17" xfId="27834"/>
    <cellStyle name="Total 2 5 18" xfId="27144"/>
    <cellStyle name="Total 2 5 19" xfId="26607"/>
    <cellStyle name="Total 2 5 2" xfId="13280"/>
    <cellStyle name="Total 2 5 2 10" xfId="15331"/>
    <cellStyle name="Total 2 5 2 11" xfId="26306"/>
    <cellStyle name="Total 2 5 2 12" xfId="27177"/>
    <cellStyle name="Total 2 5 2 13" xfId="26048"/>
    <cellStyle name="Total 2 5 2 14" xfId="25993"/>
    <cellStyle name="Total 2 5 2 15" xfId="26890"/>
    <cellStyle name="Total 2 5 2 16" xfId="27433"/>
    <cellStyle name="Total 2 5 2 17" xfId="35002"/>
    <cellStyle name="Total 2 5 2 18" xfId="35331"/>
    <cellStyle name="Total 2 5 2 2" xfId="13614"/>
    <cellStyle name="Total 2 5 2 3" xfId="13721"/>
    <cellStyle name="Total 2 5 2 4" xfId="14633"/>
    <cellStyle name="Total 2 5 2 5" xfId="13887"/>
    <cellStyle name="Total 2 5 2 6" xfId="15366"/>
    <cellStyle name="Total 2 5 2 7" xfId="14150"/>
    <cellStyle name="Total 2 5 2 8" xfId="15445"/>
    <cellStyle name="Total 2 5 2 9" xfId="15500"/>
    <cellStyle name="Total 2 5 20" xfId="30840"/>
    <cellStyle name="Total 2 5 21" xfId="26212"/>
    <cellStyle name="Total 2 5 22" xfId="34945"/>
    <cellStyle name="Total 2 5 23" xfId="34887"/>
    <cellStyle name="Total 2 5 24" xfId="37525"/>
    <cellStyle name="Total 2 5 3" xfId="13281"/>
    <cellStyle name="Total 2 5 3 10" xfId="14293"/>
    <cellStyle name="Total 2 5 3 11" xfId="26386"/>
    <cellStyle name="Total 2 5 3 12" xfId="27125"/>
    <cellStyle name="Total 2 5 3 13" xfId="27020"/>
    <cellStyle name="Total 2 5 3 14" xfId="27488"/>
    <cellStyle name="Total 2 5 3 15" xfId="26884"/>
    <cellStyle name="Total 2 5 3 16" xfId="27284"/>
    <cellStyle name="Total 2 5 3 17" xfId="35077"/>
    <cellStyle name="Total 2 5 3 18" xfId="35280"/>
    <cellStyle name="Total 2 5 3 2" xfId="14878"/>
    <cellStyle name="Total 2 5 3 3" xfId="13769"/>
    <cellStyle name="Total 2 5 3 4" xfId="14186"/>
    <cellStyle name="Total 2 5 3 5" xfId="14736"/>
    <cellStyle name="Total 2 5 3 6" xfId="14154"/>
    <cellStyle name="Total 2 5 3 7" xfId="13503"/>
    <cellStyle name="Total 2 5 3 8" xfId="14270"/>
    <cellStyle name="Total 2 5 3 9" xfId="15322"/>
    <cellStyle name="Total 2 5 4" xfId="13282"/>
    <cellStyle name="Total 2 5 4 10" xfId="18892"/>
    <cellStyle name="Total 2 5 4 11" xfId="26362"/>
    <cellStyle name="Total 2 5 4 12" xfId="26033"/>
    <cellStyle name="Total 2 5 4 13" xfId="26505"/>
    <cellStyle name="Total 2 5 4 14" xfId="26763"/>
    <cellStyle name="Total 2 5 4 15" xfId="27401"/>
    <cellStyle name="Total 2 5 4 16" xfId="26233"/>
    <cellStyle name="Total 2 5 4 17" xfId="35054"/>
    <cellStyle name="Total 2 5 4 18" xfId="34839"/>
    <cellStyle name="Total 2 5 4 2" xfId="15686"/>
    <cellStyle name="Total 2 5 4 3" xfId="13757"/>
    <cellStyle name="Total 2 5 4 4" xfId="14627"/>
    <cellStyle name="Total 2 5 4 5" xfId="14135"/>
    <cellStyle name="Total 2 5 4 6" xfId="14156"/>
    <cellStyle name="Total 2 5 4 7" xfId="13580"/>
    <cellStyle name="Total 2 5 4 8" xfId="13475"/>
    <cellStyle name="Total 2 5 4 9" xfId="14690"/>
    <cellStyle name="Total 2 5 5" xfId="13283"/>
    <cellStyle name="Total 2 5 5 10" xfId="14976"/>
    <cellStyle name="Total 2 5 5 11" xfId="26424"/>
    <cellStyle name="Total 2 5 5 12" xfId="27100"/>
    <cellStyle name="Total 2 5 5 13" xfId="27754"/>
    <cellStyle name="Total 2 5 5 14" xfId="26745"/>
    <cellStyle name="Total 2 5 5 15" xfId="27505"/>
    <cellStyle name="Total 2 5 5 16" xfId="26866"/>
    <cellStyle name="Total 2 5 5 17" xfId="35113"/>
    <cellStyle name="Total 2 5 5 18" xfId="35255"/>
    <cellStyle name="Total 2 5 5 2" xfId="14858"/>
    <cellStyle name="Total 2 5 5 3" xfId="15207"/>
    <cellStyle name="Total 2 5 5 4" xfId="14819"/>
    <cellStyle name="Total 2 5 5 5" xfId="13816"/>
    <cellStyle name="Total 2 5 5 6" xfId="15556"/>
    <cellStyle name="Total 2 5 5 7" xfId="13427"/>
    <cellStyle name="Total 2 5 5 8" xfId="15619"/>
    <cellStyle name="Total 2 5 5 9" xfId="17849"/>
    <cellStyle name="Total 2 5 6" xfId="13847"/>
    <cellStyle name="Total 2 5 7" xfId="14353"/>
    <cellStyle name="Total 2 5 8" xfId="15789"/>
    <cellStyle name="Total 2 5 9" xfId="15846"/>
    <cellStyle name="Total 2 6" xfId="13284"/>
    <cellStyle name="Total 2 6 10" xfId="15236"/>
    <cellStyle name="Total 2 6 11" xfId="15263"/>
    <cellStyle name="Total 2 6 12" xfId="26532"/>
    <cellStyle name="Total 2 6 13" xfId="27034"/>
    <cellStyle name="Total 2 6 14" xfId="26207"/>
    <cellStyle name="Total 2 6 15" xfId="27222"/>
    <cellStyle name="Total 2 6 16" xfId="26616"/>
    <cellStyle name="Total 2 6 17" xfId="27591"/>
    <cellStyle name="Total 2 6 18" xfId="29821"/>
    <cellStyle name="Total 2 6 19" xfId="35197"/>
    <cellStyle name="Total 2 6 2" xfId="13978"/>
    <cellStyle name="Total 2 6 20" xfId="35198"/>
    <cellStyle name="Total 2 6 3" xfId="14801"/>
    <cellStyle name="Total 2 6 4" xfId="15431"/>
    <cellStyle name="Total 2 6 5" xfId="14991"/>
    <cellStyle name="Total 2 6 6" xfId="14402"/>
    <cellStyle name="Total 2 6 7" xfId="14208"/>
    <cellStyle name="Total 2 6 8" xfId="14534"/>
    <cellStyle name="Total 2 6 9" xfId="13881"/>
    <cellStyle name="Total 2 7" xfId="13285"/>
    <cellStyle name="Total 2 8" xfId="13286"/>
    <cellStyle name="Total 2 8 10" xfId="24861"/>
    <cellStyle name="Total 2 8 11" xfId="25860"/>
    <cellStyle name="Total 2 8 12" xfId="28766"/>
    <cellStyle name="Total 2 8 13" xfId="29783"/>
    <cellStyle name="Total 2 8 14" xfId="30816"/>
    <cellStyle name="Total 2 8 15" xfId="31811"/>
    <cellStyle name="Total 2 8 16" xfId="32815"/>
    <cellStyle name="Total 2 8 17" xfId="33818"/>
    <cellStyle name="Total 2 8 18" xfId="34817"/>
    <cellStyle name="Total 2 8 19" xfId="36378"/>
    <cellStyle name="Total 2 8 2" xfId="16850"/>
    <cellStyle name="Total 2 8 20" xfId="37377"/>
    <cellStyle name="Total 2 8 3" xfId="17830"/>
    <cellStyle name="Total 2 8 4" xfId="18855"/>
    <cellStyle name="Total 2 8 5" xfId="19889"/>
    <cellStyle name="Total 2 8 6" xfId="20914"/>
    <cellStyle name="Total 2 8 7" xfId="21874"/>
    <cellStyle name="Total 2 8 8" xfId="22886"/>
    <cellStyle name="Total 2 8 9" xfId="23889"/>
    <cellStyle name="Total 2 9" xfId="37406"/>
    <cellStyle name="Total 2_Rate Sheet" xfId="37460"/>
    <cellStyle name="Total 3" xfId="263"/>
    <cellStyle name="Total 3 2" xfId="365"/>
    <cellStyle name="Total 3 2 2" xfId="13287"/>
    <cellStyle name="Total 3 2 2 10" xfId="14120"/>
    <cellStyle name="Total 3 2 2 11" xfId="19883"/>
    <cellStyle name="Total 3 2 2 12" xfId="14654"/>
    <cellStyle name="Total 3 2 2 13" xfId="15102"/>
    <cellStyle name="Total 3 2 2 14" xfId="15588"/>
    <cellStyle name="Total 3 2 2 15" xfId="26288"/>
    <cellStyle name="Total 3 2 2 16" xfId="27190"/>
    <cellStyle name="Total 3 2 2 17" xfId="27416"/>
    <cellStyle name="Total 3 2 2 18" xfId="26276"/>
    <cellStyle name="Total 3 2 2 19" xfId="26603"/>
    <cellStyle name="Total 3 2 2 2" xfId="13288"/>
    <cellStyle name="Total 3 2 2 2 10" xfId="19876"/>
    <cellStyle name="Total 3 2 2 2 11" xfId="26341"/>
    <cellStyle name="Total 3 2 2 2 12" xfId="27152"/>
    <cellStyle name="Total 3 2 2 2 13" xfId="26648"/>
    <cellStyle name="Total 3 2 2 2 14" xfId="27482"/>
    <cellStyle name="Total 3 2 2 2 15" xfId="26272"/>
    <cellStyle name="Total 3 2 2 2 16" xfId="27534"/>
    <cellStyle name="Total 3 2 2 2 17" xfId="35036"/>
    <cellStyle name="Total 3 2 2 2 18" xfId="35443"/>
    <cellStyle name="Total 3 2 2 2 2" xfId="14904"/>
    <cellStyle name="Total 3 2 2 2 3" xfId="13744"/>
    <cellStyle name="Total 3 2 2 2 4" xfId="14630"/>
    <cellStyle name="Total 3 2 2 2 5" xfId="14547"/>
    <cellStyle name="Total 3 2 2 2 6" xfId="14645"/>
    <cellStyle name="Total 3 2 2 2 7" xfId="14721"/>
    <cellStyle name="Total 3 2 2 2 8" xfId="14281"/>
    <cellStyle name="Total 3 2 2 2 9" xfId="15819"/>
    <cellStyle name="Total 3 2 2 20" xfId="27278"/>
    <cellStyle name="Total 3 2 2 21" xfId="34984"/>
    <cellStyle name="Total 3 2 2 22" xfId="35344"/>
    <cellStyle name="Total 3 2 2 23" xfId="37526"/>
    <cellStyle name="Total 3 2 2 3" xfId="13289"/>
    <cellStyle name="Total 3 2 2 3 10" xfId="13979"/>
    <cellStyle name="Total 3 2 2 3 11" xfId="26480"/>
    <cellStyle name="Total 3 2 2 3 12" xfId="27670"/>
    <cellStyle name="Total 3 2 2 3 13" xfId="27012"/>
    <cellStyle name="Total 3 2 2 3 14" xfId="27535"/>
    <cellStyle name="Total 3 2 2 3 15" xfId="27319"/>
    <cellStyle name="Total 3 2 2 3 16" xfId="27533"/>
    <cellStyle name="Total 3 2 2 3 17" xfId="35163"/>
    <cellStyle name="Total 3 2 2 3 18" xfId="35219"/>
    <cellStyle name="Total 3 2 2 3 2" xfId="14832"/>
    <cellStyle name="Total 3 2 2 3 3" xfId="14071"/>
    <cellStyle name="Total 3 2 2 3 4" xfId="17343"/>
    <cellStyle name="Total 3 2 2 3 5" xfId="14478"/>
    <cellStyle name="Total 3 2 2 3 6" xfId="14658"/>
    <cellStyle name="Total 3 2 2 3 7" xfId="14117"/>
    <cellStyle name="Total 3 2 2 3 8" xfId="14169"/>
    <cellStyle name="Total 3 2 2 3 9" xfId="17853"/>
    <cellStyle name="Total 3 2 2 4" xfId="13290"/>
    <cellStyle name="Total 3 2 2 4 10" xfId="13686"/>
    <cellStyle name="Total 3 2 2 4 11" xfId="26455"/>
    <cellStyle name="Total 3 2 2 4 12" xfId="27679"/>
    <cellStyle name="Total 3 2 2 4 13" xfId="27014"/>
    <cellStyle name="Total 3 2 2 4 14" xfId="27496"/>
    <cellStyle name="Total 3 2 2 4 15" xfId="26935"/>
    <cellStyle name="Total 3 2 2 4 16" xfId="27328"/>
    <cellStyle name="Total 3 2 2 4 17" xfId="35138"/>
    <cellStyle name="Total 3 2 2 4 18" xfId="35403"/>
    <cellStyle name="Total 3 2 2 4 2" xfId="14845"/>
    <cellStyle name="Total 3 2 2 4 3" xfId="13559"/>
    <cellStyle name="Total 3 2 2 4 4" xfId="15019"/>
    <cellStyle name="Total 3 2 2 4 5" xfId="14388"/>
    <cellStyle name="Total 3 2 2 4 6" xfId="14660"/>
    <cellStyle name="Total 3 2 2 4 7" xfId="13429"/>
    <cellStyle name="Total 3 2 2 4 8" xfId="13634"/>
    <cellStyle name="Total 3 2 2 4 9" xfId="15584"/>
    <cellStyle name="Total 3 2 2 5" xfId="13291"/>
    <cellStyle name="Total 3 2 2 5 10" xfId="14777"/>
    <cellStyle name="Total 3 2 2 5 11" xfId="26494"/>
    <cellStyle name="Total 3 2 2 5 12" xfId="26521"/>
    <cellStyle name="Total 3 2 2 5 13" xfId="25928"/>
    <cellStyle name="Total 3 2 2 5 14" xfId="26794"/>
    <cellStyle name="Total 3 2 2 5 15" xfId="26930"/>
    <cellStyle name="Total 3 2 2 5 16" xfId="27503"/>
    <cellStyle name="Total 3 2 2 5 17" xfId="35177"/>
    <cellStyle name="Total 3 2 2 5 18" xfId="35209"/>
    <cellStyle name="Total 3 2 2 5 2" xfId="13417"/>
    <cellStyle name="Total 3 2 2 5 3" xfId="15423"/>
    <cellStyle name="Total 3 2 2 5 4" xfId="15006"/>
    <cellStyle name="Total 3 2 2 5 5" xfId="14395"/>
    <cellStyle name="Total 3 2 2 5 6" xfId="14898"/>
    <cellStyle name="Total 3 2 2 5 7" xfId="14258"/>
    <cellStyle name="Total 3 2 2 5 8" xfId="14192"/>
    <cellStyle name="Total 3 2 2 5 9" xfId="15350"/>
    <cellStyle name="Total 3 2 2 6" xfId="15711"/>
    <cellStyle name="Total 3 2 2 7" xfId="15189"/>
    <cellStyle name="Total 3 2 2 8" xfId="14792"/>
    <cellStyle name="Total 3 2 2 9" xfId="14463"/>
    <cellStyle name="Total 3 2 3" xfId="13292"/>
    <cellStyle name="Total 3 2 3 10" xfId="15765"/>
    <cellStyle name="Total 3 2 3 11" xfId="13468"/>
    <cellStyle name="Total 3 2 3 12" xfId="14587"/>
    <cellStyle name="Total 3 2 3 13" xfId="21896"/>
    <cellStyle name="Total 3 2 3 14" xfId="14479"/>
    <cellStyle name="Total 3 2 3 15" xfId="26088"/>
    <cellStyle name="Total 3 2 3 16" xfId="25929"/>
    <cellStyle name="Total 3 2 3 17" xfId="25912"/>
    <cellStyle name="Total 3 2 3 18" xfId="26980"/>
    <cellStyle name="Total 3 2 3 19" xfId="27015"/>
    <cellStyle name="Total 3 2 3 2" xfId="13293"/>
    <cellStyle name="Total 3 2 3 2 10" xfId="14291"/>
    <cellStyle name="Total 3 2 3 2 11" xfId="26309"/>
    <cellStyle name="Total 3 2 3 2 12" xfId="27175"/>
    <cellStyle name="Total 3 2 3 2 13" xfId="27585"/>
    <cellStyle name="Total 3 2 3 2 14" xfId="26756"/>
    <cellStyle name="Total 3 2 3 2 15" xfId="26942"/>
    <cellStyle name="Total 3 2 3 2 16" xfId="31804"/>
    <cellStyle name="Total 3 2 3 2 17" xfId="35005"/>
    <cellStyle name="Total 3 2 3 2 18" xfId="35456"/>
    <cellStyle name="Total 3 2 3 2 2" xfId="14923"/>
    <cellStyle name="Total 3 2 3 2 3" xfId="13723"/>
    <cellStyle name="Total 3 2 3 2 4" xfId="13626"/>
    <cellStyle name="Total 3 2 3 2 5" xfId="15836"/>
    <cellStyle name="Total 3 2 3 2 6" xfId="14347"/>
    <cellStyle name="Total 3 2 3 2 7" xfId="15086"/>
    <cellStyle name="Total 3 2 3 2 8" xfId="14608"/>
    <cellStyle name="Total 3 2 3 2 9" xfId="15776"/>
    <cellStyle name="Total 3 2 3 20" xfId="25944"/>
    <cellStyle name="Total 3 2 3 21" xfId="34948"/>
    <cellStyle name="Total 3 2 3 22" xfId="35475"/>
    <cellStyle name="Total 3 2 3 23" xfId="37527"/>
    <cellStyle name="Total 3 2 3 3" xfId="13294"/>
    <cellStyle name="Total 3 2 3 3 10" xfId="13532"/>
    <cellStyle name="Total 3 2 3 3 11" xfId="26389"/>
    <cellStyle name="Total 3 2 3 3 12" xfId="27123"/>
    <cellStyle name="Total 3 2 3 3 13" xfId="27650"/>
    <cellStyle name="Total 3 2 3 3 14" xfId="27466"/>
    <cellStyle name="Total 3 2 3 3 15" xfId="26623"/>
    <cellStyle name="Total 3 2 3 3 16" xfId="27551"/>
    <cellStyle name="Total 3 2 3 3 17" xfId="35080"/>
    <cellStyle name="Total 3 2 3 3 18" xfId="35278"/>
    <cellStyle name="Total 3 2 3 3 2" xfId="13609"/>
    <cellStyle name="Total 3 2 3 3 3" xfId="15203"/>
    <cellStyle name="Total 3 2 3 3 4" xfId="14783"/>
    <cellStyle name="Total 3 2 3 3 5" xfId="13815"/>
    <cellStyle name="Total 3 2 3 3 6" xfId="14571"/>
    <cellStyle name="Total 3 2 3 3 7" xfId="15518"/>
    <cellStyle name="Total 3 2 3 3 8" xfId="15379"/>
    <cellStyle name="Total 3 2 3 3 9" xfId="14100"/>
    <cellStyle name="Total 3 2 3 4" xfId="13295"/>
    <cellStyle name="Total 3 2 3 4 10" xfId="14485"/>
    <cellStyle name="Total 3 2 3 4 11" xfId="26430"/>
    <cellStyle name="Total 3 2 3 4 12" xfId="26026"/>
    <cellStyle name="Total 3 2 3 4 13" xfId="27462"/>
    <cellStyle name="Total 3 2 3 4 14" xfId="27346"/>
    <cellStyle name="Total 3 2 3 4 15" xfId="29807"/>
    <cellStyle name="Total 3 2 3 4 16" xfId="27245"/>
    <cellStyle name="Total 3 2 3 4 17" xfId="35117"/>
    <cellStyle name="Total 3 2 3 4 18" xfId="35250"/>
    <cellStyle name="Total 3 2 3 4 2" xfId="15669"/>
    <cellStyle name="Total 3 2 3 4 3" xfId="13547"/>
    <cellStyle name="Total 3 2 3 4 4" xfId="14618"/>
    <cellStyle name="Total 3 2 3 4 5" xfId="13889"/>
    <cellStyle name="Total 3 2 3 4 6" xfId="15048"/>
    <cellStyle name="Total 3 2 3 4 7" xfId="15393"/>
    <cellStyle name="Total 3 2 3 4 8" xfId="18926"/>
    <cellStyle name="Total 3 2 3 4 9" xfId="14292"/>
    <cellStyle name="Total 3 2 3 5" xfId="13296"/>
    <cellStyle name="Total 3 2 3 5 10" xfId="14153"/>
    <cellStyle name="Total 3 2 3 5 11" xfId="26442"/>
    <cellStyle name="Total 3 2 3 5 12" xfId="27684"/>
    <cellStyle name="Total 3 2 3 5 13" xfId="26640"/>
    <cellStyle name="Total 3 2 3 5 14" xfId="26553"/>
    <cellStyle name="Total 3 2 3 5 15" xfId="27321"/>
    <cellStyle name="Total 3 2 3 5 16" xfId="31803"/>
    <cellStyle name="Total 3 2 3 5 17" xfId="35125"/>
    <cellStyle name="Total 3 2 3 5 18" xfId="35408"/>
    <cellStyle name="Total 3 2 3 5 2" xfId="15665"/>
    <cellStyle name="Total 3 2 3 5 3" xfId="13554"/>
    <cellStyle name="Total 3 2 3 5 4" xfId="15022"/>
    <cellStyle name="Total 3 2 3 5 5" xfId="14385"/>
    <cellStyle name="Total 3 2 3 5 6" xfId="13479"/>
    <cellStyle name="Total 3 2 3 5 7" xfId="14564"/>
    <cellStyle name="Total 3 2 3 5 8" xfId="18901"/>
    <cellStyle name="Total 3 2 3 5 9" xfId="15471"/>
    <cellStyle name="Total 3 2 3 6" xfId="13844"/>
    <cellStyle name="Total 3 2 3 7" xfId="14354"/>
    <cellStyle name="Total 3 2 3 8" xfId="14874"/>
    <cellStyle name="Total 3 2 3 9" xfId="15349"/>
    <cellStyle name="Total 3 2 4" xfId="13297"/>
    <cellStyle name="Total 3 2 4 10" xfId="24875"/>
    <cellStyle name="Total 3 2 4 11" xfId="25874"/>
    <cellStyle name="Total 3 2 4 12" xfId="28780"/>
    <cellStyle name="Total 3 2 4 13" xfId="29797"/>
    <cellStyle name="Total 3 2 4 14" xfId="30830"/>
    <cellStyle name="Total 3 2 4 15" xfId="31825"/>
    <cellStyle name="Total 3 2 4 16" xfId="32829"/>
    <cellStyle name="Total 3 2 4 17" xfId="33832"/>
    <cellStyle name="Total 3 2 4 18" xfId="34831"/>
    <cellStyle name="Total 3 2 4 19" xfId="36392"/>
    <cellStyle name="Total 3 2 4 2" xfId="16864"/>
    <cellStyle name="Total 3 2 4 20" xfId="37391"/>
    <cellStyle name="Total 3 2 4 3" xfId="17844"/>
    <cellStyle name="Total 3 2 4 4" xfId="18869"/>
    <cellStyle name="Total 3 2 4 5" xfId="19903"/>
    <cellStyle name="Total 3 2 4 6" xfId="20928"/>
    <cellStyle name="Total 3 2 4 7" xfId="21888"/>
    <cellStyle name="Total 3 2 4 8" xfId="22900"/>
    <cellStyle name="Total 3 2 4 9" xfId="23903"/>
    <cellStyle name="Total 3 2 5" xfId="13298"/>
    <cellStyle name="Total 3 2 5 10" xfId="24877"/>
    <cellStyle name="Total 3 2 5 11" xfId="25876"/>
    <cellStyle name="Total 3 2 5 12" xfId="28782"/>
    <cellStyle name="Total 3 2 5 13" xfId="29799"/>
    <cellStyle name="Total 3 2 5 14" xfId="30832"/>
    <cellStyle name="Total 3 2 5 15" xfId="31827"/>
    <cellStyle name="Total 3 2 5 16" xfId="32831"/>
    <cellStyle name="Total 3 2 5 17" xfId="33834"/>
    <cellStyle name="Total 3 2 5 18" xfId="34833"/>
    <cellStyle name="Total 3 2 5 19" xfId="36394"/>
    <cellStyle name="Total 3 2 5 2" xfId="16866"/>
    <cellStyle name="Total 3 2 5 20" xfId="37393"/>
    <cellStyle name="Total 3 2 5 3" xfId="17846"/>
    <cellStyle name="Total 3 2 5 4" xfId="18871"/>
    <cellStyle name="Total 3 2 5 5" xfId="19905"/>
    <cellStyle name="Total 3 2 5 6" xfId="20930"/>
    <cellStyle name="Total 3 2 5 7" xfId="21890"/>
    <cellStyle name="Total 3 2 5 8" xfId="22902"/>
    <cellStyle name="Total 3 2 5 9" xfId="23905"/>
    <cellStyle name="Total 3 2 6" xfId="37468"/>
    <cellStyle name="Total 3 2 7" xfId="37564"/>
    <cellStyle name="Total 3 3" xfId="13299"/>
    <cellStyle name="Total 3 3 10" xfId="15339"/>
    <cellStyle name="Total 3 3 11" xfId="18897"/>
    <cellStyle name="Total 3 3 12" xfId="19907"/>
    <cellStyle name="Total 3 3 13" xfId="20942"/>
    <cellStyle name="Total 3 3 14" xfId="13406"/>
    <cellStyle name="Total 3 3 15" xfId="14240"/>
    <cellStyle name="Total 3 3 16" xfId="27784"/>
    <cellStyle name="Total 3 3 17" xfId="26569"/>
    <cellStyle name="Total 3 3 18" xfId="27356"/>
    <cellStyle name="Total 3 3 19" xfId="30837"/>
    <cellStyle name="Total 3 3 2" xfId="13300"/>
    <cellStyle name="Total 3 3 2 10" xfId="18923"/>
    <cellStyle name="Total 3 3 2 11" xfId="13567"/>
    <cellStyle name="Total 3 3 2 12" xfId="15617"/>
    <cellStyle name="Total 3 3 2 13" xfId="20954"/>
    <cellStyle name="Total 3 3 2 14" xfId="13400"/>
    <cellStyle name="Total 3 3 2 15" xfId="27250"/>
    <cellStyle name="Total 3 3 2 16" xfId="27820"/>
    <cellStyle name="Total 3 3 2 17" xfId="26504"/>
    <cellStyle name="Total 3 3 2 18" xfId="30853"/>
    <cellStyle name="Total 3 3 2 19" xfId="26605"/>
    <cellStyle name="Total 3 3 2 2" xfId="13301"/>
    <cellStyle name="Total 3 3 2 2 10" xfId="20939"/>
    <cellStyle name="Total 3 3 2 2 11" xfId="27725"/>
    <cellStyle name="Total 3 3 2 2 12" xfId="26918"/>
    <cellStyle name="Total 3 3 2 2 13" xfId="27632"/>
    <cellStyle name="Total 3 3 2 2 14" xfId="29800"/>
    <cellStyle name="Total 3 3 2 2 15" xfId="26864"/>
    <cellStyle name="Total 3 3 2 2 16" xfId="35449"/>
    <cellStyle name="Total 3 3 2 2 2" xfId="14912"/>
    <cellStyle name="Total 3 3 2 2 3" xfId="13736"/>
    <cellStyle name="Total 3 3 2 2 4" xfId="14631"/>
    <cellStyle name="Total 3 3 2 2 5" xfId="15487"/>
    <cellStyle name="Total 3 3 2 2 6" xfId="15158"/>
    <cellStyle name="Total 3 3 2 2 7" xfId="13501"/>
    <cellStyle name="Total 3 3 2 2 8" xfId="14094"/>
    <cellStyle name="Total 3 3 2 2 9" xfId="14272"/>
    <cellStyle name="Total 3 3 2 20" xfId="35355"/>
    <cellStyle name="Total 3 3 2 3" xfId="13302"/>
    <cellStyle name="Total 3 3 2 3 10" xfId="14796"/>
    <cellStyle name="Total 3 3 2 3 11" xfId="27111"/>
    <cellStyle name="Total 3 3 2 3 12" xfId="27411"/>
    <cellStyle name="Total 3 3 2 3 13" xfId="27334"/>
    <cellStyle name="Total 3 3 2 3 14" xfId="27400"/>
    <cellStyle name="Total 3 3 2 3 15" xfId="29805"/>
    <cellStyle name="Total 3 3 2 3 16" xfId="35266"/>
    <cellStyle name="Total 3 3 2 3 2" xfId="15674"/>
    <cellStyle name="Total 3 3 2 3 3" xfId="15806"/>
    <cellStyle name="Total 3 3 2 3 4" xfId="15729"/>
    <cellStyle name="Total 3 3 2 3 5" xfId="14417"/>
    <cellStyle name="Total 3 3 2 3 6" xfId="14570"/>
    <cellStyle name="Total 3 3 2 3 7" xfId="15255"/>
    <cellStyle name="Total 3 3 2 3 8" xfId="14350"/>
    <cellStyle name="Total 3 3 2 3 9" xfId="15858"/>
    <cellStyle name="Total 3 3 2 4" xfId="13303"/>
    <cellStyle name="Total 3 3 2 4 10" xfId="13537"/>
    <cellStyle name="Total 3 3 2 4 11" xfId="27714"/>
    <cellStyle name="Total 3 3 2 4 12" xfId="26017"/>
    <cellStyle name="Total 3 3 2 4 13" xfId="26726"/>
    <cellStyle name="Total 3 3 2 4 14" xfId="27001"/>
    <cellStyle name="Total 3 3 2 4 15" xfId="27201"/>
    <cellStyle name="Total 3 3 2 4 16" xfId="35296"/>
    <cellStyle name="Total 3 3 2 4 2" xfId="14896"/>
    <cellStyle name="Total 3 3 2 4 3" xfId="14041"/>
    <cellStyle name="Total 3 3 2 4 4" xfId="13929"/>
    <cellStyle name="Total 3 3 2 4 5" xfId="14975"/>
    <cellStyle name="Total 3 3 2 4 6" xfId="13582"/>
    <cellStyle name="Total 3 3 2 4 7" xfId="14601"/>
    <cellStyle name="Total 3 3 2 4 8" xfId="13409"/>
    <cellStyle name="Total 3 3 2 4 9" xfId="14640"/>
    <cellStyle name="Total 3 3 2 5" xfId="13304"/>
    <cellStyle name="Total 3 3 2 5 10" xfId="15103"/>
    <cellStyle name="Total 3 3 2 5 11" xfId="27688"/>
    <cellStyle name="Total 3 3 2 5 12" xfId="27017"/>
    <cellStyle name="Total 3 3 2 5 13" xfId="27836"/>
    <cellStyle name="Total 3 3 2 5 14" xfId="27804"/>
    <cellStyle name="Total 3 3 2 5 15" xfId="27376"/>
    <cellStyle name="Total 3 3 2 5 16" xfId="34848"/>
    <cellStyle name="Total 3 3 2 5 2" xfId="14854"/>
    <cellStyle name="Total 3 3 2 5 3" xfId="13549"/>
    <cellStyle name="Total 3 3 2 5 4" xfId="15023"/>
    <cellStyle name="Total 3 3 2 5 5" xfId="14006"/>
    <cellStyle name="Total 3 3 2 5 6" xfId="13857"/>
    <cellStyle name="Total 3 3 2 5 7" xfId="15485"/>
    <cellStyle name="Total 3 3 2 5 8" xfId="13707"/>
    <cellStyle name="Total 3 3 2 5 9" xfId="15307"/>
    <cellStyle name="Total 3 3 2 6" xfId="13836"/>
    <cellStyle name="Total 3 3 2 7" xfId="15378"/>
    <cellStyle name="Total 3 3 2 8" xfId="14920"/>
    <cellStyle name="Total 3 3 2 9" xfId="17822"/>
    <cellStyle name="Total 3 3 20" xfId="27768"/>
    <cellStyle name="Total 3 3 21" xfId="35480"/>
    <cellStyle name="Total 3 3 22" xfId="37528"/>
    <cellStyle name="Total 3 3 3" xfId="13305"/>
    <cellStyle name="Total 3 3 3 10" xfId="14718"/>
    <cellStyle name="Total 3 3 3 11" xfId="26044"/>
    <cellStyle name="Total 3 3 3 12" xfId="27586"/>
    <cellStyle name="Total 3 3 3 13" xfId="26752"/>
    <cellStyle name="Total 3 3 3 14" xfId="27330"/>
    <cellStyle name="Total 3 3 3 15" xfId="26277"/>
    <cellStyle name="Total 3 3 3 16" xfId="35339"/>
    <cellStyle name="Total 3 3 3 2" xfId="14928"/>
    <cellStyle name="Total 3 3 3 3" xfId="13713"/>
    <cellStyle name="Total 3 3 3 4" xfId="15542"/>
    <cellStyle name="Total 3 3 3 5" xfId="14543"/>
    <cellStyle name="Total 3 3 3 6" xfId="14615"/>
    <cellStyle name="Total 3 3 3 7" xfId="13526"/>
    <cellStyle name="Total 3 3 3 8" xfId="14275"/>
    <cellStyle name="Total 3 3 3 9" xfId="15047"/>
    <cellStyle name="Total 3 3 4" xfId="13306"/>
    <cellStyle name="Total 3 3 4 10" xfId="13904"/>
    <cellStyle name="Total 3 3 4 11" xfId="27710"/>
    <cellStyle name="Total 3 3 4 12" xfId="27780"/>
    <cellStyle name="Total 3 3 4 13" xfId="27771"/>
    <cellStyle name="Total 3 3 4 14" xfId="26854"/>
    <cellStyle name="Total 3 3 4 15" xfId="26595"/>
    <cellStyle name="Total 3 3 4 16" xfId="35290"/>
    <cellStyle name="Total 3 3 4 2" xfId="14884"/>
    <cellStyle name="Total 3 3 4 3" xfId="15074"/>
    <cellStyle name="Total 3 3 4 4" xfId="15730"/>
    <cellStyle name="Total 3 3 4 5" xfId="13483"/>
    <cellStyle name="Total 3 3 4 6" xfId="14119"/>
    <cellStyle name="Total 3 3 4 7" xfId="15265"/>
    <cellStyle name="Total 3 3 4 8" xfId="14110"/>
    <cellStyle name="Total 3 3 4 9" xfId="14688"/>
    <cellStyle name="Total 3 3 5" xfId="13307"/>
    <cellStyle name="Total 3 3 5 10" xfId="14509"/>
    <cellStyle name="Total 3 3 5 11" xfId="27718"/>
    <cellStyle name="Total 3 3 5 12" xfId="26019"/>
    <cellStyle name="Total 3 3 5 13" xfId="26944"/>
    <cellStyle name="Total 3 3 5 14" xfId="27806"/>
    <cellStyle name="Total 3 3 5 15" xfId="26600"/>
    <cellStyle name="Total 3 3 5 16" xfId="35442"/>
    <cellStyle name="Total 3 3 5 2" xfId="15694"/>
    <cellStyle name="Total 3 3 5 3" xfId="15071"/>
    <cellStyle name="Total 3 3 5 4" xfId="14964"/>
    <cellStyle name="Total 3 3 5 5" xfId="14413"/>
    <cellStyle name="Total 3 3 5 6" xfId="15633"/>
    <cellStyle name="Total 3 3 5 7" xfId="14538"/>
    <cellStyle name="Total 3 3 5 8" xfId="14782"/>
    <cellStyle name="Total 3 3 5 9" xfId="18880"/>
    <cellStyle name="Total 3 3 6" xfId="13308"/>
    <cellStyle name="Total 3 3 6 10" xfId="15446"/>
    <cellStyle name="Total 3 3 6 11" xfId="27142"/>
    <cellStyle name="Total 3 3 6 12" xfId="26711"/>
    <cellStyle name="Total 3 3 6 13" xfId="27484"/>
    <cellStyle name="Total 3 3 6 14" xfId="26887"/>
    <cellStyle name="Total 3 3 6 15" xfId="26006"/>
    <cellStyle name="Total 3 3 6 16" xfId="34837"/>
    <cellStyle name="Total 3 3 6 2" xfId="14895"/>
    <cellStyle name="Total 3 3 6 3" xfId="13750"/>
    <cellStyle name="Total 3 3 6 4" xfId="15283"/>
    <cellStyle name="Total 3 3 6 5" xfId="14732"/>
    <cellStyle name="Total 3 3 6 6" xfId="15260"/>
    <cellStyle name="Total 3 3 6 7" xfId="15094"/>
    <cellStyle name="Total 3 3 6 8" xfId="14593"/>
    <cellStyle name="Total 3 3 6 9" xfId="13657"/>
    <cellStyle name="Total 3 3 7" xfId="13860"/>
    <cellStyle name="Total 3 3 8" xfId="15372"/>
    <cellStyle name="Total 3 3 9" xfId="15084"/>
    <cellStyle name="Total 3 4" xfId="13309"/>
    <cellStyle name="Total 3 4 10" xfId="13564"/>
    <cellStyle name="Total 3 4 11" xfId="14273"/>
    <cellStyle name="Total 3 4 12" xfId="15522"/>
    <cellStyle name="Total 3 4 13" xfId="14346"/>
    <cellStyle name="Total 3 4 14" xfId="14328"/>
    <cellStyle name="Total 3 4 15" xfId="26287"/>
    <cellStyle name="Total 3 4 16" xfId="27740"/>
    <cellStyle name="Total 3 4 17" xfId="27656"/>
    <cellStyle name="Total 3 4 18" xfId="27556"/>
    <cellStyle name="Total 3 4 19" xfId="27244"/>
    <cellStyle name="Total 3 4 2" xfId="13310"/>
    <cellStyle name="Total 3 4 2 10" xfId="15514"/>
    <cellStyle name="Total 3 4 2 11" xfId="26340"/>
    <cellStyle name="Total 3 4 2 12" xfId="27719"/>
    <cellStyle name="Total 3 4 2 13" xfId="26915"/>
    <cellStyle name="Total 3 4 2 14" xfId="26736"/>
    <cellStyle name="Total 3 4 2 15" xfId="29815"/>
    <cellStyle name="Total 3 4 2 16" xfId="27821"/>
    <cellStyle name="Total 3 4 2 17" xfId="35035"/>
    <cellStyle name="Total 3 4 2 18" xfId="35307"/>
    <cellStyle name="Total 3 4 2 2" xfId="14905"/>
    <cellStyle name="Total 3 4 2 3" xfId="14040"/>
    <cellStyle name="Total 3 4 2 4" xfId="14300"/>
    <cellStyle name="Total 3 4 2 5" xfId="14466"/>
    <cellStyle name="Total 3 4 2 6" xfId="13445"/>
    <cellStyle name="Total 3 4 2 7" xfId="15472"/>
    <cellStyle name="Total 3 4 2 8" xfId="15264"/>
    <cellStyle name="Total 3 4 2 9" xfId="20945"/>
    <cellStyle name="Total 3 4 20" xfId="26561"/>
    <cellStyle name="Total 3 4 21" xfId="34983"/>
    <cellStyle name="Total 3 4 22" xfId="35465"/>
    <cellStyle name="Total 3 4 23" xfId="37529"/>
    <cellStyle name="Total 3 4 3" xfId="13311"/>
    <cellStyle name="Total 3 4 3 10" xfId="14609"/>
    <cellStyle name="Total 3 4 3 11" xfId="26479"/>
    <cellStyle name="Total 3 4 3 12" xfId="27064"/>
    <cellStyle name="Total 3 4 3 13" xfId="27232"/>
    <cellStyle name="Total 3 4 3 14" xfId="27499"/>
    <cellStyle name="Total 3 4 3 15" xfId="29806"/>
    <cellStyle name="Total 3 4 3 16" xfId="26972"/>
    <cellStyle name="Total 3 4 3 17" xfId="35162"/>
    <cellStyle name="Total 3 4 3 18" xfId="35394"/>
    <cellStyle name="Total 3 4 3 2" xfId="15654"/>
    <cellStyle name="Total 3 4 3 3" xfId="14437"/>
    <cellStyle name="Total 3 4 3 4" xfId="15527"/>
    <cellStyle name="Total 3 4 3 5" xfId="14560"/>
    <cellStyle name="Total 3 4 3 6" xfId="15843"/>
    <cellStyle name="Total 3 4 3 7" xfId="13966"/>
    <cellStyle name="Total 3 4 3 8" xfId="13790"/>
    <cellStyle name="Total 3 4 3 9" xfId="14491"/>
    <cellStyle name="Total 3 4 4" xfId="13312"/>
    <cellStyle name="Total 3 4 4 10" xfId="13659"/>
    <cellStyle name="Total 3 4 4 11" xfId="26373"/>
    <cellStyle name="Total 3 4 4 12" xfId="27709"/>
    <cellStyle name="Total 3 4 4 13" xfId="27021"/>
    <cellStyle name="Total 3 4 4 14" xfId="27486"/>
    <cellStyle name="Total 3 4 4 15" xfId="26941"/>
    <cellStyle name="Total 3 4 4 16" xfId="26618"/>
    <cellStyle name="Total 3 4 4 17" xfId="35064"/>
    <cellStyle name="Total 3 4 4 18" xfId="35433"/>
    <cellStyle name="Total 3 4 4 2" xfId="14883"/>
    <cellStyle name="Total 3 4 4 3" xfId="13765"/>
    <cellStyle name="Total 3 4 4 4" xfId="14187"/>
    <cellStyle name="Total 3 4 4 5" xfId="14735"/>
    <cellStyle name="Total 3 4 4 6" xfId="15713"/>
    <cellStyle name="Total 3 4 4 7" xfId="14602"/>
    <cellStyle name="Total 3 4 4 8" xfId="14114"/>
    <cellStyle name="Total 3 4 4 9" xfId="14483"/>
    <cellStyle name="Total 3 4 5" xfId="13313"/>
    <cellStyle name="Total 3 4 5 10" xfId="15181"/>
    <cellStyle name="Total 3 4 5 11" xfId="26493"/>
    <cellStyle name="Total 3 4 5 12" xfId="27054"/>
    <cellStyle name="Total 3 4 5 13" xfId="26634"/>
    <cellStyle name="Total 3 4 5 14" xfId="26833"/>
    <cellStyle name="Total 3 4 5 15" xfId="27247"/>
    <cellStyle name="Total 3 4 5 16" xfId="26748"/>
    <cellStyle name="Total 3 4 5 17" xfId="35176"/>
    <cellStyle name="Total 3 4 5 18" xfId="35210"/>
    <cellStyle name="Total 3 4 5 2" xfId="14828"/>
    <cellStyle name="Total 3 4 5 3" xfId="14074"/>
    <cellStyle name="Total 3 4 5 4" xfId="15824"/>
    <cellStyle name="Total 3 4 5 5" xfId="15715"/>
    <cellStyle name="Total 3 4 5 6" xfId="14657"/>
    <cellStyle name="Total 3 4 5 7" xfId="14532"/>
    <cellStyle name="Total 3 4 5 8" xfId="14765"/>
    <cellStyle name="Total 3 4 5 9" xfId="15851"/>
    <cellStyle name="Total 3 4 6" xfId="14933"/>
    <cellStyle name="Total 3 4 7" xfId="13706"/>
    <cellStyle name="Total 3 4 8" xfId="13627"/>
    <cellStyle name="Total 3 4 9" xfId="15794"/>
    <cellStyle name="Total 3 5" xfId="13314"/>
    <cellStyle name="Total 3 5 10" xfId="13533"/>
    <cellStyle name="Total 3 5 11" xfId="14452"/>
    <cellStyle name="Total 3 5 12" xfId="21855"/>
    <cellStyle name="Total 3 5 13" xfId="14147"/>
    <cellStyle name="Total 3 5 14" xfId="14747"/>
    <cellStyle name="Total 3 5 15" xfId="26087"/>
    <cellStyle name="Total 3 5 16" xfId="27263"/>
    <cellStyle name="Total 3 5 17" xfId="25913"/>
    <cellStyle name="Total 3 5 18" xfId="26729"/>
    <cellStyle name="Total 3 5 19" xfId="29802"/>
    <cellStyle name="Total 3 5 2" xfId="13315"/>
    <cellStyle name="Total 3 5 2 10" xfId="14672"/>
    <cellStyle name="Total 3 5 2 11" xfId="26308"/>
    <cellStyle name="Total 3 5 2 12" xfId="27176"/>
    <cellStyle name="Total 3 5 2 13" xfId="27654"/>
    <cellStyle name="Total 3 5 2 14" xfId="26733"/>
    <cellStyle name="Total 3 5 2 15" xfId="27543"/>
    <cellStyle name="Total 3 5 2 16" xfId="26806"/>
    <cellStyle name="Total 3 5 2 17" xfId="35004"/>
    <cellStyle name="Total 3 5 2 18" xfId="35330"/>
    <cellStyle name="Total 3 5 2 2" xfId="15704"/>
    <cellStyle name="Total 3 5 2 3" xfId="15192"/>
    <cellStyle name="Total 3 5 2 4" xfId="15628"/>
    <cellStyle name="Total 3 5 2 5" xfId="14464"/>
    <cellStyle name="Total 3 5 2 6" xfId="13396"/>
    <cellStyle name="Total 3 5 2 7" xfId="14370"/>
    <cellStyle name="Total 3 5 2 8" xfId="13577"/>
    <cellStyle name="Total 3 5 2 9" xfId="20932"/>
    <cellStyle name="Total 3 5 20" xfId="27549"/>
    <cellStyle name="Total 3 5 21" xfId="34947"/>
    <cellStyle name="Total 3 5 22" xfId="34985"/>
    <cellStyle name="Total 3 5 23" xfId="37530"/>
    <cellStyle name="Total 3 5 3" xfId="13316"/>
    <cellStyle name="Total 3 5 3 10" xfId="14642"/>
    <cellStyle name="Total 3 5 3 11" xfId="26388"/>
    <cellStyle name="Total 3 5 3 12" xfId="27704"/>
    <cellStyle name="Total 3 5 3 13" xfId="27581"/>
    <cellStyle name="Total 3 5 3 14" xfId="26548"/>
    <cellStyle name="Total 3 5 3 15" xfId="27300"/>
    <cellStyle name="Total 3 5 3 16" xfId="27640"/>
    <cellStyle name="Total 3 5 3 17" xfId="35079"/>
    <cellStyle name="Total 3 5 3 18" xfId="35279"/>
    <cellStyle name="Total 3 5 3 2" xfId="14876"/>
    <cellStyle name="Total 3 5 3 3" xfId="15410"/>
    <cellStyle name="Total 3 5 3 4" xfId="15026"/>
    <cellStyle name="Total 3 5 3 5" xfId="15386"/>
    <cellStyle name="Total 3 5 3 6" xfId="14779"/>
    <cellStyle name="Total 3 5 3 7" xfId="13575"/>
    <cellStyle name="Total 3 5 3 8" xfId="15727"/>
    <cellStyle name="Total 3 5 3 9" xfId="14345"/>
    <cellStyle name="Total 3 5 4" xfId="13317"/>
    <cellStyle name="Total 3 5 4 10" xfId="15273"/>
    <cellStyle name="Total 3 5 4 11" xfId="26364"/>
    <cellStyle name="Total 3 5 4 12" xfId="25902"/>
    <cellStyle name="Total 3 5 4 13" xfId="27812"/>
    <cellStyle name="Total 3 5 4 14" xfId="25948"/>
    <cellStyle name="Total 3 5 4 15" xfId="26848"/>
    <cellStyle name="Total 3 5 4 16" xfId="26126"/>
    <cellStyle name="Total 3 5 4 17" xfId="35056"/>
    <cellStyle name="Total 3 5 4 18" xfId="34840"/>
    <cellStyle name="Total 3 5 4 2" xfId="14891"/>
    <cellStyle name="Total 3 5 4 3" xfId="15199"/>
    <cellStyle name="Total 3 5 4 4" xfId="15111"/>
    <cellStyle name="Total 3 5 4 5" xfId="13436"/>
    <cellStyle name="Total 3 5 4 6" xfId="14501"/>
    <cellStyle name="Total 3 5 4 7" xfId="14371"/>
    <cellStyle name="Total 3 5 4 8" xfId="14827"/>
    <cellStyle name="Total 3 5 4 9" xfId="15099"/>
    <cellStyle name="Total 3 5 5" xfId="13318"/>
    <cellStyle name="Total 3 5 5 10" xfId="14021"/>
    <cellStyle name="Total 3 5 5 11" xfId="26443"/>
    <cellStyle name="Total 3 5 5 12" xfId="27089"/>
    <cellStyle name="Total 3 5 5 13" xfId="27577"/>
    <cellStyle name="Total 3 5 5 14" xfId="27197"/>
    <cellStyle name="Total 3 5 5 15" xfId="27422"/>
    <cellStyle name="Total 3 5 5 16" xfId="27044"/>
    <cellStyle name="Total 3 5 5 17" xfId="35126"/>
    <cellStyle name="Total 3 5 5 18" xfId="35244"/>
    <cellStyle name="Total 3 5 5 2" xfId="14850"/>
    <cellStyle name="Total 3 5 5 3" xfId="14062"/>
    <cellStyle name="Total 3 5 5 4" xfId="15043"/>
    <cellStyle name="Total 3 5 5 5" xfId="13818"/>
    <cellStyle name="Total 3 5 5 6" xfId="13858"/>
    <cellStyle name="Total 3 5 5 7" xfId="19882"/>
    <cellStyle name="Total 3 5 5 8" xfId="20905"/>
    <cellStyle name="Total 3 5 5 9" xfId="14583"/>
    <cellStyle name="Total 3 5 6" xfId="13845"/>
    <cellStyle name="Total 3 5 7" xfId="13989"/>
    <cellStyle name="Total 3 5 8" xfId="15831"/>
    <cellStyle name="Total 3 5 9" xfId="13871"/>
    <cellStyle name="Total 3 6" xfId="13319"/>
    <cellStyle name="Total 3 6 10" xfId="24867"/>
    <cellStyle name="Total 3 6 11" xfId="25866"/>
    <cellStyle name="Total 3 6 12" xfId="28772"/>
    <cellStyle name="Total 3 6 13" xfId="29789"/>
    <cellStyle name="Total 3 6 14" xfId="30822"/>
    <cellStyle name="Total 3 6 15" xfId="31817"/>
    <cellStyle name="Total 3 6 16" xfId="32821"/>
    <cellStyle name="Total 3 6 17" xfId="33824"/>
    <cellStyle name="Total 3 6 18" xfId="34823"/>
    <cellStyle name="Total 3 6 19" xfId="36384"/>
    <cellStyle name="Total 3 6 2" xfId="16856"/>
    <cellStyle name="Total 3 6 20" xfId="37383"/>
    <cellStyle name="Total 3 6 3" xfId="17836"/>
    <cellStyle name="Total 3 6 4" xfId="18861"/>
    <cellStyle name="Total 3 6 5" xfId="19895"/>
    <cellStyle name="Total 3 6 6" xfId="20920"/>
    <cellStyle name="Total 3 6 7" xfId="21880"/>
    <cellStyle name="Total 3 6 8" xfId="22892"/>
    <cellStyle name="Total 3 6 9" xfId="23895"/>
    <cellStyle name="Total 3 7" xfId="13320"/>
    <cellStyle name="Total 3 7 10" xfId="24860"/>
    <cellStyle name="Total 3 7 11" xfId="25859"/>
    <cellStyle name="Total 3 7 12" xfId="28765"/>
    <cellStyle name="Total 3 7 13" xfId="29782"/>
    <cellStyle name="Total 3 7 14" xfId="30815"/>
    <cellStyle name="Total 3 7 15" xfId="31810"/>
    <cellStyle name="Total 3 7 16" xfId="32814"/>
    <cellStyle name="Total 3 7 17" xfId="33817"/>
    <cellStyle name="Total 3 7 18" xfId="34816"/>
    <cellStyle name="Total 3 7 19" xfId="36377"/>
    <cellStyle name="Total 3 7 2" xfId="16849"/>
    <cellStyle name="Total 3 7 20" xfId="37376"/>
    <cellStyle name="Total 3 7 3" xfId="17829"/>
    <cellStyle name="Total 3 7 4" xfId="18854"/>
    <cellStyle name="Total 3 7 5" xfId="19888"/>
    <cellStyle name="Total 3 7 6" xfId="20913"/>
    <cellStyle name="Total 3 7 7" xfId="21873"/>
    <cellStyle name="Total 3 7 8" xfId="22885"/>
    <cellStyle name="Total 3 7 9" xfId="23888"/>
    <cellStyle name="Total 3 8" xfId="37462"/>
    <cellStyle name="Total 3 9" xfId="37562"/>
    <cellStyle name="Total 4" xfId="13321"/>
    <cellStyle name="Total 4 10" xfId="15839"/>
    <cellStyle name="Total 4 11" xfId="15171"/>
    <cellStyle name="Total 4 12" xfId="14251"/>
    <cellStyle name="Total 4 13" xfId="15328"/>
    <cellStyle name="Total 4 14" xfId="13945"/>
    <cellStyle name="Total 4 15" xfId="13678"/>
    <cellStyle name="Total 4 16" xfId="18875"/>
    <cellStyle name="Total 4 17" xfId="27265"/>
    <cellStyle name="Total 4 18" xfId="27318"/>
    <cellStyle name="Total 4 19" xfId="27035"/>
    <cellStyle name="Total 4 2" xfId="13322"/>
    <cellStyle name="Total 4 20" xfId="26604"/>
    <cellStyle name="Total 4 21" xfId="30838"/>
    <cellStyle name="Total 4 22" xfId="35371"/>
    <cellStyle name="Total 4 23" xfId="37531"/>
    <cellStyle name="Total 4 3" xfId="13323"/>
    <cellStyle name="Total 4 3 10" xfId="14305"/>
    <cellStyle name="Total 4 3 11" xfId="18898"/>
    <cellStyle name="Total 4 3 12" xfId="21866"/>
    <cellStyle name="Total 4 3 13" xfId="15138"/>
    <cellStyle name="Total 4 3 14" xfId="14707"/>
    <cellStyle name="Total 4 3 15" xfId="27249"/>
    <cellStyle name="Total 4 3 16" xfId="27335"/>
    <cellStyle name="Total 4 3 17" xfId="27439"/>
    <cellStyle name="Total 4 3 18" xfId="26923"/>
    <cellStyle name="Total 4 3 19" xfId="26723"/>
    <cellStyle name="Total 4 3 2" xfId="13324"/>
    <cellStyle name="Total 4 3 2 10" xfId="13531"/>
    <cellStyle name="Total 4 3 2 11" xfId="27162"/>
    <cellStyle name="Total 4 3 2 12" xfId="27026"/>
    <cellStyle name="Total 4 3 2 13" xfId="27832"/>
    <cellStyle name="Total 4 3 2 14" xfId="27602"/>
    <cellStyle name="Total 4 3 2 15" xfId="29812"/>
    <cellStyle name="Total 4 3 2 16" xfId="35316"/>
    <cellStyle name="Total 4 3 2 2" xfId="15698"/>
    <cellStyle name="Total 4 3 2 3" xfId="15195"/>
    <cellStyle name="Total 4 3 2 4" xfId="14787"/>
    <cellStyle name="Total 4 3 2 5" xfId="13438"/>
    <cellStyle name="Total 4 3 2 6" xfId="15368"/>
    <cellStyle name="Total 4 3 2 7" xfId="14818"/>
    <cellStyle name="Total 4 3 2 8" xfId="14767"/>
    <cellStyle name="Total 4 3 2 9" xfId="15747"/>
    <cellStyle name="Total 4 3 20" xfId="34891"/>
    <cellStyle name="Total 4 3 3" xfId="13325"/>
    <cellStyle name="Total 4 3 3 10" xfId="13619"/>
    <cellStyle name="Total 4 3 3 11" xfId="27110"/>
    <cellStyle name="Total 4 3 3 12" xfId="27235"/>
    <cellStyle name="Total 4 3 3 13" xfId="28744"/>
    <cellStyle name="Total 4 3 3 14" xfId="27243"/>
    <cellStyle name="Total 4 3 3 15" xfId="26372"/>
    <cellStyle name="Total 4 3 3 16" xfId="35265"/>
    <cellStyle name="Total 4 3 3 2" xfId="14865"/>
    <cellStyle name="Total 4 3 3 3" xfId="15076"/>
    <cellStyle name="Total 4 3 3 4" xfId="14959"/>
    <cellStyle name="Total 4 3 3 5" xfId="15405"/>
    <cellStyle name="Total 4 3 3 6" xfId="14498"/>
    <cellStyle name="Total 4 3 3 7" xfId="14671"/>
    <cellStyle name="Total 4 3 3 8" xfId="14143"/>
    <cellStyle name="Total 4 3 3 9" xfId="14565"/>
    <cellStyle name="Total 4 3 4" xfId="13326"/>
    <cellStyle name="Total 4 3 4 10" xfId="15459"/>
    <cellStyle name="Total 4 3 4 11" xfId="27143"/>
    <cellStyle name="Total 4 3 4 12" xfId="26646"/>
    <cellStyle name="Total 4 3 4 13" xfId="26542"/>
    <cellStyle name="Total 4 3 4 14" xfId="26267"/>
    <cellStyle name="Total 4 3 4 15" xfId="27398"/>
    <cellStyle name="Total 4 3 4 16" xfId="34835"/>
    <cellStyle name="Total 4 3 4 2" xfId="15689"/>
    <cellStyle name="Total 4 3 4 3" xfId="13748"/>
    <cellStyle name="Total 4 3 4 4" xfId="14191"/>
    <cellStyle name="Total 4 3 4 5" xfId="14262"/>
    <cellStyle name="Total 4 3 4 6" xfId="15612"/>
    <cellStyle name="Total 4 3 4 7" xfId="15723"/>
    <cellStyle name="Total 4 3 4 8" xfId="13624"/>
    <cellStyle name="Total 4 3 4 9" xfId="14977"/>
    <cellStyle name="Total 4 3 5" xfId="13327"/>
    <cellStyle name="Total 4 3 5 10" xfId="14809"/>
    <cellStyle name="Total 4 3 5 11" xfId="27097"/>
    <cellStyle name="Total 4 3 5 12" xfId="26721"/>
    <cellStyle name="Total 4 3 5 13" xfId="27352"/>
    <cellStyle name="Total 4 3 5 14" xfId="26843"/>
    <cellStyle name="Total 4 3 5 15" xfId="26870"/>
    <cellStyle name="Total 4 3 5 16" xfId="34898"/>
    <cellStyle name="Total 4 3 5 2" xfId="15668"/>
    <cellStyle name="Total 4 3 5 3" xfId="14061"/>
    <cellStyle name="Total 4 3 5 4" xfId="15107"/>
    <cellStyle name="Total 4 3 5 5" xfId="14474"/>
    <cellStyle name="Total 4 3 5 6" xfId="15451"/>
    <cellStyle name="Total 4 3 5 7" xfId="15123"/>
    <cellStyle name="Total 4 3 5 8" xfId="14246"/>
    <cellStyle name="Total 4 3 5 9" xfId="15319"/>
    <cellStyle name="Total 4 3 6" xfId="15784"/>
    <cellStyle name="Total 4 3 7" xfId="14361"/>
    <cellStyle name="Total 4 3 8" xfId="14873"/>
    <cellStyle name="Total 4 3 9" xfId="13460"/>
    <cellStyle name="Total 4 4" xfId="13328"/>
    <cellStyle name="Total 4 4 10" xfId="14540"/>
    <cellStyle name="Total 4 4 11" xfId="26043"/>
    <cellStyle name="Total 4 4 12" xfId="27457"/>
    <cellStyle name="Total 4 4 13" xfId="29828"/>
    <cellStyle name="Total 4 4 14" xfId="26967"/>
    <cellStyle name="Total 4 4 15" xfId="27794"/>
    <cellStyle name="Total 4 4 16" xfId="35461"/>
    <cellStyle name="Total 4 4 2" xfId="15708"/>
    <cellStyle name="Total 4 4 3" xfId="14029"/>
    <cellStyle name="Total 4 4 4" xfId="15335"/>
    <cellStyle name="Total 4 4 5" xfId="13474"/>
    <cellStyle name="Total 4 4 6" xfId="14106"/>
    <cellStyle name="Total 4 4 7" xfId="13422"/>
    <cellStyle name="Total 4 4 8" xfId="15056"/>
    <cellStyle name="Total 4 4 9" xfId="15632"/>
    <cellStyle name="Total 4 5" xfId="13329"/>
    <cellStyle name="Total 4 5 10" xfId="14566"/>
    <cellStyle name="Total 4 5 11" xfId="27134"/>
    <cellStyle name="Total 4 5 12" xfId="27582"/>
    <cellStyle name="Total 4 5 13" xfId="27471"/>
    <cellStyle name="Total 4 5 14" xfId="27541"/>
    <cellStyle name="Total 4 5 15" xfId="27573"/>
    <cellStyle name="Total 4 5 16" xfId="35289"/>
    <cellStyle name="Total 4 5 2" xfId="15682"/>
    <cellStyle name="Total 4 5 3" xfId="14047"/>
    <cellStyle name="Total 4 5 4" xfId="14785"/>
    <cellStyle name="Total 4 5 5" xfId="13813"/>
    <cellStyle name="Total 4 5 6" xfId="14500"/>
    <cellStyle name="Total 4 5 7" xfId="15304"/>
    <cellStyle name="Total 4 5 8" xfId="15772"/>
    <cellStyle name="Total 4 5 9" xfId="14980"/>
    <cellStyle name="Total 4 6" xfId="13330"/>
    <cellStyle name="Total 4 6 10" xfId="13499"/>
    <cellStyle name="Total 4 6 11" xfId="27145"/>
    <cellStyle name="Total 4 6 12" xfId="27455"/>
    <cellStyle name="Total 4 6 13" xfId="26946"/>
    <cellStyle name="Total 4 6 14" xfId="27637"/>
    <cellStyle name="Total 4 6 15" xfId="26220"/>
    <cellStyle name="Total 4 6 16" xfId="35300"/>
    <cellStyle name="Total 4 6 2" xfId="15691"/>
    <cellStyle name="Total 4 6 3" xfId="15805"/>
    <cellStyle name="Total 4 6 4" xfId="14961"/>
    <cellStyle name="Total 4 6 5" xfId="14416"/>
    <cellStyle name="Total 4 6 6" xfId="13583"/>
    <cellStyle name="Total 4 6 7" xfId="15347"/>
    <cellStyle name="Total 4 6 8" xfId="13831"/>
    <cellStyle name="Total 4 6 9" xfId="18847"/>
    <cellStyle name="Total 4 7" xfId="13331"/>
    <cellStyle name="Total 4 7 10" xfId="19877"/>
    <cellStyle name="Total 4 7 11" xfId="27715"/>
    <cellStyle name="Total 4 7 12" xfId="26647"/>
    <cellStyle name="Total 4 7 13" xfId="26805"/>
    <cellStyle name="Total 4 7 14" xfId="26625"/>
    <cellStyle name="Total 4 7 15" xfId="26587"/>
    <cellStyle name="Total 4 7 16" xfId="35439"/>
    <cellStyle name="Total 4 7 2" xfId="14899"/>
    <cellStyle name="Total 4 7 3" xfId="15073"/>
    <cellStyle name="Total 4 7 4" xfId="14962"/>
    <cellStyle name="Total 4 7 5" xfId="14415"/>
    <cellStyle name="Total 4 7 6" xfId="13926"/>
    <cellStyle name="Total 4 7 7" xfId="15812"/>
    <cellStyle name="Total 4 7 8" xfId="15310"/>
    <cellStyle name="Total 4 7 9" xfId="13935"/>
    <cellStyle name="Total 4 8" xfId="13859"/>
    <cellStyle name="Total 4 9" xfId="13985"/>
    <cellStyle name="Total 5" xfId="13332"/>
    <cellStyle name="TotCol - Style5" xfId="13333"/>
    <cellStyle name="TotCol - Style7" xfId="13334"/>
    <cellStyle name="TotRow - Style4" xfId="13335"/>
    <cellStyle name="TotRow - Style4 10" xfId="14348"/>
    <cellStyle name="TotRow - Style4 11" xfId="14171"/>
    <cellStyle name="TotRow - Style4 12" xfId="15602"/>
    <cellStyle name="TotRow - Style4 13" xfId="15475"/>
    <cellStyle name="TotRow - Style4 14" xfId="14407"/>
    <cellStyle name="TotRow - Style4 15" xfId="26281"/>
    <cellStyle name="TotRow - Style4 16" xfId="27194"/>
    <cellStyle name="TotRow - Style4 17" xfId="27511"/>
    <cellStyle name="TotRow - Style4 18" xfId="26654"/>
    <cellStyle name="TotRow - Style4 19" xfId="26750"/>
    <cellStyle name="TotRow - Style4 2" xfId="13336"/>
    <cellStyle name="TotRow - Style4 2 10" xfId="22881"/>
    <cellStyle name="TotRow - Style4 2 11" xfId="26334"/>
    <cellStyle name="TotRow - Style4 2 12" xfId="27157"/>
    <cellStyle name="TotRow - Style4 2 13" xfId="25969"/>
    <cellStyle name="TotRow - Style4 2 14" xfId="27652"/>
    <cellStyle name="TotRow - Style4 2 15" xfId="26667"/>
    <cellStyle name="TotRow - Style4 2 16" xfId="26974"/>
    <cellStyle name="TotRow - Style4 2 17" xfId="25961"/>
    <cellStyle name="TotRow - Style4 2 18" xfId="35029"/>
    <cellStyle name="TotRow - Style4 2 19" xfId="35311"/>
    <cellStyle name="TotRow - Style4 2 2" xfId="14907"/>
    <cellStyle name="TotRow - Style4 2 3" xfId="15070"/>
    <cellStyle name="TotRow - Style4 2 4" xfId="13615"/>
    <cellStyle name="TotRow - Style4 2 5" xfId="15402"/>
    <cellStyle name="TotRow - Style4 2 6" xfId="14983"/>
    <cellStyle name="TotRow - Style4 2 7" xfId="13648"/>
    <cellStyle name="TotRow - Style4 2 8" xfId="14462"/>
    <cellStyle name="TotRow - Style4 2 9" xfId="21892"/>
    <cellStyle name="TotRow - Style4 20" xfId="26948"/>
    <cellStyle name="TotRow - Style4 21" xfId="27434"/>
    <cellStyle name="TotRow - Style4 22" xfId="34977"/>
    <cellStyle name="TotRow - Style4 23" xfId="35349"/>
    <cellStyle name="TotRow - Style4 24" xfId="37532"/>
    <cellStyle name="TotRow - Style4 3" xfId="13337"/>
    <cellStyle name="TotRow - Style4 3 10" xfId="22880"/>
    <cellStyle name="TotRow - Style4 3 11" xfId="26473"/>
    <cellStyle name="TotRow - Style4 3 12" xfId="27068"/>
    <cellStyle name="TotRow - Style4 3 13" xfId="26177"/>
    <cellStyle name="TotRow - Style4 3 14" xfId="27451"/>
    <cellStyle name="TotRow - Style4 3 15" xfId="26789"/>
    <cellStyle name="TotRow - Style4 3 16" xfId="26880"/>
    <cellStyle name="TotRow - Style4 3 17" xfId="26564"/>
    <cellStyle name="TotRow - Style4 3 18" xfId="35156"/>
    <cellStyle name="TotRow - Style4 3 19" xfId="35223"/>
    <cellStyle name="TotRow - Style4 3 2" xfId="14835"/>
    <cellStyle name="TotRow - Style4 3 3" xfId="14434"/>
    <cellStyle name="TotRow - Style4 3 4" xfId="15012"/>
    <cellStyle name="TotRow - Style4 3 5" xfId="13874"/>
    <cellStyle name="TotRow - Style4 3 6" xfId="13829"/>
    <cellStyle name="TotRow - Style4 3 7" xfId="15586"/>
    <cellStyle name="TotRow - Style4 3 8" xfId="13917"/>
    <cellStyle name="TotRow - Style4 3 9" xfId="14285"/>
    <cellStyle name="TotRow - Style4 4" xfId="13338"/>
    <cellStyle name="TotRow - Style4 4 10" xfId="14294"/>
    <cellStyle name="TotRow - Style4 4 11" xfId="26472"/>
    <cellStyle name="TotRow - Style4 4 12" xfId="27069"/>
    <cellStyle name="TotRow - Style4 4 13" xfId="26176"/>
    <cellStyle name="TotRow - Style4 4 14" xfId="26907"/>
    <cellStyle name="TotRow - Style4 4 15" xfId="27465"/>
    <cellStyle name="TotRow - Style4 4 16" xfId="28789"/>
    <cellStyle name="TotRow - Style4 4 17" xfId="27552"/>
    <cellStyle name="TotRow - Style4 4 18" xfId="35155"/>
    <cellStyle name="TotRow - Style4 4 19" xfId="35224"/>
    <cellStyle name="TotRow - Style4 4 2" xfId="14836"/>
    <cellStyle name="TotRow - Style4 4 3" xfId="14069"/>
    <cellStyle name="TotRow - Style4 4 4" xfId="15105"/>
    <cellStyle name="TotRow - Style4 4 5" xfId="14477"/>
    <cellStyle name="TotRow - Style4 4 6" xfId="15830"/>
    <cellStyle name="TotRow - Style4 4 7" xfId="15238"/>
    <cellStyle name="TotRow - Style4 4 8" xfId="15840"/>
    <cellStyle name="TotRow - Style4 4 9" xfId="15119"/>
    <cellStyle name="TotRow - Style4 5" xfId="13339"/>
    <cellStyle name="TotRow - Style4 5 10" xfId="14419"/>
    <cellStyle name="TotRow - Style4 5 11" xfId="26487"/>
    <cellStyle name="TotRow - Style4 5 12" xfId="27667"/>
    <cellStyle name="TotRow - Style4 5 13" xfId="26122"/>
    <cellStyle name="TotRow - Style4 5 14" xfId="26705"/>
    <cellStyle name="TotRow - Style4 5 15" xfId="26560"/>
    <cellStyle name="TotRow - Style4 5 16" xfId="26952"/>
    <cellStyle name="TotRow - Style4 5 17" xfId="26533"/>
    <cellStyle name="TotRow - Style4 5 18" xfId="35170"/>
    <cellStyle name="TotRow - Style4 5 19" xfId="35391"/>
    <cellStyle name="TotRow - Style4 5 2" xfId="14830"/>
    <cellStyle name="TotRow - Style4 5 3" xfId="14441"/>
    <cellStyle name="TotRow - Style4 5 4" xfId="15759"/>
    <cellStyle name="TotRow - Style4 5 5" xfId="15177"/>
    <cellStyle name="TotRow - Style4 5 6" xfId="14673"/>
    <cellStyle name="TotRow - Style4 5 7" xfId="15057"/>
    <cellStyle name="TotRow - Style4 5 8" xfId="13960"/>
    <cellStyle name="TotRow - Style4 5 9" xfId="14953"/>
    <cellStyle name="TotRow - Style4 6" xfId="14936"/>
    <cellStyle name="TotRow - Style4 7" xfId="13702"/>
    <cellStyle name="TotRow - Style4 8" xfId="13414"/>
    <cellStyle name="TotRow - Style4 9" xfId="13572"/>
    <cellStyle name="TotRow - Style8" xfId="13340"/>
    <cellStyle name="TotRow - Style8 10" xfId="15276"/>
    <cellStyle name="TotRow - Style8 11" xfId="18879"/>
    <cellStyle name="TotRow - Style8 12" xfId="15504"/>
    <cellStyle name="TotRow - Style8 13" xfId="15225"/>
    <cellStyle name="TotRow - Style8 14" xfId="14243"/>
    <cellStyle name="TotRow - Style8 15" xfId="26282"/>
    <cellStyle name="TotRow - Style8 16" xfId="27742"/>
    <cellStyle name="TotRow - Style8 17" xfId="25881"/>
    <cellStyle name="TotRow - Style8 18" xfId="25907"/>
    <cellStyle name="TotRow - Style8 19" xfId="26612"/>
    <cellStyle name="TotRow - Style8 2" xfId="13341"/>
    <cellStyle name="TotRow - Style8 2 10" xfId="14492"/>
    <cellStyle name="TotRow - Style8 2 11" xfId="26335"/>
    <cellStyle name="TotRow - Style8 2 12" xfId="27156"/>
    <cellStyle name="TotRow - Style8 2 13" xfId="26820"/>
    <cellStyle name="TotRow - Style8 2 14" xfId="26916"/>
    <cellStyle name="TotRow - Style8 2 15" xfId="26111"/>
    <cellStyle name="TotRow - Style8 2 16" xfId="26700"/>
    <cellStyle name="TotRow - Style8 2 17" xfId="27639"/>
    <cellStyle name="TotRow - Style8 2 18" xfId="35030"/>
    <cellStyle name="TotRow - Style8 2 19" xfId="35310"/>
    <cellStyle name="TotRow - Style8 2 2" xfId="14906"/>
    <cellStyle name="TotRow - Style8 2 3" xfId="14039"/>
    <cellStyle name="TotRow - Style8 2 4" xfId="15333"/>
    <cellStyle name="TotRow - Style8 2 5" xfId="13563"/>
    <cellStyle name="TotRow - Style8 2 6" xfId="14157"/>
    <cellStyle name="TotRow - Style8 2 7" xfId="14233"/>
    <cellStyle name="TotRow - Style8 2 8" xfId="13866"/>
    <cellStyle name="TotRow - Style8 2 9" xfId="13625"/>
    <cellStyle name="TotRow - Style8 20" xfId="27827"/>
    <cellStyle name="TotRow - Style8 21" xfId="26208"/>
    <cellStyle name="TotRow - Style8 22" xfId="34978"/>
    <cellStyle name="TotRow - Style8 23" xfId="35348"/>
    <cellStyle name="TotRow - Style8 24" xfId="37533"/>
    <cellStyle name="TotRow - Style8 3" xfId="13342"/>
    <cellStyle name="TotRow - Style8 3 10" xfId="13802"/>
    <cellStyle name="TotRow - Style8 3 11" xfId="26474"/>
    <cellStyle name="TotRow - Style8 3 12" xfId="27672"/>
    <cellStyle name="TotRow - Style8 3 13" xfId="25890"/>
    <cellStyle name="TotRow - Style8 3 14" xfId="27409"/>
    <cellStyle name="TotRow - Style8 3 15" xfId="27787"/>
    <cellStyle name="TotRow - Style8 3 16" xfId="31330"/>
    <cellStyle name="TotRow - Style8 3 17" xfId="26574"/>
    <cellStyle name="TotRow - Style8 3 18" xfId="35157"/>
    <cellStyle name="TotRow - Style8 3 19" xfId="35396"/>
    <cellStyle name="TotRow - Style8 3 2" xfId="15655"/>
    <cellStyle name="TotRow - Style8 3 3" xfId="15213"/>
    <cellStyle name="TotRow - Style8 3 4" xfId="13600"/>
    <cellStyle name="TotRow - Style8 3 5" xfId="14092"/>
    <cellStyle name="TotRow - Style8 3 6" xfId="19403"/>
    <cellStyle name="TotRow - Style8 3 7" xfId="15579"/>
    <cellStyle name="TotRow - Style8 3 8" xfId="14708"/>
    <cellStyle name="TotRow - Style8 3 9" xfId="15355"/>
    <cellStyle name="TotRow - Style8 4" xfId="13343"/>
    <cellStyle name="TotRow - Style8 4 10" xfId="13454"/>
    <cellStyle name="TotRow - Style8 4 11" xfId="26427"/>
    <cellStyle name="TotRow - Style8 4 12" xfId="26522"/>
    <cellStyle name="TotRow - Style8 4 13" xfId="26156"/>
    <cellStyle name="TotRow - Style8 4 14" xfId="27206"/>
    <cellStyle name="TotRow - Style8 4 15" xfId="27277"/>
    <cellStyle name="TotRow - Style8 4 16" xfId="27386"/>
    <cellStyle name="TotRow - Style8 4 17" xfId="27343"/>
    <cellStyle name="TotRow - Style8 4 18" xfId="35115"/>
    <cellStyle name="TotRow - Style8 4 19" xfId="35253"/>
    <cellStyle name="TotRow - Style8 4 2" xfId="14856"/>
    <cellStyle name="TotRow - Style8 4 3" xfId="13544"/>
    <cellStyle name="TotRow - Style8 4 4" xfId="15529"/>
    <cellStyle name="TotRow - Style8 4 5" xfId="14559"/>
    <cellStyle name="TotRow - Style8 4 6" xfId="13493"/>
    <cellStyle name="TotRow - Style8 4 7" xfId="15351"/>
    <cellStyle name="TotRow - Style8 4 8" xfId="14310"/>
    <cellStyle name="TotRow - Style8 4 9" xfId="14696"/>
    <cellStyle name="TotRow - Style8 5" xfId="13344"/>
    <cellStyle name="TotRow - Style8 5 10" xfId="15774"/>
    <cellStyle name="TotRow - Style8 5 11" xfId="26488"/>
    <cellStyle name="TotRow - Style8 5 12" xfId="27058"/>
    <cellStyle name="TotRow - Style8 5 13" xfId="26183"/>
    <cellStyle name="TotRow - Style8 5 14" xfId="26230"/>
    <cellStyle name="TotRow - Style8 5 15" xfId="27296"/>
    <cellStyle name="TotRow - Style8 5 16" xfId="26931"/>
    <cellStyle name="TotRow - Style8 5 17" xfId="25981"/>
    <cellStyle name="TotRow - Style8 5 18" xfId="35171"/>
    <cellStyle name="TotRow - Style8 5 19" xfId="35213"/>
    <cellStyle name="TotRow - Style8 5 2" xfId="13443"/>
    <cellStyle name="TotRow - Style8 5 3" xfId="15215"/>
    <cellStyle name="TotRow - Style8 5 4" xfId="13918"/>
    <cellStyle name="TotRow - Style8 5 5" xfId="15222"/>
    <cellStyle name="TotRow - Style8 5 6" xfId="15079"/>
    <cellStyle name="TotRow - Style8 5 7" xfId="15479"/>
    <cellStyle name="TotRow - Style8 5 8" xfId="13873"/>
    <cellStyle name="TotRow - Style8 5 9" xfId="15223"/>
    <cellStyle name="TotRow - Style8 6" xfId="14935"/>
    <cellStyle name="TotRow - Style8 7" xfId="13703"/>
    <cellStyle name="TotRow - Style8 8" xfId="14199"/>
    <cellStyle name="TotRow - Style8 9" xfId="15590"/>
    <cellStyle name="Transcript_Date" xfId="13345"/>
    <cellStyle name="Warning Text" xfId="13361" builtinId="11" customBuiltin="1"/>
    <cellStyle name="Warning Text 2" xfId="266"/>
    <cellStyle name="Warning Text 3" xfId="265"/>
    <cellStyle name="Warning Text 4" xfId="13346"/>
    <cellStyle name="Warning Text 5" xfId="13347"/>
    <cellStyle name="WM_STANDARD" xfId="37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66FF"/>
      <color rgb="FFEBB3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67</xdr:row>
      <xdr:rowOff>0</xdr:rowOff>
    </xdr:from>
    <xdr:to>
      <xdr:col>22</xdr:col>
      <xdr:colOff>463821</xdr:colOff>
      <xdr:row>102</xdr:row>
      <xdr:rowOff>52946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78235" y="12954000"/>
          <a:ext cx="5304762" cy="6742858"/>
        </a:xfrm>
        <a:prstGeom prst="rect">
          <a:avLst/>
        </a:prstGeom>
      </xdr:spPr>
    </xdr:pic>
    <xdr:clientData/>
  </xdr:twoCellAnchor>
  <xdr:twoCellAnchor editAs="oneCell">
    <xdr:from>
      <xdr:col>5</xdr:col>
      <xdr:colOff>78441</xdr:colOff>
      <xdr:row>67</xdr:row>
      <xdr:rowOff>11206</xdr:rowOff>
    </xdr:from>
    <xdr:to>
      <xdr:col>12</xdr:col>
      <xdr:colOff>564082</xdr:colOff>
      <xdr:row>96</xdr:row>
      <xdr:rowOff>45247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0176" y="12965206"/>
          <a:ext cx="5561905" cy="55809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heatherg\AppData\Local\Microsoft\Windows\Temporary%20Internet%20Files\Content.Outlook\KNDSOALF\Fuel%20Stat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2010%20Clark%20County-%202009%20Vancouver\12.31.2010%20Test%20Year\Proforma%20Clark%20County%20101231%20Filing-Draft-FINAL%20VERS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Brent_Blair_Kortney\PO%20Report%20by%20Division\PO%20Report_v3b%202013-08-2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J88"/>
  <sheetViews>
    <sheetView showGridLines="0" zoomScale="85" zoomScaleNormal="85" workbookViewId="0">
      <selection activeCell="A44" sqref="A44:A91"/>
    </sheetView>
  </sheetViews>
  <sheetFormatPr defaultRowHeight="15"/>
  <cols>
    <col min="1" max="1" width="31.28515625" style="3" customWidth="1"/>
    <col min="2" max="2" width="8.140625" style="23" customWidth="1"/>
    <col min="3" max="3" width="19" style="3" bestFit="1" customWidth="1"/>
    <col min="4" max="4" width="16" style="3" bestFit="1" customWidth="1"/>
    <col min="5" max="5" width="10.5703125" style="3" bestFit="1" customWidth="1"/>
    <col min="6" max="6" width="7" style="3" bestFit="1" customWidth="1"/>
    <col min="7" max="7" width="11.42578125" style="3" bestFit="1" customWidth="1"/>
    <col min="8" max="8" width="10" style="3" bestFit="1" customWidth="1"/>
    <col min="9" max="9" width="8" style="3" bestFit="1" customWidth="1"/>
    <col min="10" max="10" width="15.85546875" style="3" bestFit="1" customWidth="1"/>
    <col min="11" max="11" width="14.5703125" style="3" customWidth="1"/>
    <col min="12" max="16384" width="9.140625" style="3"/>
  </cols>
  <sheetData>
    <row r="1" spans="1:10" s="23" customFormat="1">
      <c r="A1" s="25" t="s">
        <v>80</v>
      </c>
    </row>
    <row r="2" spans="1:10" s="23" customFormat="1">
      <c r="A2" s="25" t="s">
        <v>81</v>
      </c>
      <c r="J2" s="142" t="s">
        <v>163</v>
      </c>
    </row>
    <row r="3" spans="1:10" s="23" customFormat="1">
      <c r="A3" s="25" t="s">
        <v>105</v>
      </c>
    </row>
    <row r="4" spans="1:10" s="23" customFormat="1"/>
    <row r="5" spans="1:10">
      <c r="A5" s="452" t="s">
        <v>14</v>
      </c>
      <c r="B5" s="452"/>
      <c r="C5" s="452"/>
      <c r="D5" s="452"/>
      <c r="E5" s="452"/>
      <c r="F5" s="452"/>
      <c r="G5" s="452"/>
      <c r="H5" s="452"/>
      <c r="I5" s="452"/>
    </row>
    <row r="6" spans="1:10" ht="30">
      <c r="A6" s="3" t="s">
        <v>47</v>
      </c>
      <c r="C6" s="10" t="s">
        <v>34</v>
      </c>
      <c r="D6" s="10" t="s">
        <v>35</v>
      </c>
      <c r="E6" s="10" t="s">
        <v>36</v>
      </c>
      <c r="F6" s="11" t="s">
        <v>38</v>
      </c>
      <c r="G6" s="11" t="s">
        <v>39</v>
      </c>
      <c r="H6" s="11" t="s">
        <v>40</v>
      </c>
      <c r="I6" s="10" t="s">
        <v>43</v>
      </c>
      <c r="J6" s="313" t="s">
        <v>897</v>
      </c>
    </row>
    <row r="7" spans="1:10">
      <c r="A7" s="3" t="s">
        <v>44</v>
      </c>
      <c r="C7" s="1">
        <f>52*5/12</f>
        <v>21.666666666666668</v>
      </c>
      <c r="D7" s="12">
        <f>$C$7*2</f>
        <v>43.333333333333336</v>
      </c>
      <c r="E7" s="12">
        <f>$C$7*3</f>
        <v>65</v>
      </c>
      <c r="F7" s="12">
        <f>$C$7*4</f>
        <v>86.666666666666671</v>
      </c>
      <c r="G7" s="12">
        <f>$C$7*5</f>
        <v>108.33333333333334</v>
      </c>
      <c r="H7" s="12">
        <f>$C$7*6</f>
        <v>130</v>
      </c>
      <c r="I7" s="12">
        <f>$C$7*7</f>
        <v>151.66666666666669</v>
      </c>
      <c r="J7" s="302">
        <f>C7-1</f>
        <v>20.666666666666668</v>
      </c>
    </row>
    <row r="8" spans="1:10">
      <c r="A8" s="3" t="s">
        <v>79</v>
      </c>
      <c r="C8" s="1">
        <f>52*4/12</f>
        <v>17.333333333333332</v>
      </c>
      <c r="D8" s="12">
        <f>$C$8*2</f>
        <v>34.666666666666664</v>
      </c>
      <c r="E8" s="12">
        <f>$C$8*3</f>
        <v>52</v>
      </c>
      <c r="F8" s="12">
        <f>$C$8*4</f>
        <v>69.333333333333329</v>
      </c>
      <c r="G8" s="12">
        <f>$C$8*5</f>
        <v>86.666666666666657</v>
      </c>
      <c r="H8" s="12">
        <f>$C$8*6</f>
        <v>104</v>
      </c>
      <c r="I8" s="12">
        <f>$C$8*7</f>
        <v>121.33333333333333</v>
      </c>
      <c r="J8" s="302">
        <f t="shared" ref="J8:J11" si="0">C8-1</f>
        <v>16.333333333333332</v>
      </c>
    </row>
    <row r="9" spans="1:10">
      <c r="A9" s="3" t="s">
        <v>45</v>
      </c>
      <c r="C9" s="1">
        <f>52*3/12</f>
        <v>13</v>
      </c>
      <c r="D9" s="12">
        <f>$C$9*2</f>
        <v>26</v>
      </c>
      <c r="E9" s="12">
        <f>$C$9*3</f>
        <v>39</v>
      </c>
      <c r="F9" s="12">
        <f>$C$9*4</f>
        <v>52</v>
      </c>
      <c r="G9" s="12">
        <f>$C$9*5</f>
        <v>65</v>
      </c>
      <c r="H9" s="12">
        <f>$C$9*6</f>
        <v>78</v>
      </c>
      <c r="I9" s="12">
        <f>$C$9*7</f>
        <v>91</v>
      </c>
      <c r="J9" s="302">
        <f t="shared" si="0"/>
        <v>12</v>
      </c>
    </row>
    <row r="10" spans="1:10">
      <c r="A10" s="3" t="s">
        <v>46</v>
      </c>
      <c r="C10" s="1">
        <f>52*2/12</f>
        <v>8.6666666666666661</v>
      </c>
      <c r="D10" s="13">
        <f>$C$10*2</f>
        <v>17.333333333333332</v>
      </c>
      <c r="E10" s="13">
        <f>$C$10*3</f>
        <v>26</v>
      </c>
      <c r="F10" s="13">
        <f>$C$10*4</f>
        <v>34.666666666666664</v>
      </c>
      <c r="G10" s="13">
        <f>$C$10*5</f>
        <v>43.333333333333329</v>
      </c>
      <c r="H10" s="13">
        <f>$C$10*6</f>
        <v>52</v>
      </c>
      <c r="I10" s="13">
        <f>$C$10*7</f>
        <v>60.666666666666664</v>
      </c>
      <c r="J10" s="302">
        <f t="shared" si="0"/>
        <v>7.6666666666666661</v>
      </c>
    </row>
    <row r="11" spans="1:10">
      <c r="A11" s="3" t="s">
        <v>17</v>
      </c>
      <c r="C11" s="1">
        <f>52/12</f>
        <v>4.333333333333333</v>
      </c>
      <c r="D11" s="13">
        <f>$C$11*2</f>
        <v>8.6666666666666661</v>
      </c>
      <c r="E11" s="13">
        <f>$C$11*3</f>
        <v>13</v>
      </c>
      <c r="F11" s="13">
        <f>$C$11*4</f>
        <v>17.333333333333332</v>
      </c>
      <c r="G11" s="13">
        <f>$C$11*5</f>
        <v>21.666666666666664</v>
      </c>
      <c r="H11" s="13">
        <f>$C$11*6</f>
        <v>26</v>
      </c>
      <c r="I11" s="13">
        <f>$C$11*7</f>
        <v>30.333333333333332</v>
      </c>
      <c r="J11" s="302">
        <f t="shared" si="0"/>
        <v>3.333333333333333</v>
      </c>
    </row>
    <row r="12" spans="1:10">
      <c r="A12" s="3" t="s">
        <v>19</v>
      </c>
      <c r="C12" s="1">
        <f>26/12</f>
        <v>2.1666666666666665</v>
      </c>
      <c r="D12" s="13">
        <f>$C$12*2</f>
        <v>4.333333333333333</v>
      </c>
      <c r="E12" s="13">
        <f>$C$12*3</f>
        <v>6.5</v>
      </c>
      <c r="F12" s="13">
        <f>$C$12*4</f>
        <v>8.6666666666666661</v>
      </c>
      <c r="G12" s="13">
        <f>$C$12*5</f>
        <v>10.833333333333332</v>
      </c>
      <c r="H12" s="13">
        <f>$C$12*6</f>
        <v>13</v>
      </c>
      <c r="I12" s="13">
        <f>$C$12*7</f>
        <v>15.166666666666666</v>
      </c>
    </row>
    <row r="13" spans="1:10">
      <c r="A13" s="3" t="s">
        <v>18</v>
      </c>
      <c r="C13" s="1">
        <f>12/12</f>
        <v>1</v>
      </c>
      <c r="D13" s="13">
        <f>$C$13*2</f>
        <v>2</v>
      </c>
      <c r="E13" s="13">
        <f>$C$13*3</f>
        <v>3</v>
      </c>
      <c r="F13" s="13">
        <f>$C$13*4</f>
        <v>4</v>
      </c>
      <c r="G13" s="13">
        <f>$C$13*5</f>
        <v>5</v>
      </c>
      <c r="H13" s="13">
        <f>$C$13*6</f>
        <v>6</v>
      </c>
      <c r="I13" s="13">
        <f>$C$13*7</f>
        <v>7</v>
      </c>
    </row>
    <row r="14" spans="1:10">
      <c r="A14" s="23" t="s">
        <v>85</v>
      </c>
      <c r="C14" s="1">
        <v>1</v>
      </c>
      <c r="D14" s="13"/>
      <c r="E14" s="13"/>
      <c r="F14" s="13"/>
      <c r="G14" s="13"/>
      <c r="H14" s="13"/>
      <c r="I14" s="13"/>
    </row>
    <row r="15" spans="1:10">
      <c r="A15" s="452" t="s">
        <v>8</v>
      </c>
      <c r="B15" s="452"/>
      <c r="C15" s="452"/>
      <c r="D15" s="27"/>
      <c r="E15" s="13"/>
      <c r="F15" s="13"/>
      <c r="G15" s="13"/>
      <c r="H15" s="13"/>
      <c r="I15" s="13"/>
    </row>
    <row r="16" spans="1:10">
      <c r="A16" s="25" t="s">
        <v>42</v>
      </c>
      <c r="B16" s="25"/>
      <c r="C16" s="29" t="s">
        <v>71</v>
      </c>
      <c r="D16" s="27"/>
      <c r="E16" s="13"/>
      <c r="F16" s="13"/>
      <c r="G16" s="13"/>
      <c r="H16" s="13"/>
      <c r="I16" s="13"/>
    </row>
    <row r="17" spans="1:9">
      <c r="A17" s="28" t="s">
        <v>72</v>
      </c>
      <c r="B17" s="42"/>
      <c r="C17" s="26">
        <v>20</v>
      </c>
      <c r="D17" s="27"/>
      <c r="E17" s="13"/>
      <c r="F17" s="13"/>
      <c r="G17" s="13"/>
      <c r="H17" s="13"/>
      <c r="I17" s="13"/>
    </row>
    <row r="18" spans="1:9">
      <c r="A18" s="28" t="s">
        <v>48</v>
      </c>
      <c r="B18" s="42"/>
      <c r="C18" s="26">
        <v>34</v>
      </c>
      <c r="D18" s="27"/>
      <c r="E18" s="13"/>
      <c r="F18" s="13"/>
      <c r="G18" s="13"/>
      <c r="H18" s="13"/>
      <c r="I18" s="13"/>
    </row>
    <row r="19" spans="1:9">
      <c r="A19" s="28" t="s">
        <v>49</v>
      </c>
      <c r="B19" s="42"/>
      <c r="C19" s="26">
        <v>51</v>
      </c>
      <c r="D19" s="27"/>
      <c r="E19" s="13"/>
      <c r="F19" s="13"/>
      <c r="G19" s="13"/>
      <c r="H19" s="13"/>
      <c r="I19" s="13"/>
    </row>
    <row r="20" spans="1:9">
      <c r="A20" s="28" t="s">
        <v>50</v>
      </c>
      <c r="B20" s="42"/>
      <c r="C20" s="26">
        <v>77</v>
      </c>
      <c r="D20" s="27"/>
      <c r="E20" s="13"/>
      <c r="F20" s="13"/>
      <c r="G20" s="3" t="s">
        <v>15</v>
      </c>
      <c r="H20" s="7">
        <v>2000</v>
      </c>
      <c r="I20" s="13"/>
    </row>
    <row r="21" spans="1:9">
      <c r="A21" s="28" t="s">
        <v>51</v>
      </c>
      <c r="B21" s="42"/>
      <c r="C21" s="26">
        <v>97</v>
      </c>
      <c r="D21" s="27"/>
      <c r="E21" s="13"/>
      <c r="F21" s="13"/>
      <c r="G21" s="3" t="s">
        <v>16</v>
      </c>
      <c r="H21" s="15" t="s">
        <v>37</v>
      </c>
      <c r="I21" s="13"/>
    </row>
    <row r="22" spans="1:9">
      <c r="A22" s="28" t="s">
        <v>52</v>
      </c>
      <c r="B22" s="42"/>
      <c r="C22" s="26">
        <v>117</v>
      </c>
      <c r="D22" s="27"/>
      <c r="E22" s="13"/>
      <c r="F22" s="13"/>
      <c r="I22" s="13"/>
    </row>
    <row r="23" spans="1:9">
      <c r="A23" s="28" t="s">
        <v>53</v>
      </c>
      <c r="B23" s="42"/>
      <c r="C23" s="26">
        <v>137</v>
      </c>
      <c r="D23" s="27"/>
      <c r="E23" s="13"/>
      <c r="F23" s="13"/>
      <c r="G23" s="68" t="s">
        <v>74</v>
      </c>
      <c r="H23" s="79">
        <v>12</v>
      </c>
      <c r="I23" s="13"/>
    </row>
    <row r="24" spans="1:9" s="23" customFormat="1">
      <c r="A24" s="42" t="s">
        <v>100</v>
      </c>
      <c r="B24" s="42"/>
      <c r="C24" s="35">
        <v>40</v>
      </c>
      <c r="D24" s="41" t="s">
        <v>73</v>
      </c>
      <c r="E24" s="27"/>
      <c r="F24" s="27"/>
      <c r="G24" s="8"/>
      <c r="H24" s="9"/>
      <c r="I24" s="27"/>
    </row>
    <row r="25" spans="1:9">
      <c r="A25" s="28" t="s">
        <v>54</v>
      </c>
      <c r="B25" s="42"/>
      <c r="C25" s="26">
        <v>47</v>
      </c>
      <c r="D25" s="27"/>
      <c r="E25" s="13"/>
      <c r="F25" s="13"/>
      <c r="G25" s="13"/>
      <c r="H25" s="13"/>
      <c r="I25" s="13"/>
    </row>
    <row r="26" spans="1:9">
      <c r="A26" s="28" t="s">
        <v>55</v>
      </c>
      <c r="B26" s="42"/>
      <c r="C26" s="26">
        <v>68</v>
      </c>
      <c r="D26" s="27"/>
      <c r="E26" s="13"/>
      <c r="F26" s="13"/>
      <c r="G26" s="13"/>
      <c r="H26" s="13"/>
      <c r="I26" s="13"/>
    </row>
    <row r="27" spans="1:9">
      <c r="A27" s="28" t="s">
        <v>56</v>
      </c>
      <c r="B27" s="42"/>
      <c r="C27" s="26">
        <v>34</v>
      </c>
      <c r="D27" s="27"/>
      <c r="E27" s="13"/>
      <c r="F27" s="13"/>
      <c r="G27" s="13"/>
      <c r="H27" s="13"/>
      <c r="I27" s="13"/>
    </row>
    <row r="28" spans="1:9">
      <c r="A28" s="28" t="s">
        <v>26</v>
      </c>
      <c r="B28" s="42"/>
      <c r="C28" s="26">
        <v>34</v>
      </c>
      <c r="D28" s="27"/>
      <c r="E28" s="13"/>
      <c r="F28" s="13"/>
      <c r="G28" s="13"/>
      <c r="H28" s="13"/>
      <c r="I28" s="13"/>
    </row>
    <row r="29" spans="1:9">
      <c r="A29" s="25" t="s">
        <v>57</v>
      </c>
      <c r="B29" s="25"/>
      <c r="C29" s="26"/>
      <c r="D29" s="27"/>
      <c r="E29" s="13"/>
      <c r="F29" s="13"/>
      <c r="G29" s="13"/>
      <c r="H29" s="13"/>
      <c r="I29" s="13"/>
    </row>
    <row r="30" spans="1:9">
      <c r="A30" s="28" t="s">
        <v>58</v>
      </c>
      <c r="B30" s="42"/>
      <c r="C30" s="26">
        <v>29</v>
      </c>
      <c r="D30" s="27"/>
      <c r="E30" s="13"/>
      <c r="F30" s="13"/>
      <c r="G30" s="13"/>
      <c r="H30" s="13"/>
      <c r="I30" s="13"/>
    </row>
    <row r="31" spans="1:9" s="23" customFormat="1">
      <c r="A31" s="42" t="s">
        <v>70</v>
      </c>
      <c r="B31" s="42"/>
      <c r="C31" s="35">
        <v>125</v>
      </c>
      <c r="D31" s="41"/>
      <c r="E31" s="41"/>
      <c r="F31" s="41"/>
      <c r="G31" s="41"/>
      <c r="H31" s="41"/>
      <c r="I31" s="41"/>
    </row>
    <row r="32" spans="1:9">
      <c r="A32" s="28" t="s">
        <v>59</v>
      </c>
      <c r="B32" s="42"/>
      <c r="C32" s="26">
        <v>175</v>
      </c>
      <c r="D32" s="27"/>
      <c r="E32" s="13"/>
      <c r="F32" s="13"/>
      <c r="G32" s="13"/>
      <c r="H32" s="13"/>
      <c r="I32" s="13"/>
    </row>
    <row r="33" spans="1:9" s="114" customFormat="1">
      <c r="A33" s="112" t="s">
        <v>60</v>
      </c>
      <c r="B33" s="112"/>
      <c r="C33" s="109">
        <v>250</v>
      </c>
      <c r="D33" s="100"/>
      <c r="E33" s="100"/>
      <c r="F33" s="100"/>
      <c r="G33" s="100"/>
      <c r="H33" s="100"/>
      <c r="I33" s="100"/>
    </row>
    <row r="34" spans="1:9" s="114" customFormat="1">
      <c r="A34" s="112" t="s">
        <v>61</v>
      </c>
      <c r="B34" s="112"/>
      <c r="C34" s="109">
        <v>324</v>
      </c>
      <c r="D34" s="100"/>
      <c r="E34" s="100"/>
      <c r="F34" s="100"/>
      <c r="G34" s="100"/>
      <c r="H34" s="100"/>
      <c r="I34" s="100"/>
    </row>
    <row r="35" spans="1:9" s="114" customFormat="1">
      <c r="A35" s="112" t="s">
        <v>62</v>
      </c>
      <c r="B35" s="112"/>
      <c r="C35" s="109">
        <v>473</v>
      </c>
      <c r="D35" s="100"/>
      <c r="E35" s="100"/>
      <c r="F35" s="100"/>
      <c r="G35" s="100"/>
      <c r="H35" s="100"/>
      <c r="I35" s="100"/>
    </row>
    <row r="36" spans="1:9" s="114" customFormat="1">
      <c r="A36" s="112" t="s">
        <v>63</v>
      </c>
      <c r="B36" s="112"/>
      <c r="C36" s="109">
        <v>613</v>
      </c>
      <c r="D36" s="100"/>
      <c r="E36" s="100"/>
      <c r="F36" s="100"/>
      <c r="G36" s="100"/>
      <c r="H36" s="100"/>
      <c r="I36" s="100"/>
    </row>
    <row r="37" spans="1:9" s="114" customFormat="1">
      <c r="A37" s="112" t="s">
        <v>64</v>
      </c>
      <c r="B37" s="112"/>
      <c r="C37" s="109">
        <v>840</v>
      </c>
      <c r="D37" s="100"/>
      <c r="E37" s="100"/>
      <c r="F37" s="100"/>
      <c r="G37" s="100"/>
      <c r="H37" s="100"/>
      <c r="I37" s="100"/>
    </row>
    <row r="38" spans="1:9" s="114" customFormat="1">
      <c r="A38" s="112" t="s">
        <v>65</v>
      </c>
      <c r="B38" s="112"/>
      <c r="C38" s="109">
        <v>980</v>
      </c>
      <c r="D38" s="110"/>
      <c r="E38" s="100"/>
      <c r="F38" s="100"/>
      <c r="G38" s="100"/>
      <c r="H38" s="100"/>
      <c r="I38" s="100"/>
    </row>
    <row r="39" spans="1:9" s="23" customFormat="1">
      <c r="A39" s="76" t="s">
        <v>96</v>
      </c>
      <c r="B39" s="76">
        <v>2.25</v>
      </c>
      <c r="C39" s="35"/>
      <c r="D39" s="75"/>
      <c r="E39" s="41"/>
      <c r="F39" s="41"/>
      <c r="G39" s="41"/>
      <c r="H39" s="41"/>
      <c r="I39" s="41"/>
    </row>
    <row r="40" spans="1:9" s="23" customFormat="1">
      <c r="A40" s="28" t="s">
        <v>67</v>
      </c>
      <c r="B40" s="42"/>
      <c r="C40" s="26">
        <f>C34*$B$39</f>
        <v>729</v>
      </c>
      <c r="D40" s="27" t="s">
        <v>73</v>
      </c>
      <c r="E40" s="24"/>
      <c r="F40" s="24"/>
      <c r="G40" s="24"/>
      <c r="H40" s="24"/>
      <c r="I40" s="24"/>
    </row>
    <row r="41" spans="1:9" s="23" customFormat="1">
      <c r="A41" s="28" t="s">
        <v>68</v>
      </c>
      <c r="B41" s="42"/>
      <c r="C41" s="35">
        <f>C36*$B$39</f>
        <v>1379.25</v>
      </c>
      <c r="D41" s="41" t="s">
        <v>73</v>
      </c>
      <c r="E41" s="24"/>
      <c r="F41" s="24"/>
      <c r="G41" s="24"/>
      <c r="H41" s="24"/>
      <c r="I41" s="24"/>
    </row>
    <row r="42" spans="1:9" s="23" customFormat="1">
      <c r="A42" s="28" t="s">
        <v>69</v>
      </c>
      <c r="B42" s="42"/>
      <c r="C42" s="35">
        <f>C37*$B$39</f>
        <v>1890</v>
      </c>
      <c r="D42" s="41" t="s">
        <v>73</v>
      </c>
      <c r="E42" s="24"/>
      <c r="F42" s="24"/>
      <c r="G42" s="24"/>
      <c r="H42" s="24"/>
      <c r="I42" s="24"/>
    </row>
    <row r="43" spans="1:9" s="23" customFormat="1">
      <c r="A43" s="76" t="s">
        <v>95</v>
      </c>
      <c r="B43" s="76">
        <v>3</v>
      </c>
      <c r="C43" s="35"/>
      <c r="D43" s="41"/>
      <c r="E43" s="41"/>
      <c r="F43" s="41"/>
      <c r="G43" s="41"/>
      <c r="H43" s="41"/>
      <c r="I43" s="41"/>
    </row>
    <row r="44" spans="1:9" s="23" customFormat="1">
      <c r="A44" s="42" t="s">
        <v>67</v>
      </c>
      <c r="B44" s="42"/>
      <c r="C44" s="78">
        <f>C34*$B$43</f>
        <v>972</v>
      </c>
      <c r="D44" s="41" t="s">
        <v>73</v>
      </c>
      <c r="E44" s="41"/>
      <c r="F44" s="41"/>
      <c r="G44" s="41"/>
      <c r="H44" s="41"/>
      <c r="I44" s="41"/>
    </row>
    <row r="45" spans="1:9" s="23" customFormat="1">
      <c r="A45" s="42" t="s">
        <v>66</v>
      </c>
      <c r="B45" s="42"/>
      <c r="C45" s="78">
        <f t="shared" ref="C45:C47" si="1">C35*$B$43</f>
        <v>1419</v>
      </c>
      <c r="D45" s="41" t="s">
        <v>73</v>
      </c>
      <c r="E45" s="41"/>
      <c r="F45" s="41"/>
      <c r="G45" s="41"/>
      <c r="H45" s="41"/>
      <c r="I45" s="41"/>
    </row>
    <row r="46" spans="1:9" s="23" customFormat="1">
      <c r="A46" s="42" t="s">
        <v>68</v>
      </c>
      <c r="B46" s="42"/>
      <c r="C46" s="78">
        <f t="shared" si="1"/>
        <v>1839</v>
      </c>
      <c r="D46" s="41" t="s">
        <v>73</v>
      </c>
      <c r="E46" s="41"/>
      <c r="F46" s="41"/>
      <c r="G46" s="41"/>
      <c r="H46" s="41"/>
      <c r="I46" s="41"/>
    </row>
    <row r="47" spans="1:9" s="23" customFormat="1">
      <c r="A47" s="42" t="s">
        <v>69</v>
      </c>
      <c r="B47" s="42"/>
      <c r="C47" s="78">
        <f t="shared" si="1"/>
        <v>2520</v>
      </c>
      <c r="D47" s="41" t="s">
        <v>73</v>
      </c>
      <c r="E47" s="41"/>
      <c r="F47" s="41"/>
      <c r="G47" s="41"/>
      <c r="H47" s="41"/>
      <c r="I47" s="41"/>
    </row>
    <row r="48" spans="1:9" s="23" customFormat="1">
      <c r="A48" s="76" t="s">
        <v>97</v>
      </c>
      <c r="B48" s="76">
        <v>4</v>
      </c>
      <c r="C48" s="35"/>
      <c r="D48" s="41"/>
      <c r="E48" s="41"/>
      <c r="F48" s="41"/>
      <c r="G48" s="41"/>
      <c r="H48" s="41"/>
      <c r="I48" s="41"/>
    </row>
    <row r="49" spans="1:10" s="23" customFormat="1">
      <c r="A49" s="42" t="s">
        <v>66</v>
      </c>
      <c r="B49" s="42"/>
      <c r="C49" s="78">
        <f t="shared" ref="C49:C51" si="2">C35*$B$48</f>
        <v>1892</v>
      </c>
      <c r="D49" s="41" t="s">
        <v>73</v>
      </c>
      <c r="E49" s="41"/>
      <c r="F49" s="41"/>
      <c r="G49" s="41"/>
      <c r="H49" s="41"/>
      <c r="I49" s="41"/>
    </row>
    <row r="50" spans="1:10" s="23" customFormat="1">
      <c r="A50" s="42" t="s">
        <v>68</v>
      </c>
      <c r="B50" s="42"/>
      <c r="C50" s="78">
        <f t="shared" si="2"/>
        <v>2452</v>
      </c>
      <c r="D50" s="41" t="s">
        <v>73</v>
      </c>
      <c r="E50" s="41"/>
      <c r="F50" s="41"/>
      <c r="G50" s="41"/>
      <c r="H50" s="41"/>
      <c r="I50" s="41"/>
    </row>
    <row r="51" spans="1:10" s="23" customFormat="1">
      <c r="A51" s="42" t="s">
        <v>69</v>
      </c>
      <c r="B51" s="42"/>
      <c r="C51" s="78">
        <f t="shared" si="2"/>
        <v>3360</v>
      </c>
      <c r="D51" s="41" t="s">
        <v>73</v>
      </c>
      <c r="E51" s="41"/>
      <c r="F51" s="41"/>
      <c r="G51" s="41"/>
      <c r="H51" s="41"/>
      <c r="I51" s="41"/>
    </row>
    <row r="52" spans="1:10" s="23" customFormat="1">
      <c r="A52" s="76" t="s">
        <v>98</v>
      </c>
      <c r="B52" s="76">
        <v>5</v>
      </c>
      <c r="C52" s="35"/>
      <c r="D52" s="41"/>
      <c r="E52" s="41"/>
      <c r="F52" s="41"/>
      <c r="G52" s="41"/>
      <c r="H52" s="41"/>
      <c r="I52" s="41"/>
    </row>
    <row r="53" spans="1:10" s="23" customFormat="1">
      <c r="A53" s="42" t="s">
        <v>68</v>
      </c>
      <c r="B53" s="42"/>
      <c r="C53" s="78">
        <f>C36*$B$52</f>
        <v>3065</v>
      </c>
      <c r="D53" s="41" t="s">
        <v>73</v>
      </c>
      <c r="E53" s="41"/>
      <c r="F53" s="41"/>
      <c r="G53" s="41"/>
      <c r="H53" s="41"/>
      <c r="I53" s="41"/>
    </row>
    <row r="54" spans="1:10" s="23" customFormat="1">
      <c r="A54" s="42" t="s">
        <v>69</v>
      </c>
      <c r="B54" s="42"/>
      <c r="C54" s="78">
        <f>C37*$B$52</f>
        <v>4200</v>
      </c>
      <c r="D54" s="41" t="s">
        <v>73</v>
      </c>
      <c r="E54" s="41"/>
      <c r="F54" s="41"/>
      <c r="G54" s="41"/>
      <c r="H54" s="41"/>
      <c r="I54" s="41"/>
    </row>
    <row r="55" spans="1:10">
      <c r="C55" s="454" t="s">
        <v>103</v>
      </c>
      <c r="D55" s="454"/>
    </row>
    <row r="56" spans="1:10">
      <c r="C56" s="3" t="s">
        <v>104</v>
      </c>
    </row>
    <row r="58" spans="1:10">
      <c r="A58" s="22" t="s">
        <v>94</v>
      </c>
      <c r="B58" s="45"/>
      <c r="C58" s="20" t="s">
        <v>3</v>
      </c>
      <c r="D58" s="20" t="s">
        <v>4</v>
      </c>
      <c r="G58" s="453" t="s">
        <v>21</v>
      </c>
      <c r="H58" s="453"/>
    </row>
    <row r="59" spans="1:10">
      <c r="A59" s="16" t="s">
        <v>5</v>
      </c>
      <c r="B59" s="74"/>
      <c r="C59" s="97">
        <v>164.34</v>
      </c>
      <c r="D59" s="71">
        <f>C59/2000</f>
        <v>8.2170000000000007E-2</v>
      </c>
      <c r="G59" s="3" t="s">
        <v>22</v>
      </c>
      <c r="H59" s="4">
        <f>0.015</f>
        <v>1.4999999999999999E-2</v>
      </c>
    </row>
    <row r="60" spans="1:10">
      <c r="A60" s="16" t="s">
        <v>6</v>
      </c>
      <c r="B60" s="74"/>
      <c r="C60" s="310">
        <v>167.38</v>
      </c>
      <c r="D60" s="72">
        <f>C60/2000</f>
        <v>8.3690000000000001E-2</v>
      </c>
      <c r="G60" s="3" t="s">
        <v>23</v>
      </c>
      <c r="H60" s="5">
        <f>0.0051</f>
        <v>5.1000000000000004E-3</v>
      </c>
    </row>
    <row r="61" spans="1:10">
      <c r="A61" s="14" t="s">
        <v>7</v>
      </c>
      <c r="B61" s="42"/>
      <c r="C61" s="70">
        <f>C60-C59</f>
        <v>3.039999999999992</v>
      </c>
      <c r="D61" s="73">
        <f>D60-D59</f>
        <v>1.5199999999999936E-3</v>
      </c>
      <c r="E61" s="69">
        <f>C61/C59</f>
        <v>1.8498235365705197E-2</v>
      </c>
      <c r="G61" s="3" t="s">
        <v>41</v>
      </c>
      <c r="H61" s="6"/>
    </row>
    <row r="62" spans="1:10">
      <c r="D62" s="67">
        <f>D61/$H$64</f>
        <v>1.5511786917032284E-3</v>
      </c>
      <c r="G62" s="3" t="s">
        <v>13</v>
      </c>
      <c r="H62" s="17">
        <f>SUM(H59:H61)</f>
        <v>2.01E-2</v>
      </c>
      <c r="J62" s="66"/>
    </row>
    <row r="63" spans="1:10">
      <c r="C63" s="21" t="s">
        <v>913</v>
      </c>
    </row>
    <row r="64" spans="1:10">
      <c r="A64" s="3" t="s">
        <v>2</v>
      </c>
      <c r="C64" s="18">
        <f>C61</f>
        <v>3.039999999999992</v>
      </c>
      <c r="D64" s="67"/>
      <c r="G64" s="3" t="s">
        <v>24</v>
      </c>
      <c r="H64" s="19">
        <f>1-H62</f>
        <v>0.97989999999999999</v>
      </c>
    </row>
    <row r="65" spans="1:5">
      <c r="A65" s="3" t="s">
        <v>20</v>
      </c>
      <c r="C65" s="18">
        <f>C64/$H$64</f>
        <v>3.1023573834064622</v>
      </c>
      <c r="D65" s="67"/>
    </row>
    <row r="66" spans="1:5">
      <c r="A66" s="3" t="s">
        <v>957</v>
      </c>
      <c r="C66" s="140">
        <f>'Disposal Schedule'!G129</f>
        <v>75044.530000000013</v>
      </c>
      <c r="D66" s="18"/>
      <c r="E66" s="56"/>
    </row>
    <row r="67" spans="1:5">
      <c r="A67" s="2" t="s">
        <v>25</v>
      </c>
      <c r="B67" s="25"/>
      <c r="C67" s="86">
        <f>C65*C66</f>
        <v>232814.95172976778</v>
      </c>
      <c r="E67" s="56"/>
    </row>
    <row r="68" spans="1:5">
      <c r="E68" s="51"/>
    </row>
    <row r="69" spans="1:5" s="23" customFormat="1">
      <c r="E69" s="102"/>
    </row>
    <row r="70" spans="1:5" s="23" customFormat="1">
      <c r="A70" s="45" t="s">
        <v>915</v>
      </c>
      <c r="B70" s="45"/>
      <c r="C70" s="104" t="s">
        <v>3</v>
      </c>
      <c r="D70" s="104" t="s">
        <v>4</v>
      </c>
      <c r="E70" s="102"/>
    </row>
    <row r="71" spans="1:5" s="23" customFormat="1">
      <c r="A71" s="303" t="s">
        <v>5</v>
      </c>
      <c r="B71" s="303"/>
      <c r="C71" s="97">
        <v>112.64</v>
      </c>
      <c r="D71" s="71">
        <f>C71/2000</f>
        <v>5.6320000000000002E-2</v>
      </c>
      <c r="E71" s="102"/>
    </row>
    <row r="72" spans="1:5" s="23" customFormat="1">
      <c r="A72" s="303" t="s">
        <v>6</v>
      </c>
      <c r="B72" s="303"/>
      <c r="C72" s="310">
        <v>112.38</v>
      </c>
      <c r="D72" s="72">
        <f>C72/2000</f>
        <v>5.6189999999999997E-2</v>
      </c>
      <c r="E72" s="102"/>
    </row>
    <row r="73" spans="1:5" s="23" customFormat="1">
      <c r="A73" s="42" t="s">
        <v>7</v>
      </c>
      <c r="B73" s="42"/>
      <c r="C73" s="70">
        <f>C72-C71</f>
        <v>-0.26000000000000512</v>
      </c>
      <c r="D73" s="73">
        <f>D72-D71</f>
        <v>-1.3000000000000511E-4</v>
      </c>
      <c r="E73" s="188">
        <f>C73/C71</f>
        <v>-2.3082386363636816E-3</v>
      </c>
    </row>
    <row r="74" spans="1:5" s="23" customFormat="1">
      <c r="D74" s="67">
        <f>D73/$H$64</f>
        <v>-1.3266659863251875E-4</v>
      </c>
      <c r="E74" s="102"/>
    </row>
    <row r="75" spans="1:5" s="23" customFormat="1">
      <c r="C75" s="21" t="s">
        <v>913</v>
      </c>
      <c r="E75" s="102"/>
    </row>
    <row r="76" spans="1:5" s="23" customFormat="1">
      <c r="A76" s="23" t="s">
        <v>2</v>
      </c>
      <c r="C76" s="18">
        <f>C73</f>
        <v>-0.26000000000000512</v>
      </c>
      <c r="D76" s="67"/>
      <c r="E76" s="102"/>
    </row>
    <row r="77" spans="1:5" s="23" customFormat="1">
      <c r="A77" s="23" t="s">
        <v>20</v>
      </c>
      <c r="C77" s="18">
        <f>C76/$H$64</f>
        <v>-0.26533319726503224</v>
      </c>
      <c r="D77" s="67"/>
      <c r="E77" s="102"/>
    </row>
    <row r="78" spans="1:5" s="23" customFormat="1">
      <c r="A78" s="23" t="s">
        <v>957</v>
      </c>
      <c r="C78" s="140">
        <f>'Disposal Schedule'!G131</f>
        <v>5726.24</v>
      </c>
      <c r="D78" s="18"/>
      <c r="E78" s="102"/>
    </row>
    <row r="79" spans="1:5" s="23" customFormat="1">
      <c r="A79" s="25" t="s">
        <v>25</v>
      </c>
      <c r="B79" s="25"/>
      <c r="C79" s="86">
        <f>C77*C78</f>
        <v>-1519.3615675069182</v>
      </c>
      <c r="E79" s="102"/>
    </row>
    <row r="80" spans="1:5" s="23" customFormat="1">
      <c r="E80" s="102"/>
    </row>
    <row r="81" spans="1:5" s="23" customFormat="1">
      <c r="E81" s="102"/>
    </row>
    <row r="83" spans="1:5" ht="15.75" thickBot="1"/>
    <row r="84" spans="1:5">
      <c r="A84" s="59" t="s">
        <v>77</v>
      </c>
      <c r="B84" s="77"/>
      <c r="C84" s="80" t="s">
        <v>75</v>
      </c>
      <c r="E84" s="18"/>
    </row>
    <row r="85" spans="1:5">
      <c r="A85" s="60" t="s">
        <v>76</v>
      </c>
      <c r="B85" s="51"/>
      <c r="C85" s="139">
        <f>'DF Calculation'!L102-'DF Calculation'!J102</f>
        <v>231427.79200948402</v>
      </c>
    </row>
    <row r="86" spans="1:5">
      <c r="A86" s="60" t="s">
        <v>10</v>
      </c>
      <c r="B86" s="51"/>
      <c r="C86" s="139">
        <f>C67+C79-C85</f>
        <v>-132.20184722315753</v>
      </c>
      <c r="D86" s="141" t="s">
        <v>164</v>
      </c>
    </row>
    <row r="87" spans="1:5" ht="15.75" thickBot="1">
      <c r="A87" s="87"/>
      <c r="B87" s="90"/>
      <c r="C87" s="91"/>
    </row>
    <row r="88" spans="1:5">
      <c r="A88" s="53"/>
      <c r="B88" s="88"/>
      <c r="C88" s="89"/>
    </row>
  </sheetData>
  <mergeCells count="4">
    <mergeCell ref="A5:I5"/>
    <mergeCell ref="G58:H58"/>
    <mergeCell ref="A15:C15"/>
    <mergeCell ref="C55:D55"/>
  </mergeCells>
  <conditionalFormatting sqref="C86">
    <cfRule type="cellIs" dxfId="5" priority="1" operator="lessThan">
      <formula>-10</formula>
    </cfRule>
    <cfRule type="cellIs" dxfId="4" priority="2" operator="greaterThan">
      <formula>10</formula>
    </cfRule>
  </conditionalFormatting>
  <pageMargins left="0.7" right="0.7" top="0.75" bottom="0.75" header="0.3" footer="0.3"/>
  <pageSetup scale="34" orientation="portrait" r:id="rId1"/>
  <headerFooter>
    <oddFooter>&amp;L&amp;F - &amp;A&amp;R&amp;P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43"/>
  <sheetViews>
    <sheetView showGridLines="0" view="pageBreakPreview" zoomScale="85" zoomScaleNormal="85" zoomScaleSheetLayoutView="85" zoomScalePageLayoutView="85" workbookViewId="0">
      <pane xSplit="5" ySplit="6" topLeftCell="F7" activePane="bottomRight" state="frozen"/>
      <selection activeCell="A45" sqref="A45"/>
      <selection pane="topRight" activeCell="A45" sqref="A45"/>
      <selection pane="bottomLeft" activeCell="A45" sqref="A45"/>
      <selection pane="bottomRight" activeCell="F14" sqref="F14"/>
    </sheetView>
  </sheetViews>
  <sheetFormatPr defaultColWidth="8.85546875" defaultRowHeight="15" outlineLevelCol="1"/>
  <cols>
    <col min="1" max="1" width="5.85546875" style="95" customWidth="1"/>
    <col min="2" max="2" width="5.42578125" style="55" customWidth="1"/>
    <col min="3" max="3" width="39.85546875" style="55" hidden="1" customWidth="1" outlineLevel="1"/>
    <col min="4" max="4" width="25.7109375" style="55" customWidth="1" collapsed="1"/>
    <col min="5" max="5" width="26.140625" style="102" customWidth="1"/>
    <col min="6" max="6" width="12.7109375" style="52" customWidth="1"/>
    <col min="7" max="8" width="12.7109375" style="102" customWidth="1"/>
    <col min="9" max="9" width="12.7109375" style="50" customWidth="1"/>
    <col min="10" max="13" width="12.7109375" style="102" customWidth="1"/>
    <col min="14" max="14" width="12.7109375" style="156" customWidth="1"/>
    <col min="15" max="16" width="12.7109375" style="102" customWidth="1"/>
    <col min="17" max="17" width="12.7109375" style="63" customWidth="1"/>
    <col min="18" max="18" width="10.85546875" style="102" customWidth="1"/>
    <col min="19" max="19" width="15" style="159" bestFit="1" customWidth="1"/>
    <col min="20" max="20" width="35" style="156" bestFit="1" customWidth="1"/>
    <col min="21" max="16384" width="8.85546875" style="156"/>
  </cols>
  <sheetData>
    <row r="1" spans="1:20">
      <c r="A1" s="217" t="s">
        <v>175</v>
      </c>
      <c r="B1" s="218"/>
      <c r="C1" s="218"/>
      <c r="D1" s="218"/>
      <c r="E1" s="219" t="s">
        <v>93</v>
      </c>
      <c r="H1" s="111"/>
      <c r="N1" s="117"/>
    </row>
    <row r="2" spans="1:20">
      <c r="A2" s="217" t="s">
        <v>176</v>
      </c>
      <c r="B2" s="218"/>
      <c r="C2" s="218"/>
      <c r="D2" s="218"/>
      <c r="E2" s="166" t="s">
        <v>369</v>
      </c>
      <c r="H2" s="111"/>
      <c r="I2" s="189"/>
      <c r="L2" s="37"/>
      <c r="N2" s="117"/>
    </row>
    <row r="3" spans="1:20">
      <c r="A3" s="88" t="s">
        <v>106</v>
      </c>
      <c r="B3" s="218"/>
      <c r="C3" s="218"/>
      <c r="D3" s="218"/>
      <c r="E3" s="167" t="s">
        <v>99</v>
      </c>
      <c r="H3" s="111"/>
      <c r="L3" s="37"/>
      <c r="M3" s="31"/>
      <c r="N3" s="117"/>
    </row>
    <row r="4" spans="1:20">
      <c r="A4" s="88" t="s">
        <v>172</v>
      </c>
      <c r="B4" s="218"/>
      <c r="C4" s="218"/>
      <c r="D4" s="218"/>
      <c r="E4" s="142" t="s">
        <v>163</v>
      </c>
      <c r="I4" s="189"/>
      <c r="M4" s="188"/>
      <c r="N4" s="117"/>
    </row>
    <row r="5" spans="1:20">
      <c r="E5" s="182" t="s">
        <v>168</v>
      </c>
      <c r="F5" s="99"/>
      <c r="G5" s="98"/>
      <c r="H5" s="99"/>
      <c r="I5" s="98"/>
      <c r="J5" s="99"/>
      <c r="K5" s="98"/>
      <c r="M5" s="98"/>
      <c r="N5" s="151"/>
    </row>
    <row r="6" spans="1:20" s="184" customFormat="1" ht="45">
      <c r="A6" s="163"/>
      <c r="B6" s="119" t="s">
        <v>12</v>
      </c>
      <c r="C6" s="119"/>
      <c r="D6" s="119" t="s">
        <v>111</v>
      </c>
      <c r="E6" s="119" t="s">
        <v>136</v>
      </c>
      <c r="F6" s="119" t="s">
        <v>137</v>
      </c>
      <c r="G6" s="119" t="s">
        <v>8</v>
      </c>
      <c r="H6" s="119" t="s">
        <v>28</v>
      </c>
      <c r="I6" s="120" t="s">
        <v>29</v>
      </c>
      <c r="J6" s="119" t="s">
        <v>7</v>
      </c>
      <c r="K6" s="119" t="s">
        <v>0</v>
      </c>
      <c r="L6" s="170" t="s">
        <v>30</v>
      </c>
      <c r="M6" s="119" t="s">
        <v>32</v>
      </c>
      <c r="N6" s="169" t="s">
        <v>101</v>
      </c>
      <c r="O6" s="119" t="s">
        <v>31</v>
      </c>
      <c r="P6" s="119" t="s">
        <v>102</v>
      </c>
      <c r="Q6" s="121" t="s">
        <v>33</v>
      </c>
      <c r="R6" s="181" t="s">
        <v>158</v>
      </c>
      <c r="S6" s="183"/>
    </row>
    <row r="7" spans="1:20">
      <c r="A7" s="459" t="s">
        <v>159</v>
      </c>
      <c r="B7" s="154">
        <v>16</v>
      </c>
      <c r="C7" s="123" t="s">
        <v>430</v>
      </c>
      <c r="D7" s="123" t="s">
        <v>431</v>
      </c>
      <c r="E7" s="297" t="str">
        <f>VLOOKUP(C7,Mapping!$C$2:$H$110,6,FALSE)</f>
        <v>32 Gal Unit Over-Sized</v>
      </c>
      <c r="F7" s="158">
        <f>SUMIFS(Mapping!M:M,Mapping!A:A,"Residential",Mapping!C:C,'DF Calculation'!C7)</f>
        <v>10.984496124031008</v>
      </c>
      <c r="G7" s="158">
        <f>VLOOKUP(C7,Mapping!C:L,8,FALSE)</f>
        <v>34</v>
      </c>
      <c r="H7" s="158">
        <f t="shared" ref="H7:H8" si="0">F7*G7</f>
        <v>373.47286821705427</v>
      </c>
      <c r="I7" s="153">
        <f t="shared" ref="I7:I8" si="1">$E$101*H7</f>
        <v>299.93879868233671</v>
      </c>
      <c r="J7" s="158">
        <f>(References!$D$61*I7)</f>
        <v>0.45590697399714986</v>
      </c>
      <c r="K7" s="158">
        <f>J7/References!$H$64</f>
        <v>0.46525867333110504</v>
      </c>
      <c r="L7" s="309">
        <f>VLOOKUP(C7,Mapping!C:N,12,FALSE)</f>
        <v>7.74</v>
      </c>
      <c r="M7" s="157">
        <f t="shared" ref="M7:M8" si="2">IFERROR((K7/F7),0)</f>
        <v>4.2355941326543793E-2</v>
      </c>
      <c r="N7" s="168">
        <f t="shared" ref="N7:N33" si="3">M7+L7</f>
        <v>7.7823559413265437</v>
      </c>
      <c r="O7" s="118">
        <f t="shared" ref="O7:O8" si="4">F7*L7</f>
        <v>85.02</v>
      </c>
      <c r="P7" s="118">
        <f t="shared" ref="P7:P8" si="5">F7*N7</f>
        <v>85.485258673331103</v>
      </c>
      <c r="Q7" s="118">
        <f>P7-O7</f>
        <v>0.46525867333110682</v>
      </c>
      <c r="R7" s="161">
        <f>(((G7*$E$101)*(References!$D$61/References!$H$64)))-M7</f>
        <v>0</v>
      </c>
      <c r="S7" s="407"/>
      <c r="T7" s="161"/>
    </row>
    <row r="8" spans="1:20">
      <c r="A8" s="459"/>
      <c r="B8" s="154">
        <v>16</v>
      </c>
      <c r="C8" s="123" t="s">
        <v>432</v>
      </c>
      <c r="D8" s="123" t="s">
        <v>433</v>
      </c>
      <c r="E8" s="297" t="str">
        <f>VLOOKUP(C8,Mapping!$C$2:$H$110,6,FALSE)</f>
        <v>32 Gal Unit Over-Weight</v>
      </c>
      <c r="F8" s="158">
        <f>SUMIFS(Mapping!M:M,Mapping!A:A,"Residential",Mapping!C:C,'DF Calculation'!C8)</f>
        <v>22455.903324584429</v>
      </c>
      <c r="G8" s="158">
        <f>VLOOKUP(C8,Mapping!C:L,8,FALSE)</f>
        <v>34</v>
      </c>
      <c r="H8" s="158">
        <f t="shared" si="0"/>
        <v>763500.71303587058</v>
      </c>
      <c r="I8" s="153">
        <f t="shared" si="1"/>
        <v>613173.02045083151</v>
      </c>
      <c r="J8" s="158">
        <f>(References!$D$61*I8)</f>
        <v>932.02299108525995</v>
      </c>
      <c r="K8" s="158">
        <f>J8/References!$H$64</f>
        <v>951.14092365063777</v>
      </c>
      <c r="L8" s="309">
        <f>VLOOKUP(C8,Mapping!C:N,12,FALSE)</f>
        <v>7.74</v>
      </c>
      <c r="M8" s="157">
        <f t="shared" si="2"/>
        <v>4.2355941326543793E-2</v>
      </c>
      <c r="N8" s="168">
        <f t="shared" si="3"/>
        <v>7.7823559413265437</v>
      </c>
      <c r="O8" s="118">
        <f t="shared" si="4"/>
        <v>173808.69173228348</v>
      </c>
      <c r="P8" s="118">
        <f t="shared" si="5"/>
        <v>174759.83265593412</v>
      </c>
      <c r="Q8" s="118">
        <f t="shared" ref="Q8" si="6">P8-O8</f>
        <v>951.14092365064425</v>
      </c>
      <c r="R8" s="161">
        <f>(((G8*$E$101)*(References!$D$61/References!$H$64)))-M8</f>
        <v>0</v>
      </c>
      <c r="S8" s="407"/>
      <c r="T8" s="161"/>
    </row>
    <row r="9" spans="1:20">
      <c r="A9" s="459"/>
      <c r="B9" s="154">
        <v>21</v>
      </c>
      <c r="C9" s="123" t="s">
        <v>177</v>
      </c>
      <c r="D9" s="123" t="s">
        <v>178</v>
      </c>
      <c r="E9" s="297" t="str">
        <f>VLOOKUP(C9,Mapping!$C$4:$H$110,6,FALSE)</f>
        <v>20 Gallon Cart WG-R</v>
      </c>
      <c r="F9" s="158">
        <f>SUMIFS(Mapping!M:M,Mapping!A:A,"Residential",Mapping!C:C,'DF Calculation'!C9)</f>
        <v>531.27348019081012</v>
      </c>
      <c r="G9" s="158">
        <f>VLOOKUP(C9,Mapping!C:L,8,FALSE)</f>
        <v>20</v>
      </c>
      <c r="H9" s="158">
        <f>F9*G9</f>
        <v>10625.469603816202</v>
      </c>
      <c r="I9" s="153">
        <f t="shared" ref="I9:I36" si="7">$E$101*H9</f>
        <v>8533.392542325475</v>
      </c>
      <c r="J9" s="158">
        <f>(References!$D$61*I9)</f>
        <v>12.970756664334667</v>
      </c>
      <c r="K9" s="158">
        <f>J9/References!$H$64</f>
        <v>13.236816679594517</v>
      </c>
      <c r="L9" s="309">
        <f>VLOOKUP(C9,Mapping!C:N,12,FALSE)</f>
        <v>13.95</v>
      </c>
      <c r="M9" s="157">
        <f>IFERROR((K9/F9),0)*References!$C$11</f>
        <v>0.10796612495001358</v>
      </c>
      <c r="N9" s="168">
        <f t="shared" ref="N9" si="8">M9+L9</f>
        <v>14.057966124950013</v>
      </c>
      <c r="O9" s="118">
        <f>(F9/References!$C$11)*'DF Calculation'!L9</f>
        <v>1710.2919343065696</v>
      </c>
      <c r="P9" s="118">
        <f>(F9/References!$C$11)*'DF Calculation'!N9</f>
        <v>1723.5287509861641</v>
      </c>
      <c r="Q9" s="118">
        <f t="shared" ref="Q9" si="9">P9-O9</f>
        <v>13.23681667959454</v>
      </c>
      <c r="R9" s="161">
        <f>(((G9*$E$101)*(References!$D$61/References!$H$64))*References!$C$11)-M9</f>
        <v>0</v>
      </c>
      <c r="S9" s="407"/>
      <c r="T9" s="161"/>
    </row>
    <row r="10" spans="1:20">
      <c r="A10" s="459"/>
      <c r="B10" s="154">
        <v>21</v>
      </c>
      <c r="C10" s="123" t="s">
        <v>181</v>
      </c>
      <c r="D10" s="123" t="s">
        <v>182</v>
      </c>
      <c r="E10" s="297" t="str">
        <f>VLOOKUP(C10,Mapping!$C$4:$H$110,6,FALSE)</f>
        <v>32 Gallon Cart MG-NR</v>
      </c>
      <c r="F10" s="158">
        <f>SUMIFS(Mapping!M:M,Mapping!A:A,"Residential",Mapping!C:C,'DF Calculation'!C10)</f>
        <v>22.011875257446487</v>
      </c>
      <c r="G10" s="158">
        <f>VLOOKUP(C10,Mapping!C:L,8,FALSE)</f>
        <v>34</v>
      </c>
      <c r="H10" s="158">
        <f t="shared" ref="H10:H36" si="10">F10*G10</f>
        <v>748.40375875318057</v>
      </c>
      <c r="I10" s="153">
        <f t="shared" si="7"/>
        <v>601.0485457790046</v>
      </c>
      <c r="J10" s="158">
        <f>(References!$D$61*I10)</f>
        <v>0.9135937895840831</v>
      </c>
      <c r="K10" s="158">
        <f>J10/References!$H$64</f>
        <v>0.93233369689160439</v>
      </c>
      <c r="L10" s="309">
        <f>VLOOKUP(C10,Mapping!C:N,12,FALSE)</f>
        <v>8.57</v>
      </c>
      <c r="M10" s="157">
        <f>IFERROR((K10/F10),0)*References!$C$13</f>
        <v>4.2355941326543793E-2</v>
      </c>
      <c r="N10" s="168">
        <f t="shared" ref="N10:N27" si="11">M10+L10</f>
        <v>8.6123559413265447</v>
      </c>
      <c r="O10" s="118">
        <f>(F10)*'DF Calculation'!L10</f>
        <v>188.64177095631641</v>
      </c>
      <c r="P10" s="118">
        <f>(F10)*'DF Calculation'!N10</f>
        <v>189.57410465320802</v>
      </c>
      <c r="Q10" s="118">
        <f t="shared" ref="Q10:Q27" si="12">P10-O10</f>
        <v>0.93233369689161805</v>
      </c>
      <c r="R10" s="161">
        <f>(((G10*$E$101)*(References!$D$61/References!$H$64))-M10)</f>
        <v>-6.9388939039072284E-18</v>
      </c>
      <c r="S10" s="407"/>
      <c r="T10" s="161"/>
    </row>
    <row r="11" spans="1:20">
      <c r="A11" s="459"/>
      <c r="B11" s="154">
        <v>21</v>
      </c>
      <c r="C11" s="123" t="s">
        <v>183</v>
      </c>
      <c r="D11" s="123" t="s">
        <v>184</v>
      </c>
      <c r="E11" s="297" t="str">
        <f>VLOOKUP(C11,Mapping!$C$4:$H$110,6,FALSE)</f>
        <v>32 Gallon Cart MG-R</v>
      </c>
      <c r="F11" s="158">
        <f>SUMIFS(Mapping!M:M,Mapping!A:A,"Residential",Mapping!C:C,'DF Calculation'!C11)</f>
        <v>680.29751767970163</v>
      </c>
      <c r="G11" s="158">
        <f>VLOOKUP(C11,Mapping!C:L,8,FALSE)</f>
        <v>34</v>
      </c>
      <c r="H11" s="158">
        <f t="shared" si="10"/>
        <v>23130.115601109854</v>
      </c>
      <c r="I11" s="153">
        <f t="shared" si="7"/>
        <v>18575.965423942045</v>
      </c>
      <c r="J11" s="158">
        <f>(References!$D$61*I11)</f>
        <v>28.235467444391791</v>
      </c>
      <c r="K11" s="158">
        <f>J11/References!$H$64</f>
        <v>28.81464174343483</v>
      </c>
      <c r="L11" s="309">
        <f>VLOOKUP(C11,Mapping!C:N,12,FALSE)</f>
        <v>7.57</v>
      </c>
      <c r="M11" s="157">
        <f>IFERROR((K11/F11),0)*References!$C$13</f>
        <v>4.2355941326543793E-2</v>
      </c>
      <c r="N11" s="168">
        <f t="shared" si="11"/>
        <v>7.6123559413265438</v>
      </c>
      <c r="O11" s="118">
        <f>(F11)*'DF Calculation'!L11</f>
        <v>5149.8522088353411</v>
      </c>
      <c r="P11" s="118">
        <f>(F11)*'DF Calculation'!N11</f>
        <v>5178.6668505787766</v>
      </c>
      <c r="Q11" s="118">
        <f t="shared" si="12"/>
        <v>28.814641743435459</v>
      </c>
      <c r="R11" s="161">
        <f>(((G11*$E$101)*(References!$D$61/References!$H$64))-M11)</f>
        <v>-6.9388939039072284E-18</v>
      </c>
      <c r="S11" s="407"/>
      <c r="T11" s="161"/>
    </row>
    <row r="12" spans="1:20">
      <c r="A12" s="459"/>
      <c r="B12" s="154">
        <v>21</v>
      </c>
      <c r="C12" s="123" t="s">
        <v>185</v>
      </c>
      <c r="D12" s="123" t="s">
        <v>186</v>
      </c>
      <c r="E12" s="297" t="str">
        <f>VLOOKUP(C12,Mapping!$C$4:$H$110,6,FALSE)</f>
        <v>32 Gallon Cart WG-NR</v>
      </c>
      <c r="F12" s="158">
        <f>SUMIFS(Mapping!M:M,Mapping!A:A,"Residential",Mapping!C:C,'DF Calculation'!C12)</f>
        <v>4147.8937693036733</v>
      </c>
      <c r="G12" s="158">
        <f>VLOOKUP(C12,Mapping!C:L,8,FALSE)</f>
        <v>34</v>
      </c>
      <c r="H12" s="158">
        <f t="shared" si="10"/>
        <v>141028.38815632489</v>
      </c>
      <c r="I12" s="153">
        <f t="shared" si="7"/>
        <v>113260.9325160686</v>
      </c>
      <c r="J12" s="158">
        <f>(References!$D$61*I12)</f>
        <v>172.15661742442353</v>
      </c>
      <c r="K12" s="158">
        <f>J12/References!$H$64</f>
        <v>175.68794512136293</v>
      </c>
      <c r="L12" s="309">
        <f>VLOOKUP(C12,Mapping!C:N,12,FALSE)</f>
        <v>19.93</v>
      </c>
      <c r="M12" s="157">
        <f>IFERROR((K12/F12),0)*References!$C$11</f>
        <v>0.18354241241502306</v>
      </c>
      <c r="N12" s="168">
        <f t="shared" si="11"/>
        <v>20.113542412415022</v>
      </c>
      <c r="O12" s="118">
        <f>(F12/References!$C$11)*'DF Calculation'!L12</f>
        <v>19077.12065128205</v>
      </c>
      <c r="P12" s="118">
        <f>(F12/References!$C$11)*'DF Calculation'!N12</f>
        <v>19252.808596403411</v>
      </c>
      <c r="Q12" s="118">
        <f t="shared" si="12"/>
        <v>175.68794512136083</v>
      </c>
      <c r="R12" s="161">
        <f>(((G12*$E$101)*(References!$D$61/References!$H$64))*References!$C$11)-M12</f>
        <v>0</v>
      </c>
      <c r="S12" s="407"/>
      <c r="T12" s="161"/>
    </row>
    <row r="13" spans="1:20">
      <c r="A13" s="459"/>
      <c r="B13" s="154">
        <v>21</v>
      </c>
      <c r="C13" s="123" t="s">
        <v>187</v>
      </c>
      <c r="D13" s="123" t="s">
        <v>188</v>
      </c>
      <c r="E13" s="297" t="str">
        <f>VLOOKUP(C13,Mapping!$C$4:$H$110,6,FALSE)</f>
        <v>32 Gallon Cart WG-R</v>
      </c>
      <c r="F13" s="158">
        <f>SUMIFS(Mapping!M:M,Mapping!A:A,"Residential",Mapping!C:C,'DF Calculation'!C13)</f>
        <v>48131.985018774707</v>
      </c>
      <c r="G13" s="158">
        <f>VLOOKUP(C13,Mapping!C:L,8,FALSE)</f>
        <v>34</v>
      </c>
      <c r="H13" s="158">
        <f t="shared" si="10"/>
        <v>1636487.4906383401</v>
      </c>
      <c r="I13" s="153">
        <f t="shared" si="7"/>
        <v>1314275.1020817566</v>
      </c>
      <c r="J13" s="158">
        <f>(References!$D$61*I13)</f>
        <v>1997.6981551642616</v>
      </c>
      <c r="K13" s="158">
        <f>J13/References!$H$64</f>
        <v>2038.6755333853064</v>
      </c>
      <c r="L13" s="309">
        <f>VLOOKUP(C13,Mapping!C:N,12,FALSE)</f>
        <v>18.93</v>
      </c>
      <c r="M13" s="157">
        <f>IFERROR((K13/F13),0)*References!$C$11</f>
        <v>0.18354241241502309</v>
      </c>
      <c r="N13" s="168">
        <f t="shared" si="11"/>
        <v>19.113542412415022</v>
      </c>
      <c r="O13" s="118">
        <f>(F13/References!$C$11)*'DF Calculation'!L13</f>
        <v>210262.7253243243</v>
      </c>
      <c r="P13" s="118">
        <f>(F13/References!$C$11)*'DF Calculation'!N13</f>
        <v>212301.40085770958</v>
      </c>
      <c r="Q13" s="118">
        <f t="shared" si="12"/>
        <v>2038.675533385278</v>
      </c>
      <c r="R13" s="161">
        <f>(((G13*$E$101)*(References!$D$61/References!$H$64))*References!$C$11)-M13</f>
        <v>0</v>
      </c>
      <c r="S13" s="407"/>
      <c r="T13" s="161"/>
    </row>
    <row r="14" spans="1:20">
      <c r="A14" s="459"/>
      <c r="B14" s="154">
        <v>21</v>
      </c>
      <c r="C14" s="123" t="s">
        <v>189</v>
      </c>
      <c r="D14" s="123" t="s">
        <v>190</v>
      </c>
      <c r="E14" s="297" t="str">
        <f>VLOOKUP(C14,Mapping!$C$4:$H$110,6,FALSE)</f>
        <v>32 Gallon Cart WG-NR</v>
      </c>
      <c r="F14" s="158">
        <f>SUMIFS(Mapping!M:M,Mapping!A:A,"Residential",Mapping!C:C,'DF Calculation'!C14)</f>
        <v>2362.9143870054759</v>
      </c>
      <c r="G14" s="158">
        <f>VLOOKUP(C14,Mapping!C:L,8,FALSE)</f>
        <v>34</v>
      </c>
      <c r="H14" s="158">
        <f t="shared" si="10"/>
        <v>80339.08915818618</v>
      </c>
      <c r="I14" s="153">
        <f t="shared" si="7"/>
        <v>64520.911530673664</v>
      </c>
      <c r="J14" s="158">
        <f>(References!$D$61*I14)</f>
        <v>98.071785526623557</v>
      </c>
      <c r="K14" s="158">
        <f>J14/References!$H$64</f>
        <v>100.08346313565012</v>
      </c>
      <c r="L14" s="309">
        <f>VLOOKUP(C14,Mapping!C:N,12,FALSE)</f>
        <v>29.91</v>
      </c>
      <c r="M14" s="157">
        <f>IFERROR((K14/F14),0)*References!$C$11*2</f>
        <v>0.36708482483004612</v>
      </c>
      <c r="N14" s="168">
        <f t="shared" si="11"/>
        <v>30.277084824830045</v>
      </c>
      <c r="O14" s="118">
        <f>(F14/References!$C$10)*'DF Calculation'!L14</f>
        <v>8154.7810748462061</v>
      </c>
      <c r="P14" s="118">
        <f>(F14/References!$C$10)*'DF Calculation'!N14</f>
        <v>8254.8645379818554</v>
      </c>
      <c r="Q14" s="118">
        <f t="shared" si="12"/>
        <v>100.08346313564925</v>
      </c>
      <c r="R14" s="161">
        <f>(((G14*$E$101)*(References!$D$61/References!$H$64))*References!$C$11*2)-M14</f>
        <v>0</v>
      </c>
      <c r="S14" s="407"/>
      <c r="T14" s="161"/>
    </row>
    <row r="15" spans="1:20">
      <c r="A15" s="459"/>
      <c r="B15" s="154">
        <v>21</v>
      </c>
      <c r="C15" s="123" t="s">
        <v>191</v>
      </c>
      <c r="D15" s="123" t="s">
        <v>192</v>
      </c>
      <c r="E15" s="297" t="str">
        <f>VLOOKUP(C15,Mapping!$C$4:$H$110,6,FALSE)</f>
        <v>32 Gallon Cart WG-R</v>
      </c>
      <c r="F15" s="158">
        <f>SUMIFS(Mapping!M:M,Mapping!A:A,"Residential",Mapping!C:C,'DF Calculation'!C15)</f>
        <v>21665.806621202079</v>
      </c>
      <c r="G15" s="158">
        <f>VLOOKUP(C15,Mapping!C:L,8,FALSE)</f>
        <v>34</v>
      </c>
      <c r="H15" s="158">
        <f t="shared" si="10"/>
        <v>736637.4251208707</v>
      </c>
      <c r="I15" s="153">
        <f t="shared" si="7"/>
        <v>591598.9169708431</v>
      </c>
      <c r="J15" s="158">
        <f>(References!$D$61*I15)</f>
        <v>899.23035379567773</v>
      </c>
      <c r="K15" s="158">
        <f>J15/References!$H$64</f>
        <v>917.67563403987936</v>
      </c>
      <c r="L15" s="309">
        <f>VLOOKUP(C15,Mapping!C:N,12,FALSE)</f>
        <v>27.91</v>
      </c>
      <c r="M15" s="157">
        <f>IFERROR((K15/F15),0)*References!$C$11*2</f>
        <v>0.36708482483004623</v>
      </c>
      <c r="N15" s="168">
        <f t="shared" si="11"/>
        <v>28.277084824830048</v>
      </c>
      <c r="O15" s="118">
        <f>(F15/References!$C$10)*'DF Calculation'!L15</f>
        <v>69772.230322817311</v>
      </c>
      <c r="P15" s="118">
        <f>(F15/References!$C$10)*'DF Calculation'!N15</f>
        <v>70689.905956857197</v>
      </c>
      <c r="Q15" s="118">
        <f t="shared" si="12"/>
        <v>917.67563403988606</v>
      </c>
      <c r="R15" s="161">
        <f>(((G15*$E$101)*(References!$D$61/References!$H$64))*References!$C$11*2)-M15</f>
        <v>0</v>
      </c>
      <c r="S15" s="407"/>
      <c r="T15" s="161"/>
    </row>
    <row r="16" spans="1:20">
      <c r="A16" s="459"/>
      <c r="B16" s="154">
        <v>21</v>
      </c>
      <c r="C16" s="123" t="s">
        <v>195</v>
      </c>
      <c r="D16" s="123" t="s">
        <v>196</v>
      </c>
      <c r="E16" s="297" t="str">
        <f>VLOOKUP(C16,Mapping!$C$4:$H$110,6,FALSE)</f>
        <v>32 Gallon Cart WG-R</v>
      </c>
      <c r="F16" s="158">
        <f>SUMIFS(Mapping!M:M,Mapping!A:A,"Residential",Mapping!C:C,'DF Calculation'!C16)</f>
        <v>1294.5676257609323</v>
      </c>
      <c r="G16" s="158">
        <f>VLOOKUP(C16,Mapping!C:L,8,FALSE)</f>
        <v>34</v>
      </c>
      <c r="H16" s="158">
        <f t="shared" si="10"/>
        <v>44015.299275871701</v>
      </c>
      <c r="I16" s="153">
        <f t="shared" si="7"/>
        <v>35349.009558509155</v>
      </c>
      <c r="J16" s="158">
        <f>(References!$D$61*I16)</f>
        <v>53.73049452893369</v>
      </c>
      <c r="K16" s="158">
        <f>J16/References!$H$64</f>
        <v>54.832630399973148</v>
      </c>
      <c r="L16" s="309">
        <f>VLOOKUP(C16,Mapping!C:N,12,FALSE)</f>
        <v>37.65</v>
      </c>
      <c r="M16" s="157">
        <f>IFERROR((K16/F16),0)*References!$C$11*3</f>
        <v>0.55062723724506923</v>
      </c>
      <c r="N16" s="168">
        <f t="shared" si="11"/>
        <v>38.200627237245065</v>
      </c>
      <c r="O16" s="118">
        <f>(F16/References!$C$9)*'DF Calculation'!L16</f>
        <v>3749.2670084537767</v>
      </c>
      <c r="P16" s="118">
        <f>(F16/References!$C$9)*'DF Calculation'!N16</f>
        <v>3804.0996388537496</v>
      </c>
      <c r="Q16" s="118">
        <f t="shared" si="12"/>
        <v>54.832630399972913</v>
      </c>
      <c r="R16" s="161">
        <f>(((G16*$E$101)*(References!$D$61/References!$H$64))*References!$C$11*3)-M16</f>
        <v>0</v>
      </c>
      <c r="S16" s="407"/>
      <c r="T16" s="161"/>
    </row>
    <row r="17" spans="1:23">
      <c r="A17" s="459"/>
      <c r="B17" s="154">
        <v>21</v>
      </c>
      <c r="C17" s="123" t="s">
        <v>197</v>
      </c>
      <c r="D17" s="123" t="s">
        <v>198</v>
      </c>
      <c r="E17" s="297" t="str">
        <f>VLOOKUP(C17,Mapping!$C$4:$H$110,6,FALSE)</f>
        <v>32 Gallon Cart WG-NR</v>
      </c>
      <c r="F17" s="158">
        <f>SUMIFS(Mapping!M:M,Mapping!A:A,"Residential",Mapping!C:C,'DF Calculation'!C17)</f>
        <v>208.00520898138703</v>
      </c>
      <c r="G17" s="158">
        <f>VLOOKUP(C17,Mapping!C:L,8,FALSE)</f>
        <v>34</v>
      </c>
      <c r="H17" s="158">
        <f t="shared" si="10"/>
        <v>7072.1771053671591</v>
      </c>
      <c r="I17" s="153">
        <f t="shared" si="7"/>
        <v>5679.7172848972368</v>
      </c>
      <c r="J17" s="158">
        <f>(References!$D$61*I17)</f>
        <v>8.6331702730437634</v>
      </c>
      <c r="K17" s="158">
        <f>J17/References!$H$64</f>
        <v>8.8102564272311081</v>
      </c>
      <c r="L17" s="309">
        <f>VLOOKUP(C17,Mapping!C:N,12,FALSE)</f>
        <v>50.79</v>
      </c>
      <c r="M17" s="157">
        <f>IFERROR((K17/F17),0)*References!$C$11*4</f>
        <v>0.73416964966009224</v>
      </c>
      <c r="N17" s="168">
        <f t="shared" si="11"/>
        <v>51.524169649660088</v>
      </c>
      <c r="O17" s="118">
        <f>(F17/References!$C$8)*'DF Calculation'!L17</f>
        <v>609.49526331719119</v>
      </c>
      <c r="P17" s="118">
        <f>(F17/References!$C$8)*'DF Calculation'!N17</f>
        <v>618.30551974442221</v>
      </c>
      <c r="Q17" s="118">
        <f t="shared" si="12"/>
        <v>8.8102564272310246</v>
      </c>
      <c r="R17" s="161">
        <f>(((G17*$E$101)*(References!$D$61/References!$H$64))*References!$C$11*4)-M17</f>
        <v>0</v>
      </c>
      <c r="S17" s="407"/>
      <c r="T17" s="161"/>
    </row>
    <row r="18" spans="1:23">
      <c r="A18" s="459"/>
      <c r="B18" s="154">
        <v>21</v>
      </c>
      <c r="C18" s="123" t="s">
        <v>199</v>
      </c>
      <c r="D18" s="123" t="s">
        <v>200</v>
      </c>
      <c r="E18" s="297" t="str">
        <f>VLOOKUP(C18,Mapping!$C$4:$H$110,6,FALSE)</f>
        <v>32 Gallon Cart WG-R</v>
      </c>
      <c r="F18" s="158">
        <f>SUMIFS(Mapping!M:M,Mapping!A:A,"Residential",Mapping!C:C,'DF Calculation'!C18)</f>
        <v>346.6728173809804</v>
      </c>
      <c r="G18" s="158">
        <f>VLOOKUP(C18,Mapping!C:L,8,FALSE)</f>
        <v>34</v>
      </c>
      <c r="H18" s="158">
        <f t="shared" si="10"/>
        <v>11786.875790953334</v>
      </c>
      <c r="I18" s="153">
        <f t="shared" si="7"/>
        <v>9466.1263663784994</v>
      </c>
      <c r="J18" s="158">
        <f>(References!$D$61*I18)</f>
        <v>14.388512076895259</v>
      </c>
      <c r="K18" s="158">
        <f>J18/References!$H$64</f>
        <v>14.683653512496438</v>
      </c>
      <c r="L18" s="309">
        <f>VLOOKUP(C18,Mapping!C:N,12,FALSE)</f>
        <v>46.79</v>
      </c>
      <c r="M18" s="157">
        <f>IFERROR((K18/F18),0)*References!$C$11*4</f>
        <v>0.73416964966009235</v>
      </c>
      <c r="N18" s="168">
        <f t="shared" si="11"/>
        <v>47.524169649660088</v>
      </c>
      <c r="O18" s="118">
        <f>(F18/References!$C$11)*'DF Calculation'!L18</f>
        <v>3743.2664135206323</v>
      </c>
      <c r="P18" s="118">
        <f>(F18/References!$C$11)*'DF Calculation'!N18</f>
        <v>3802.0010275706177</v>
      </c>
      <c r="Q18" s="118">
        <f t="shared" si="12"/>
        <v>58.734614049985339</v>
      </c>
      <c r="R18" s="161">
        <f>(((G18*$E$101)*(References!$D$61/References!$H$64))*References!$C$11*4)-M18</f>
        <v>0</v>
      </c>
      <c r="S18" s="407"/>
      <c r="T18" s="161"/>
    </row>
    <row r="19" spans="1:23">
      <c r="A19" s="459"/>
      <c r="B19" s="154">
        <v>21</v>
      </c>
      <c r="C19" s="123" t="s">
        <v>201</v>
      </c>
      <c r="D19" s="123" t="s">
        <v>202</v>
      </c>
      <c r="E19" s="297" t="str">
        <f>VLOOKUP(C19,Mapping!$C$4:$H$110,6,FALSE)</f>
        <v>35 Gallon Cart MG-R</v>
      </c>
      <c r="F19" s="158">
        <f>SUMIFS(Mapping!M:M,Mapping!A:A,"Residential",Mapping!C:C,'DF Calculation'!C19)</f>
        <v>519.49165573691141</v>
      </c>
      <c r="G19" s="158">
        <f>VLOOKUP(C19,Mapping!C:L,8,FALSE)</f>
        <v>34</v>
      </c>
      <c r="H19" s="158">
        <f t="shared" si="10"/>
        <v>17662.716295054986</v>
      </c>
      <c r="I19" s="153">
        <f t="shared" si="7"/>
        <v>14185.056955534446</v>
      </c>
      <c r="J19" s="158">
        <f>(References!$D$61*I19)</f>
        <v>21.561286572412268</v>
      </c>
      <c r="K19" s="158">
        <f>J19/References!$H$64</f>
        <v>22.003558090021706</v>
      </c>
      <c r="L19" s="309">
        <f>VLOOKUP(C19,Mapping!C:N,12,FALSE)</f>
        <v>9.3699999999999992</v>
      </c>
      <c r="M19" s="157">
        <f>IFERROR((K19/F19),0)*References!$C$13</f>
        <v>4.2355941326543793E-2</v>
      </c>
      <c r="N19" s="168">
        <f t="shared" si="11"/>
        <v>9.4123559413265436</v>
      </c>
      <c r="O19" s="118">
        <f>(F19)*'DF Calculation'!L19</f>
        <v>4867.6368142548599</v>
      </c>
      <c r="P19" s="118">
        <f>(F19)*'DF Calculation'!N19</f>
        <v>4889.6403723448811</v>
      </c>
      <c r="Q19" s="118">
        <f t="shared" si="12"/>
        <v>22.003558090021215</v>
      </c>
      <c r="R19" s="161">
        <f>(((G19*$E$101)*(References!$D$61/References!$H$64))-M19)</f>
        <v>-6.9388939039072284E-18</v>
      </c>
      <c r="S19" s="407"/>
      <c r="T19" s="161"/>
    </row>
    <row r="20" spans="1:23">
      <c r="A20" s="459"/>
      <c r="B20" s="154">
        <v>21</v>
      </c>
      <c r="C20" s="123" t="s">
        <v>203</v>
      </c>
      <c r="D20" s="123" t="s">
        <v>204</v>
      </c>
      <c r="E20" s="297" t="str">
        <f>VLOOKUP(C20,Mapping!$C$4:$H$110,6,FALSE)</f>
        <v>35 Gallon Cart EOW-R</v>
      </c>
      <c r="F20" s="158">
        <f>SUMIFS(Mapping!M:M,Mapping!A:A,"Residential",Mapping!C:C,'DF Calculation'!C20)</f>
        <v>6775.9679459002791</v>
      </c>
      <c r="G20" s="158">
        <f>VLOOKUP(C20,Mapping!C:L,8,FALSE)</f>
        <v>34</v>
      </c>
      <c r="H20" s="158">
        <f t="shared" si="10"/>
        <v>230382.91016060949</v>
      </c>
      <c r="I20" s="153">
        <f t="shared" si="7"/>
        <v>185022.20426452518</v>
      </c>
      <c r="J20" s="158">
        <f>(References!$D$61*I20)</f>
        <v>281.23375048207708</v>
      </c>
      <c r="K20" s="158">
        <f>J20/References!$H$64</f>
        <v>287.00250074709368</v>
      </c>
      <c r="L20" s="309">
        <f>VLOOKUP(C20,Mapping!C:N,12,FALSE)</f>
        <v>12.78</v>
      </c>
      <c r="M20" s="157">
        <f>IFERROR((K20/F20),0)*References!$C$12</f>
        <v>9.1771206207511544E-2</v>
      </c>
      <c r="N20" s="168">
        <f t="shared" si="11"/>
        <v>12.87177120620751</v>
      </c>
      <c r="O20" s="118">
        <f>(F20/References!$C$12)*'DF Calculation'!L20</f>
        <v>39967.786314741032</v>
      </c>
      <c r="P20" s="118">
        <f>(F20/References!$C$12)*'DF Calculation'!N20</f>
        <v>40254.788815488122</v>
      </c>
      <c r="Q20" s="118">
        <f t="shared" si="12"/>
        <v>287.00250074709038</v>
      </c>
      <c r="R20" s="161">
        <f>(((G20*$E$101)*(References!$D$61/References!$H$64))*References!$C$12)-M20</f>
        <v>0</v>
      </c>
      <c r="S20" s="407"/>
      <c r="T20" s="161"/>
    </row>
    <row r="21" spans="1:23">
      <c r="A21" s="459"/>
      <c r="B21" s="154">
        <v>21</v>
      </c>
      <c r="C21" s="123" t="s">
        <v>205</v>
      </c>
      <c r="D21" s="123" t="s">
        <v>206</v>
      </c>
      <c r="E21" s="297" t="str">
        <f>VLOOKUP(C21,Mapping!$C$4:$H$110,6,FALSE)</f>
        <v>35 Gallon Cart WG-R</v>
      </c>
      <c r="F21" s="158">
        <f>SUMIFS(Mapping!M:M,Mapping!A:A,"Residential",Mapping!C:C,'DF Calculation'!C21)</f>
        <v>83582.937206558752</v>
      </c>
      <c r="G21" s="158">
        <f>VLOOKUP(C21,Mapping!C:L,8,FALSE)</f>
        <v>34</v>
      </c>
      <c r="H21" s="158">
        <f t="shared" si="10"/>
        <v>2841819.8650229974</v>
      </c>
      <c r="I21" s="153">
        <f t="shared" si="7"/>
        <v>2282286.369169977</v>
      </c>
      <c r="J21" s="158">
        <f>(References!$D$61*I21)</f>
        <v>3469.0752811383504</v>
      </c>
      <c r="K21" s="158">
        <f>J21/References!$H$64</f>
        <v>3540.2339842211964</v>
      </c>
      <c r="L21" s="309">
        <f>VLOOKUP(C21,Mapping!C:N,12,FALSE)</f>
        <v>19.21</v>
      </c>
      <c r="M21" s="157">
        <f>IFERROR((K21/F21),0)*References!$C$11</f>
        <v>0.18354241241502306</v>
      </c>
      <c r="N21" s="168">
        <f t="shared" si="11"/>
        <v>19.393542412415023</v>
      </c>
      <c r="O21" s="118">
        <f>(F21/References!$C$11)*'DF Calculation'!L21</f>
        <v>370529.59009338316</v>
      </c>
      <c r="P21" s="118">
        <f>(F21/References!$C$11)*'DF Calculation'!N21</f>
        <v>374069.82407760434</v>
      </c>
      <c r="Q21" s="118">
        <f t="shared" si="12"/>
        <v>3540.2339842211804</v>
      </c>
      <c r="R21" s="161">
        <f>(((G21*$E$101)*(References!$D$61/References!$H$64))*References!$C$11)-M21</f>
        <v>0</v>
      </c>
      <c r="S21" s="407"/>
      <c r="T21" s="161"/>
    </row>
    <row r="22" spans="1:23">
      <c r="A22" s="459"/>
      <c r="B22" s="154">
        <v>21</v>
      </c>
      <c r="C22" s="123" t="s">
        <v>207</v>
      </c>
      <c r="D22" s="123" t="s">
        <v>208</v>
      </c>
      <c r="E22" s="297" t="str">
        <f>VLOOKUP(C22,Mapping!$C$4:$H$110,6,FALSE)</f>
        <v>35 Gallon Cart WG-R</v>
      </c>
      <c r="F22" s="158">
        <f>SUMIFS(Mapping!M:M,Mapping!A:A,"Residential",Mapping!C:C,'DF Calculation'!C22)</f>
        <v>349.03047363012598</v>
      </c>
      <c r="G22" s="158">
        <f>VLOOKUP(C22,Mapping!C:L,8,FALSE)</f>
        <v>34</v>
      </c>
      <c r="H22" s="158">
        <f t="shared" si="10"/>
        <v>11867.036103424283</v>
      </c>
      <c r="I22" s="153">
        <f t="shared" si="7"/>
        <v>9530.5037010409033</v>
      </c>
      <c r="J22" s="158">
        <f>(References!$D$61*I22)</f>
        <v>14.486365625582112</v>
      </c>
      <c r="K22" s="158">
        <f>J22/References!$H$64</f>
        <v>14.783514262253405</v>
      </c>
      <c r="L22" s="309">
        <f>VLOOKUP(C22,Mapping!C:N,12,FALSE)</f>
        <v>38.42</v>
      </c>
      <c r="M22" s="157">
        <f>IFERROR((K22/F22),0)*References!$C$11*2</f>
        <v>0.36708482483004612</v>
      </c>
      <c r="N22" s="168">
        <f t="shared" si="11"/>
        <v>38.787084824830046</v>
      </c>
      <c r="O22" s="118">
        <f>(F22/References!$C$11)*'DF Calculation'!L22</f>
        <v>3094.5578762006407</v>
      </c>
      <c r="P22" s="118">
        <f>(F22/References!$C$11)*'DF Calculation'!N22</f>
        <v>3124.1249047251472</v>
      </c>
      <c r="Q22" s="118">
        <f t="shared" si="12"/>
        <v>29.567028524506441</v>
      </c>
      <c r="R22" s="161">
        <f>(((G22*$E$101)*(References!$D$61/References!$H$64))*References!$C$11*2)-M22</f>
        <v>0</v>
      </c>
      <c r="S22" s="407"/>
      <c r="T22" s="161"/>
      <c r="V22" s="161"/>
      <c r="W22" s="161"/>
    </row>
    <row r="23" spans="1:23">
      <c r="A23" s="459"/>
      <c r="B23" s="154">
        <v>21</v>
      </c>
      <c r="C23" s="123" t="s">
        <v>209</v>
      </c>
      <c r="D23" s="123" t="s">
        <v>210</v>
      </c>
      <c r="E23" s="297" t="str">
        <f>VLOOKUP(C23,Mapping!$C$4:$H$110,6,FALSE)</f>
        <v>65 Gallon Cart MG-NR</v>
      </c>
      <c r="F23" s="158">
        <f>SUMIFS(Mapping!M:M,Mapping!A:A,"Residential",Mapping!C:C,'DF Calculation'!C23)</f>
        <v>273.07553315695992</v>
      </c>
      <c r="G23" s="158">
        <f>VLOOKUP(C23,Mapping!C:L,8,FALSE)</f>
        <v>47</v>
      </c>
      <c r="H23" s="158">
        <f t="shared" si="10"/>
        <v>12834.550058377115</v>
      </c>
      <c r="I23" s="153">
        <f t="shared" si="7"/>
        <v>10307.521251853441</v>
      </c>
      <c r="J23" s="158">
        <f>(References!$D$61*I23)</f>
        <v>15.667432302817163</v>
      </c>
      <c r="K23" s="158">
        <f>J23/References!$H$64</f>
        <v>15.988807330153243</v>
      </c>
      <c r="L23" s="309">
        <f>VLOOKUP(C23,Mapping!C:N,12,FALSE)</f>
        <v>11.42</v>
      </c>
      <c r="M23" s="157">
        <f>IFERROR((K23/F23),0)*References!$C$13</f>
        <v>5.8550860069045821E-2</v>
      </c>
      <c r="N23" s="168">
        <f t="shared" si="11"/>
        <v>11.478550860069046</v>
      </c>
      <c r="O23" s="118">
        <f>(F23)*'DF Calculation'!L23</f>
        <v>3118.5225886524822</v>
      </c>
      <c r="P23" s="118">
        <f>(F23)*'DF Calculation'!N23</f>
        <v>3134.5113959826353</v>
      </c>
      <c r="Q23" s="118">
        <f t="shared" si="12"/>
        <v>15.988807330153122</v>
      </c>
      <c r="R23" s="161">
        <f>(((G23*$E$101)*(References!$D$61/References!$H$64)))-M23</f>
        <v>0</v>
      </c>
      <c r="S23" s="407"/>
      <c r="T23" s="161"/>
    </row>
    <row r="24" spans="1:23">
      <c r="A24" s="459"/>
      <c r="B24" s="154">
        <v>21</v>
      </c>
      <c r="C24" s="123" t="s">
        <v>211</v>
      </c>
      <c r="D24" s="123" t="s">
        <v>212</v>
      </c>
      <c r="E24" s="297" t="str">
        <f>VLOOKUP(C24,Mapping!$C$4:$H$110,6,FALSE)</f>
        <v>65 Gallon Cart MG-R</v>
      </c>
      <c r="F24" s="158">
        <f>SUMIFS(Mapping!M:M,Mapping!A:A,"Residential",Mapping!C:C,'DF Calculation'!C24)</f>
        <v>22172.182217310932</v>
      </c>
      <c r="G24" s="158">
        <f>VLOOKUP(C24,Mapping!C:L,8,FALSE)</f>
        <v>47</v>
      </c>
      <c r="H24" s="158">
        <f t="shared" si="10"/>
        <v>1042092.5642136139</v>
      </c>
      <c r="I24" s="153">
        <f t="shared" si="7"/>
        <v>836912.17870309064</v>
      </c>
      <c r="J24" s="158">
        <f>(References!$D$61*I24)</f>
        <v>1272.1065116286925</v>
      </c>
      <c r="K24" s="158">
        <f>J24/References!$H$64</f>
        <v>1298.2003384311588</v>
      </c>
      <c r="L24" s="309">
        <f>VLOOKUP(C24,Mapping!C:N,12,FALSE)</f>
        <v>9.42</v>
      </c>
      <c r="M24" s="157">
        <f>IFERROR((K24/F24),0)*References!$C$13</f>
        <v>5.8550860069045835E-2</v>
      </c>
      <c r="N24" s="168">
        <f t="shared" si="11"/>
        <v>9.4785508600690456</v>
      </c>
      <c r="O24" s="118">
        <f>(F24)*'DF Calculation'!L24</f>
        <v>208861.95648706899</v>
      </c>
      <c r="P24" s="118">
        <f>(F24)*'DF Calculation'!N24</f>
        <v>210160.15682550013</v>
      </c>
      <c r="Q24" s="118">
        <f t="shared" si="12"/>
        <v>1298.2003384311392</v>
      </c>
      <c r="R24" s="161">
        <f>(((G24*$E$101)*(References!$D$61/References!$H$64)))-M24</f>
        <v>0</v>
      </c>
      <c r="S24" s="407"/>
      <c r="T24" s="161"/>
    </row>
    <row r="25" spans="1:23">
      <c r="A25" s="459"/>
      <c r="B25" s="154">
        <v>21</v>
      </c>
      <c r="C25" s="123" t="s">
        <v>213</v>
      </c>
      <c r="D25" s="123" t="s">
        <v>214</v>
      </c>
      <c r="E25" s="297" t="str">
        <f>VLOOKUP(C25,Mapping!$C$4:$H$110,6,FALSE)</f>
        <v>65 Gallon Cart WG-NR</v>
      </c>
      <c r="F25" s="158">
        <f>SUMIFS(Mapping!M:M,Mapping!A:A,"Residential",Mapping!C:C,'DF Calculation'!C25)</f>
        <v>16823.014291442963</v>
      </c>
      <c r="G25" s="158">
        <f>VLOOKUP(C25,Mapping!C:L,8,FALSE)</f>
        <v>47</v>
      </c>
      <c r="H25" s="158">
        <f t="shared" si="10"/>
        <v>790681.67169781926</v>
      </c>
      <c r="I25" s="153">
        <f t="shared" si="7"/>
        <v>635002.24763678329</v>
      </c>
      <c r="J25" s="158">
        <f>(References!$D$61*I25)</f>
        <v>965.2034164079065</v>
      </c>
      <c r="K25" s="158">
        <f>J25/References!$H$64</f>
        <v>985.00195571783502</v>
      </c>
      <c r="L25" s="309">
        <f>VLOOKUP(C25,Mapping!C:N,12,FALSE)</f>
        <v>28.59</v>
      </c>
      <c r="M25" s="157">
        <f>IFERROR((K25/F25),0)*References!$C$11</f>
        <v>0.25372039363253185</v>
      </c>
      <c r="N25" s="168">
        <f t="shared" si="11"/>
        <v>28.84372039363253</v>
      </c>
      <c r="O25" s="118">
        <f>(F25/References!$C$11)*'DF Calculation'!L25</f>
        <v>110993.071982851</v>
      </c>
      <c r="P25" s="118">
        <f>(F25/References!$C$11)*'DF Calculation'!N25</f>
        <v>111978.07393856884</v>
      </c>
      <c r="Q25" s="118">
        <f t="shared" si="12"/>
        <v>985.00195571783115</v>
      </c>
      <c r="R25" s="161">
        <f>(((G25*$E$101)*(References!$D$61/References!$H$64))*References!$C$11)-M25</f>
        <v>0</v>
      </c>
      <c r="S25" s="407"/>
      <c r="T25" s="161"/>
    </row>
    <row r="26" spans="1:23">
      <c r="A26" s="459"/>
      <c r="B26" s="154">
        <v>21</v>
      </c>
      <c r="C26" s="123" t="s">
        <v>215</v>
      </c>
      <c r="D26" s="123" t="s">
        <v>216</v>
      </c>
      <c r="E26" s="297" t="str">
        <f>VLOOKUP(C26,Mapping!$C$4:$H$110,6,FALSE)</f>
        <v>65 Gallon Cart WG-R</v>
      </c>
      <c r="F26" s="158">
        <f>SUMIFS(Mapping!M:M,Mapping!A:A,"Residential",Mapping!C:C,'DF Calculation'!C26)</f>
        <v>1380598.4559430506</v>
      </c>
      <c r="G26" s="158">
        <f>VLOOKUP(C26,Mapping!C:L,8,FALSE)</f>
        <v>47</v>
      </c>
      <c r="H26" s="158">
        <f t="shared" si="10"/>
        <v>64888127.429323375</v>
      </c>
      <c r="I26" s="153">
        <f t="shared" si="7"/>
        <v>52112130.883324228</v>
      </c>
      <c r="J26" s="158">
        <f>(References!$D$61*I26)</f>
        <v>79210.438942652487</v>
      </c>
      <c r="K26" s="158">
        <f>J26/References!$H$64</f>
        <v>80835.227005462279</v>
      </c>
      <c r="L26" s="309">
        <f>VLOOKUP(C26,Mapping!C:N,12,FALSE)</f>
        <v>26.59</v>
      </c>
      <c r="M26" s="157">
        <f>IFERROR((K26/F26),0)*References!$C$11</f>
        <v>0.25372039363253185</v>
      </c>
      <c r="N26" s="168">
        <f t="shared" si="11"/>
        <v>26.84372039363253</v>
      </c>
      <c r="O26" s="118">
        <f>(F26/References!$C$11)*'DF Calculation'!L26</f>
        <v>8471564.5254290104</v>
      </c>
      <c r="P26" s="118">
        <f>(F26/References!$C$11)*'DF Calculation'!N26</f>
        <v>8552399.7524344735</v>
      </c>
      <c r="Q26" s="118">
        <f t="shared" si="12"/>
        <v>80835.227005463094</v>
      </c>
      <c r="R26" s="161">
        <f>(((G26*$E$101)*(References!$D$61/References!$H$64))*References!$C$11)-M26</f>
        <v>0</v>
      </c>
      <c r="S26" s="407"/>
      <c r="T26" s="161"/>
    </row>
    <row r="27" spans="1:23">
      <c r="A27" s="459"/>
      <c r="B27" s="154">
        <v>21</v>
      </c>
      <c r="C27" s="123" t="s">
        <v>217</v>
      </c>
      <c r="D27" s="123" t="s">
        <v>218</v>
      </c>
      <c r="E27" s="297" t="str">
        <f>VLOOKUP(C27,Mapping!$C$4:$H$110,6,FALSE)</f>
        <v>65 Gallon Cart EOWG-NR</v>
      </c>
      <c r="F27" s="158">
        <f>SUMIFS(Mapping!M:M,Mapping!A:A,"Residential",Mapping!C:C,'DF Calculation'!C27)</f>
        <v>4245.5049584013459</v>
      </c>
      <c r="G27" s="158">
        <f>VLOOKUP(C27,Mapping!C:L,8,FALSE)</f>
        <v>47</v>
      </c>
      <c r="H27" s="158">
        <f t="shared" si="10"/>
        <v>199538.73304486327</v>
      </c>
      <c r="I27" s="153">
        <f t="shared" si="7"/>
        <v>160251.01948045287</v>
      </c>
      <c r="J27" s="158">
        <f>(References!$D$61*I27)</f>
        <v>243.58154961028734</v>
      </c>
      <c r="K27" s="158">
        <f>J27/References!$H$64</f>
        <v>248.57796674179747</v>
      </c>
      <c r="L27" s="309">
        <f>VLOOKUP(C27,Mapping!C:N,12,FALSE)</f>
        <v>18.579999999999998</v>
      </c>
      <c r="M27" s="157">
        <f>IFERROR((K27/F27),0)*References!$C$12</f>
        <v>0.12686019681626598</v>
      </c>
      <c r="N27" s="168">
        <f t="shared" si="11"/>
        <v>18.706860196816265</v>
      </c>
      <c r="O27" s="118">
        <f>(F27/References!$C$12)*'DF Calculation'!L27</f>
        <v>36406.837904814005</v>
      </c>
      <c r="P27" s="118">
        <f>(F27/References!$C$12)*'DF Calculation'!N27</f>
        <v>36655.415871555801</v>
      </c>
      <c r="Q27" s="118">
        <f t="shared" si="12"/>
        <v>248.57796674179554</v>
      </c>
      <c r="R27" s="161">
        <f>(((G27*$E$101)*(References!$D$61/References!$H$64))*References!$C$12)-M27</f>
        <v>0</v>
      </c>
      <c r="S27" s="407"/>
      <c r="T27" s="161"/>
    </row>
    <row r="28" spans="1:23">
      <c r="A28" s="459"/>
      <c r="B28" s="154">
        <v>21</v>
      </c>
      <c r="C28" s="123" t="s">
        <v>219</v>
      </c>
      <c r="D28" s="123" t="s">
        <v>220</v>
      </c>
      <c r="E28" s="297" t="str">
        <f>VLOOKUP(C28,Mapping!$C$4:$H$110,6,FALSE)</f>
        <v>65 Gallon Cart EOW-R</v>
      </c>
      <c r="F28" s="158">
        <f>SUMIFS(Mapping!M:M,Mapping!A:A,"Residential",Mapping!C:C,'DF Calculation'!C28)</f>
        <v>303387.02161497768</v>
      </c>
      <c r="G28" s="158">
        <f>VLOOKUP(C28,Mapping!C:L,8,FALSE)</f>
        <v>47</v>
      </c>
      <c r="H28" s="158">
        <f t="shared" si="10"/>
        <v>14259190.015903952</v>
      </c>
      <c r="I28" s="43">
        <f t="shared" si="7"/>
        <v>11451660.046875933</v>
      </c>
      <c r="J28" s="103">
        <f>(References!$D$61*I28)</f>
        <v>17406.523271251346</v>
      </c>
      <c r="K28" s="103">
        <f>J28/References!$H$64</f>
        <v>17763.571049343143</v>
      </c>
      <c r="L28" s="309">
        <f>VLOOKUP(C28,Mapping!C:N,12,FALSE)</f>
        <v>16.579999999999998</v>
      </c>
      <c r="M28" s="157">
        <f>IFERROR((K28/F28),0)*References!$C$12</f>
        <v>0.12686019681626598</v>
      </c>
      <c r="N28" s="168">
        <f t="shared" si="3"/>
        <v>16.706860196816265</v>
      </c>
      <c r="O28" s="118">
        <f>(F28/References!$C$12)*'DF Calculation'!L28</f>
        <v>2321610.8392506139</v>
      </c>
      <c r="P28" s="118">
        <f>(F28/References!$C$12)*'DF Calculation'!N28</f>
        <v>2339374.4102999573</v>
      </c>
      <c r="Q28" s="118">
        <f t="shared" ref="Q28:Q33" si="13">P28-O28</f>
        <v>17763.571049343329</v>
      </c>
      <c r="R28" s="161">
        <f>(((G28*$E$101)*(References!$D$61/References!$H$64))*References!$C$12)-M28</f>
        <v>0</v>
      </c>
      <c r="S28" s="407"/>
      <c r="T28" s="161"/>
    </row>
    <row r="29" spans="1:23">
      <c r="A29" s="459"/>
      <c r="B29" s="154">
        <v>21</v>
      </c>
      <c r="C29" s="123" t="s">
        <v>221</v>
      </c>
      <c r="D29" s="123" t="s">
        <v>222</v>
      </c>
      <c r="E29" s="297" t="str">
        <f>VLOOKUP(C29,Mapping!$C$4:$H$110,6,FALSE)</f>
        <v>95 Gallon Cart MG-NR</v>
      </c>
      <c r="F29" s="158">
        <f>SUMIFS(Mapping!M:M,Mapping!A:A,"Residential",Mapping!C:C,'DF Calculation'!C29)</f>
        <v>30.012802562430473</v>
      </c>
      <c r="G29" s="158">
        <f>VLOOKUP(C29,Mapping!C:L,8,FALSE)</f>
        <v>68</v>
      </c>
      <c r="H29" s="158">
        <f t="shared" si="10"/>
        <v>2040.8705742452721</v>
      </c>
      <c r="I29" s="43">
        <f t="shared" si="7"/>
        <v>1639.0381213702981</v>
      </c>
      <c r="J29" s="103">
        <f>(References!$D$61*I29)</f>
        <v>2.4913379444828427</v>
      </c>
      <c r="K29" s="103">
        <f>J29/References!$H$64</f>
        <v>2.5424410087588964</v>
      </c>
      <c r="L29" s="309">
        <f>VLOOKUP(C29,Mapping!C:N,12,FALSE)</f>
        <v>15.92</v>
      </c>
      <c r="M29" s="157">
        <f>IFERROR((K29/F29),0)*References!$C$13</f>
        <v>8.4711882653087586E-2</v>
      </c>
      <c r="N29" s="168">
        <f t="shared" si="3"/>
        <v>16.004711882653087</v>
      </c>
      <c r="O29" s="118">
        <f>(F29)*'DF Calculation'!L29</f>
        <v>477.80381679389313</v>
      </c>
      <c r="P29" s="118">
        <f>(F29)*'DF Calculation'!N29</f>
        <v>480.34625780265202</v>
      </c>
      <c r="Q29" s="118">
        <f t="shared" si="13"/>
        <v>2.5424410087588853</v>
      </c>
      <c r="R29" s="161">
        <f>(((G29*$E$101)*(References!$D$61/References!$H$64))-M29)</f>
        <v>-1.3877787807814457E-17</v>
      </c>
      <c r="S29" s="407"/>
      <c r="T29" s="161"/>
    </row>
    <row r="30" spans="1:23">
      <c r="A30" s="459"/>
      <c r="B30" s="154">
        <v>21</v>
      </c>
      <c r="C30" s="123" t="s">
        <v>223</v>
      </c>
      <c r="D30" s="123" t="s">
        <v>224</v>
      </c>
      <c r="E30" s="297" t="str">
        <f>VLOOKUP(C30,Mapping!$C$4:$H$110,6,FALSE)</f>
        <v>95 Gallon Cart MG-R</v>
      </c>
      <c r="F30" s="158">
        <f>SUMIFS(Mapping!M:M,Mapping!A:A,"Residential",Mapping!C:C,'DF Calculation'!C30)</f>
        <v>2175.2282989660612</v>
      </c>
      <c r="G30" s="158">
        <f>VLOOKUP(C30,Mapping!C:L,8,FALSE)</f>
        <v>68</v>
      </c>
      <c r="H30" s="158">
        <f t="shared" si="10"/>
        <v>147915.52432969215</v>
      </c>
      <c r="I30" s="43">
        <f t="shared" si="7"/>
        <v>118792.04207179915</v>
      </c>
      <c r="J30" s="103">
        <f>(References!$D$61*I30)</f>
        <v>180.56390394913396</v>
      </c>
      <c r="K30" s="103">
        <f>J30/References!$H$64</f>
        <v>184.2676844056883</v>
      </c>
      <c r="L30" s="309">
        <f>VLOOKUP(C30,Mapping!C:N,12,FALSE)</f>
        <v>12.92</v>
      </c>
      <c r="M30" s="157">
        <f>IFERROR((K30/F30),0)*References!$C$13</f>
        <v>8.4711882653087586E-2</v>
      </c>
      <c r="N30" s="168">
        <f t="shared" si="3"/>
        <v>13.004711882653087</v>
      </c>
      <c r="O30" s="118">
        <f>(F30)*'DF Calculation'!L30</f>
        <v>28103.94962264151</v>
      </c>
      <c r="P30" s="118">
        <f>(F30)*'DF Calculation'!N30</f>
        <v>28288.217307047198</v>
      </c>
      <c r="Q30" s="118">
        <f t="shared" si="13"/>
        <v>184.26768440568776</v>
      </c>
      <c r="R30" s="161">
        <f>(((G30*$E$101)*(References!$D$61/References!$H$64))-M30)</f>
        <v>-1.3877787807814457E-17</v>
      </c>
      <c r="S30" s="407"/>
      <c r="T30" s="161"/>
    </row>
    <row r="31" spans="1:23">
      <c r="A31" s="459"/>
      <c r="B31" s="154">
        <v>21</v>
      </c>
      <c r="C31" s="123" t="s">
        <v>225</v>
      </c>
      <c r="D31" s="123" t="s">
        <v>226</v>
      </c>
      <c r="E31" s="297" t="str">
        <f>VLOOKUP(C31,Mapping!$C$4:$H$110,6,FALSE)</f>
        <v>95 Gallon Cart WG-NR</v>
      </c>
      <c r="F31" s="158">
        <f>SUMIFS(Mapping!M:M,Mapping!A:A,"Residential",Mapping!C:C,'DF Calculation'!C31)</f>
        <v>4527.2818167368487</v>
      </c>
      <c r="G31" s="158">
        <f>VLOOKUP(C31,Mapping!C:L,8,FALSE)</f>
        <v>68</v>
      </c>
      <c r="H31" s="158">
        <f t="shared" si="10"/>
        <v>307855.16353810573</v>
      </c>
      <c r="I31" s="43">
        <f t="shared" si="7"/>
        <v>247240.7389607458</v>
      </c>
      <c r="J31" s="103">
        <f>(References!$D$61*I31)</f>
        <v>375.80592322033203</v>
      </c>
      <c r="K31" s="103">
        <f>J31/References!$H$64</f>
        <v>383.51456599686912</v>
      </c>
      <c r="L31" s="309">
        <f>VLOOKUP(C31,Mapping!C:N,12,FALSE)</f>
        <v>38.24</v>
      </c>
      <c r="M31" s="157">
        <f>IFERROR((K31/F31),0)*References!$C$11</f>
        <v>0.36708482483004617</v>
      </c>
      <c r="N31" s="168">
        <f t="shared" si="3"/>
        <v>38.607084824830046</v>
      </c>
      <c r="O31" s="118">
        <f>(F31/References!$C$11)*'DF Calculation'!L31</f>
        <v>39951.520770465489</v>
      </c>
      <c r="P31" s="118">
        <f>(F31/References!$C$11)*'DF Calculation'!N31</f>
        <v>40335.035336462352</v>
      </c>
      <c r="Q31" s="118">
        <f>P31-O31</f>
        <v>383.51456599686207</v>
      </c>
      <c r="R31" s="161">
        <f>(((G31*$E$101)*(References!$D$61/References!$H$64))*References!$C$11)-M31</f>
        <v>0</v>
      </c>
      <c r="S31" s="407"/>
      <c r="T31" s="161"/>
    </row>
    <row r="32" spans="1:23">
      <c r="A32" s="459"/>
      <c r="B32" s="154">
        <v>21</v>
      </c>
      <c r="C32" s="123" t="s">
        <v>227</v>
      </c>
      <c r="D32" s="123" t="s">
        <v>228</v>
      </c>
      <c r="E32" s="297" t="str">
        <f>VLOOKUP(C32,Mapping!$C$4:$H$110,6,FALSE)</f>
        <v>95 Gallon Cart WG-R</v>
      </c>
      <c r="F32" s="158">
        <f>SUMIFS(Mapping!M:M,Mapping!A:A,"Residential",Mapping!C:C,'DF Calculation'!C32)</f>
        <v>385367.16950823046</v>
      </c>
      <c r="G32" s="158">
        <f>VLOOKUP(C32,Mapping!C:L,8,FALSE)</f>
        <v>68</v>
      </c>
      <c r="H32" s="158">
        <f t="shared" si="10"/>
        <v>26204967.526559673</v>
      </c>
      <c r="I32" s="43">
        <f t="shared" si="7"/>
        <v>21045401.549378302</v>
      </c>
      <c r="J32" s="103">
        <f>(References!$D$61*I32)</f>
        <v>31989.010355054885</v>
      </c>
      <c r="K32" s="103">
        <f>J32/References!$H$64</f>
        <v>32645.178441733733</v>
      </c>
      <c r="L32" s="309">
        <f>VLOOKUP(C32,Mapping!C:N,12,FALSE)</f>
        <v>35.24</v>
      </c>
      <c r="M32" s="157">
        <f>IFERROR((K32/F32),0)*References!$C$11</f>
        <v>0.36708482483004617</v>
      </c>
      <c r="N32" s="168">
        <f t="shared" si="3"/>
        <v>35.607084824830046</v>
      </c>
      <c r="O32" s="118">
        <f>(F32/References!$C$11)*'DF Calculation'!L32</f>
        <v>3133924.3969546254</v>
      </c>
      <c r="P32" s="118">
        <f>(F32/References!$C$11)*'DF Calculation'!N32</f>
        <v>3166569.575396359</v>
      </c>
      <c r="Q32" s="118">
        <f t="shared" si="13"/>
        <v>32645.178441733588</v>
      </c>
      <c r="R32" s="161">
        <f>(((G32*$E$101)*(References!$D$61/References!$H$64))*References!$C$11)-M32</f>
        <v>0</v>
      </c>
      <c r="S32" s="407"/>
      <c r="T32" s="161"/>
    </row>
    <row r="33" spans="1:20">
      <c r="A33" s="459"/>
      <c r="B33" s="154">
        <v>21</v>
      </c>
      <c r="C33" s="123" t="s">
        <v>231</v>
      </c>
      <c r="D33" s="123" t="s">
        <v>232</v>
      </c>
      <c r="E33" s="297" t="str">
        <f>VLOOKUP(C33,Mapping!$C$4:$H$110,6,FALSE)</f>
        <v>95 Gallon Cart EOWG-NR</v>
      </c>
      <c r="F33" s="158">
        <f>SUMIFS(Mapping!M:M,Mapping!A:A,"Residential",Mapping!C:C,'DF Calculation'!C33)</f>
        <v>235.96437613668277</v>
      </c>
      <c r="G33" s="158">
        <f>VLOOKUP(C33,Mapping!C:L,8,FALSE)</f>
        <v>68</v>
      </c>
      <c r="H33" s="158">
        <f t="shared" si="10"/>
        <v>16045.577577294429</v>
      </c>
      <c r="I33" s="43">
        <f t="shared" si="7"/>
        <v>12886.320994811593</v>
      </c>
      <c r="J33" s="103">
        <f>(References!$D$61*I33)</f>
        <v>19.587207912113538</v>
      </c>
      <c r="K33" s="103">
        <f>J33/References!$H$64</f>
        <v>19.98898654159969</v>
      </c>
      <c r="L33" s="309">
        <f>VLOOKUP(C33,Mapping!C:N,12,FALSE)</f>
        <v>24.76</v>
      </c>
      <c r="M33" s="157">
        <f>IFERROR((K33/F33),0)*References!$C$12</f>
        <v>0.18354241241502306</v>
      </c>
      <c r="N33" s="168">
        <f t="shared" si="3"/>
        <v>24.943542412415024</v>
      </c>
      <c r="O33" s="118">
        <f>(F33/References!$C$12)*'DF Calculation'!L33</f>
        <v>2696.5282860665843</v>
      </c>
      <c r="P33" s="118">
        <f>(F33/References!$C$12)*'DF Calculation'!N33</f>
        <v>2716.5172726081842</v>
      </c>
      <c r="Q33" s="118">
        <f t="shared" si="13"/>
        <v>19.988986541599843</v>
      </c>
      <c r="R33" s="161">
        <f>(((G33*$E$101)*(References!$D$61/References!$H$64))*References!$C$12)-M33</f>
        <v>0</v>
      </c>
      <c r="S33" s="407"/>
      <c r="T33" s="161"/>
    </row>
    <row r="34" spans="1:20" ht="15" customHeight="1">
      <c r="A34" s="459"/>
      <c r="B34" s="154">
        <v>21</v>
      </c>
      <c r="C34" s="123" t="s">
        <v>233</v>
      </c>
      <c r="D34" s="123" t="s">
        <v>234</v>
      </c>
      <c r="E34" s="297" t="str">
        <f>VLOOKUP(C34,Mapping!$C$4:$H$110,6,FALSE)</f>
        <v>95 Gallon Cart EOWG-R</v>
      </c>
      <c r="F34" s="158">
        <f>SUMIFS(Mapping!M:M,Mapping!A:A,"Residential",Mapping!C:C,'DF Calculation'!C34)</f>
        <v>40990.408031912593</v>
      </c>
      <c r="G34" s="158">
        <f>VLOOKUP(C34,Mapping!C:L,8,FALSE)</f>
        <v>68</v>
      </c>
      <c r="H34" s="158">
        <f t="shared" si="10"/>
        <v>2787347.7461700565</v>
      </c>
      <c r="I34" s="153">
        <f t="shared" si="7"/>
        <v>2238539.4111421262</v>
      </c>
      <c r="J34" s="158">
        <f>(References!$D$61*I34)</f>
        <v>3402.5799049360176</v>
      </c>
      <c r="K34" s="158">
        <f>J34/References!$H$64</f>
        <v>3472.3746351015589</v>
      </c>
      <c r="L34" s="309">
        <f>VLOOKUP(C34,Mapping!C:N,12,FALSE)</f>
        <v>21.76</v>
      </c>
      <c r="M34" s="157">
        <f>IFERROR((K34/F34),0)*References!$C$12</f>
        <v>0.18354241241502312</v>
      </c>
      <c r="N34" s="168">
        <f>M34+L34</f>
        <v>21.943542412415024</v>
      </c>
      <c r="O34" s="118">
        <f>(F34/References!$C$12)*'DF Calculation'!L34</f>
        <v>411669.82097280835</v>
      </c>
      <c r="P34" s="118">
        <f>(F34/References!$C$12)*'DF Calculation'!N34</f>
        <v>415142.19560790987</v>
      </c>
      <c r="Q34" s="118">
        <f>P34-O34</f>
        <v>3472.3746351015288</v>
      </c>
      <c r="R34" s="161">
        <f>(((G34*$E$101)*(References!$D$61/References!$H$64))*References!$C$12)-M34</f>
        <v>0</v>
      </c>
      <c r="S34" s="407"/>
      <c r="T34" s="161"/>
    </row>
    <row r="35" spans="1:20">
      <c r="A35" s="459"/>
      <c r="B35" s="154">
        <v>26</v>
      </c>
      <c r="C35" s="123" t="s">
        <v>235</v>
      </c>
      <c r="D35" s="123" t="s">
        <v>236</v>
      </c>
      <c r="E35" s="297" t="str">
        <f>VLOOKUP(C35,Mapping!$C$4:$H$110,6,FALSE)</f>
        <v>Extra Units Extra</v>
      </c>
      <c r="F35" s="158">
        <f>SUMIFS(Mapping!M:M,Mapping!A:A,"Residential",Mapping!C:C,'DF Calculation'!C35)</f>
        <v>727.30321507651274</v>
      </c>
      <c r="G35" s="158">
        <f>VLOOKUP(C35,Mapping!C:L,8,FALSE)</f>
        <v>125</v>
      </c>
      <c r="H35" s="158">
        <f t="shared" si="10"/>
        <v>90912.901884564097</v>
      </c>
      <c r="I35" s="43">
        <f t="shared" si="7"/>
        <v>73012.818055992102</v>
      </c>
      <c r="J35" s="103">
        <f>(References!$D$61*I35)</f>
        <v>110.97948344510753</v>
      </c>
      <c r="K35" s="103">
        <f>J35/References!$H$64</f>
        <v>113.25592758965969</v>
      </c>
      <c r="L35" s="309">
        <f>VLOOKUP(C35,Mapping!C:N,12,FALSE)</f>
        <v>32.04</v>
      </c>
      <c r="M35" s="116">
        <f>IFERROR((K35/F35),0)</f>
        <v>0.15572037252405807</v>
      </c>
      <c r="N35" s="168">
        <f>M35+L35</f>
        <v>32.195720372524057</v>
      </c>
      <c r="O35" s="118">
        <f>F35*L35</f>
        <v>23302.795011051468</v>
      </c>
      <c r="P35" s="118">
        <f>N35*F35</f>
        <v>23416.050938641129</v>
      </c>
      <c r="Q35" s="118">
        <f>P35-O35</f>
        <v>113.25592758966013</v>
      </c>
      <c r="R35" s="161">
        <f>((G35*$E$101)*(References!$D$61/References!$H$64))-M35</f>
        <v>0</v>
      </c>
      <c r="S35" s="407"/>
      <c r="T35" s="161"/>
    </row>
    <row r="36" spans="1:20">
      <c r="A36" s="459"/>
      <c r="B36" s="154">
        <v>22</v>
      </c>
      <c r="C36" s="123" t="s">
        <v>237</v>
      </c>
      <c r="D36" s="123" t="s">
        <v>238</v>
      </c>
      <c r="E36" s="297" t="str">
        <f>VLOOKUP(C36,Mapping!$C$4:$H$110,6,FALSE)</f>
        <v>Extra Units Extra</v>
      </c>
      <c r="F36" s="158">
        <f>SUMIFS(Mapping!M:M,Mapping!A:A,"Residential",Mapping!C:C,'DF Calculation'!C36)</f>
        <v>29075.734568392883</v>
      </c>
      <c r="G36" s="158">
        <f>VLOOKUP(C36,Mapping!C:L,8,FALSE)</f>
        <v>34</v>
      </c>
      <c r="H36" s="158">
        <f t="shared" si="10"/>
        <v>988574.97532535798</v>
      </c>
      <c r="I36" s="43">
        <f t="shared" si="7"/>
        <v>793931.81068827258</v>
      </c>
      <c r="J36" s="103">
        <f>(References!$D$61*I36)</f>
        <v>1206.7763522461692</v>
      </c>
      <c r="K36" s="103">
        <f>J36/References!$H$64</f>
        <v>1231.5301074050099</v>
      </c>
      <c r="L36" s="309">
        <f>VLOOKUP(C36,Mapping!C:N,12,FALSE)</f>
        <v>4.3899999999999997</v>
      </c>
      <c r="M36" s="116">
        <f>IFERROR((K36/F36),0)</f>
        <v>4.2355941326543786E-2</v>
      </c>
      <c r="N36" s="168">
        <f>M36+L36</f>
        <v>4.4323559413265432</v>
      </c>
      <c r="O36" s="118">
        <f>F36*L36</f>
        <v>127642.47475524475</v>
      </c>
      <c r="P36" s="118">
        <f>N36*F36</f>
        <v>128874.00486264974</v>
      </c>
      <c r="Q36" s="118">
        <f>P36-O36</f>
        <v>1231.530107404993</v>
      </c>
      <c r="R36" s="161">
        <f>((G36*$E$101)*(References!$D$61/References!$H$64))-M36</f>
        <v>0</v>
      </c>
      <c r="S36" s="407"/>
      <c r="T36" s="161"/>
    </row>
    <row r="37" spans="1:20" ht="15.75" thickBot="1">
      <c r="A37" s="128"/>
      <c r="B37" s="92"/>
      <c r="C37" s="216"/>
      <c r="D37" s="108"/>
      <c r="E37" s="93" t="s">
        <v>13</v>
      </c>
      <c r="F37" s="85">
        <f>SUM(F7:F36)</f>
        <v>2383714.1006004266</v>
      </c>
      <c r="G37" s="94"/>
      <c r="H37" s="132">
        <f>SUM(H7:H36)</f>
        <v>118295602.69789676</v>
      </c>
      <c r="I37" s="132">
        <f>SUM(I7:I36)</f>
        <v>95004065.842847526</v>
      </c>
      <c r="J37" s="132">
        <f>SUM(J7:J36)</f>
        <v>144406.18008112768</v>
      </c>
      <c r="K37" s="132">
        <f>SUM(K7:K36)</f>
        <v>147368.2825605956</v>
      </c>
      <c r="L37" s="85"/>
      <c r="M37" s="85"/>
      <c r="N37" s="132"/>
      <c r="O37" s="85">
        <f>SUM(O7:O36)</f>
        <v>15835095.998636229</v>
      </c>
      <c r="P37" s="85">
        <f>SUM(P7:P36)</f>
        <v>15982523.115671627</v>
      </c>
      <c r="Q37" s="144">
        <f>SUM(Q7:Q36)</f>
        <v>147427.11703539611</v>
      </c>
      <c r="R37" s="84">
        <f>Q37/O37</f>
        <v>9.3101498751945056E-3</v>
      </c>
      <c r="S37" s="407"/>
      <c r="T37" s="161"/>
    </row>
    <row r="38" spans="1:20" ht="15" customHeight="1">
      <c r="A38" s="464" t="s">
        <v>369</v>
      </c>
      <c r="B38" s="154" t="s">
        <v>894</v>
      </c>
      <c r="C38" s="298" t="s">
        <v>370</v>
      </c>
      <c r="D38" s="298" t="s">
        <v>371</v>
      </c>
      <c r="E38" s="297" t="str">
        <f>VLOOKUP(C38,Mapping!$C$4:$H$116,6,FALSE)</f>
        <v>4 yard Regular</v>
      </c>
      <c r="F38" s="158">
        <f>SUMIFS(Mapping!M:M,Mapping!A:A,"JBLM",Mapping!C:C,'DF Calculation'!C38)</f>
        <v>416</v>
      </c>
      <c r="G38" s="158">
        <f>VLOOKUP(C38,Mapping!C:L,8,FALSE)</f>
        <v>613</v>
      </c>
      <c r="H38" s="103">
        <f t="shared" ref="H38:H66" si="14">F38*G38</f>
        <v>255008</v>
      </c>
      <c r="I38" s="153">
        <f>$E$105*H38</f>
        <v>210276.41920434602</v>
      </c>
      <c r="J38" s="103">
        <f>(References!$D$73*I38)</f>
        <v>-27.335934496566058</v>
      </c>
      <c r="K38" s="103">
        <f>J38/References!$H$64</f>
        <v>-27.896657308466228</v>
      </c>
      <c r="L38" s="309">
        <f>VLOOKUP(C38,Mapping!C:N,12,FALSE)</f>
        <v>464.49</v>
      </c>
      <c r="M38" s="157">
        <f>IFERROR((K38/F38),0)*References!$C$11</f>
        <v>-0.29059018029652317</v>
      </c>
      <c r="N38" s="168">
        <f t="shared" ref="N38:N42" si="15">M38+L38</f>
        <v>464.19940981970348</v>
      </c>
      <c r="O38" s="118">
        <f>(F38/References!$C$11)*'DF Calculation'!L38</f>
        <v>44591.040000000001</v>
      </c>
      <c r="P38" s="118">
        <f>(F38/References!$C$11)*'DF Calculation'!N38</f>
        <v>44563.143342691532</v>
      </c>
      <c r="Q38" s="118">
        <f t="shared" ref="Q38:Q42" si="16">P38-O38</f>
        <v>-27.896657308469003</v>
      </c>
      <c r="R38" s="161">
        <f>(((G38*$E$105)*(References!$D$73/References!$H$64))*References!$C$11)-M38</f>
        <v>0</v>
      </c>
      <c r="S38" s="407"/>
      <c r="T38" s="161"/>
    </row>
    <row r="39" spans="1:20">
      <c r="A39" s="465"/>
      <c r="B39" s="154" t="s">
        <v>894</v>
      </c>
      <c r="C39" s="298" t="s">
        <v>372</v>
      </c>
      <c r="D39" s="298" t="s">
        <v>373</v>
      </c>
      <c r="E39" s="297" t="str">
        <f>VLOOKUP(C39,Mapping!$C$4:$H$116,6,FALSE)</f>
        <v>6 yard Regular</v>
      </c>
      <c r="F39" s="158">
        <f>SUMIFS(Mapping!M:M,Mapping!A:A,"JBLM",Mapping!C:C,'DF Calculation'!C39)</f>
        <v>1404</v>
      </c>
      <c r="G39" s="158">
        <f>VLOOKUP(C39,Mapping!C:L,8,FALSE)</f>
        <v>840</v>
      </c>
      <c r="H39" s="103">
        <f t="shared" si="14"/>
        <v>1179360</v>
      </c>
      <c r="I39" s="153">
        <f t="shared" ref="I39:I41" si="17">$E$105*H39</f>
        <v>972485.5602680603</v>
      </c>
      <c r="J39" s="158">
        <f>(References!$D$73*I39)</f>
        <v>-126.4231228348528</v>
      </c>
      <c r="K39" s="103">
        <f>J39/References!$H$64</f>
        <v>-129.01635150000286</v>
      </c>
      <c r="L39" s="309">
        <f>VLOOKUP(C39,Mapping!C:N,12,FALSE)</f>
        <v>329.11</v>
      </c>
      <c r="M39" s="157">
        <f>IFERROR((K39/F39),0)*References!$C$11</f>
        <v>-0.3981986157407495</v>
      </c>
      <c r="N39" s="168">
        <f t="shared" si="15"/>
        <v>328.71180138425927</v>
      </c>
      <c r="O39" s="118">
        <f>(F39/References!$C$11)*'DF Calculation'!L39</f>
        <v>106631.64</v>
      </c>
      <c r="P39" s="118">
        <f>(F39/References!$C$11)*'DF Calculation'!N39</f>
        <v>106502.62364850001</v>
      </c>
      <c r="Q39" s="118">
        <f t="shared" si="16"/>
        <v>-129.01635149998765</v>
      </c>
      <c r="R39" s="161">
        <f>(((G39*$E$105)*(References!$D$73/References!$H$64))*References!$C$11)-M39</f>
        <v>0</v>
      </c>
      <c r="S39" s="407"/>
      <c r="T39" s="161"/>
    </row>
    <row r="40" spans="1:20">
      <c r="A40" s="465"/>
      <c r="B40" s="154" t="s">
        <v>894</v>
      </c>
      <c r="C40" s="298" t="s">
        <v>374</v>
      </c>
      <c r="D40" s="298" t="s">
        <v>375</v>
      </c>
      <c r="E40" s="297" t="str">
        <f>VLOOKUP(C40,Mapping!$C$4:$H$116,6,FALSE)</f>
        <v>6 yard Regular</v>
      </c>
      <c r="F40" s="158">
        <f>SUMIFS(Mapping!M:M,Mapping!A:A,"JBLM",Mapping!C:C,'DF Calculation'!C40)</f>
        <v>1456</v>
      </c>
      <c r="G40" s="158">
        <f>VLOOKUP(C40,Mapping!C:L,8,FALSE)</f>
        <v>840</v>
      </c>
      <c r="H40" s="103">
        <f t="shared" si="14"/>
        <v>1223040</v>
      </c>
      <c r="I40" s="153">
        <f t="shared" si="17"/>
        <v>1008503.5439816922</v>
      </c>
      <c r="J40" s="158">
        <f>(References!$D$73*I40)</f>
        <v>-131.10546071762514</v>
      </c>
      <c r="K40" s="103">
        <f>J40/References!$H$64</f>
        <v>-133.79473488889187</v>
      </c>
      <c r="L40" s="309">
        <f>VLOOKUP(C40,Mapping!C:N,12,FALSE)</f>
        <v>626.54</v>
      </c>
      <c r="M40" s="157">
        <f>IFERROR((K40/F40),0)*References!$C$11</f>
        <v>-0.39819861574074955</v>
      </c>
      <c r="N40" s="168">
        <f t="shared" si="15"/>
        <v>626.14180138425922</v>
      </c>
      <c r="O40" s="118">
        <f>(F40/References!$C$11)*'DF Calculation'!L40</f>
        <v>210517.44</v>
      </c>
      <c r="P40" s="118">
        <f>(F40/References!$C$11)*'DF Calculation'!N40</f>
        <v>210383.64526511109</v>
      </c>
      <c r="Q40" s="118">
        <f t="shared" si="16"/>
        <v>-133.79473488891381</v>
      </c>
      <c r="R40" s="161">
        <f>(((G40*$E$105)*(References!$D$73/References!$H$64))*References!$C$11)-M40</f>
        <v>0</v>
      </c>
      <c r="S40" s="407"/>
      <c r="T40" s="161"/>
    </row>
    <row r="41" spans="1:20">
      <c r="A41" s="465"/>
      <c r="B41" s="154" t="s">
        <v>895</v>
      </c>
      <c r="C41" s="299" t="s">
        <v>215</v>
      </c>
      <c r="D41" s="299" t="s">
        <v>216</v>
      </c>
      <c r="E41" s="297" t="str">
        <f>VLOOKUP(C41,Mapping!$C$4:$H$116,6,FALSE)</f>
        <v>65 Gallon Cart WG-R</v>
      </c>
      <c r="F41" s="158">
        <f>SUMIFS(Mapping!M:M,Mapping!A:A,"JBLM",Mapping!C:C,'DF Calculation'!C41)</f>
        <v>173448.81716520939</v>
      </c>
      <c r="G41" s="158">
        <f>VLOOKUP(C41,Mapping!C:L,8,FALSE)</f>
        <v>47</v>
      </c>
      <c r="H41" s="103">
        <f t="shared" si="14"/>
        <v>8152094.4067648416</v>
      </c>
      <c r="I41" s="153">
        <f t="shared" si="17"/>
        <v>6722115.4664570857</v>
      </c>
      <c r="J41" s="158">
        <f>(References!$D$73*I41)</f>
        <v>-873.87501063945547</v>
      </c>
      <c r="K41" s="103">
        <f>J41/References!$H$64</f>
        <v>-891.80019454990861</v>
      </c>
      <c r="L41" s="309">
        <v>22.1</v>
      </c>
      <c r="M41" s="157">
        <f>IFERROR((K41/F41),0)*References!$C$11</f>
        <v>-2.228016064263718E-2</v>
      </c>
      <c r="N41" s="168">
        <f t="shared" si="15"/>
        <v>22.077719839357364</v>
      </c>
      <c r="O41" s="118">
        <f>(F41/References!$C$11)*'DF Calculation'!L41</f>
        <v>884588.96754256799</v>
      </c>
      <c r="P41" s="118">
        <f>(F41/References!$C$11)*'DF Calculation'!N41</f>
        <v>883697.16734801815</v>
      </c>
      <c r="Q41" s="118">
        <f t="shared" si="16"/>
        <v>-891.80019454983994</v>
      </c>
      <c r="R41" s="161">
        <f>(((G41*$E$105)*(References!$D$73/References!$H$64))*References!$C$11)-M41</f>
        <v>0</v>
      </c>
      <c r="S41" s="407"/>
      <c r="T41" s="161"/>
    </row>
    <row r="42" spans="1:20">
      <c r="A42" s="465"/>
      <c r="B42" s="154" t="s">
        <v>895</v>
      </c>
      <c r="C42" s="300" t="s">
        <v>227</v>
      </c>
      <c r="D42" s="300" t="s">
        <v>228</v>
      </c>
      <c r="E42" s="297" t="str">
        <f>VLOOKUP(C42,Mapping!$C$4:$H$116,6,FALSE)</f>
        <v>95 Gallon Cart WG-R</v>
      </c>
      <c r="F42" s="158">
        <f>SUMIFS(Mapping!M:M,Mapping!A:A,"JBLM",Mapping!C:C,'DF Calculation'!C42)</f>
        <v>45282.871191135731</v>
      </c>
      <c r="G42" s="158">
        <f>VLOOKUP(C42,Mapping!C:L,8,FALSE)</f>
        <v>68</v>
      </c>
      <c r="H42" s="103">
        <f t="shared" si="14"/>
        <v>3079235.2409972297</v>
      </c>
      <c r="I42" s="153">
        <f>$E$105*H42</f>
        <v>2539099.0100888168</v>
      </c>
      <c r="J42" s="158">
        <f>(References!$D$73*I42)</f>
        <v>-330.08287131155913</v>
      </c>
      <c r="K42" s="103">
        <f>J42/References!$H$64</f>
        <v>-336.85362925967866</v>
      </c>
      <c r="L42" s="309">
        <v>28.88</v>
      </c>
      <c r="M42" s="157">
        <f>IFERROR((K42/F42),0)*References!$C$11</f>
        <v>-3.2235126036155914E-2</v>
      </c>
      <c r="N42" s="168">
        <f t="shared" si="15"/>
        <v>28.847764873963843</v>
      </c>
      <c r="O42" s="118">
        <f>(F42/References!$C$11)*'DF Calculation'!L42</f>
        <v>301792.92</v>
      </c>
      <c r="P42" s="118">
        <f>(F42/References!$C$11)*'DF Calculation'!N42</f>
        <v>301456.0663707403</v>
      </c>
      <c r="Q42" s="118">
        <f t="shared" si="16"/>
        <v>-336.85362925968366</v>
      </c>
      <c r="R42" s="161">
        <f>(((G42*$E$105)*(References!$D$73/References!$H$64))*References!$C$11)-M42</f>
        <v>0</v>
      </c>
      <c r="S42" s="407"/>
      <c r="T42" s="161"/>
    </row>
    <row r="43" spans="1:20" ht="15.75" thickBot="1">
      <c r="A43" s="128"/>
      <c r="B43" s="92"/>
      <c r="C43" s="216"/>
      <c r="D43" s="108"/>
      <c r="E43" s="93" t="s">
        <v>13</v>
      </c>
      <c r="F43" s="132">
        <f>SUM(F38:F42)</f>
        <v>222007.68835634511</v>
      </c>
      <c r="G43" s="94"/>
      <c r="H43" s="132">
        <f>SUM(H38:H42)</f>
        <v>13888737.647762071</v>
      </c>
      <c r="I43" s="132">
        <f>SUM(I38:I42)</f>
        <v>11452480</v>
      </c>
      <c r="J43" s="132">
        <f>SUM(J38:J42)</f>
        <v>-1488.8224000000585</v>
      </c>
      <c r="K43" s="132">
        <f>SUM(K38:K42)</f>
        <v>-1519.3615675069482</v>
      </c>
      <c r="L43" s="85"/>
      <c r="M43" s="85"/>
      <c r="N43" s="85"/>
      <c r="O43" s="132">
        <f>SUM(O38:O42)</f>
        <v>1548122.0075425678</v>
      </c>
      <c r="P43" s="132">
        <f>SUM(P38:P42)</f>
        <v>1546602.645975061</v>
      </c>
      <c r="Q43" s="132">
        <f>SUM(Q38:Q42)</f>
        <v>-1519.3615675068941</v>
      </c>
      <c r="R43" s="84">
        <f>Q43/O43</f>
        <v>-9.8142236858881227E-4</v>
      </c>
      <c r="S43" s="158"/>
    </row>
    <row r="44" spans="1:20" ht="15" customHeight="1">
      <c r="A44" s="455" t="s">
        <v>11</v>
      </c>
      <c r="B44" s="301">
        <v>33</v>
      </c>
      <c r="C44" s="394" t="s">
        <v>899</v>
      </c>
      <c r="D44" s="395" t="s">
        <v>240</v>
      </c>
      <c r="E44" s="394" t="s">
        <v>901</v>
      </c>
      <c r="F44" s="158">
        <f>SUMIFS(Mapping!M:M,Mapping!A:A,"Commercial",Mapping!H:H,'DF Calculation'!C44)/4.33</f>
        <v>15639.305080332148</v>
      </c>
      <c r="G44" s="158">
        <f>VLOOKUP(C44,Mapping!H:L,3,FALSE)</f>
        <v>175</v>
      </c>
      <c r="H44" s="158">
        <f t="shared" si="14"/>
        <v>2736878.3890581257</v>
      </c>
      <c r="I44" s="153">
        <f t="shared" ref="I44:I91" si="18">$E$101*H44</f>
        <v>2198007.1004158091</v>
      </c>
      <c r="J44" s="158">
        <f>(References!$D$61*I44)</f>
        <v>3340.9707926320157</v>
      </c>
      <c r="K44" s="158">
        <f>J44/References!$H$64</f>
        <v>3409.5017783774015</v>
      </c>
      <c r="L44" s="314">
        <v>31.73</v>
      </c>
      <c r="M44" s="157">
        <f t="shared" ref="M44:M46" si="19">IFERROR((K44/F44),0)</f>
        <v>0.21800852153368125</v>
      </c>
      <c r="N44" s="168">
        <f>ROUND(M44+L44,2)</f>
        <v>31.95</v>
      </c>
      <c r="O44" s="118">
        <f>(F44)*L44</f>
        <v>496235.15019893902</v>
      </c>
      <c r="P44" s="118">
        <f>(F44)*N44</f>
        <v>499675.79731661209</v>
      </c>
      <c r="Q44" s="118">
        <f t="shared" ref="Q44" si="20">P44-O44</f>
        <v>3440.6471176730702</v>
      </c>
      <c r="R44" s="161">
        <f>((G44*$E$101)*(References!$D$61/References!$H$64))-M44</f>
        <v>0</v>
      </c>
      <c r="S44" s="158"/>
    </row>
    <row r="45" spans="1:20" ht="15" customHeight="1">
      <c r="A45" s="456"/>
      <c r="B45" s="301">
        <v>33</v>
      </c>
      <c r="C45" s="394" t="s">
        <v>899</v>
      </c>
      <c r="D45" s="395" t="s">
        <v>240</v>
      </c>
      <c r="E45" s="394" t="s">
        <v>900</v>
      </c>
      <c r="F45" s="158">
        <f>SUMIFS(Mapping!M:M,Mapping!A:A,"Commercial",Mapping!H:H,'DF Calculation'!C45)-F44</f>
        <v>52078.885917506057</v>
      </c>
      <c r="G45" s="158">
        <f>VLOOKUP(C45,Mapping!H:L,3,FALSE)</f>
        <v>175</v>
      </c>
      <c r="H45" s="158">
        <f t="shared" si="14"/>
        <v>9113805.0355635602</v>
      </c>
      <c r="I45" s="153">
        <f t="shared" si="18"/>
        <v>7319363.6443846459</v>
      </c>
      <c r="J45" s="158">
        <f>(References!$D$61*I45)</f>
        <v>11125.432739464615</v>
      </c>
      <c r="K45" s="158">
        <f>J45/References!$H$64</f>
        <v>11353.64092199675</v>
      </c>
      <c r="L45" s="314">
        <v>18.59</v>
      </c>
      <c r="M45" s="157">
        <f t="shared" si="19"/>
        <v>0.21800852153368128</v>
      </c>
      <c r="N45" s="168">
        <f t="shared" ref="N45:N46" si="21">ROUND(M45+L45,2)</f>
        <v>18.809999999999999</v>
      </c>
      <c r="O45" s="118">
        <f>(F45)*L45</f>
        <v>968146.4892064376</v>
      </c>
      <c r="P45" s="118">
        <f t="shared" ref="P45:P67" si="22">(F45)*N45</f>
        <v>979603.84410828887</v>
      </c>
      <c r="Q45" s="118">
        <f t="shared" ref="Q45:Q46" si="23">P45-O45</f>
        <v>11457.354901851271</v>
      </c>
      <c r="R45" s="161"/>
      <c r="S45" s="158"/>
    </row>
    <row r="46" spans="1:20">
      <c r="A46" s="456"/>
      <c r="B46" s="301">
        <v>33</v>
      </c>
      <c r="C46" s="123" t="s">
        <v>347</v>
      </c>
      <c r="D46" s="123" t="s">
        <v>348</v>
      </c>
      <c r="E46" s="297" t="str">
        <f>VLOOKUP(C46,Mapping!$C$4:$H$110,6,FALSE)</f>
        <v>1 yard Temp</v>
      </c>
      <c r="F46" s="158">
        <f>SUMIFS(Mapping!M:M,Mapping!A:A,"Commercial",Mapping!C:C,'DF Calculation'!C46)</f>
        <v>46</v>
      </c>
      <c r="G46" s="158">
        <f>VLOOKUP(C46,Mapping!C:L,8,FALSE)</f>
        <v>175</v>
      </c>
      <c r="H46" s="158">
        <f t="shared" si="14"/>
        <v>8050</v>
      </c>
      <c r="I46" s="153">
        <f t="shared" si="18"/>
        <v>6465.0140207495651</v>
      </c>
      <c r="J46" s="158">
        <f>(References!$D$61*I46)</f>
        <v>9.8268213115392982</v>
      </c>
      <c r="K46" s="158">
        <f>J46/References!$H$64</f>
        <v>10.028391990549339</v>
      </c>
      <c r="L46" s="309">
        <f>VLOOKUP(C46,Mapping!C:N,12,FALSE)</f>
        <v>23.38</v>
      </c>
      <c r="M46" s="157">
        <f t="shared" si="19"/>
        <v>0.2180085215336813</v>
      </c>
      <c r="N46" s="168">
        <f t="shared" si="21"/>
        <v>23.6</v>
      </c>
      <c r="O46" s="118">
        <f t="shared" ref="O46:O67" si="24">(F46)*L46</f>
        <v>1075.48</v>
      </c>
      <c r="P46" s="118">
        <f t="shared" si="22"/>
        <v>1085.6000000000001</v>
      </c>
      <c r="Q46" s="118">
        <f t="shared" si="23"/>
        <v>10.120000000000118</v>
      </c>
      <c r="R46" s="161">
        <f>((G46*$E$101)*(References!$D$61/References!$H$64))-M46</f>
        <v>0</v>
      </c>
      <c r="S46" s="158"/>
    </row>
    <row r="47" spans="1:20">
      <c r="A47" s="456"/>
      <c r="B47" s="301">
        <v>33</v>
      </c>
      <c r="C47" s="123" t="s">
        <v>616</v>
      </c>
      <c r="D47" s="123" t="s">
        <v>617</v>
      </c>
      <c r="E47" s="297" t="str">
        <f>VLOOKUP(C47,Mapping!$C$4:$H$110,6,FALSE)</f>
        <v>1 yard Special</v>
      </c>
      <c r="F47" s="158">
        <f>SUMIFS(Mapping!M:M,Mapping!A:A,"Commercial",Mapping!C:C,'DF Calculation'!C47)</f>
        <v>55.40278865737114</v>
      </c>
      <c r="G47" s="158">
        <f>VLOOKUP(C47,Mapping!C:L,8,FALSE)</f>
        <v>175</v>
      </c>
      <c r="H47" s="158">
        <f t="shared" ref="H47" si="25">F47*G47</f>
        <v>9695.4880150399495</v>
      </c>
      <c r="I47" s="153">
        <f t="shared" si="18"/>
        <v>7786.51750996803</v>
      </c>
      <c r="J47" s="158">
        <f>(References!$D$61*I47)</f>
        <v>11.835506615151356</v>
      </c>
      <c r="K47" s="158">
        <f>J47/References!$H$64</f>
        <v>12.078280044036489</v>
      </c>
      <c r="L47" s="309">
        <f>VLOOKUP(C47,Mapping!C:N,12,FALSE)</f>
        <v>63.83</v>
      </c>
      <c r="M47" s="157">
        <f t="shared" ref="M47:M67" si="26">IFERROR((K47/F47),0)</f>
        <v>0.21800852153368128</v>
      </c>
      <c r="N47" s="168">
        <f t="shared" ref="N47:N68" si="27">ROUND(M47+L47,2)</f>
        <v>64.05</v>
      </c>
      <c r="O47" s="118">
        <f t="shared" si="24"/>
        <v>3536.3599999999997</v>
      </c>
      <c r="P47" s="118">
        <f t="shared" si="22"/>
        <v>3548.5486135046212</v>
      </c>
      <c r="Q47" s="118">
        <f t="shared" ref="Q47:Q68" si="28">P47-O47</f>
        <v>12.188613504621571</v>
      </c>
      <c r="R47" s="161"/>
      <c r="S47" s="158"/>
    </row>
    <row r="48" spans="1:20">
      <c r="A48" s="456"/>
      <c r="B48" s="301">
        <v>33</v>
      </c>
      <c r="C48" s="395" t="s">
        <v>903</v>
      </c>
      <c r="D48" s="395" t="s">
        <v>248</v>
      </c>
      <c r="E48" s="394" t="s">
        <v>901</v>
      </c>
      <c r="F48" s="158">
        <f>SUMIFS(Mapping!M:M,Mapping!A:A,"Commercial",Mapping!H:H,'DF Calculation'!C48)/4.33</f>
        <v>3749.2956953305338</v>
      </c>
      <c r="G48" s="158">
        <f>VLOOKUP(C48,Mapping!H:L,3,FALSE)</f>
        <v>250</v>
      </c>
      <c r="H48" s="158">
        <f t="shared" si="14"/>
        <v>937323.92383263342</v>
      </c>
      <c r="I48" s="153">
        <f t="shared" si="18"/>
        <v>752771.71547353687</v>
      </c>
      <c r="J48" s="158">
        <f>(References!$D$61*I48)</f>
        <v>1144.2130075197713</v>
      </c>
      <c r="K48" s="158">
        <f>J48/References!$H$64</f>
        <v>1167.683444759436</v>
      </c>
      <c r="L48" s="314">
        <v>43.42</v>
      </c>
      <c r="M48" s="157">
        <f t="shared" si="26"/>
        <v>0.31144074504811614</v>
      </c>
      <c r="N48" s="168">
        <f t="shared" si="27"/>
        <v>43.73</v>
      </c>
      <c r="O48" s="118">
        <f t="shared" si="24"/>
        <v>162794.4190912518</v>
      </c>
      <c r="P48" s="118">
        <f t="shared" si="22"/>
        <v>163956.70075680423</v>
      </c>
      <c r="Q48" s="118">
        <f t="shared" si="28"/>
        <v>1162.2816655524366</v>
      </c>
      <c r="R48" s="161">
        <f>((G48*$E$101)*(References!$D$61/References!$H$64))-M48</f>
        <v>0</v>
      </c>
      <c r="S48" s="158"/>
    </row>
    <row r="49" spans="1:19">
      <c r="A49" s="456"/>
      <c r="B49" s="301">
        <v>33</v>
      </c>
      <c r="C49" s="395" t="s">
        <v>903</v>
      </c>
      <c r="D49" s="395" t="s">
        <v>248</v>
      </c>
      <c r="E49" s="394" t="s">
        <v>900</v>
      </c>
      <c r="F49" s="158">
        <f>SUMIFS(Mapping!M:M,Mapping!A:A,"Commercial",Mapping!H:H,'DF Calculation'!C49)-F48</f>
        <v>12485.154665450678</v>
      </c>
      <c r="G49" s="158">
        <f>VLOOKUP(C49,Mapping!H:L,3,FALSE)</f>
        <v>250</v>
      </c>
      <c r="H49" s="158">
        <f t="shared" si="14"/>
        <v>3121288.6663626698</v>
      </c>
      <c r="I49" s="153">
        <f t="shared" si="18"/>
        <v>2506729.8125268784</v>
      </c>
      <c r="J49" s="158">
        <f>(References!$D$61*I49)</f>
        <v>3810.2293150408391</v>
      </c>
      <c r="K49" s="158">
        <f>J49/References!$H$64</f>
        <v>3888.3858710489226</v>
      </c>
      <c r="L49" s="314">
        <v>25.47</v>
      </c>
      <c r="M49" s="157">
        <f t="shared" si="26"/>
        <v>0.31144074504811614</v>
      </c>
      <c r="N49" s="168">
        <f t="shared" si="27"/>
        <v>25.78</v>
      </c>
      <c r="O49" s="118">
        <f t="shared" si="24"/>
        <v>317996.88932902878</v>
      </c>
      <c r="P49" s="118">
        <f t="shared" si="22"/>
        <v>321867.28727531852</v>
      </c>
      <c r="Q49" s="118">
        <f t="shared" si="28"/>
        <v>3870.3979462897405</v>
      </c>
      <c r="R49" s="161"/>
      <c r="S49" s="158"/>
    </row>
    <row r="50" spans="1:19">
      <c r="A50" s="456"/>
      <c r="B50" s="301">
        <v>33</v>
      </c>
      <c r="C50" s="123" t="s">
        <v>349</v>
      </c>
      <c r="D50" s="123" t="s">
        <v>350</v>
      </c>
      <c r="E50" s="297" t="str">
        <f>VLOOKUP(C50,Mapping!$C$4:$H$110,6,FALSE)</f>
        <v>1.5 yard Temp</v>
      </c>
      <c r="F50" s="158">
        <f>SUMIFS(Mapping!M:M,Mapping!A:A,"Commercial",Mapping!C:C,'DF Calculation'!C50)</f>
        <v>327</v>
      </c>
      <c r="G50" s="158">
        <f>VLOOKUP(C50,Mapping!C:L,8,FALSE)</f>
        <v>250</v>
      </c>
      <c r="H50" s="158">
        <f t="shared" si="14"/>
        <v>81750</v>
      </c>
      <c r="I50" s="153">
        <f t="shared" si="18"/>
        <v>65654.024372208311</v>
      </c>
      <c r="J50" s="158">
        <f>(References!$D$61*I50)</f>
        <v>99.794117045756209</v>
      </c>
      <c r="K50" s="158">
        <f>J50/References!$H$64</f>
        <v>101.84112363073396</v>
      </c>
      <c r="L50" s="309">
        <f>VLOOKUP(C50,Mapping!C:N,12,FALSE)</f>
        <v>31.2</v>
      </c>
      <c r="M50" s="157">
        <f t="shared" si="26"/>
        <v>0.31144074504811609</v>
      </c>
      <c r="N50" s="168">
        <f t="shared" si="27"/>
        <v>31.51</v>
      </c>
      <c r="O50" s="118">
        <f t="shared" si="24"/>
        <v>10202.4</v>
      </c>
      <c r="P50" s="118">
        <f t="shared" si="22"/>
        <v>10303.77</v>
      </c>
      <c r="Q50" s="118">
        <f t="shared" si="28"/>
        <v>101.3700000000008</v>
      </c>
      <c r="R50" s="161">
        <f>((G50*$E$101)*(References!$D$61/References!$H$64))-M50</f>
        <v>0</v>
      </c>
      <c r="S50" s="158"/>
    </row>
    <row r="51" spans="1:19">
      <c r="A51" s="456"/>
      <c r="B51" s="301">
        <v>33</v>
      </c>
      <c r="C51" s="123" t="s">
        <v>614</v>
      </c>
      <c r="D51" s="123" t="s">
        <v>615</v>
      </c>
      <c r="E51" s="297" t="str">
        <f>VLOOKUP(C51,Mapping!$C$4:$H$110,6,FALSE)</f>
        <v>1.5 yard Special</v>
      </c>
      <c r="F51" s="158">
        <f>SUMIFS(Mapping!M:M,Mapping!A:A,"Commercial",Mapping!C:C,'DF Calculation'!C51)</f>
        <v>21</v>
      </c>
      <c r="G51" s="158">
        <f>VLOOKUP(C51,Mapping!C:L,8,FALSE)</f>
        <v>250</v>
      </c>
      <c r="H51" s="158">
        <f t="shared" ref="H51" si="29">F51*G51</f>
        <v>5250</v>
      </c>
      <c r="I51" s="153">
        <f t="shared" si="18"/>
        <v>4216.3134917931948</v>
      </c>
      <c r="J51" s="158">
        <f>(References!$D$61*I51)</f>
        <v>6.4087965075256292</v>
      </c>
      <c r="K51" s="158">
        <f>J51/References!$H$64</f>
        <v>6.5402556460104391</v>
      </c>
      <c r="L51" s="309">
        <f>VLOOKUP(C51,Mapping!C:N,12,FALSE)</f>
        <v>71.09</v>
      </c>
      <c r="M51" s="157">
        <f t="shared" si="26"/>
        <v>0.31144074504811614</v>
      </c>
      <c r="N51" s="168">
        <f t="shared" si="27"/>
        <v>71.400000000000006</v>
      </c>
      <c r="O51" s="118">
        <f t="shared" si="24"/>
        <v>1492.89</v>
      </c>
      <c r="P51" s="118">
        <f t="shared" si="22"/>
        <v>1499.4</v>
      </c>
      <c r="Q51" s="118">
        <f t="shared" si="28"/>
        <v>6.5099999999999909</v>
      </c>
      <c r="R51" s="161"/>
      <c r="S51" s="158"/>
    </row>
    <row r="52" spans="1:19">
      <c r="A52" s="456"/>
      <c r="B52" s="301">
        <v>33</v>
      </c>
      <c r="C52" s="395" t="s">
        <v>902</v>
      </c>
      <c r="D52" s="395" t="s">
        <v>258</v>
      </c>
      <c r="E52" s="394" t="s">
        <v>901</v>
      </c>
      <c r="F52" s="158">
        <f>SUMIFS(Mapping!M:M,Mapping!A:A,"Commercial",Mapping!H:H,'DF Calculation'!C52)/4.33</f>
        <v>5940.0749073105826</v>
      </c>
      <c r="G52" s="158">
        <f>VLOOKUP(C52,Mapping!H:L,3,FALSE)</f>
        <v>324</v>
      </c>
      <c r="H52" s="158">
        <f t="shared" si="14"/>
        <v>1924584.2699686287</v>
      </c>
      <c r="I52" s="153">
        <f t="shared" si="18"/>
        <v>1545647.7378212733</v>
      </c>
      <c r="J52" s="158">
        <f>(References!$D$61*I52)</f>
        <v>2349.3845614883253</v>
      </c>
      <c r="K52" s="158">
        <f>J52/References!$H$64</f>
        <v>2397.5758357876571</v>
      </c>
      <c r="L52" s="314">
        <v>52.55</v>
      </c>
      <c r="M52" s="157">
        <f t="shared" si="26"/>
        <v>0.40362720558235843</v>
      </c>
      <c r="N52" s="168">
        <f t="shared" si="27"/>
        <v>52.95</v>
      </c>
      <c r="O52" s="118">
        <f t="shared" si="24"/>
        <v>312150.93637917109</v>
      </c>
      <c r="P52" s="118">
        <f t="shared" si="22"/>
        <v>314526.96634209534</v>
      </c>
      <c r="Q52" s="118">
        <f t="shared" si="28"/>
        <v>2376.0299629242509</v>
      </c>
      <c r="R52" s="161">
        <f>((G52*$E$101)*(References!$D$61/References!$H$64))-M52</f>
        <v>0</v>
      </c>
      <c r="S52" s="158"/>
    </row>
    <row r="53" spans="1:19">
      <c r="A53" s="456"/>
      <c r="B53" s="301">
        <v>33</v>
      </c>
      <c r="C53" s="395" t="s">
        <v>902</v>
      </c>
      <c r="D53" s="395" t="s">
        <v>258</v>
      </c>
      <c r="E53" s="394" t="s">
        <v>900</v>
      </c>
      <c r="F53" s="158">
        <f>SUMIFS(Mapping!M:M,Mapping!A:A,"Commercial",Mapping!H:H,'DF Calculation'!C53)-F52</f>
        <v>19780.449441344241</v>
      </c>
      <c r="G53" s="158">
        <f>VLOOKUP(C53,Mapping!H:L,3,FALSE)</f>
        <v>324</v>
      </c>
      <c r="H53" s="158">
        <f t="shared" si="14"/>
        <v>6408865.6189955343</v>
      </c>
      <c r="I53" s="153">
        <f t="shared" si="18"/>
        <v>5147006.9669448407</v>
      </c>
      <c r="J53" s="158">
        <f>(References!$D$61*I53)</f>
        <v>7823.4505897561248</v>
      </c>
      <c r="K53" s="158">
        <f>J53/References!$H$64</f>
        <v>7983.9275331729004</v>
      </c>
      <c r="L53" s="314">
        <v>33.54</v>
      </c>
      <c r="M53" s="157">
        <f t="shared" si="26"/>
        <v>0.40362720558235854</v>
      </c>
      <c r="N53" s="168">
        <f t="shared" si="27"/>
        <v>33.94</v>
      </c>
      <c r="O53" s="118">
        <f t="shared" si="24"/>
        <v>663436.27426268579</v>
      </c>
      <c r="P53" s="118">
        <f t="shared" si="22"/>
        <v>671348.45403922349</v>
      </c>
      <c r="Q53" s="118">
        <f t="shared" si="28"/>
        <v>7912.1797765376978</v>
      </c>
      <c r="R53" s="161"/>
      <c r="S53" s="158"/>
    </row>
    <row r="54" spans="1:19">
      <c r="A54" s="456"/>
      <c r="B54" s="301">
        <v>33</v>
      </c>
      <c r="C54" s="123" t="s">
        <v>351</v>
      </c>
      <c r="D54" s="123" t="s">
        <v>352</v>
      </c>
      <c r="E54" s="297" t="str">
        <f>VLOOKUP(C54,Mapping!$C$4:$H$110,6,FALSE)</f>
        <v>2 yard Temp</v>
      </c>
      <c r="F54" s="158">
        <f>SUMIFS(Mapping!M:M,Mapping!A:A,"Commercial",Mapping!C:C,'DF Calculation'!C54)</f>
        <v>779.95006570302235</v>
      </c>
      <c r="G54" s="158">
        <f>VLOOKUP(C54,Mapping!C:L,8,FALSE)</f>
        <v>324</v>
      </c>
      <c r="H54" s="158">
        <f t="shared" si="14"/>
        <v>252703.82128777925</v>
      </c>
      <c r="I54" s="153">
        <f t="shared" si="18"/>
        <v>202948.29164254473</v>
      </c>
      <c r="J54" s="158">
        <f>(References!$D$61*I54)</f>
        <v>308.48140329666671</v>
      </c>
      <c r="K54" s="158">
        <f>J54/References!$H$64</f>
        <v>314.80906551348784</v>
      </c>
      <c r="L54" s="309">
        <f>VLOOKUP(C54,Mapping!C:N,12,FALSE)</f>
        <v>38.049999999999997</v>
      </c>
      <c r="M54" s="157">
        <f t="shared" si="26"/>
        <v>0.40362720558235854</v>
      </c>
      <c r="N54" s="168">
        <f t="shared" si="27"/>
        <v>38.450000000000003</v>
      </c>
      <c r="O54" s="118">
        <f t="shared" si="24"/>
        <v>29677.1</v>
      </c>
      <c r="P54" s="118">
        <f t="shared" si="22"/>
        <v>29989.080026281212</v>
      </c>
      <c r="Q54" s="118">
        <f t="shared" si="28"/>
        <v>311.98002628121321</v>
      </c>
      <c r="R54" s="161">
        <f>((G54*$E$101)*(References!$D$61/References!$H$64))-M54</f>
        <v>0</v>
      </c>
      <c r="S54" s="158"/>
    </row>
    <row r="55" spans="1:19">
      <c r="A55" s="456"/>
      <c r="B55" s="301">
        <v>33</v>
      </c>
      <c r="C55" s="123" t="s">
        <v>618</v>
      </c>
      <c r="D55" s="123" t="s">
        <v>619</v>
      </c>
      <c r="E55" s="297" t="str">
        <f>VLOOKUP(C55,Mapping!$C$4:$H$110,6,FALSE)</f>
        <v>2 yard Special</v>
      </c>
      <c r="F55" s="158">
        <f>SUMIFS(Mapping!M:M,Mapping!A:A,"Commercial",Mapping!C:C,'DF Calculation'!C55)</f>
        <v>47.000509813917922</v>
      </c>
      <c r="G55" s="158">
        <f>VLOOKUP(C55,Mapping!C:L,8,FALSE)</f>
        <v>324</v>
      </c>
      <c r="H55" s="158">
        <f t="shared" ref="H55" si="30">F55*G55</f>
        <v>15228.165179709407</v>
      </c>
      <c r="I55" s="153">
        <f t="shared" si="18"/>
        <v>12229.851105231259</v>
      </c>
      <c r="J55" s="158">
        <f>(References!$D$61*I55)</f>
        <v>18.589373679951436</v>
      </c>
      <c r="K55" s="158">
        <f>J55/References!$H$64</f>
        <v>18.970684437137908</v>
      </c>
      <c r="L55" s="309">
        <f>VLOOKUP(C55,Mapping!C:N,12,FALSE)</f>
        <v>79.41</v>
      </c>
      <c r="M55" s="157">
        <f t="shared" si="26"/>
        <v>0.40362720558235854</v>
      </c>
      <c r="N55" s="168">
        <f t="shared" si="27"/>
        <v>79.81</v>
      </c>
      <c r="O55" s="118">
        <f t="shared" si="24"/>
        <v>3732.3104843232222</v>
      </c>
      <c r="P55" s="118">
        <f t="shared" si="22"/>
        <v>3751.1106882487893</v>
      </c>
      <c r="Q55" s="118">
        <f t="shared" si="28"/>
        <v>18.800203925567075</v>
      </c>
      <c r="R55" s="161"/>
      <c r="S55" s="158"/>
    </row>
    <row r="56" spans="1:19">
      <c r="A56" s="456"/>
      <c r="B56" s="301">
        <v>33</v>
      </c>
      <c r="C56" s="395" t="s">
        <v>904</v>
      </c>
      <c r="D56" s="395" t="s">
        <v>266</v>
      </c>
      <c r="E56" s="394" t="s">
        <v>901</v>
      </c>
      <c r="F56" s="158">
        <f>SUMIFS(Mapping!M:M,Mapping!A:A,"Commercial",Mapping!H:H,'DF Calculation'!C56)/4.33</f>
        <v>2281.9867570692199</v>
      </c>
      <c r="G56" s="158">
        <f>VLOOKUP(C56,Mapping!H:L,3,FALSE)</f>
        <v>473</v>
      </c>
      <c r="H56" s="158">
        <f t="shared" si="14"/>
        <v>1079379.7360937411</v>
      </c>
      <c r="I56" s="153">
        <f t="shared" si="18"/>
        <v>866857.77982099401</v>
      </c>
      <c r="J56" s="158">
        <f>(References!$D$61*I56)</f>
        <v>1317.6238253279053</v>
      </c>
      <c r="K56" s="158">
        <f>J56/References!$H$64</f>
        <v>1344.6513167954947</v>
      </c>
      <c r="L56" s="314">
        <v>71.28</v>
      </c>
      <c r="M56" s="157">
        <f t="shared" si="26"/>
        <v>0.58924588963103575</v>
      </c>
      <c r="N56" s="168">
        <f t="shared" si="27"/>
        <v>71.87</v>
      </c>
      <c r="O56" s="118">
        <f t="shared" si="24"/>
        <v>162660.01604389399</v>
      </c>
      <c r="P56" s="118">
        <f t="shared" si="22"/>
        <v>164006.38823056486</v>
      </c>
      <c r="Q56" s="118">
        <f t="shared" si="28"/>
        <v>1346.3721866708656</v>
      </c>
      <c r="R56" s="161">
        <f>((G56*$E$101)*(References!$D$61/References!$H$64))-M56</f>
        <v>0</v>
      </c>
      <c r="S56" s="158"/>
    </row>
    <row r="57" spans="1:19">
      <c r="A57" s="456"/>
      <c r="B57" s="301">
        <v>33</v>
      </c>
      <c r="C57" s="395" t="s">
        <v>904</v>
      </c>
      <c r="D57" s="395" t="s">
        <v>274</v>
      </c>
      <c r="E57" s="394" t="s">
        <v>900</v>
      </c>
      <c r="F57" s="158">
        <f>SUMIFS(Mapping!M:M,Mapping!A:A,"Commercial",Mapping!H:H,'DF Calculation'!C57)-F56</f>
        <v>7599.0159010405023</v>
      </c>
      <c r="G57" s="158">
        <f>VLOOKUP(C57,Mapping!H:L,3,FALSE)</f>
        <v>473</v>
      </c>
      <c r="H57" s="158">
        <f t="shared" si="14"/>
        <v>3594334.5211921576</v>
      </c>
      <c r="I57" s="153">
        <f t="shared" si="18"/>
        <v>2886636.4068039097</v>
      </c>
      <c r="J57" s="158">
        <f>(References!$D$61*I57)</f>
        <v>4387.6873383419243</v>
      </c>
      <c r="K57" s="158">
        <f>J57/References!$H$64</f>
        <v>4477.6888849289971</v>
      </c>
      <c r="L57" s="314">
        <v>47.53</v>
      </c>
      <c r="M57" s="157">
        <f t="shared" si="26"/>
        <v>0.58924588963103575</v>
      </c>
      <c r="N57" s="168">
        <f t="shared" si="27"/>
        <v>48.12</v>
      </c>
      <c r="O57" s="118">
        <f t="shared" si="24"/>
        <v>361181.22577645507</v>
      </c>
      <c r="P57" s="118">
        <f t="shared" si="22"/>
        <v>365664.64515806898</v>
      </c>
      <c r="Q57" s="118">
        <f t="shared" si="28"/>
        <v>4483.4193816139014</v>
      </c>
      <c r="R57" s="161"/>
      <c r="S57" s="158"/>
    </row>
    <row r="58" spans="1:19">
      <c r="A58" s="456"/>
      <c r="B58" s="301">
        <v>33</v>
      </c>
      <c r="C58" s="123" t="s">
        <v>353</v>
      </c>
      <c r="D58" s="123" t="s">
        <v>354</v>
      </c>
      <c r="E58" s="297" t="str">
        <f>VLOOKUP(C58,Mapping!$C$4:$H$110,6,FALSE)</f>
        <v>3 yard Temp</v>
      </c>
      <c r="F58" s="158">
        <f>SUMIFS(Mapping!M:M,Mapping!A:A,"Commercial",Mapping!C:C,'DF Calculation'!C58)</f>
        <v>1</v>
      </c>
      <c r="G58" s="158">
        <f>VLOOKUP(C58,Mapping!C:L,8,FALSE)</f>
        <v>473</v>
      </c>
      <c r="H58" s="158">
        <f t="shared" si="14"/>
        <v>473</v>
      </c>
      <c r="I58" s="153">
        <f t="shared" si="18"/>
        <v>379.86976792727256</v>
      </c>
      <c r="J58" s="158">
        <f>(References!$D$61*I58)</f>
        <v>0.57740204724945188</v>
      </c>
      <c r="K58" s="158">
        <f>J58/References!$H$64</f>
        <v>0.58924588963103575</v>
      </c>
      <c r="L58" s="309">
        <f>VLOOKUP(C58,Mapping!C:N,12,FALSE)</f>
        <v>53.43</v>
      </c>
      <c r="M58" s="157">
        <f t="shared" si="26"/>
        <v>0.58924588963103575</v>
      </c>
      <c r="N58" s="168">
        <f t="shared" si="27"/>
        <v>54.02</v>
      </c>
      <c r="O58" s="118">
        <f t="shared" si="24"/>
        <v>53.43</v>
      </c>
      <c r="P58" s="118">
        <f t="shared" si="22"/>
        <v>54.02</v>
      </c>
      <c r="Q58" s="118">
        <f t="shared" si="28"/>
        <v>0.59000000000000341</v>
      </c>
      <c r="R58" s="161">
        <f>((G58*$E$101)*(References!$D$61/References!$H$64))-M58</f>
        <v>0</v>
      </c>
      <c r="S58" s="158"/>
    </row>
    <row r="59" spans="1:19">
      <c r="A59" s="456"/>
      <c r="B59" s="301">
        <v>33</v>
      </c>
      <c r="C59" s="123" t="s">
        <v>620</v>
      </c>
      <c r="D59" s="123" t="s">
        <v>621</v>
      </c>
      <c r="E59" s="297" t="str">
        <f>VLOOKUP(C59,Mapping!$C$4:$H$110,6,FALSE)</f>
        <v>3 yard Special</v>
      </c>
      <c r="F59" s="158">
        <f>SUMIFS(Mapping!M:M,Mapping!A:A,"Commercial",Mapping!C:C,'DF Calculation'!C59)</f>
        <v>9</v>
      </c>
      <c r="G59" s="158">
        <f>VLOOKUP(C59,Mapping!C:L,8,FALSE)</f>
        <v>473</v>
      </c>
      <c r="H59" s="158">
        <f t="shared" ref="H59" si="31">F59*G59</f>
        <v>4257</v>
      </c>
      <c r="I59" s="153">
        <f t="shared" si="18"/>
        <v>3418.8279113454532</v>
      </c>
      <c r="J59" s="158">
        <f>(References!$D$61*I59)</f>
        <v>5.1966184252450667</v>
      </c>
      <c r="K59" s="158">
        <f>J59/References!$H$64</f>
        <v>5.3032130066793215</v>
      </c>
      <c r="L59" s="309">
        <f>VLOOKUP(C59,Mapping!C:N,12,FALSE)</f>
        <v>91.89</v>
      </c>
      <c r="M59" s="157">
        <f t="shared" si="26"/>
        <v>0.58924588963103575</v>
      </c>
      <c r="N59" s="168">
        <f t="shared" si="27"/>
        <v>92.48</v>
      </c>
      <c r="O59" s="118">
        <f t="shared" si="24"/>
        <v>827.01</v>
      </c>
      <c r="P59" s="118">
        <f t="shared" si="22"/>
        <v>832.32</v>
      </c>
      <c r="Q59" s="118">
        <f t="shared" si="28"/>
        <v>5.3100000000000591</v>
      </c>
      <c r="R59" s="161"/>
      <c r="S59" s="158"/>
    </row>
    <row r="60" spans="1:19">
      <c r="A60" s="456"/>
      <c r="B60" s="301">
        <v>33</v>
      </c>
      <c r="C60" s="395" t="s">
        <v>905</v>
      </c>
      <c r="D60" s="395" t="s">
        <v>274</v>
      </c>
      <c r="E60" s="394" t="s">
        <v>901</v>
      </c>
      <c r="F60" s="158">
        <f>SUMIFS(Mapping!M:M,Mapping!A:A,"Commercial",Mapping!H:H,'DF Calculation'!C60)/4.33</f>
        <v>3197.7698745263224</v>
      </c>
      <c r="G60" s="158">
        <f>VLOOKUP(C60,Mapping!H:L,3,FALSE)</f>
        <v>613</v>
      </c>
      <c r="H60" s="158">
        <f t="shared" si="14"/>
        <v>1960232.9330846355</v>
      </c>
      <c r="I60" s="153">
        <f t="shared" si="18"/>
        <v>1574277.4405375419</v>
      </c>
      <c r="J60" s="158">
        <f>(References!$D$61*I60)</f>
        <v>2392.9017096170537</v>
      </c>
      <c r="K60" s="158">
        <f>J60/References!$H$64</f>
        <v>2441.9856205909314</v>
      </c>
      <c r="L60" s="314">
        <v>89.24</v>
      </c>
      <c r="M60" s="157">
        <f t="shared" si="26"/>
        <v>0.7636527068579807</v>
      </c>
      <c r="N60" s="168">
        <f t="shared" si="27"/>
        <v>90</v>
      </c>
      <c r="O60" s="118">
        <f t="shared" si="24"/>
        <v>285368.98360272899</v>
      </c>
      <c r="P60" s="118">
        <f t="shared" si="22"/>
        <v>287799.28870736901</v>
      </c>
      <c r="Q60" s="118">
        <f t="shared" si="28"/>
        <v>2430.3051046400215</v>
      </c>
      <c r="R60" s="161">
        <f>((G60*$E$101)*(References!$D$61/References!$H$64))-M60</f>
        <v>0</v>
      </c>
      <c r="S60" s="158"/>
    </row>
    <row r="61" spans="1:19">
      <c r="A61" s="456"/>
      <c r="B61" s="301">
        <v>33</v>
      </c>
      <c r="C61" s="395" t="s">
        <v>905</v>
      </c>
      <c r="D61" s="395" t="s">
        <v>274</v>
      </c>
      <c r="E61" s="394" t="s">
        <v>900</v>
      </c>
      <c r="F61" s="158">
        <f>SUMIFS(Mapping!M:M,Mapping!A:A,"Commercial",Mapping!H:H,'DF Calculation'!C61)-F60</f>
        <v>10648.573682172653</v>
      </c>
      <c r="G61" s="158">
        <f>VLOOKUP(C61,Mapping!H:L,3,FALSE)</f>
        <v>613</v>
      </c>
      <c r="H61" s="158">
        <f t="shared" si="14"/>
        <v>6527575.6671718368</v>
      </c>
      <c r="I61" s="153">
        <f t="shared" si="18"/>
        <v>5242343.8769900147</v>
      </c>
      <c r="J61" s="158">
        <f>(References!$D$61*I61)</f>
        <v>7968.3626930247883</v>
      </c>
      <c r="K61" s="158">
        <f>J61/References!$H$64</f>
        <v>8131.8121165678012</v>
      </c>
      <c r="L61" s="314">
        <v>63.9</v>
      </c>
      <c r="M61" s="157">
        <f t="shared" si="26"/>
        <v>0.7636527068579807</v>
      </c>
      <c r="N61" s="168">
        <f t="shared" si="27"/>
        <v>64.66</v>
      </c>
      <c r="O61" s="118">
        <f t="shared" si="24"/>
        <v>680443.85829083249</v>
      </c>
      <c r="P61" s="118">
        <f t="shared" si="22"/>
        <v>688536.77428928367</v>
      </c>
      <c r="Q61" s="118">
        <f t="shared" si="28"/>
        <v>8092.9159984511789</v>
      </c>
      <c r="R61" s="161"/>
      <c r="S61" s="158"/>
    </row>
    <row r="62" spans="1:19">
      <c r="A62" s="456"/>
      <c r="B62" s="301">
        <v>33</v>
      </c>
      <c r="C62" s="123" t="s">
        <v>355</v>
      </c>
      <c r="D62" s="123" t="s">
        <v>356</v>
      </c>
      <c r="E62" s="297" t="str">
        <f>VLOOKUP(C62,Mapping!$C$4:$H$110,6,FALSE)</f>
        <v>4 yard Temp</v>
      </c>
      <c r="F62" s="158">
        <f>SUMIFS(Mapping!M:M,Mapping!A:A,"Commercial",Mapping!C:C,'DF Calculation'!C62)</f>
        <v>8</v>
      </c>
      <c r="G62" s="158">
        <f>VLOOKUP(C62,Mapping!C:L,8,FALSE)</f>
        <v>613</v>
      </c>
      <c r="H62" s="158">
        <f t="shared" si="14"/>
        <v>4904</v>
      </c>
      <c r="I62" s="153">
        <f t="shared" si="18"/>
        <v>3938.4383550007287</v>
      </c>
      <c r="J62" s="158">
        <f>(References!$D$61*I62)</f>
        <v>5.9864262996010824</v>
      </c>
      <c r="K62" s="158">
        <f>J62/References!$H$64</f>
        <v>6.1092216548638456</v>
      </c>
      <c r="L62" s="309">
        <f>VLOOKUP(C62,Mapping!C:N,12,FALSE)</f>
        <v>68.87</v>
      </c>
      <c r="M62" s="157">
        <f t="shared" si="26"/>
        <v>0.7636527068579807</v>
      </c>
      <c r="N62" s="168">
        <f t="shared" si="27"/>
        <v>69.63</v>
      </c>
      <c r="O62" s="118">
        <f t="shared" si="24"/>
        <v>550.96</v>
      </c>
      <c r="P62" s="118">
        <f t="shared" si="22"/>
        <v>557.04</v>
      </c>
      <c r="Q62" s="118">
        <f t="shared" si="28"/>
        <v>6.0799999999999272</v>
      </c>
      <c r="R62" s="161">
        <f>((G62*$E$101)*(References!$D$61/References!$H$64))-M62</f>
        <v>0</v>
      </c>
      <c r="S62" s="158"/>
    </row>
    <row r="63" spans="1:19">
      <c r="A63" s="456"/>
      <c r="B63" s="301">
        <v>33</v>
      </c>
      <c r="C63" s="123" t="s">
        <v>622</v>
      </c>
      <c r="D63" s="123" t="s">
        <v>623</v>
      </c>
      <c r="E63" s="297" t="str">
        <f>VLOOKUP(C63,Mapping!$C$4:$H$110,6,FALSE)</f>
        <v>4 yard Special</v>
      </c>
      <c r="F63" s="158">
        <f>SUMIFS(Mapping!M:M,Mapping!A:A,"Commercial",Mapping!C:C,'DF Calculation'!C63)</f>
        <v>37</v>
      </c>
      <c r="G63" s="158">
        <f>VLOOKUP(C63,Mapping!C:L,8,FALSE)</f>
        <v>613</v>
      </c>
      <c r="H63" s="158">
        <f t="shared" ref="H63" si="32">F63*G63</f>
        <v>22681</v>
      </c>
      <c r="I63" s="153">
        <f t="shared" si="18"/>
        <v>18215.277391878371</v>
      </c>
      <c r="J63" s="158">
        <f>(References!$D$61*I63)</f>
        <v>27.687221635655007</v>
      </c>
      <c r="K63" s="158">
        <f>J63/References!$H$64</f>
        <v>28.255150153745287</v>
      </c>
      <c r="L63" s="309">
        <f>VLOOKUP(C63,Mapping!C:N,12,FALSE)</f>
        <v>106.14</v>
      </c>
      <c r="M63" s="157">
        <f t="shared" si="26"/>
        <v>0.7636527068579807</v>
      </c>
      <c r="N63" s="168">
        <f t="shared" si="27"/>
        <v>106.9</v>
      </c>
      <c r="O63" s="118">
        <f t="shared" si="24"/>
        <v>3927.18</v>
      </c>
      <c r="P63" s="118">
        <f t="shared" si="22"/>
        <v>3955.3</v>
      </c>
      <c r="Q63" s="118">
        <f t="shared" si="28"/>
        <v>28.120000000000346</v>
      </c>
      <c r="R63" s="161"/>
      <c r="S63" s="158"/>
    </row>
    <row r="64" spans="1:19">
      <c r="A64" s="456"/>
      <c r="B64" s="301">
        <v>33</v>
      </c>
      <c r="C64" s="395" t="s">
        <v>906</v>
      </c>
      <c r="D64" s="395" t="s">
        <v>284</v>
      </c>
      <c r="E64" s="394" t="s">
        <v>901</v>
      </c>
      <c r="F64" s="158">
        <f>SUMIFS(Mapping!M:M,Mapping!A:A,"Commercial",Mapping!H:H,'DF Calculation'!C64)/4.33</f>
        <v>6557.3047364396753</v>
      </c>
      <c r="G64" s="158">
        <f>VLOOKUP(C64,Mapping!H:L,3,FALSE)</f>
        <v>840</v>
      </c>
      <c r="H64" s="158">
        <f t="shared" si="14"/>
        <v>5508135.9786093272</v>
      </c>
      <c r="I64" s="153">
        <f t="shared" si="18"/>
        <v>4423624.3888080027</v>
      </c>
      <c r="J64" s="158">
        <f>(References!$D$61*I64)</f>
        <v>6723.9090709881357</v>
      </c>
      <c r="K64" s="158">
        <f>J64/References!$H$64</f>
        <v>6861.8318920176916</v>
      </c>
      <c r="L64" s="314">
        <v>119.88</v>
      </c>
      <c r="M64" s="157">
        <f t="shared" si="26"/>
        <v>1.0464409033616702</v>
      </c>
      <c r="N64" s="168">
        <f t="shared" si="27"/>
        <v>120.93</v>
      </c>
      <c r="O64" s="118">
        <f t="shared" si="24"/>
        <v>786089.69180438819</v>
      </c>
      <c r="P64" s="118">
        <f t="shared" si="22"/>
        <v>792974.86177764996</v>
      </c>
      <c r="Q64" s="118">
        <f t="shared" si="28"/>
        <v>6885.1699732617708</v>
      </c>
      <c r="R64" s="161"/>
      <c r="S64" s="158"/>
    </row>
    <row r="65" spans="1:23">
      <c r="A65" s="456"/>
      <c r="B65" s="301">
        <v>33</v>
      </c>
      <c r="C65" s="395" t="s">
        <v>906</v>
      </c>
      <c r="D65" s="395" t="s">
        <v>284</v>
      </c>
      <c r="E65" s="394" t="s">
        <v>900</v>
      </c>
      <c r="F65" s="158">
        <f>SUMIFS(Mapping!M:M,Mapping!A:A,"Commercial",Mapping!H:H,'DF Calculation'!C65)-F64</f>
        <v>21835.824772344116</v>
      </c>
      <c r="G65" s="158">
        <f>VLOOKUP(C65,Mapping!H:L,3,FALSE)</f>
        <v>840</v>
      </c>
      <c r="H65" s="158">
        <f t="shared" si="14"/>
        <v>18342092.808769058</v>
      </c>
      <c r="I65" s="153">
        <f t="shared" si="18"/>
        <v>14730669.21473065</v>
      </c>
      <c r="J65" s="158">
        <f>(References!$D$61*I65)</f>
        <v>22390.617206390492</v>
      </c>
      <c r="K65" s="158">
        <f>J65/References!$H$64</f>
        <v>22849.900200418913</v>
      </c>
      <c r="L65" s="314">
        <v>88.2</v>
      </c>
      <c r="M65" s="157">
        <f t="shared" si="26"/>
        <v>1.0464409033616702</v>
      </c>
      <c r="N65" s="168">
        <f t="shared" si="27"/>
        <v>89.25</v>
      </c>
      <c r="O65" s="118">
        <f t="shared" si="24"/>
        <v>1925919.7449207511</v>
      </c>
      <c r="P65" s="118">
        <f t="shared" si="22"/>
        <v>1948847.3609317124</v>
      </c>
      <c r="Q65" s="118">
        <f t="shared" si="28"/>
        <v>22927.616010961356</v>
      </c>
      <c r="R65" s="161"/>
      <c r="S65" s="158"/>
    </row>
    <row r="66" spans="1:23">
      <c r="A66" s="456"/>
      <c r="B66" s="301">
        <v>33</v>
      </c>
      <c r="C66" s="123" t="s">
        <v>357</v>
      </c>
      <c r="D66" s="123" t="s">
        <v>358</v>
      </c>
      <c r="E66" s="297" t="str">
        <f>VLOOKUP(C66,Mapping!$C$4:$H$110,6,FALSE)</f>
        <v>6 yard Temp</v>
      </c>
      <c r="F66" s="158">
        <f>SUMIFS(Mapping!M:M,Mapping!A:A,"Commercial",Mapping!C:C,'DF Calculation'!C66)</f>
        <v>12</v>
      </c>
      <c r="G66" s="158">
        <f>VLOOKUP(C66,Mapping!C:L,8,FALSE)</f>
        <v>840</v>
      </c>
      <c r="H66" s="158">
        <f t="shared" si="14"/>
        <v>10080</v>
      </c>
      <c r="I66" s="153">
        <f t="shared" si="18"/>
        <v>8095.3219042429337</v>
      </c>
      <c r="J66" s="158">
        <f>(References!$D$61*I66)</f>
        <v>12.304889294449207</v>
      </c>
      <c r="K66" s="158">
        <f>J66/References!$H$64</f>
        <v>12.557290840340043</v>
      </c>
      <c r="L66" s="309">
        <f>VLOOKUP(C66,Mapping!C:N,12,FALSE)</f>
        <v>95.91</v>
      </c>
      <c r="M66" s="157">
        <f t="shared" si="26"/>
        <v>1.0464409033616702</v>
      </c>
      <c r="N66" s="168">
        <f t="shared" si="27"/>
        <v>96.96</v>
      </c>
      <c r="O66" s="118">
        <f t="shared" si="24"/>
        <v>1150.92</v>
      </c>
      <c r="P66" s="118">
        <f t="shared" si="22"/>
        <v>1163.52</v>
      </c>
      <c r="Q66" s="118">
        <f t="shared" si="28"/>
        <v>12.599999999999909</v>
      </c>
      <c r="R66" s="161">
        <f>((G66*$E$101)*(References!$D$61/References!$H$64))-M66</f>
        <v>0</v>
      </c>
      <c r="S66" s="158"/>
    </row>
    <row r="67" spans="1:23">
      <c r="A67" s="456"/>
      <c r="B67" s="301">
        <v>33</v>
      </c>
      <c r="C67" s="123" t="s">
        <v>624</v>
      </c>
      <c r="D67" s="123" t="s">
        <v>625</v>
      </c>
      <c r="E67" s="297" t="str">
        <f>VLOOKUP(C67,Mapping!$C$4:$H$110,6,FALSE)</f>
        <v>6 yard Special</v>
      </c>
      <c r="F67" s="158">
        <f>SUMIFS(Mapping!M:M,Mapping!A:A,"Commercial",Mapping!C:C,'DF Calculation'!C67)</f>
        <v>141</v>
      </c>
      <c r="G67" s="158">
        <f>VLOOKUP(C67,Mapping!C:L,8,FALSE)</f>
        <v>840</v>
      </c>
      <c r="H67" s="158">
        <f t="shared" ref="H67" si="33">F67*G67</f>
        <v>118440</v>
      </c>
      <c r="I67" s="153">
        <f t="shared" si="18"/>
        <v>95120.032374854462</v>
      </c>
      <c r="J67" s="158">
        <f>(References!$D$61*I67)</f>
        <v>144.58244920977816</v>
      </c>
      <c r="K67" s="158">
        <f>J67/References!$H$64</f>
        <v>147.54816737399548</v>
      </c>
      <c r="L67" s="309">
        <f>VLOOKUP(C67,Mapping!C:N,12,FALSE)</f>
        <v>126.22</v>
      </c>
      <c r="M67" s="157">
        <f t="shared" si="26"/>
        <v>1.0464409033616702</v>
      </c>
      <c r="N67" s="168">
        <f t="shared" si="27"/>
        <v>127.27</v>
      </c>
      <c r="O67" s="118">
        <f t="shared" si="24"/>
        <v>17797.02</v>
      </c>
      <c r="P67" s="118">
        <f t="shared" si="22"/>
        <v>17945.07</v>
      </c>
      <c r="Q67" s="118">
        <f t="shared" si="28"/>
        <v>148.04999999999927</v>
      </c>
      <c r="R67" s="161"/>
      <c r="S67" s="158"/>
    </row>
    <row r="68" spans="1:23">
      <c r="A68" s="456"/>
      <c r="B68" s="301">
        <v>34</v>
      </c>
      <c r="C68" s="123" t="s">
        <v>303</v>
      </c>
      <c r="D68" s="123" t="s">
        <v>304</v>
      </c>
      <c r="E68" s="297" t="str">
        <f>VLOOKUP(C68,Mapping!$C$4:$H$110,6,FALSE)</f>
        <v>32 Gallon Cart WG-NR</v>
      </c>
      <c r="F68" s="158">
        <f>SUMIFS(Mapping!M:M,Mapping!A:A,"Commercial",Mapping!C:C,'DF Calculation'!C68)</f>
        <v>218.61777188106876</v>
      </c>
      <c r="G68" s="158">
        <f>VLOOKUP(C68,Mapping!C:L,8,FALSE)</f>
        <v>29</v>
      </c>
      <c r="H68" s="158">
        <f t="shared" ref="H68:H91" si="34">F68*G68</f>
        <v>6339.9153845509945</v>
      </c>
      <c r="I68" s="153">
        <f t="shared" si="18"/>
        <v>5091.632528135161</v>
      </c>
      <c r="J68" s="158">
        <f>(References!$D$61*I68)</f>
        <v>7.739281442765412</v>
      </c>
      <c r="K68" s="158">
        <f>J68/References!$H$64</f>
        <v>7.8980318836263006</v>
      </c>
      <c r="L68" s="309">
        <f>VLOOKUP(C68,Mapping!C:N,12,FALSE)</f>
        <v>17.809999999999999</v>
      </c>
      <c r="M68" s="157">
        <f>IFERROR((K68/F68*References!$C$11),0)</f>
        <v>0.1565508811775197</v>
      </c>
      <c r="N68" s="168">
        <f t="shared" si="27"/>
        <v>17.97</v>
      </c>
      <c r="O68" s="118">
        <f>(F68/References!$C$11)*L68</f>
        <v>898.5190424311927</v>
      </c>
      <c r="P68" s="118">
        <f>(F68/References!$C$11)*N68</f>
        <v>906.59108323910903</v>
      </c>
      <c r="Q68" s="118">
        <f t="shared" si="28"/>
        <v>8.0720408079163235</v>
      </c>
      <c r="R68" s="161">
        <f>((G68*$E$101)*(References!$D$61/References!$H$64*References!$C$11))-M68</f>
        <v>0</v>
      </c>
      <c r="S68" s="158"/>
    </row>
    <row r="69" spans="1:23">
      <c r="A69" s="456"/>
      <c r="B69" s="301">
        <v>34</v>
      </c>
      <c r="C69" s="123" t="s">
        <v>305</v>
      </c>
      <c r="D69" s="123" t="s">
        <v>306</v>
      </c>
      <c r="E69" s="297" t="str">
        <f>VLOOKUP(C69,Mapping!$C$4:$H$110,6,FALSE)</f>
        <v>32 Gallon Cart WG-R</v>
      </c>
      <c r="F69" s="158">
        <f>SUMIFS(Mapping!M:M,Mapping!A:A,"Commercial",Mapping!C:C,'DF Calculation'!C69)</f>
        <v>19909.715328467151</v>
      </c>
      <c r="G69" s="158">
        <f>VLOOKUP(C69,Mapping!C:L,8,FALSE)</f>
        <v>29</v>
      </c>
      <c r="H69" s="158">
        <f t="shared" si="34"/>
        <v>577381.74452554737</v>
      </c>
      <c r="I69" s="153">
        <f t="shared" si="18"/>
        <v>463699.51225869654</v>
      </c>
      <c r="J69" s="158">
        <f>(References!$D$61*I69)</f>
        <v>704.8232586332158</v>
      </c>
      <c r="K69" s="158">
        <f>J69/References!$H$64</f>
        <v>719.2808027688701</v>
      </c>
      <c r="L69" s="309">
        <f>VLOOKUP(C69,Mapping!C:N,12,FALSE)</f>
        <v>17.809999999999999</v>
      </c>
      <c r="M69" s="157">
        <f>IFERROR((K69/F69*References!$C$11),0)</f>
        <v>0.1565508811775197</v>
      </c>
      <c r="N69" s="168">
        <f t="shared" ref="N69:N91" si="35">M69+L69</f>
        <v>17.966550881177518</v>
      </c>
      <c r="O69" s="118">
        <f>(F69/References!$C$11)*L69</f>
        <v>81828.929999999993</v>
      </c>
      <c r="P69" s="118">
        <f>(F69/References!$C$11)*N69</f>
        <v>82548.210802768866</v>
      </c>
      <c r="Q69" s="118">
        <f t="shared" ref="Q69:Q91" si="36">P69-O69</f>
        <v>719.2808027688734</v>
      </c>
      <c r="R69" s="161">
        <f>((G69*$E$101)*(References!$D$61/References!$H$64*References!$C$11))-M69</f>
        <v>0</v>
      </c>
      <c r="S69" s="158"/>
    </row>
    <row r="70" spans="1:23">
      <c r="A70" s="456"/>
      <c r="B70" s="301">
        <v>34</v>
      </c>
      <c r="C70" s="123" t="s">
        <v>307</v>
      </c>
      <c r="D70" s="123" t="s">
        <v>304</v>
      </c>
      <c r="E70" s="297" t="str">
        <f>VLOOKUP(C70,Mapping!$C$4:$H$110,6,FALSE)</f>
        <v>32 Gallon Cart WG-NR</v>
      </c>
      <c r="F70" s="158">
        <f>SUMIFS(Mapping!M:M,Mapping!A:A,"Commercial",Mapping!C:C,'DF Calculation'!C70)</f>
        <v>246.99999999999997</v>
      </c>
      <c r="G70" s="158">
        <f>VLOOKUP(C70,Mapping!C:L,8,FALSE)</f>
        <v>29</v>
      </c>
      <c r="H70" s="158">
        <f t="shared" si="34"/>
        <v>7162.9999999999991</v>
      </c>
      <c r="I70" s="153">
        <f t="shared" si="18"/>
        <v>5752.6578174694569</v>
      </c>
      <c r="J70" s="158">
        <f>(References!$D$61*I70)</f>
        <v>8.7440398825535368</v>
      </c>
      <c r="K70" s="158">
        <f>J70/References!$H$64</f>
        <v>8.9234002271186217</v>
      </c>
      <c r="L70" s="309">
        <f>VLOOKUP(C70,Mapping!C:N,12,FALSE)</f>
        <v>28.92</v>
      </c>
      <c r="M70" s="157">
        <f>IFERROR((K70/F70*References!$C$11),0)</f>
        <v>0.1565508811775197</v>
      </c>
      <c r="N70" s="168">
        <f t="shared" si="35"/>
        <v>29.076550881177521</v>
      </c>
      <c r="O70" s="118">
        <f>(F70/References!$C$11)*L70</f>
        <v>1648.44</v>
      </c>
      <c r="P70" s="118">
        <f>(F70/References!$C$11)*N70</f>
        <v>1657.3634002271187</v>
      </c>
      <c r="Q70" s="118">
        <f t="shared" si="36"/>
        <v>8.923400227118691</v>
      </c>
      <c r="R70" s="161">
        <f>((G70*$E$101)*(References!$D$61/References!$H$64*References!$C$11))-M70</f>
        <v>0</v>
      </c>
      <c r="S70" s="403"/>
      <c r="T70" s="403"/>
      <c r="U70" s="161"/>
    </row>
    <row r="71" spans="1:23">
      <c r="A71" s="456"/>
      <c r="B71" s="301">
        <v>34</v>
      </c>
      <c r="C71" s="123" t="s">
        <v>308</v>
      </c>
      <c r="D71" s="123" t="s">
        <v>309</v>
      </c>
      <c r="E71" s="297" t="str">
        <f>VLOOKUP(C71,Mapping!$C$4:$H$110,6,FALSE)</f>
        <v>32 Gallon Cart WG-R</v>
      </c>
      <c r="F71" s="158">
        <f>SUMIFS(Mapping!M:M,Mapping!A:A,"Commercial",Mapping!C:C,'DF Calculation'!C71)</f>
        <v>355.33333333333331</v>
      </c>
      <c r="G71" s="158">
        <f>VLOOKUP(C71,Mapping!C:L,8,FALSE)</f>
        <v>29</v>
      </c>
      <c r="H71" s="158">
        <f t="shared" si="34"/>
        <v>10304.666666666666</v>
      </c>
      <c r="I71" s="153">
        <f t="shared" si="18"/>
        <v>8275.7533514472889</v>
      </c>
      <c r="J71" s="158">
        <f>(References!$D$61*I71)</f>
        <v>12.579145094199825</v>
      </c>
      <c r="K71" s="158">
        <f>J71/References!$H$64</f>
        <v>12.837172256556613</v>
      </c>
      <c r="L71" s="309">
        <f>VLOOKUP(C71,Mapping!C:N,12,FALSE)</f>
        <v>28.92</v>
      </c>
      <c r="M71" s="157">
        <f>IFERROR((K71/F71*References!$C$10),0)</f>
        <v>0.31310176235503934</v>
      </c>
      <c r="N71" s="168">
        <f t="shared" si="35"/>
        <v>29.233101762355041</v>
      </c>
      <c r="O71" s="118">
        <f>(F71/References!$C$10)*L71</f>
        <v>1185.72</v>
      </c>
      <c r="P71" s="118">
        <f>(F71/References!$C$10)*N71</f>
        <v>1198.5571722565567</v>
      </c>
      <c r="Q71" s="118">
        <f t="shared" si="36"/>
        <v>12.837172256556642</v>
      </c>
      <c r="R71" s="161">
        <f>((G71*$E$101)*(References!$D$61/References!$H$64*References!$C$10))-M71</f>
        <v>0</v>
      </c>
      <c r="S71" s="403"/>
      <c r="T71" s="403"/>
    </row>
    <row r="72" spans="1:23">
      <c r="A72" s="456"/>
      <c r="B72" s="301">
        <v>34</v>
      </c>
      <c r="C72" s="123" t="s">
        <v>311</v>
      </c>
      <c r="D72" s="123" t="s">
        <v>312</v>
      </c>
      <c r="E72" s="297" t="str">
        <f>VLOOKUP(C72,Mapping!$C$4:$H$110,6,FALSE)</f>
        <v>32 Gallon Cart WG-R</v>
      </c>
      <c r="F72" s="158">
        <f>SUMIFS(Mapping!M:M,Mapping!A:A,"Commercial",Mapping!C:C,'DF Calculation'!C72)</f>
        <v>156</v>
      </c>
      <c r="G72" s="158">
        <f>VLOOKUP(C72,Mapping!C:L,8,FALSE)</f>
        <v>29</v>
      </c>
      <c r="H72" s="158">
        <f t="shared" si="34"/>
        <v>4524</v>
      </c>
      <c r="I72" s="153">
        <f t="shared" si="18"/>
        <v>3633.2575689280784</v>
      </c>
      <c r="J72" s="158">
        <f>(References!$D$61*I72)</f>
        <v>5.5225515047706555</v>
      </c>
      <c r="K72" s="158">
        <f>J72/References!$H$64</f>
        <v>5.6358317223907086</v>
      </c>
      <c r="L72" s="309">
        <f>VLOOKUP(C72,Mapping!C:N,12,FALSE)</f>
        <v>43.39</v>
      </c>
      <c r="M72" s="157">
        <f>IFERROR((K72/F72*References!$C$9),0)</f>
        <v>0.46965264353255909</v>
      </c>
      <c r="N72" s="168">
        <f t="shared" si="35"/>
        <v>43.859652643532563</v>
      </c>
      <c r="O72" s="118">
        <f>(F72/References!$C$9)*L72</f>
        <v>520.68000000000006</v>
      </c>
      <c r="P72" s="118">
        <f>(F72/References!$C$9)*N72</f>
        <v>526.31583172239073</v>
      </c>
      <c r="Q72" s="118">
        <f t="shared" si="36"/>
        <v>5.6358317223906624</v>
      </c>
      <c r="R72" s="161">
        <f>((G72*$E$101)*(References!$D$61/References!$H$64*References!$C$9))-M72</f>
        <v>0</v>
      </c>
      <c r="V72" s="30"/>
      <c r="W72" s="161"/>
    </row>
    <row r="73" spans="1:23">
      <c r="A73" s="456"/>
      <c r="B73" s="301">
        <v>34</v>
      </c>
      <c r="C73" s="123" t="s">
        <v>313</v>
      </c>
      <c r="D73" s="123" t="s">
        <v>314</v>
      </c>
      <c r="E73" s="297" t="str">
        <f>VLOOKUP(C73,Mapping!$C$4:$H$110,6,FALSE)</f>
        <v>32 Gallon Cart WG-R</v>
      </c>
      <c r="F73" s="158">
        <f>SUMIFS(Mapping!M:M,Mapping!A:A,"Commercial",Mapping!C:C,'DF Calculation'!C73)</f>
        <v>568.53394733734797</v>
      </c>
      <c r="G73" s="158">
        <f>VLOOKUP(C73,Mapping!C:L,8,FALSE)</f>
        <v>29</v>
      </c>
      <c r="H73" s="158">
        <f t="shared" si="34"/>
        <v>16487.48447278309</v>
      </c>
      <c r="I73" s="153">
        <f t="shared" si="18"/>
        <v>13241.219662538313</v>
      </c>
      <c r="J73" s="158">
        <f>(References!$D$61*I73)</f>
        <v>20.126653887058151</v>
      </c>
      <c r="K73" s="158">
        <f>J73/References!$H$64</f>
        <v>20.539497792691243</v>
      </c>
      <c r="L73" s="309">
        <f>VLOOKUP(C73,Mapping!C:N,12,FALSE)</f>
        <v>57.85</v>
      </c>
      <c r="M73" s="157">
        <f>IFERROR((K73/F73*References!$C$8),0)</f>
        <v>0.62620352471007867</v>
      </c>
      <c r="N73" s="168">
        <f t="shared" si="35"/>
        <v>58.47620352471008</v>
      </c>
      <c r="O73" s="118">
        <f>(F73/References!$C$8)*L73</f>
        <v>1897.4820492383988</v>
      </c>
      <c r="P73" s="118">
        <f>(F73/References!$C$8)*N73</f>
        <v>1918.02154703109</v>
      </c>
      <c r="Q73" s="118">
        <f t="shared" si="36"/>
        <v>20.539497792691236</v>
      </c>
      <c r="R73" s="161">
        <f>((G73*$E$101)*(References!$D$61/References!$H$64*References!$C$8))-M73</f>
        <v>0</v>
      </c>
      <c r="V73" s="30"/>
      <c r="W73" s="161"/>
    </row>
    <row r="74" spans="1:23">
      <c r="A74" s="456"/>
      <c r="B74" s="301">
        <v>34</v>
      </c>
      <c r="C74" s="123" t="s">
        <v>654</v>
      </c>
      <c r="D74" s="123" t="s">
        <v>969</v>
      </c>
      <c r="E74" s="297" t="str">
        <f>VLOOKUP(C74,Mapping!$C$4:$H$110,6,FALSE)</f>
        <v>35 Gallon Cart WG-R</v>
      </c>
      <c r="F74" s="158">
        <f>SUMIFS(Mapping!M:M,Mapping!A:A,"Commercial",Mapping!C:C,'DF Calculation'!C74)</f>
        <v>3606.4669679955082</v>
      </c>
      <c r="G74" s="158">
        <f>VLOOKUP(C74,Mapping!C:L,8,FALSE)</f>
        <v>34</v>
      </c>
      <c r="H74" s="158">
        <f t="shared" ref="H74" si="37">F74*G74</f>
        <v>122619.87691184728</v>
      </c>
      <c r="I74" s="153">
        <f t="shared" ref="I74" si="38">$E$101*H74</f>
        <v>98476.922168655714</v>
      </c>
      <c r="J74" s="158">
        <f>(References!$D$61*I74)</f>
        <v>149.68492169635604</v>
      </c>
      <c r="K74" s="158">
        <f>J74/References!$H$64</f>
        <v>152.75530329253601</v>
      </c>
      <c r="L74" s="309">
        <f>VLOOKUP(C74,Mapping!C:N,12,FALSE)</f>
        <v>17.809999999999999</v>
      </c>
      <c r="M74" s="157">
        <f>IFERROR((K74/F74*References!$C$11),0)</f>
        <v>0.18354241241502306</v>
      </c>
      <c r="N74" s="168">
        <f t="shared" ref="N74" si="39">M74+L74</f>
        <v>17.993542412415021</v>
      </c>
      <c r="O74" s="118">
        <f>(F74/References!$C$11)*L74</f>
        <v>14822.579238461538</v>
      </c>
      <c r="P74" s="118">
        <f>(F74/References!$C$11)*N74</f>
        <v>14975.334541754073</v>
      </c>
      <c r="Q74" s="118">
        <f t="shared" ref="Q74" si="40">P74-O74</f>
        <v>152.75530329253525</v>
      </c>
      <c r="R74" s="161">
        <f>((G74*$E$101)*(References!$D$61/References!$H$64*References!$C$11))-M74</f>
        <v>0</v>
      </c>
      <c r="S74" s="158"/>
    </row>
    <row r="75" spans="1:23">
      <c r="A75" s="456"/>
      <c r="B75" s="301">
        <v>34</v>
      </c>
      <c r="C75" s="123" t="s">
        <v>319</v>
      </c>
      <c r="D75" s="123" t="s">
        <v>320</v>
      </c>
      <c r="E75" s="297" t="str">
        <f>VLOOKUP(C75,Mapping!$C$4:$H$110,6,FALSE)</f>
        <v>65 Gallon Cart WG-NR</v>
      </c>
      <c r="F75" s="158">
        <f>SUMIFS(Mapping!M:M,Mapping!A:A,"Commercial",Mapping!C:C,'DF Calculation'!C75)</f>
        <v>2547.5396140810485</v>
      </c>
      <c r="G75" s="158">
        <f>VLOOKUP(C75,Mapping!C:L,8,FALSE)</f>
        <v>47</v>
      </c>
      <c r="H75" s="158">
        <f t="shared" si="34"/>
        <v>119734.36186180927</v>
      </c>
      <c r="I75" s="153">
        <f t="shared" si="18"/>
        <v>96159.543876037133</v>
      </c>
      <c r="J75" s="158">
        <f>(References!$D$61*I75)</f>
        <v>146.16250669157583</v>
      </c>
      <c r="K75" s="158">
        <f>J75/References!$H$64</f>
        <v>149.16063546441049</v>
      </c>
      <c r="L75" s="309">
        <f>VLOOKUP(C75,Mapping!C:N,12,FALSE)</f>
        <v>29.18</v>
      </c>
      <c r="M75" s="157">
        <f>IFERROR((K75/F75*References!$C$11),0)</f>
        <v>0.2537203936325319</v>
      </c>
      <c r="N75" s="168">
        <f t="shared" si="35"/>
        <v>29.43372039363253</v>
      </c>
      <c r="O75" s="118">
        <f>(F75/References!$C$11)*L75</f>
        <v>17154.739832050385</v>
      </c>
      <c r="P75" s="118">
        <f>(F75/References!$C$11)*N75</f>
        <v>17303.900467514795</v>
      </c>
      <c r="Q75" s="118">
        <f t="shared" si="36"/>
        <v>149.16063546441001</v>
      </c>
      <c r="R75" s="161">
        <f>((G75*$E$101)*(References!$D$61/References!$H$64*References!$C$11))-M75</f>
        <v>0</v>
      </c>
      <c r="S75" s="158"/>
      <c r="T75" s="403"/>
    </row>
    <row r="76" spans="1:23">
      <c r="A76" s="456"/>
      <c r="B76" s="301">
        <v>34</v>
      </c>
      <c r="C76" s="123" t="s">
        <v>321</v>
      </c>
      <c r="D76" s="123" t="s">
        <v>322</v>
      </c>
      <c r="E76" s="297" t="str">
        <f>VLOOKUP(C76,Mapping!$C$4:$H$110,6,FALSE)</f>
        <v>65 Gallon Cart WG-R</v>
      </c>
      <c r="F76" s="158">
        <f>SUMIFS(Mapping!M:M,Mapping!A:A,"Commercial",Mapping!C:C,'DF Calculation'!C76)</f>
        <v>23772.063885700631</v>
      </c>
      <c r="G76" s="158">
        <f>VLOOKUP(C76,Mapping!C:L,8,FALSE)</f>
        <v>47</v>
      </c>
      <c r="H76" s="158">
        <f t="shared" si="34"/>
        <v>1117287.0026279297</v>
      </c>
      <c r="I76" s="153">
        <f t="shared" si="18"/>
        <v>897301.38350196532</v>
      </c>
      <c r="J76" s="158">
        <f>(References!$D$61*I76)</f>
        <v>1363.8981029229815</v>
      </c>
      <c r="K76" s="158">
        <f>J76/References!$H$64</f>
        <v>1391.8747861240754</v>
      </c>
      <c r="L76" s="309">
        <f>VLOOKUP(C76,Mapping!C:N,12,FALSE)</f>
        <v>29.18</v>
      </c>
      <c r="M76" s="157">
        <f>IFERROR((K76/F76*References!$C$11),0)</f>
        <v>0.2537203936325319</v>
      </c>
      <c r="N76" s="168">
        <f t="shared" si="35"/>
        <v>29.43372039363253</v>
      </c>
      <c r="O76" s="118">
        <f>(F76/References!$C$11)*L76</f>
        <v>160077.42096571025</v>
      </c>
      <c r="P76" s="118">
        <f>(F76/References!$C$11)*N76</f>
        <v>161469.29575183432</v>
      </c>
      <c r="Q76" s="118">
        <f t="shared" si="36"/>
        <v>1391.8747861240699</v>
      </c>
      <c r="R76" s="161">
        <f>((G76*$E$101)*(References!$D$61/References!$H$64*References!$C$11))-M76</f>
        <v>0</v>
      </c>
      <c r="S76" s="158"/>
      <c r="T76" s="403"/>
    </row>
    <row r="77" spans="1:23">
      <c r="A77" s="456"/>
      <c r="B77" s="301">
        <v>34</v>
      </c>
      <c r="C77" s="123" t="s">
        <v>325</v>
      </c>
      <c r="D77" s="123" t="s">
        <v>326</v>
      </c>
      <c r="E77" s="297" t="str">
        <f>VLOOKUP(C77,Mapping!$C$4:$H$110,6,FALSE)</f>
        <v>65 Gallon Cart EOWG-NR</v>
      </c>
      <c r="F77" s="158">
        <f>SUMIFS(Mapping!M:M,Mapping!A:A,"Commercial",Mapping!C:C,'DF Calculation'!C77)</f>
        <v>235.08333333333331</v>
      </c>
      <c r="G77" s="158">
        <f>VLOOKUP(C77,Mapping!C:L,8,FALSE)</f>
        <v>47</v>
      </c>
      <c r="H77" s="158">
        <f t="shared" si="34"/>
        <v>11048.916666666666</v>
      </c>
      <c r="I77" s="153">
        <f t="shared" si="18"/>
        <v>8873.4659831172103</v>
      </c>
      <c r="J77" s="158">
        <f>(References!$D$61*I77)</f>
        <v>13.487668294338103</v>
      </c>
      <c r="K77" s="158">
        <f>J77/References!$H$64</f>
        <v>13.764331354564858</v>
      </c>
      <c r="L77" s="309">
        <f>VLOOKUP(C77,Mapping!C:N,12,FALSE)</f>
        <v>20.9</v>
      </c>
      <c r="M77" s="157">
        <f>IFERROR((K77/F77*References!$C$12),0)</f>
        <v>0.12686019681626598</v>
      </c>
      <c r="N77" s="168">
        <f t="shared" si="35"/>
        <v>21.026860196816266</v>
      </c>
      <c r="O77" s="118">
        <f>(F77/References!$C$12)*L77</f>
        <v>2267.6499999999996</v>
      </c>
      <c r="P77" s="118">
        <f>(F77/References!$C$12)*N77</f>
        <v>2281.4143313545646</v>
      </c>
      <c r="Q77" s="118">
        <f t="shared" si="36"/>
        <v>13.764331354565002</v>
      </c>
      <c r="R77" s="161">
        <f>((G77*$E$101)*(References!$D$61/References!$H$64*References!$C$12))-M77</f>
        <v>0</v>
      </c>
      <c r="S77" s="158"/>
    </row>
    <row r="78" spans="1:23">
      <c r="A78" s="456"/>
      <c r="B78" s="301">
        <v>34</v>
      </c>
      <c r="C78" s="123" t="s">
        <v>327</v>
      </c>
      <c r="D78" s="123" t="s">
        <v>328</v>
      </c>
      <c r="E78" s="297" t="str">
        <f>VLOOKUP(C78,Mapping!$C$4:$H$110,6,FALSE)</f>
        <v>65 Gallon Cart EOWG-R</v>
      </c>
      <c r="F78" s="158">
        <f>SUMIFS(Mapping!M:M,Mapping!A:A,"Commercial",Mapping!C:C,'DF Calculation'!C78)</f>
        <v>2484.9137058948309</v>
      </c>
      <c r="G78" s="158">
        <f>VLOOKUP(C78,Mapping!C:L,8,FALSE)</f>
        <v>47</v>
      </c>
      <c r="H78" s="158">
        <f t="shared" si="34"/>
        <v>116790.94417705706</v>
      </c>
      <c r="I78" s="153">
        <f t="shared" si="18"/>
        <v>93795.663552950762</v>
      </c>
      <c r="J78" s="158">
        <f>(References!$D$61*I78)</f>
        <v>142.56940860048456</v>
      </c>
      <c r="K78" s="158">
        <f>J78/References!$H$64</f>
        <v>145.49383467750235</v>
      </c>
      <c r="L78" s="309">
        <f>VLOOKUP(C78,Mapping!C:N,12,FALSE)</f>
        <v>20.9</v>
      </c>
      <c r="M78" s="157">
        <f>IFERROR((K78/F78*References!$C$12),0)</f>
        <v>0.12686019681626598</v>
      </c>
      <c r="N78" s="168">
        <f t="shared" si="35"/>
        <v>21.026860196816266</v>
      </c>
      <c r="O78" s="118">
        <f>(F78/References!$C$12)*L78</f>
        <v>23969.85990147783</v>
      </c>
      <c r="P78" s="118">
        <f>(F78/References!$C$12)*N78</f>
        <v>24115.353736155335</v>
      </c>
      <c r="Q78" s="118">
        <f t="shared" si="36"/>
        <v>145.49383467750522</v>
      </c>
      <c r="R78" s="161">
        <f>((G78*$E$101)*(References!$D$61/References!$H$64*References!$C$12))-M78</f>
        <v>0</v>
      </c>
      <c r="S78" s="158"/>
      <c r="T78" s="403"/>
    </row>
    <row r="79" spans="1:23" ht="13.5" customHeight="1">
      <c r="A79" s="456"/>
      <c r="B79" s="301">
        <v>34</v>
      </c>
      <c r="C79" s="123" t="s">
        <v>329</v>
      </c>
      <c r="D79" s="123" t="s">
        <v>330</v>
      </c>
      <c r="E79" s="297" t="str">
        <f>VLOOKUP(C79,Mapping!$C$4:$H$110,6,FALSE)</f>
        <v>95 Gallon Cart WG-NR</v>
      </c>
      <c r="F79" s="158">
        <f>SUMIFS(Mapping!M:M,Mapping!A:A,"Commercial",Mapping!C:C,'DF Calculation'!C79)</f>
        <v>8265.7527883300681</v>
      </c>
      <c r="G79" s="158">
        <f>VLOOKUP(C79,Mapping!C:L,8,FALSE)</f>
        <v>68</v>
      </c>
      <c r="H79" s="158">
        <f t="shared" si="34"/>
        <v>562071.18960644468</v>
      </c>
      <c r="I79" s="153">
        <f t="shared" si="18"/>
        <v>451403.49334969587</v>
      </c>
      <c r="J79" s="158">
        <f>(References!$D$61*I79)</f>
        <v>686.13330989153485</v>
      </c>
      <c r="K79" s="158">
        <f>J79/References!$H$64</f>
        <v>700.20748024444822</v>
      </c>
      <c r="L79" s="309">
        <f>VLOOKUP(C79,Mapping!C:N,12,FALSE)</f>
        <v>37.24</v>
      </c>
      <c r="M79" s="157">
        <f>IFERROR((K79/F79*References!$C$11),0)</f>
        <v>0.36708482483004617</v>
      </c>
      <c r="N79" s="168">
        <f t="shared" si="35"/>
        <v>37.607084824830046</v>
      </c>
      <c r="O79" s="118">
        <f>(F79/References!$C$11)*L79</f>
        <v>71034.607808633489</v>
      </c>
      <c r="P79" s="118">
        <f>(F79/References!$C$11)*N79</f>
        <v>71734.81528887793</v>
      </c>
      <c r="Q79" s="118">
        <f t="shared" si="36"/>
        <v>700.20748024444038</v>
      </c>
      <c r="R79" s="161">
        <f>((G79*$E$101)*(References!$D$61/References!$H$64*References!$C$11))-M79</f>
        <v>0</v>
      </c>
      <c r="S79" s="158"/>
      <c r="T79" s="403"/>
    </row>
    <row r="80" spans="1:23">
      <c r="A80" s="456"/>
      <c r="B80" s="301">
        <v>34</v>
      </c>
      <c r="C80" s="123" t="s">
        <v>331</v>
      </c>
      <c r="D80" s="123" t="s">
        <v>332</v>
      </c>
      <c r="E80" s="297" t="str">
        <f>VLOOKUP(C80,Mapping!$C$4:$H$110,6,FALSE)</f>
        <v>95 Gallon Cart WG-R</v>
      </c>
      <c r="F80" s="158">
        <f>SUMIFS(Mapping!M:M,Mapping!A:A,"Commercial",Mapping!C:C,'DF Calculation'!C80)</f>
        <v>14116.4220410014</v>
      </c>
      <c r="G80" s="158">
        <f>VLOOKUP(C80,Mapping!C:L,8,FALSE)</f>
        <v>68</v>
      </c>
      <c r="H80" s="158">
        <f t="shared" si="34"/>
        <v>959916.69878809527</v>
      </c>
      <c r="I80" s="153">
        <f t="shared" si="18"/>
        <v>770916.13868530095</v>
      </c>
      <c r="J80" s="158">
        <f>(References!$D$61*I80)</f>
        <v>1171.7925308016524</v>
      </c>
      <c r="K80" s="158">
        <f>J80/References!$H$64</f>
        <v>1195.8286874187697</v>
      </c>
      <c r="L80" s="309">
        <f>VLOOKUP(C80,Mapping!C:N,12,FALSE)</f>
        <v>37.24</v>
      </c>
      <c r="M80" s="157">
        <f>IFERROR((K80/F80*References!$C$11),0)</f>
        <v>0.36708482483004617</v>
      </c>
      <c r="N80" s="168">
        <f t="shared" si="35"/>
        <v>37.607084824830046</v>
      </c>
      <c r="O80" s="118">
        <f>(F80/References!$C$11)*L80</f>
        <v>121314.35926312896</v>
      </c>
      <c r="P80" s="118">
        <f>(F80/References!$C$11)*N80</f>
        <v>122510.18795054773</v>
      </c>
      <c r="Q80" s="118">
        <f t="shared" si="36"/>
        <v>1195.8286874187615</v>
      </c>
      <c r="R80" s="161">
        <f>((G80*$E$101)*(References!$D$61/References!$H$64*References!$C$11))-M80</f>
        <v>0</v>
      </c>
      <c r="S80" s="158"/>
      <c r="T80" s="403"/>
    </row>
    <row r="81" spans="1:24">
      <c r="A81" s="456"/>
      <c r="B81" s="301">
        <v>34</v>
      </c>
      <c r="C81" s="123" t="s">
        <v>333</v>
      </c>
      <c r="D81" s="123" t="s">
        <v>334</v>
      </c>
      <c r="E81" s="297" t="str">
        <f>VLOOKUP(C81,Mapping!$C$4:$H$110,6,FALSE)</f>
        <v>95 Gallon Cart EOWG-NR</v>
      </c>
      <c r="F81" s="158">
        <f>SUMIFS(Mapping!M:M,Mapping!A:A,"Commercial",Mapping!C:C,'DF Calculation'!C81)</f>
        <v>115.91708413615927</v>
      </c>
      <c r="G81" s="158">
        <f>VLOOKUP(C81,Mapping!C:L,8,FALSE)</f>
        <v>68</v>
      </c>
      <c r="H81" s="158">
        <f t="shared" si="34"/>
        <v>7882.3617212588306</v>
      </c>
      <c r="I81" s="153">
        <f t="shared" si="18"/>
        <v>6330.3824900072068</v>
      </c>
      <c r="J81" s="158">
        <f>(References!$D$61*I81)</f>
        <v>9.6221813848109132</v>
      </c>
      <c r="K81" s="158">
        <f>J81/References!$H$64</f>
        <v>9.8195544288304042</v>
      </c>
      <c r="L81" s="309">
        <f>VLOOKUP(C81,Mapping!C:N,12,FALSE)</f>
        <v>26.81</v>
      </c>
      <c r="M81" s="157">
        <f>IFERROR((K81/F81*References!$C$12),0)</f>
        <v>0.18354241241502306</v>
      </c>
      <c r="N81" s="168">
        <f t="shared" si="35"/>
        <v>26.993542412415021</v>
      </c>
      <c r="O81" s="118">
        <f>(F81/References!$C$12)*L81</f>
        <v>1434.3401657032755</v>
      </c>
      <c r="P81" s="118">
        <f>(F81/References!$C$12)*N81</f>
        <v>1444.159720132106</v>
      </c>
      <c r="Q81" s="118">
        <f t="shared" si="36"/>
        <v>9.8195544288305427</v>
      </c>
      <c r="R81" s="161">
        <f>((G81*$E$101)*(References!$D$61/References!$H$64*References!$C$12))-M81</f>
        <v>0</v>
      </c>
      <c r="S81" s="158"/>
    </row>
    <row r="82" spans="1:24">
      <c r="A82" s="456"/>
      <c r="B82" s="301">
        <v>34</v>
      </c>
      <c r="C82" s="123" t="s">
        <v>335</v>
      </c>
      <c r="D82" s="123" t="s">
        <v>336</v>
      </c>
      <c r="E82" s="297" t="str">
        <f>VLOOKUP(C82,Mapping!$C$4:$H$110,6,FALSE)</f>
        <v>95 Gallon Cart EOWG-R</v>
      </c>
      <c r="F82" s="158">
        <f>SUMIFS(Mapping!M:M,Mapping!A:A,"Commercial",Mapping!C:C,'DF Calculation'!C82)</f>
        <v>414.91707074474692</v>
      </c>
      <c r="G82" s="158">
        <f>VLOOKUP(C82,Mapping!C:L,8,FALSE)</f>
        <v>68</v>
      </c>
      <c r="H82" s="158">
        <f t="shared" si="34"/>
        <v>28214.360810642789</v>
      </c>
      <c r="I82" s="153">
        <f t="shared" si="18"/>
        <v>22659.160028235117</v>
      </c>
      <c r="J82" s="158">
        <f>(References!$D$61*I82)</f>
        <v>34.441923242917234</v>
      </c>
      <c r="K82" s="158">
        <f>J82/References!$H$64</f>
        <v>35.148406207691842</v>
      </c>
      <c r="L82" s="309">
        <f>VLOOKUP(C82,Mapping!C:N,12,FALSE)</f>
        <v>26.81</v>
      </c>
      <c r="M82" s="157">
        <f>IFERROR((K82/F82*References!$C$12),0)</f>
        <v>0.18354241241502309</v>
      </c>
      <c r="N82" s="168">
        <f t="shared" si="35"/>
        <v>26.993542412415021</v>
      </c>
      <c r="O82" s="118">
        <f>(F82/References!$C$12)*L82</f>
        <v>5134.12</v>
      </c>
      <c r="P82" s="118">
        <f>(F82/References!$C$12)*N82</f>
        <v>5169.2684062076914</v>
      </c>
      <c r="Q82" s="118">
        <f t="shared" si="36"/>
        <v>35.148406207691551</v>
      </c>
      <c r="R82" s="161">
        <f>((G82*$E$101)*(References!$D$61/References!$H$64*References!$C$12))-M82</f>
        <v>0</v>
      </c>
      <c r="S82" s="158"/>
    </row>
    <row r="83" spans="1:24" ht="13.5" customHeight="1">
      <c r="A83" s="456"/>
      <c r="B83" s="301">
        <v>34</v>
      </c>
      <c r="C83" s="123" t="s">
        <v>337</v>
      </c>
      <c r="D83" s="123" t="s">
        <v>338</v>
      </c>
      <c r="E83" s="297" t="str">
        <f>VLOOKUP(C83,Mapping!$C$4:$H$110,6,FALSE)</f>
        <v>65 Gallon Cart Regular</v>
      </c>
      <c r="F83" s="158">
        <f>SUMIFS(Mapping!M:M,Mapping!A:A,"Commercial",Mapping!C:C,'DF Calculation'!C83)</f>
        <v>5188.1151515151514</v>
      </c>
      <c r="G83" s="158">
        <f>VLOOKUP(C83,Mapping!C:L,8,FALSE)</f>
        <v>47</v>
      </c>
      <c r="H83" s="158">
        <f>F83*G83</f>
        <v>243841.41212121211</v>
      </c>
      <c r="I83" s="153">
        <f t="shared" si="18"/>
        <v>195830.82586372783</v>
      </c>
      <c r="J83" s="158">
        <f>(References!$D$61*I83)</f>
        <v>297.66285531286508</v>
      </c>
      <c r="K83" s="158">
        <f>J83/References!$H$64</f>
        <v>303.76860425846013</v>
      </c>
      <c r="L83" s="309">
        <f>VLOOKUP(C83,Mapping!C:N,12,FALSE)</f>
        <v>6.74</v>
      </c>
      <c r="M83" s="157">
        <f>IFERROR((K83/F83),0)</f>
        <v>5.8550860069045828E-2</v>
      </c>
      <c r="N83" s="168">
        <f>M83+L83</f>
        <v>6.7985508600690459</v>
      </c>
      <c r="O83" s="118">
        <f>F83*L83</f>
        <v>34967.896121212121</v>
      </c>
      <c r="P83" s="118">
        <f>F83*N83</f>
        <v>35271.664725470582</v>
      </c>
      <c r="Q83" s="118">
        <f>P83-O83</f>
        <v>303.76860425846098</v>
      </c>
      <c r="R83" s="161">
        <f>((G83*$E$101)*(References!$D$61/References!$H$64))-M83</f>
        <v>0</v>
      </c>
      <c r="S83" s="158"/>
    </row>
    <row r="84" spans="1:24">
      <c r="A84" s="456"/>
      <c r="B84" s="301">
        <v>34</v>
      </c>
      <c r="C84" s="123" t="s">
        <v>341</v>
      </c>
      <c r="D84" s="123" t="s">
        <v>342</v>
      </c>
      <c r="E84" s="297" t="str">
        <f>VLOOKUP(C84,Mapping!$C$4:$H$110,6,FALSE)</f>
        <v>35 Gallon Cart Regular</v>
      </c>
      <c r="F84" s="158">
        <f>SUMIFS(Mapping!M:M,Mapping!A:A,"Commercial",Mapping!C:C,'DF Calculation'!C84)</f>
        <v>47248.005988023957</v>
      </c>
      <c r="G84" s="158">
        <f>VLOOKUP(C84,Mapping!C:L,8,FALSE)</f>
        <v>34</v>
      </c>
      <c r="H84" s="158">
        <f>F84*G84</f>
        <v>1606432.2035928145</v>
      </c>
      <c r="I84" s="153">
        <f t="shared" si="18"/>
        <v>1290137.480697039</v>
      </c>
      <c r="J84" s="158">
        <f>(References!$D$61*I84)</f>
        <v>1961.0089706594911</v>
      </c>
      <c r="K84" s="158">
        <f>J84/References!$H$64</f>
        <v>2001.2337694249322</v>
      </c>
      <c r="L84" s="309">
        <f>VLOOKUP(C84,Mapping!C:N,12,FALSE)</f>
        <v>3.34</v>
      </c>
      <c r="M84" s="157">
        <f>IFERROR((K84/F84),0)</f>
        <v>4.2355941326543786E-2</v>
      </c>
      <c r="N84" s="168">
        <f>M84+L84</f>
        <v>3.3823559413265438</v>
      </c>
      <c r="O84" s="118">
        <f>F84*L84</f>
        <v>157808.34</v>
      </c>
      <c r="P84" s="118">
        <f>F84*N84</f>
        <v>159809.57376942495</v>
      </c>
      <c r="Q84" s="118">
        <f>P84-O84</f>
        <v>2001.2337694249582</v>
      </c>
      <c r="R84" s="161">
        <f>((G84*$E$101)*(References!$D$61/References!$H$64))-M84</f>
        <v>0</v>
      </c>
      <c r="S84" s="158"/>
      <c r="T84" s="190"/>
    </row>
    <row r="85" spans="1:24">
      <c r="A85" s="456"/>
      <c r="B85" s="301">
        <v>34</v>
      </c>
      <c r="C85" s="123" t="s">
        <v>343</v>
      </c>
      <c r="D85" s="123" t="s">
        <v>344</v>
      </c>
      <c r="E85" s="297" t="str">
        <f>VLOOKUP(C85,Mapping!$C$4:$H$110,6,FALSE)</f>
        <v>35 Gallon Cart Regular</v>
      </c>
      <c r="F85" s="158">
        <f>SUMIFS(Mapping!M:M,Mapping!A:A,"Commercial",Mapping!C:C,'DF Calculation'!C85)</f>
        <v>207.84074848746758</v>
      </c>
      <c r="G85" s="158">
        <f>VLOOKUP(C85,Mapping!C:L,8,FALSE)</f>
        <v>136</v>
      </c>
      <c r="H85" s="158">
        <f>F85*G85</f>
        <v>28266.341794295589</v>
      </c>
      <c r="I85" s="153">
        <f t="shared" si="18"/>
        <v>22700.906337319302</v>
      </c>
      <c r="J85" s="158">
        <f>(References!$D$61*I85)</f>
        <v>34.505377632725192</v>
      </c>
      <c r="K85" s="158">
        <f>J85/References!$H$64</f>
        <v>35.213162192800482</v>
      </c>
      <c r="L85" s="309">
        <f>VLOOKUP(C85,Mapping!C:N,12,FALSE)</f>
        <v>57.85</v>
      </c>
      <c r="M85" s="157">
        <f>IFERROR((K85/F85),0)</f>
        <v>0.16942376530617514</v>
      </c>
      <c r="N85" s="168">
        <f>M85+L85</f>
        <v>58.019423765306179</v>
      </c>
      <c r="O85" s="118">
        <f>F85*L85</f>
        <v>12023.587299999999</v>
      </c>
      <c r="P85" s="118">
        <f>F85*N85</f>
        <v>12058.800462192801</v>
      </c>
      <c r="Q85" s="118">
        <f>P85-O85</f>
        <v>35.213162192801974</v>
      </c>
      <c r="R85" s="161">
        <f>((G85*$E$101)*(References!$D$61/References!$H$64))-M85</f>
        <v>0</v>
      </c>
      <c r="S85" s="30"/>
      <c r="T85" s="403"/>
      <c r="V85" s="161"/>
      <c r="W85" s="161"/>
    </row>
    <row r="86" spans="1:24">
      <c r="A86" s="456"/>
      <c r="B86" s="301">
        <v>34</v>
      </c>
      <c r="C86" s="123" t="s">
        <v>339</v>
      </c>
      <c r="D86" s="123" t="s">
        <v>340</v>
      </c>
      <c r="E86" s="297" t="str">
        <f>VLOOKUP(C86,Mapping!$C$4:$H$110,6,FALSE)</f>
        <v>95 Gallon Cart Regular</v>
      </c>
      <c r="F86" s="158">
        <f>SUMIFS(Mapping!M:M,Mapping!A:A,"Commercial",Mapping!C:C,'DF Calculation'!C86)</f>
        <v>3258</v>
      </c>
      <c r="G86" s="158">
        <f>VLOOKUP(C86,Mapping!C:L,8,FALSE)</f>
        <v>68</v>
      </c>
      <c r="H86" s="158">
        <f t="shared" si="34"/>
        <v>221544</v>
      </c>
      <c r="I86" s="153">
        <f t="shared" si="18"/>
        <v>177923.61070968219</v>
      </c>
      <c r="J86" s="158">
        <f>(References!$D$61*I86)</f>
        <v>270.4438882787158</v>
      </c>
      <c r="K86" s="158">
        <f>J86/References!$H$64</f>
        <v>275.99131368375936</v>
      </c>
      <c r="L86" s="309">
        <f>VLOOKUP(C86,Mapping!C:N,12,FALSE)</f>
        <v>8.6</v>
      </c>
      <c r="M86" s="157">
        <f t="shared" ref="M86:M91" si="41">IFERROR((K86/F86),0)</f>
        <v>8.4711882653087586E-2</v>
      </c>
      <c r="N86" s="168">
        <f t="shared" si="35"/>
        <v>8.6847118826530867</v>
      </c>
      <c r="O86" s="118">
        <f t="shared" ref="O86" si="42">F86*L86</f>
        <v>28018.799999999999</v>
      </c>
      <c r="P86" s="118">
        <f t="shared" ref="P86" si="43">F86*N86</f>
        <v>28294.791313683756</v>
      </c>
      <c r="Q86" s="118">
        <f t="shared" si="36"/>
        <v>275.99131368375674</v>
      </c>
      <c r="R86" s="161">
        <f>((G86*$E$101)*(References!$D$61/References!$H$64))-M86</f>
        <v>0</v>
      </c>
      <c r="S86" s="158"/>
    </row>
    <row r="87" spans="1:24">
      <c r="A87" s="456"/>
      <c r="B87" s="301">
        <v>35</v>
      </c>
      <c r="C87" s="123" t="s">
        <v>293</v>
      </c>
      <c r="D87" s="123" t="s">
        <v>294</v>
      </c>
      <c r="E87" s="297" t="str">
        <f>VLOOKUP(C87,Mapping!$C$4:$H$110,6,FALSE)</f>
        <v>2 yard Compacted</v>
      </c>
      <c r="F87" s="158">
        <f>SUMIFS(Mapping!M:M,Mapping!A:A,"Commercial",Mapping!C:C,'DF Calculation'!C87)</f>
        <v>52</v>
      </c>
      <c r="G87" s="158">
        <f>VLOOKUP(C87,Mapping!C:L,8,FALSE)</f>
        <v>972</v>
      </c>
      <c r="H87" s="158">
        <f t="shared" si="34"/>
        <v>50544</v>
      </c>
      <c r="I87" s="153">
        <f t="shared" si="18"/>
        <v>40592.256976989564</v>
      </c>
      <c r="J87" s="158">
        <f>(References!$D$61*I87)</f>
        <v>61.700230605023876</v>
      </c>
      <c r="K87" s="158">
        <f>J87/References!$H$64</f>
        <v>62.965844070847922</v>
      </c>
      <c r="L87" s="314">
        <v>103.21</v>
      </c>
      <c r="M87" s="157">
        <f>IFERROR((K87/F87),0)</f>
        <v>1.2108816167470755</v>
      </c>
      <c r="N87" s="168">
        <f t="shared" si="35"/>
        <v>104.42088161674707</v>
      </c>
      <c r="O87" s="118">
        <f>F87*L87</f>
        <v>5366.92</v>
      </c>
      <c r="P87" s="118">
        <f>F87*N87</f>
        <v>5429.8858440708473</v>
      </c>
      <c r="Q87" s="118">
        <f t="shared" si="36"/>
        <v>62.965844070847197</v>
      </c>
      <c r="R87" s="161">
        <f>((G87*$E$101)*(References!$D$61/References!$H$64))-M87</f>
        <v>0</v>
      </c>
      <c r="S87" s="190"/>
      <c r="V87" s="161"/>
      <c r="W87" s="161"/>
      <c r="X87" s="161"/>
    </row>
    <row r="88" spans="1:24">
      <c r="A88" s="456"/>
      <c r="B88" s="301">
        <v>35</v>
      </c>
      <c r="C88" s="123" t="s">
        <v>297</v>
      </c>
      <c r="D88" s="123" t="s">
        <v>298</v>
      </c>
      <c r="E88" s="297" t="str">
        <f>VLOOKUP(C88,Mapping!$C$4:$H$110,6,FALSE)</f>
        <v>3 yard Compacted</v>
      </c>
      <c r="F88" s="158">
        <f>SUMIFS(Mapping!M:M,Mapping!A:A,"Commercial",Mapping!C:C,'DF Calculation'!C88)</f>
        <v>104</v>
      </c>
      <c r="G88" s="158">
        <f>VLOOKUP(C88,Mapping!C:L,8,FALSE)</f>
        <v>1419</v>
      </c>
      <c r="H88" s="158">
        <f t="shared" si="34"/>
        <v>147576</v>
      </c>
      <c r="I88" s="153">
        <f t="shared" si="18"/>
        <v>118519.36759330904</v>
      </c>
      <c r="J88" s="158">
        <f>(References!$D$61*I88)</f>
        <v>180.14943874182899</v>
      </c>
      <c r="K88" s="158">
        <f>J88/References!$H$64</f>
        <v>183.84471756488313</v>
      </c>
      <c r="L88" s="314">
        <v>144.97999999999999</v>
      </c>
      <c r="M88" s="157">
        <f t="shared" si="41"/>
        <v>1.767737668893107</v>
      </c>
      <c r="N88" s="168">
        <f t="shared" si="35"/>
        <v>146.74773766889311</v>
      </c>
      <c r="O88" s="118">
        <f t="shared" ref="O88:O91" si="44">F88*L88</f>
        <v>15077.919999999998</v>
      </c>
      <c r="P88" s="118">
        <f t="shared" ref="P88:P91" si="45">F88*N88</f>
        <v>15261.764717564884</v>
      </c>
      <c r="Q88" s="118">
        <f t="shared" si="36"/>
        <v>183.84471756488529</v>
      </c>
      <c r="R88" s="161">
        <f>((G88*$E$101)*(References!$D$61/References!$H$64))-M88</f>
        <v>0</v>
      </c>
      <c r="S88" s="190"/>
      <c r="V88" s="161"/>
      <c r="W88" s="161"/>
      <c r="X88" s="161"/>
    </row>
    <row r="89" spans="1:24">
      <c r="A89" s="456"/>
      <c r="B89" s="301">
        <v>35</v>
      </c>
      <c r="C89" s="123" t="s">
        <v>299</v>
      </c>
      <c r="D89" s="123" t="s">
        <v>300</v>
      </c>
      <c r="E89" s="297" t="str">
        <f>VLOOKUP(C89,Mapping!$C$4:$H$110,6,FALSE)</f>
        <v>4 yard Compacted</v>
      </c>
      <c r="F89" s="158">
        <f>SUMIFS(Mapping!M:M,Mapping!A:A,"Commercial",Mapping!C:C,'DF Calculation'!C89)</f>
        <v>104</v>
      </c>
      <c r="G89" s="158">
        <f>VLOOKUP(C89,Mapping!C:L,8,FALSE)</f>
        <v>1839</v>
      </c>
      <c r="H89" s="158">
        <f t="shared" si="34"/>
        <v>191256</v>
      </c>
      <c r="I89" s="153">
        <f t="shared" si="18"/>
        <v>153599.09584502841</v>
      </c>
      <c r="J89" s="158">
        <f>(References!$D$61*I89)</f>
        <v>233.47062568444218</v>
      </c>
      <c r="K89" s="158">
        <f>J89/References!$H$64</f>
        <v>238.25964453968996</v>
      </c>
      <c r="L89" s="314">
        <v>190.99</v>
      </c>
      <c r="M89" s="157">
        <f t="shared" si="41"/>
        <v>2.2909581205739418</v>
      </c>
      <c r="N89" s="168">
        <f t="shared" si="35"/>
        <v>193.28095812057396</v>
      </c>
      <c r="O89" s="118">
        <f t="shared" si="44"/>
        <v>19862.96</v>
      </c>
      <c r="P89" s="118">
        <f t="shared" si="45"/>
        <v>20101.219644539691</v>
      </c>
      <c r="Q89" s="118">
        <f t="shared" si="36"/>
        <v>238.25964453969209</v>
      </c>
      <c r="R89" s="161">
        <f>((G89*$E$101)*(References!$D$61/References!$H$64))-M89</f>
        <v>0</v>
      </c>
      <c r="S89" s="190"/>
      <c r="V89" s="161"/>
      <c r="W89" s="161"/>
      <c r="X89" s="161"/>
    </row>
    <row r="90" spans="1:24">
      <c r="A90" s="456"/>
      <c r="B90" s="301">
        <v>35</v>
      </c>
      <c r="C90" s="123" t="s">
        <v>301</v>
      </c>
      <c r="D90" s="123" t="s">
        <v>302</v>
      </c>
      <c r="E90" s="297" t="str">
        <f>VLOOKUP(C90,Mapping!$C$4:$H$110,6,FALSE)</f>
        <v>4 yard Compacted</v>
      </c>
      <c r="F90" s="158">
        <f>SUMIFS(Mapping!M:M,Mapping!A:A,"Commercial",Mapping!C:C,'DF Calculation'!C90)</f>
        <v>208</v>
      </c>
      <c r="G90" s="158">
        <f>VLOOKUP(C90,Mapping!C:L,8,FALSE)</f>
        <v>1839</v>
      </c>
      <c r="H90" s="158">
        <f t="shared" ref="H90" si="46">F90*G90</f>
        <v>382512</v>
      </c>
      <c r="I90" s="153">
        <f t="shared" si="18"/>
        <v>307198.19169005682</v>
      </c>
      <c r="J90" s="158">
        <f>(References!$D$61*I90)</f>
        <v>466.94125136888437</v>
      </c>
      <c r="K90" s="158">
        <f>J90/References!$H$64</f>
        <v>476.51928907937992</v>
      </c>
      <c r="L90" s="314">
        <v>190.99</v>
      </c>
      <c r="M90" s="157">
        <f t="shared" ref="M90" si="47">IFERROR((K90/F90),0)</f>
        <v>2.2909581205739418</v>
      </c>
      <c r="N90" s="168">
        <f t="shared" ref="N90" si="48">M90+L90</f>
        <v>193.28095812057396</v>
      </c>
      <c r="O90" s="118">
        <f t="shared" si="44"/>
        <v>39725.919999999998</v>
      </c>
      <c r="P90" s="118">
        <f t="shared" si="45"/>
        <v>40202.439289079382</v>
      </c>
      <c r="Q90" s="118">
        <f t="shared" ref="Q90" si="49">P90-O90</f>
        <v>476.51928907938418</v>
      </c>
      <c r="R90" s="161">
        <f>((G90*$E$101)*(References!$D$61/References!$H$64))-M90</f>
        <v>0</v>
      </c>
      <c r="S90" s="190"/>
      <c r="V90" s="161"/>
      <c r="W90" s="161"/>
      <c r="X90" s="161"/>
    </row>
    <row r="91" spans="1:24" ht="15.75" thickBot="1">
      <c r="A91" s="463"/>
      <c r="B91" s="301">
        <v>35</v>
      </c>
      <c r="C91" s="123" t="s">
        <v>653</v>
      </c>
      <c r="D91" s="123" t="s">
        <v>968</v>
      </c>
      <c r="E91" s="297" t="str">
        <f>VLOOKUP(C91,Mapping!$C$4:$H$1011,6,FALSE)</f>
        <v>6 yard Compacted</v>
      </c>
      <c r="F91" s="158">
        <f>SUMIFS(Mapping!M:M,Mapping!A:A,"Commercial",Mapping!C:C,'DF Calculation'!C91)</f>
        <v>104</v>
      </c>
      <c r="G91" s="158">
        <f>VLOOKUP(C91,Mapping!C:L,8,FALSE)</f>
        <v>2520</v>
      </c>
      <c r="H91" s="158">
        <f t="shared" si="34"/>
        <v>262080</v>
      </c>
      <c r="I91" s="153">
        <f t="shared" si="18"/>
        <v>210478.36951031626</v>
      </c>
      <c r="J91" s="158">
        <f>(References!$D$61*I91)</f>
        <v>319.92712165567934</v>
      </c>
      <c r="K91" s="158">
        <f>J91/References!$H$64</f>
        <v>326.48956184884105</v>
      </c>
      <c r="L91" s="314">
        <v>262.14</v>
      </c>
      <c r="M91" s="157">
        <f t="shared" si="41"/>
        <v>3.1393227100850103</v>
      </c>
      <c r="N91" s="168">
        <f t="shared" si="35"/>
        <v>265.27932271008501</v>
      </c>
      <c r="O91" s="118">
        <f t="shared" si="44"/>
        <v>27262.559999999998</v>
      </c>
      <c r="P91" s="118">
        <f t="shared" si="45"/>
        <v>27589.049561848842</v>
      </c>
      <c r="Q91" s="118">
        <f t="shared" si="36"/>
        <v>326.48956184884446</v>
      </c>
      <c r="R91" s="161">
        <f>((G91*$E$101)*(References!$D$61/References!$H$64))-M91</f>
        <v>0</v>
      </c>
      <c r="S91" s="401"/>
      <c r="V91" s="161"/>
      <c r="W91" s="161"/>
      <c r="X91" s="161"/>
    </row>
    <row r="92" spans="1:24">
      <c r="A92" s="129"/>
      <c r="B92" s="146"/>
      <c r="C92" s="146"/>
      <c r="D92" s="146"/>
      <c r="E92" s="147"/>
      <c r="F92" s="150">
        <f>SUM(F44:F91)</f>
        <v>296766.23355530429</v>
      </c>
      <c r="G92" s="149"/>
      <c r="H92" s="150">
        <f>SUM(H44:H91)</f>
        <v>68589828.50491406</v>
      </c>
      <c r="I92" s="150">
        <f>SUM(I44:I91)</f>
        <v>55084994.157152481</v>
      </c>
      <c r="J92" s="150">
        <f>SUM(J44:J91)</f>
        <v>83729.191118871429</v>
      </c>
      <c r="K92" s="150">
        <f>SUM(K44:K91)</f>
        <v>85446.669169171786</v>
      </c>
      <c r="L92" s="148"/>
      <c r="M92" s="148"/>
      <c r="N92" s="160"/>
      <c r="O92" s="150">
        <f>SUM(O44:O91)</f>
        <v>8041751.0910789324</v>
      </c>
      <c r="P92" s="150">
        <f>SUM(P44:P91)</f>
        <v>8127271.1276205247</v>
      </c>
      <c r="Q92" s="150">
        <f>SUM(Q44:Q91)</f>
        <v>85520.036541590962</v>
      </c>
      <c r="R92" s="84">
        <f>Q92/O92</f>
        <v>1.0634504298008191E-2</v>
      </c>
    </row>
    <row r="93" spans="1:24">
      <c r="A93" s="129"/>
      <c r="B93" s="104"/>
      <c r="C93" s="104"/>
      <c r="D93" s="104"/>
      <c r="E93" s="46" t="s">
        <v>1</v>
      </c>
      <c r="F93" s="47">
        <f>F92+F43+F37</f>
        <v>2902488.022512076</v>
      </c>
      <c r="G93" s="48"/>
      <c r="H93" s="133">
        <f>H92+H43+H37</f>
        <v>200774168.85057288</v>
      </c>
      <c r="I93" s="133">
        <f>I92+I43+I37</f>
        <v>161541540</v>
      </c>
      <c r="J93" s="133">
        <f>J92+J43+J37</f>
        <v>226646.54879999906</v>
      </c>
      <c r="K93" s="133">
        <f>K92+K43+K37</f>
        <v>231295.59016226046</v>
      </c>
      <c r="L93" s="47"/>
      <c r="M93" s="47"/>
      <c r="N93" s="155"/>
      <c r="O93" s="47">
        <f>O92+O43+O37</f>
        <v>25424969.09725773</v>
      </c>
      <c r="P93" s="47">
        <f>P92+P43+P37</f>
        <v>25656396.889267214</v>
      </c>
      <c r="Q93" s="145">
        <f>Q92+Q43+Q37</f>
        <v>231427.79200948018</v>
      </c>
      <c r="R93" s="84">
        <f>Q93/O93</f>
        <v>9.1023824306021035E-3</v>
      </c>
    </row>
    <row r="94" spans="1:24" ht="18.75" customHeight="1">
      <c r="F94" s="34"/>
      <c r="H94" s="63"/>
      <c r="J94" s="49"/>
      <c r="K94" s="38"/>
    </row>
    <row r="95" spans="1:24">
      <c r="F95" s="65"/>
      <c r="J95" s="49"/>
      <c r="O95" s="38"/>
      <c r="P95" s="38"/>
    </row>
    <row r="96" spans="1:24">
      <c r="A96" s="130"/>
      <c r="B96" s="44"/>
      <c r="C96" s="154"/>
      <c r="D96" s="44"/>
      <c r="E96" s="61"/>
      <c r="F96" s="63"/>
      <c r="G96" s="62"/>
      <c r="H96" s="62"/>
      <c r="I96" s="43"/>
      <c r="J96" s="116"/>
      <c r="K96" s="116"/>
      <c r="L96" s="116"/>
      <c r="M96" s="116"/>
      <c r="N96" s="157"/>
      <c r="O96" s="117"/>
      <c r="P96" s="117"/>
      <c r="Q96" s="105"/>
    </row>
    <row r="97" spans="1:19" ht="15" customHeight="1">
      <c r="B97" s="460" t="s">
        <v>78</v>
      </c>
      <c r="C97" s="461"/>
      <c r="D97" s="461"/>
      <c r="E97" s="462"/>
      <c r="F97" s="57"/>
      <c r="H97" s="81"/>
      <c r="I97" s="103"/>
      <c r="J97" s="460" t="s">
        <v>160</v>
      </c>
      <c r="K97" s="461"/>
      <c r="L97" s="462"/>
      <c r="O97" s="116"/>
      <c r="P97" s="116"/>
      <c r="Q97" s="64"/>
      <c r="R97" s="117"/>
    </row>
    <row r="98" spans="1:19" s="173" customFormat="1" ht="25.5" customHeight="1">
      <c r="A98" s="171"/>
      <c r="B98" s="172"/>
      <c r="C98" s="172"/>
      <c r="D98" s="172"/>
      <c r="E98" s="126" t="s">
        <v>13</v>
      </c>
      <c r="F98" s="171"/>
      <c r="G98" s="172"/>
      <c r="I98" s="174"/>
      <c r="J98" s="179" t="s">
        <v>161</v>
      </c>
      <c r="K98" s="178" t="s">
        <v>7</v>
      </c>
      <c r="L98" s="178" t="s">
        <v>102</v>
      </c>
      <c r="M98" s="172"/>
      <c r="O98" s="175"/>
      <c r="P98" s="175"/>
      <c r="Q98" s="176"/>
      <c r="S98" s="177"/>
    </row>
    <row r="99" spans="1:19">
      <c r="B99" s="102" t="s">
        <v>958</v>
      </c>
      <c r="C99" s="102"/>
      <c r="D99" s="102"/>
      <c r="E99" s="382">
        <f>References!C66</f>
        <v>75044.530000000013</v>
      </c>
      <c r="F99" s="383"/>
      <c r="G99" s="40"/>
      <c r="H99" s="58"/>
      <c r="I99" s="135" t="s">
        <v>112</v>
      </c>
      <c r="J99" s="118">
        <f>O37</f>
        <v>15835095.998636229</v>
      </c>
      <c r="K99" s="134">
        <f>(L99-J99)/J99</f>
        <v>9.3101498751946427E-3</v>
      </c>
      <c r="L99" s="118">
        <f>P37</f>
        <v>15982523.115671627</v>
      </c>
      <c r="O99" s="116"/>
      <c r="P99" s="116"/>
      <c r="Q99" s="64"/>
      <c r="R99" s="117"/>
    </row>
    <row r="100" spans="1:19">
      <c r="B100" s="102" t="s">
        <v>27</v>
      </c>
      <c r="C100" s="102"/>
      <c r="D100" s="102"/>
      <c r="E100" s="34">
        <f>E99*References!$H$20</f>
        <v>150089060.00000003</v>
      </c>
      <c r="F100" s="34"/>
      <c r="G100" s="34"/>
      <c r="H100" s="82"/>
      <c r="I100" s="135" t="s">
        <v>369</v>
      </c>
      <c r="J100" s="118">
        <f>O43</f>
        <v>1548122.0075425678</v>
      </c>
      <c r="K100" s="134">
        <f>(L100-J100)/J100</f>
        <v>-9.8142236858875112E-4</v>
      </c>
      <c r="L100" s="118">
        <f>P43</f>
        <v>1546602.645975061</v>
      </c>
      <c r="O100" s="116"/>
      <c r="P100" s="116"/>
      <c r="Q100" s="64"/>
      <c r="R100" s="117"/>
    </row>
    <row r="101" spans="1:19">
      <c r="B101" s="106" t="s">
        <v>9</v>
      </c>
      <c r="C101" s="106"/>
      <c r="D101" s="106"/>
      <c r="E101" s="138">
        <f>E100/(H93-H43)</f>
        <v>0.80310733177013227</v>
      </c>
      <c r="F101" s="50"/>
      <c r="G101" s="50"/>
      <c r="H101" s="83"/>
      <c r="I101" s="135" t="s">
        <v>162</v>
      </c>
      <c r="J101" s="118">
        <f>O92</f>
        <v>8041751.0910789324</v>
      </c>
      <c r="K101" s="134">
        <f t="shared" ref="K101" si="50">(L101-J101)/J101</f>
        <v>1.0634504298008361E-2</v>
      </c>
      <c r="L101" s="118">
        <f>P92</f>
        <v>8127271.1276205247</v>
      </c>
      <c r="O101" s="116"/>
      <c r="P101" s="116"/>
      <c r="Q101" s="64"/>
      <c r="R101" s="117"/>
    </row>
    <row r="102" spans="1:19">
      <c r="F102" s="33"/>
      <c r="G102" s="33"/>
      <c r="H102" s="84"/>
      <c r="I102" s="135" t="s">
        <v>13</v>
      </c>
      <c r="J102" s="136">
        <f>SUM(J99:J101)</f>
        <v>25424969.09725773</v>
      </c>
      <c r="K102" s="84">
        <f>(L102-J102)/J102</f>
        <v>9.1023824306022544E-3</v>
      </c>
      <c r="L102" s="136">
        <f>SUM(L99:L101)</f>
        <v>25656396.889267214</v>
      </c>
      <c r="N102" s="152"/>
      <c r="O102" s="116"/>
      <c r="P102" s="116"/>
      <c r="Q102" s="64"/>
      <c r="R102" s="117"/>
    </row>
    <row r="103" spans="1:19">
      <c r="B103" s="102" t="s">
        <v>958</v>
      </c>
      <c r="C103" s="102"/>
      <c r="D103" s="102"/>
      <c r="E103" s="382">
        <f>References!C78</f>
        <v>5726.24</v>
      </c>
      <c r="G103" s="39"/>
      <c r="H103" s="30"/>
      <c r="I103" s="103"/>
      <c r="J103" s="107"/>
      <c r="L103" s="38"/>
      <c r="N103" s="118"/>
      <c r="O103" s="116"/>
      <c r="P103" s="116"/>
      <c r="Q103" s="64"/>
      <c r="R103" s="117"/>
    </row>
    <row r="104" spans="1:19" ht="15" customHeight="1">
      <c r="B104" s="102" t="s">
        <v>27</v>
      </c>
      <c r="C104" s="102"/>
      <c r="D104" s="102"/>
      <c r="E104" s="34">
        <f>E103*References!$H$20</f>
        <v>11452480</v>
      </c>
      <c r="F104" s="32"/>
      <c r="G104" s="39"/>
      <c r="H104" s="30"/>
      <c r="I104" s="135" t="s">
        <v>959</v>
      </c>
      <c r="J104" s="382">
        <f>'Disposal Schedule'!G130</f>
        <v>18500.490000000002</v>
      </c>
      <c r="K104" s="384">
        <f>J104*References!C61</f>
        <v>56241.489599999855</v>
      </c>
      <c r="L104" s="137"/>
      <c r="N104" s="118"/>
      <c r="O104" s="116"/>
      <c r="P104" s="116"/>
      <c r="Q104" s="64"/>
      <c r="R104" s="117"/>
    </row>
    <row r="105" spans="1:19">
      <c r="B105" s="106" t="s">
        <v>9</v>
      </c>
      <c r="C105" s="106"/>
      <c r="D105" s="106"/>
      <c r="E105" s="138">
        <f>E104/H43</f>
        <v>0.82458753923149875</v>
      </c>
      <c r="F105" s="32"/>
      <c r="G105" s="39"/>
      <c r="H105" s="31"/>
      <c r="I105" s="135" t="s">
        <v>960</v>
      </c>
      <c r="J105" s="382">
        <f>'Disposal Schedule'!G132</f>
        <v>1402.1599999999999</v>
      </c>
      <c r="K105" s="384">
        <f>J105*References!C73</f>
        <v>-364.56160000000716</v>
      </c>
      <c r="L105" s="38"/>
      <c r="N105" s="118"/>
      <c r="O105" s="116"/>
      <c r="P105" s="116"/>
      <c r="Q105" s="64"/>
      <c r="R105" s="117"/>
    </row>
    <row r="106" spans="1:19">
      <c r="F106" s="102"/>
      <c r="I106" s="135"/>
      <c r="J106" s="164"/>
      <c r="O106" s="116"/>
      <c r="P106" s="116"/>
      <c r="Q106" s="64"/>
      <c r="R106" s="117"/>
    </row>
    <row r="107" spans="1:19" ht="16.5" thickBot="1">
      <c r="B107" s="187" t="s">
        <v>171</v>
      </c>
      <c r="C107" s="187"/>
      <c r="F107" s="102"/>
      <c r="I107" s="102"/>
      <c r="O107" s="116"/>
      <c r="P107" s="116"/>
      <c r="Q107" s="64"/>
      <c r="R107" s="117"/>
    </row>
    <row r="108" spans="1:19" ht="45.75" hidden="1" thickBot="1">
      <c r="A108" s="163"/>
      <c r="B108" s="119" t="s">
        <v>12</v>
      </c>
      <c r="C108" s="119"/>
      <c r="D108" s="119" t="s">
        <v>111</v>
      </c>
      <c r="E108" s="119" t="s">
        <v>136</v>
      </c>
      <c r="F108" s="119" t="s">
        <v>137</v>
      </c>
      <c r="G108" s="119" t="s">
        <v>8</v>
      </c>
      <c r="H108" s="119" t="s">
        <v>28</v>
      </c>
      <c r="I108" s="120" t="s">
        <v>29</v>
      </c>
      <c r="J108" s="119" t="s">
        <v>7</v>
      </c>
      <c r="K108" s="119" t="s">
        <v>0</v>
      </c>
      <c r="L108" s="170" t="s">
        <v>30</v>
      </c>
      <c r="M108" s="119" t="s">
        <v>32</v>
      </c>
      <c r="N108" s="169" t="s">
        <v>101</v>
      </c>
      <c r="O108" s="119" t="s">
        <v>31</v>
      </c>
      <c r="P108" s="119" t="s">
        <v>102</v>
      </c>
      <c r="Q108" s="121" t="s">
        <v>33</v>
      </c>
      <c r="R108" s="117"/>
    </row>
    <row r="109" spans="1:19">
      <c r="A109" s="457" t="s">
        <v>112</v>
      </c>
      <c r="B109" s="154">
        <v>21</v>
      </c>
      <c r="C109" s="123" t="s">
        <v>179</v>
      </c>
      <c r="D109" s="123" t="s">
        <v>180</v>
      </c>
      <c r="E109" s="297" t="str">
        <f>VLOOKUP(C109,Mapping!$C$4:$H$110,6,FALSE)</f>
        <v>20 Gallon Cart WG-NR</v>
      </c>
      <c r="F109" s="158">
        <f>SUMIFS(Mapping!M:M,Mapping!A:A,"Residential",Mapping!C:C,'DF Calculation'!C109)</f>
        <v>52</v>
      </c>
      <c r="G109" s="158">
        <f>VLOOKUP(C109,Mapping!C:L,8,FALSE)</f>
        <v>20</v>
      </c>
      <c r="H109" s="158">
        <f t="shared" ref="H109:H114" si="51">F109*G109</f>
        <v>1040</v>
      </c>
      <c r="I109" s="43">
        <f t="shared" ref="I109:I114" si="52">$E$101*H109</f>
        <v>835.23162504093762</v>
      </c>
      <c r="J109" s="103">
        <f>(References!$D$61*I109)</f>
        <v>1.2695520700622198</v>
      </c>
      <c r="K109" s="103">
        <f>J109/References!$H$64</f>
        <v>1.295593499400163</v>
      </c>
      <c r="L109" s="309">
        <f>VLOOKUP(C109,Mapping!C:N,12,FALSE)</f>
        <v>14.95</v>
      </c>
      <c r="M109" s="157">
        <f>IFERROR((K109/F109),0)*References!$C$11</f>
        <v>0.10796612495001358</v>
      </c>
      <c r="N109" s="168">
        <f>M109+L109</f>
        <v>15.057966124950013</v>
      </c>
      <c r="O109" s="118">
        <f>F109*L109</f>
        <v>777.4</v>
      </c>
      <c r="P109" s="118">
        <f>F109*N109</f>
        <v>783.0142384974007</v>
      </c>
      <c r="Q109" s="158">
        <f>P109-O109</f>
        <v>5.61423849740072</v>
      </c>
      <c r="R109" s="161">
        <f>((G109*$E$101)*(References!$D$61/References!$H$64*References!$C$11))-M109</f>
        <v>0</v>
      </c>
      <c r="S109" s="158"/>
    </row>
    <row r="110" spans="1:19">
      <c r="A110" s="458"/>
      <c r="B110" s="154">
        <v>21</v>
      </c>
      <c r="C110" s="123" t="s">
        <v>193</v>
      </c>
      <c r="D110" s="123" t="s">
        <v>194</v>
      </c>
      <c r="E110" s="297" t="str">
        <f>VLOOKUP(C110,Mapping!$C$4:$H$110,6,FALSE)</f>
        <v>32 Gallon Cart WG-NR</v>
      </c>
      <c r="F110" s="158">
        <f>SUMIFS(Mapping!M:M,Mapping!A:A,"Residential",Mapping!C:C,'DF Calculation'!C110)</f>
        <v>156</v>
      </c>
      <c r="G110" s="158">
        <f>VLOOKUP(C110,Mapping!C:L,8,FALSE)</f>
        <v>34</v>
      </c>
      <c r="H110" s="158">
        <f t="shared" si="51"/>
        <v>5304</v>
      </c>
      <c r="I110" s="153">
        <f t="shared" si="52"/>
        <v>4259.6812877087814</v>
      </c>
      <c r="J110" s="158">
        <f>(References!$D$61*I110)</f>
        <v>6.4747155573173201</v>
      </c>
      <c r="K110" s="158">
        <f>J110/References!$H$64</f>
        <v>6.6075268469408313</v>
      </c>
      <c r="L110" s="309">
        <f>VLOOKUP(C110,Mapping!C:N,12,FALSE)</f>
        <v>40.65</v>
      </c>
      <c r="M110" s="157">
        <f>IFERROR((K110/F110),0)*References!$C$11*3</f>
        <v>0.55062723724506923</v>
      </c>
      <c r="N110" s="168">
        <f t="shared" ref="N110:N114" si="53">M110+L110</f>
        <v>41.200627237245065</v>
      </c>
      <c r="O110" s="118">
        <f t="shared" ref="O110:O114" si="54">F110*L110</f>
        <v>6341.4</v>
      </c>
      <c r="P110" s="118">
        <f t="shared" ref="P110:P114" si="55">F110*N110</f>
        <v>6427.2978490102305</v>
      </c>
      <c r="Q110" s="158">
        <f t="shared" ref="Q110:Q114" si="56">P110-O110</f>
        <v>85.897849010230857</v>
      </c>
      <c r="R110" s="161">
        <f>(((G110*$E$101)*(References!$D$61/References!$H$64))*References!$C$11*3)-M110</f>
        <v>0</v>
      </c>
      <c r="S110" s="158"/>
    </row>
    <row r="111" spans="1:19">
      <c r="A111" s="458"/>
      <c r="B111" s="154">
        <v>21</v>
      </c>
      <c r="C111" s="123" t="s">
        <v>397</v>
      </c>
      <c r="D111" s="123" t="s">
        <v>399</v>
      </c>
      <c r="E111" s="297" t="str">
        <f>VLOOKUP(C111,Mapping!$C$4:$H$110,6,FALSE)</f>
        <v>32 Gallon Cart WG-NR</v>
      </c>
      <c r="F111" s="158">
        <f>SUMIFS(Mapping!M:M,Mapping!A:A,"Residential",Mapping!C:C,'DF Calculation'!C111)</f>
        <v>260</v>
      </c>
      <c r="G111" s="158">
        <f>VLOOKUP(C111,Mapping!C:L,8,FALSE)</f>
        <v>34</v>
      </c>
      <c r="H111" s="158">
        <f t="shared" si="51"/>
        <v>8840</v>
      </c>
      <c r="I111" s="153">
        <f t="shared" si="52"/>
        <v>7099.4688128479693</v>
      </c>
      <c r="J111" s="158">
        <f>(References!$D$61*I111)</f>
        <v>10.791192595528868</v>
      </c>
      <c r="K111" s="158">
        <f>J111/References!$H$64</f>
        <v>11.012544744901385</v>
      </c>
      <c r="L111" s="309">
        <f>VLOOKUP(C111,Mapping!C:N,12,FALSE)</f>
        <v>61.22</v>
      </c>
      <c r="M111" s="157">
        <f>IFERROR((K111/F111),0)*References!$C$11*5</f>
        <v>0.91771206207511535</v>
      </c>
      <c r="N111" s="168">
        <f t="shared" si="53"/>
        <v>62.137712062075117</v>
      </c>
      <c r="O111" s="118">
        <f t="shared" si="54"/>
        <v>15917.199999999999</v>
      </c>
      <c r="P111" s="118">
        <f t="shared" si="55"/>
        <v>16155.80513613953</v>
      </c>
      <c r="Q111" s="158">
        <f t="shared" si="56"/>
        <v>238.60513613953117</v>
      </c>
      <c r="R111" s="161">
        <f>(((G111*$E$101)*(References!$D$61/References!$H$64))*References!$C$11*5)-M111</f>
        <v>0</v>
      </c>
      <c r="S111" s="158"/>
    </row>
    <row r="112" spans="1:19">
      <c r="A112" s="458"/>
      <c r="B112" s="154">
        <v>21</v>
      </c>
      <c r="C112" s="123" t="s">
        <v>398</v>
      </c>
      <c r="D112" s="123" t="s">
        <v>400</v>
      </c>
      <c r="E112" s="297" t="str">
        <f>VLOOKUP(C112,Mapping!$C$4:$H$110,6,FALSE)</f>
        <v>32 Gallon Cart WG-R</v>
      </c>
      <c r="F112" s="158">
        <f>SUMIFS(Mapping!M:M,Mapping!A:A,"Residential",Mapping!C:C,'DF Calculation'!C112)</f>
        <v>260</v>
      </c>
      <c r="G112" s="158">
        <f>VLOOKUP(C112,Mapping!C:L,8,FALSE)</f>
        <v>34</v>
      </c>
      <c r="H112" s="158">
        <f t="shared" si="51"/>
        <v>8840</v>
      </c>
      <c r="I112" s="153">
        <f t="shared" si="52"/>
        <v>7099.4688128479693</v>
      </c>
      <c r="J112" s="158">
        <f>(References!$D$61*I112)</f>
        <v>10.791192595528868</v>
      </c>
      <c r="K112" s="158">
        <f>J112/References!$H$64</f>
        <v>11.012544744901385</v>
      </c>
      <c r="L112" s="309">
        <f>VLOOKUP(C112,Mapping!C:N,12,FALSE)</f>
        <v>56.22</v>
      </c>
      <c r="M112" s="157">
        <f>IFERROR((K112/F112),0)*References!$C$11*5</f>
        <v>0.91771206207511535</v>
      </c>
      <c r="N112" s="168">
        <f t="shared" si="53"/>
        <v>57.137712062075117</v>
      </c>
      <c r="O112" s="118">
        <f t="shared" si="54"/>
        <v>14617.199999999999</v>
      </c>
      <c r="P112" s="118">
        <f t="shared" si="55"/>
        <v>14855.80513613953</v>
      </c>
      <c r="Q112" s="158">
        <f t="shared" si="56"/>
        <v>238.60513613953117</v>
      </c>
      <c r="R112" s="161">
        <f>(((G112*$E$101)*(References!$D$61/References!$H$64))*References!$C$11*5)-M112</f>
        <v>0</v>
      </c>
      <c r="S112" s="158"/>
    </row>
    <row r="113" spans="1:19">
      <c r="A113" s="458"/>
      <c r="B113" s="154">
        <v>21</v>
      </c>
      <c r="C113" s="123" t="s">
        <v>401</v>
      </c>
      <c r="D113" s="123" t="s">
        <v>403</v>
      </c>
      <c r="E113" s="297" t="str">
        <f>VLOOKUP(C113,Mapping!$C$4:$H$110,6,FALSE)</f>
        <v>32 Gallon Cart WG-NR</v>
      </c>
      <c r="F113" s="158">
        <f>SUMIFS(Mapping!M:M,Mapping!A:A,"Residential",Mapping!C:C,'DF Calculation'!C113)</f>
        <v>312</v>
      </c>
      <c r="G113" s="158">
        <f>VLOOKUP(C113,Mapping!C:L,8,FALSE)</f>
        <v>34</v>
      </c>
      <c r="H113" s="158">
        <f t="shared" si="51"/>
        <v>10608</v>
      </c>
      <c r="I113" s="153">
        <f t="shared" si="52"/>
        <v>8519.3625754175628</v>
      </c>
      <c r="J113" s="158">
        <f>(References!$D$61*I113)</f>
        <v>12.94943111463464</v>
      </c>
      <c r="K113" s="158">
        <f>J113/References!$H$64</f>
        <v>13.215053693881663</v>
      </c>
      <c r="L113" s="309">
        <f>VLOOKUP(C113,Mapping!C:N,12,FALSE)</f>
        <v>72.260000000000005</v>
      </c>
      <c r="M113" s="157">
        <f>IFERROR((K113/F113),0)*References!$C$11*6</f>
        <v>1.1012544744901385</v>
      </c>
      <c r="N113" s="168">
        <f t="shared" si="53"/>
        <v>73.361254474490138</v>
      </c>
      <c r="O113" s="118">
        <f t="shared" si="54"/>
        <v>22545.120000000003</v>
      </c>
      <c r="P113" s="118">
        <f t="shared" si="55"/>
        <v>22888.711396040922</v>
      </c>
      <c r="Q113" s="158">
        <f t="shared" si="56"/>
        <v>343.59139604091979</v>
      </c>
      <c r="R113" s="161">
        <f>(((G113*$E$101)*(References!$D$61/References!$H$64))*References!$C$11*6)-M113</f>
        <v>0</v>
      </c>
      <c r="S113" s="158"/>
    </row>
    <row r="114" spans="1:19">
      <c r="A114" s="458"/>
      <c r="B114" s="154">
        <v>21</v>
      </c>
      <c r="C114" s="123" t="s">
        <v>402</v>
      </c>
      <c r="D114" s="123" t="s">
        <v>404</v>
      </c>
      <c r="E114" s="297" t="str">
        <f>VLOOKUP(C114,Mapping!$C$4:$H$110,6,FALSE)</f>
        <v>32 Gallon Cart WG-R</v>
      </c>
      <c r="F114" s="158">
        <f>SUMIFS(Mapping!M:M,Mapping!A:A,"Residential",Mapping!C:C,'DF Calculation'!C114)</f>
        <v>312</v>
      </c>
      <c r="G114" s="158">
        <f>VLOOKUP(C114,Mapping!C:L,8,FALSE)</f>
        <v>34</v>
      </c>
      <c r="H114" s="158">
        <f t="shared" si="51"/>
        <v>10608</v>
      </c>
      <c r="I114" s="153">
        <f t="shared" si="52"/>
        <v>8519.3625754175628</v>
      </c>
      <c r="J114" s="158">
        <f>(References!$D$61*I114)</f>
        <v>12.94943111463464</v>
      </c>
      <c r="K114" s="158">
        <f>J114/References!$H$64</f>
        <v>13.215053693881663</v>
      </c>
      <c r="L114" s="309">
        <f>VLOOKUP(C114,Mapping!C:N,12,FALSE)</f>
        <v>66.260000000000005</v>
      </c>
      <c r="M114" s="157">
        <f>IFERROR((K114/F114),0)*References!$C$11*6</f>
        <v>1.1012544744901385</v>
      </c>
      <c r="N114" s="168">
        <f t="shared" si="53"/>
        <v>67.361254474490138</v>
      </c>
      <c r="O114" s="118">
        <f t="shared" si="54"/>
        <v>20673.120000000003</v>
      </c>
      <c r="P114" s="118">
        <f t="shared" si="55"/>
        <v>21016.711396040922</v>
      </c>
      <c r="Q114" s="158">
        <f t="shared" si="56"/>
        <v>343.59139604091979</v>
      </c>
      <c r="R114" s="161">
        <f>(((G114*$E$101)*(References!$D$61/References!$H$64))*References!$C$11*6)-M114</f>
        <v>0</v>
      </c>
      <c r="S114" s="158"/>
    </row>
    <row r="115" spans="1:19" ht="15.75" thickBot="1">
      <c r="A115" s="128"/>
      <c r="B115" s="92"/>
      <c r="C115" s="216"/>
      <c r="D115" s="108"/>
      <c r="E115" s="93" t="s">
        <v>13</v>
      </c>
      <c r="F115" s="85">
        <f>SUM(F109:F114)</f>
        <v>1352</v>
      </c>
      <c r="G115" s="94"/>
      <c r="H115" s="85">
        <f>SUM(H109:H114)</f>
        <v>45240</v>
      </c>
      <c r="I115" s="85">
        <f>SUM(I109:I114)</f>
        <v>36332.575689280784</v>
      </c>
      <c r="J115" s="85">
        <f>SUM(J109:J114)</f>
        <v>55.225515047706558</v>
      </c>
      <c r="K115" s="85">
        <f>SUM(K109:K114)</f>
        <v>56.358317223907093</v>
      </c>
      <c r="L115" s="85"/>
      <c r="M115" s="85"/>
      <c r="N115" s="132"/>
      <c r="O115" s="85">
        <f>SUM(O109:O114)</f>
        <v>80871.44</v>
      </c>
      <c r="P115" s="85">
        <f>SUM(P109:P114)</f>
        <v>82127.345151868532</v>
      </c>
      <c r="Q115" s="85">
        <f>SUM(Q109:Q114)</f>
        <v>1255.9051518685335</v>
      </c>
      <c r="R115" s="84">
        <f>Q115/O115</f>
        <v>1.5529649921758948E-2</v>
      </c>
      <c r="S115" s="158"/>
    </row>
    <row r="116" spans="1:19" ht="15" customHeight="1">
      <c r="A116" s="455" t="s">
        <v>167</v>
      </c>
      <c r="B116" s="154">
        <v>26</v>
      </c>
      <c r="C116" s="123" t="s">
        <v>367</v>
      </c>
      <c r="D116" s="123" t="s">
        <v>368</v>
      </c>
      <c r="E116" s="297" t="str">
        <f>VLOOKUP(C116,Mapping!$C$4:$H$110,6,FALSE)</f>
        <v>Extra Units Extra</v>
      </c>
      <c r="F116" s="158">
        <f>SUMIFS(Mapping!M:M,Mapping!A:A,"Commercial",Mapping!C:C,'DF Calculation'!C116)</f>
        <v>12</v>
      </c>
      <c r="G116" s="158">
        <f>VLOOKUP(C116,Mapping!C:L,8,FALSE)</f>
        <v>125</v>
      </c>
      <c r="H116" s="158">
        <f t="shared" ref="H116:H124" si="57">F116*G116</f>
        <v>1500</v>
      </c>
      <c r="I116" s="153">
        <f t="shared" ref="I116:I124" si="58">$E$101*H116</f>
        <v>1204.6609976551983</v>
      </c>
      <c r="J116" s="158">
        <f>(References!$D$61*I116)</f>
        <v>1.8310847164358937</v>
      </c>
      <c r="K116" s="158">
        <f>J116/References!$H$64</f>
        <v>1.8686444702886964</v>
      </c>
      <c r="L116" s="309">
        <f>VLOOKUP(C116,Mapping!C:N,12,FALSE)</f>
        <v>32.04</v>
      </c>
      <c r="M116" s="157">
        <f t="shared" ref="M116:M124" si="59">IFERROR((K116/F116),0)</f>
        <v>0.15572037252405804</v>
      </c>
      <c r="N116" s="168">
        <f t="shared" ref="N116:N117" si="60">ROUND(M116+L116,2)</f>
        <v>32.200000000000003</v>
      </c>
      <c r="O116" s="118">
        <f t="shared" ref="O116:O117" si="61">F116*L116</f>
        <v>384.48</v>
      </c>
      <c r="P116" s="118">
        <f t="shared" ref="P116:P117" si="62">F116*N116</f>
        <v>386.40000000000003</v>
      </c>
      <c r="Q116" s="118">
        <f t="shared" ref="Q116:Q117" si="63">P116-O116</f>
        <v>1.9200000000000159</v>
      </c>
      <c r="R116" s="161">
        <f>((G116*$E$101)*(References!$D$61/References!$H$64))-M116</f>
        <v>0</v>
      </c>
      <c r="S116" s="158"/>
    </row>
    <row r="117" spans="1:19">
      <c r="A117" s="456"/>
      <c r="B117" s="154">
        <v>26</v>
      </c>
      <c r="C117" s="123" t="s">
        <v>361</v>
      </c>
      <c r="D117" s="123" t="s">
        <v>362</v>
      </c>
      <c r="E117" s="297" t="str">
        <f>VLOOKUP(C117,Mapping!$C$4:$H$110,6,FALSE)</f>
        <v>Extra Units Extra</v>
      </c>
      <c r="F117" s="158">
        <f>SUMIFS(Mapping!M:M,Mapping!A:A,"Commercial",Mapping!C:C,'DF Calculation'!C117)</f>
        <v>12</v>
      </c>
      <c r="G117" s="158">
        <f>VLOOKUP(C117,Mapping!C:L,8,FALSE)</f>
        <v>175</v>
      </c>
      <c r="H117" s="158">
        <f t="shared" si="57"/>
        <v>2100</v>
      </c>
      <c r="I117" s="153">
        <f t="shared" si="58"/>
        <v>1686.5253967172778</v>
      </c>
      <c r="J117" s="158">
        <f>(References!$D$61*I117)</f>
        <v>2.5635186030102513</v>
      </c>
      <c r="K117" s="158">
        <f>J117/References!$H$64</f>
        <v>2.6161022584041751</v>
      </c>
      <c r="L117" s="309">
        <f>VLOOKUP(C117,Mapping!C:N,12,FALSE)</f>
        <v>32.04</v>
      </c>
      <c r="M117" s="157">
        <f t="shared" si="59"/>
        <v>0.21800852153368125</v>
      </c>
      <c r="N117" s="168">
        <f t="shared" si="60"/>
        <v>32.26</v>
      </c>
      <c r="O117" s="118">
        <f t="shared" si="61"/>
        <v>384.48</v>
      </c>
      <c r="P117" s="118">
        <f t="shared" si="62"/>
        <v>387.12</v>
      </c>
      <c r="Q117" s="118">
        <f t="shared" si="63"/>
        <v>2.6399999999999864</v>
      </c>
      <c r="R117" s="161">
        <f>((G117*$E$101)*(References!$D$61/References!$H$64))-M117</f>
        <v>0</v>
      </c>
      <c r="S117" s="158"/>
    </row>
    <row r="118" spans="1:19">
      <c r="A118" s="456"/>
      <c r="B118" s="154">
        <v>34</v>
      </c>
      <c r="C118" s="123" t="s">
        <v>310</v>
      </c>
      <c r="D118" s="123" t="s">
        <v>304</v>
      </c>
      <c r="E118" s="297" t="str">
        <f>VLOOKUP(C118,Mapping!$C$4:$H$110,6,FALSE)</f>
        <v>32 Gallon Cart WG-NR</v>
      </c>
      <c r="F118" s="158">
        <f>SUMIFS(Mapping!M:M,Mapping!A:A,"Commercial",Mapping!C:C,'DF Calculation'!C118)</f>
        <v>52</v>
      </c>
      <c r="G118" s="158">
        <f>VLOOKUP(C118,Mapping!C:L,8,FALSE)</f>
        <v>29</v>
      </c>
      <c r="H118" s="158">
        <f t="shared" si="57"/>
        <v>1508</v>
      </c>
      <c r="I118" s="43">
        <f t="shared" si="58"/>
        <v>1211.0858563093595</v>
      </c>
      <c r="J118" s="103">
        <f>(References!$D$61*I118)</f>
        <v>1.8408505015902188</v>
      </c>
      <c r="K118" s="103">
        <f>J118/References!$H$64</f>
        <v>1.8786105741302366</v>
      </c>
      <c r="L118" s="309">
        <f>VLOOKUP(C118,Mapping!C:N,12,FALSE)</f>
        <v>43.39</v>
      </c>
      <c r="M118" s="116">
        <f t="shared" si="59"/>
        <v>3.6127126425581475E-2</v>
      </c>
      <c r="N118" s="168">
        <f t="shared" ref="N118:N124" si="64">M118+L118</f>
        <v>43.426127126425584</v>
      </c>
      <c r="O118" s="118">
        <f t="shared" ref="O118:O124" si="65">F118*L118</f>
        <v>2256.2800000000002</v>
      </c>
      <c r="P118" s="118">
        <f t="shared" ref="P118:P124" si="66">F118*N118</f>
        <v>2258.1586105741303</v>
      </c>
      <c r="Q118" s="118">
        <f t="shared" ref="Q118:Q124" si="67">P118-O118</f>
        <v>1.8786105741301071</v>
      </c>
      <c r="R118" s="161">
        <f>((G118*$E$101)*(References!$D$61/References!$H$64))-M118</f>
        <v>0</v>
      </c>
      <c r="S118" s="158"/>
    </row>
    <row r="119" spans="1:19">
      <c r="A119" s="456"/>
      <c r="B119" s="154">
        <v>34</v>
      </c>
      <c r="C119" s="123" t="s">
        <v>315</v>
      </c>
      <c r="D119" s="123" t="s">
        <v>316</v>
      </c>
      <c r="E119" s="297" t="str">
        <f>VLOOKUP(C119,Mapping!$C$4:$H$110,6,FALSE)</f>
        <v>32 Gallon Cart WG-R</v>
      </c>
      <c r="F119" s="158">
        <f>SUMIFS(Mapping!M:M,Mapping!A:A,"Commercial",Mapping!C:C,'DF Calculation'!C119)</f>
        <v>260</v>
      </c>
      <c r="G119" s="158">
        <f>VLOOKUP(C119,Mapping!C:L,8,FALSE)</f>
        <v>29</v>
      </c>
      <c r="H119" s="158">
        <f t="shared" si="57"/>
        <v>7540</v>
      </c>
      <c r="I119" s="153">
        <f t="shared" si="58"/>
        <v>6055.429281546797</v>
      </c>
      <c r="J119" s="158">
        <f>(References!$D$61*I119)</f>
        <v>9.2042525079510931</v>
      </c>
      <c r="K119" s="158">
        <f>J119/References!$H$64</f>
        <v>9.3930528706511822</v>
      </c>
      <c r="L119" s="309">
        <f>VLOOKUP(C119,Mapping!C:N,12,FALSE)</f>
        <v>72.31</v>
      </c>
      <c r="M119" s="157">
        <f t="shared" si="59"/>
        <v>3.6127126425581468E-2</v>
      </c>
      <c r="N119" s="168">
        <f t="shared" si="64"/>
        <v>72.346127126425586</v>
      </c>
      <c r="O119" s="118">
        <f t="shared" si="65"/>
        <v>18800.600000000002</v>
      </c>
      <c r="P119" s="118">
        <f t="shared" si="66"/>
        <v>18809.993052870654</v>
      </c>
      <c r="Q119" s="118">
        <f t="shared" si="67"/>
        <v>9.3930528706514451</v>
      </c>
      <c r="R119" s="161">
        <f>((G119*$E$101)*(References!$D$61/References!$H$64))-M119</f>
        <v>0</v>
      </c>
      <c r="S119" s="158"/>
    </row>
    <row r="120" spans="1:19">
      <c r="A120" s="456"/>
      <c r="B120" s="154">
        <v>34</v>
      </c>
      <c r="C120" s="123" t="s">
        <v>345</v>
      </c>
      <c r="D120" s="123" t="s">
        <v>346</v>
      </c>
      <c r="E120" s="297" t="str">
        <f>VLOOKUP(C120,Mapping!$C$4:$H$110,6,FALSE)</f>
        <v>35 Gallon Cart Regular</v>
      </c>
      <c r="F120" s="158">
        <f>SUMIFS(Mapping!M:M,Mapping!A:A,"Commercial",Mapping!C:C,'DF Calculation'!C120)</f>
        <v>51.96</v>
      </c>
      <c r="G120" s="158">
        <f>VLOOKUP(C120,Mapping!C:L,8,FALSE)</f>
        <v>170</v>
      </c>
      <c r="H120" s="158">
        <f t="shared" si="57"/>
        <v>8833.2000000000007</v>
      </c>
      <c r="I120" s="153">
        <f t="shared" si="58"/>
        <v>7094.0076829919326</v>
      </c>
      <c r="J120" s="158">
        <f>(References!$D$61*I120)</f>
        <v>10.782891678147692</v>
      </c>
      <c r="K120" s="158">
        <f>J120/References!$H$64</f>
        <v>11.004073556636078</v>
      </c>
      <c r="L120" s="309">
        <f>VLOOKUP(C120,Mapping!C:N,12,FALSE)</f>
        <v>72.31</v>
      </c>
      <c r="M120" s="157">
        <f t="shared" si="59"/>
        <v>0.21177970663271897</v>
      </c>
      <c r="N120" s="168">
        <f t="shared" si="64"/>
        <v>72.521779706632728</v>
      </c>
      <c r="O120" s="118">
        <f t="shared" si="65"/>
        <v>3757.2276000000002</v>
      </c>
      <c r="P120" s="118">
        <f t="shared" si="66"/>
        <v>3768.2316735566365</v>
      </c>
      <c r="Q120" s="118">
        <f t="shared" si="67"/>
        <v>11.004073556636286</v>
      </c>
      <c r="R120" s="161">
        <f>((G120*$E$101)*(References!$D$61/References!$H$64))-M120</f>
        <v>0</v>
      </c>
      <c r="S120" s="158"/>
    </row>
    <row r="121" spans="1:19">
      <c r="A121" s="456"/>
      <c r="B121" s="154">
        <v>34</v>
      </c>
      <c r="C121" s="123" t="s">
        <v>365</v>
      </c>
      <c r="D121" s="123" t="s">
        <v>366</v>
      </c>
      <c r="E121" s="297" t="str">
        <f>VLOOKUP(C121,Mapping!$C$4:$H$110,6,FALSE)</f>
        <v>Extra Units Extra</v>
      </c>
      <c r="F121" s="158">
        <f>SUMIFS(Mapping!M:M,Mapping!A:A,"Commercial",Mapping!C:C,'DF Calculation'!C121)</f>
        <v>12</v>
      </c>
      <c r="G121" s="158">
        <f>VLOOKUP(C121,Mapping!C:L,8,FALSE)</f>
        <v>29</v>
      </c>
      <c r="H121" s="158">
        <f t="shared" si="57"/>
        <v>348</v>
      </c>
      <c r="I121" s="153">
        <f t="shared" si="58"/>
        <v>279.48135145600605</v>
      </c>
      <c r="J121" s="158">
        <f>(References!$D$61*I121)</f>
        <v>0.42481165421312739</v>
      </c>
      <c r="K121" s="158">
        <f>J121/References!$H$64</f>
        <v>0.43352551710697762</v>
      </c>
      <c r="L121" s="309">
        <f>VLOOKUP(C121,Mapping!C:N,12,FALSE)</f>
        <v>3.34</v>
      </c>
      <c r="M121" s="157">
        <f t="shared" si="59"/>
        <v>3.6127126425581468E-2</v>
      </c>
      <c r="N121" s="168">
        <f t="shared" si="64"/>
        <v>3.3761271264255814</v>
      </c>
      <c r="O121" s="118">
        <f t="shared" si="65"/>
        <v>40.08</v>
      </c>
      <c r="P121" s="118">
        <f t="shared" si="66"/>
        <v>40.513525517106977</v>
      </c>
      <c r="Q121" s="118">
        <f t="shared" si="67"/>
        <v>0.43352551710697895</v>
      </c>
      <c r="R121" s="161">
        <f>((G121*$E$101)*(References!$D$61/References!$H$64))-M121</f>
        <v>0</v>
      </c>
      <c r="S121" s="158"/>
    </row>
    <row r="122" spans="1:19">
      <c r="A122" s="456"/>
      <c r="B122" s="154">
        <v>34</v>
      </c>
      <c r="C122" s="123" t="s">
        <v>317</v>
      </c>
      <c r="D122" s="123" t="s">
        <v>318</v>
      </c>
      <c r="E122" s="297" t="str">
        <f>VLOOKUP(C122,Mapping!$C$4:$H$110,6,FALSE)</f>
        <v>65 Gallon Cart WG-R</v>
      </c>
      <c r="F122" s="158">
        <f>SUMIFS(Mapping!M:M,Mapping!A:A,"Commercial",Mapping!C:C,'DF Calculation'!C122)</f>
        <v>12</v>
      </c>
      <c r="G122" s="158">
        <f>VLOOKUP(C122,Mapping!C:L,8,FALSE)</f>
        <v>47</v>
      </c>
      <c r="H122" s="158">
        <f t="shared" si="57"/>
        <v>564</v>
      </c>
      <c r="I122" s="153">
        <f t="shared" si="58"/>
        <v>452.9525351183546</v>
      </c>
      <c r="J122" s="158">
        <f>(References!$D$61*I122)</f>
        <v>0.68848785337989604</v>
      </c>
      <c r="K122" s="158">
        <f>J122/References!$H$64</f>
        <v>0.70261032082854991</v>
      </c>
      <c r="L122" s="309">
        <f>VLOOKUP(C122,Mapping!C:N,12,FALSE)</f>
        <v>20.9</v>
      </c>
      <c r="M122" s="157">
        <f t="shared" si="59"/>
        <v>5.8550860069045828E-2</v>
      </c>
      <c r="N122" s="168">
        <f t="shared" si="64"/>
        <v>20.958550860069046</v>
      </c>
      <c r="O122" s="118">
        <f t="shared" si="65"/>
        <v>250.79999999999998</v>
      </c>
      <c r="P122" s="118">
        <f t="shared" si="66"/>
        <v>251.50261032082855</v>
      </c>
      <c r="Q122" s="118">
        <f t="shared" si="67"/>
        <v>0.702610320828569</v>
      </c>
      <c r="R122" s="161">
        <f>((G122*$E$101)*(References!$D$61/References!$H$64))-M122</f>
        <v>0</v>
      </c>
      <c r="S122" s="158"/>
    </row>
    <row r="123" spans="1:19">
      <c r="A123" s="456"/>
      <c r="B123" s="154">
        <v>34</v>
      </c>
      <c r="C123" s="123" t="s">
        <v>323</v>
      </c>
      <c r="D123" s="123" t="s">
        <v>324</v>
      </c>
      <c r="E123" s="297" t="str">
        <f>VLOOKUP(C123,Mapping!$C$4:$H$110,6,FALSE)</f>
        <v>65 Gallon Cart WG-NR</v>
      </c>
      <c r="F123" s="158">
        <f>SUMIFS(Mapping!M:M,Mapping!A:A,"Commercial",Mapping!C:C,'DF Calculation'!C123)</f>
        <v>104</v>
      </c>
      <c r="G123" s="158">
        <f>VLOOKUP(C123,Mapping!C:L,8,FALSE)</f>
        <v>47</v>
      </c>
      <c r="H123" s="158">
        <f t="shared" si="57"/>
        <v>4888</v>
      </c>
      <c r="I123" s="153">
        <f t="shared" si="58"/>
        <v>3925.5886376924063</v>
      </c>
      <c r="J123" s="158">
        <f>(References!$D$61*I123)</f>
        <v>5.9668947292924326</v>
      </c>
      <c r="K123" s="158">
        <f>J123/References!$H$64</f>
        <v>6.0892894471807661</v>
      </c>
      <c r="L123" s="309">
        <f>VLOOKUP(C123,Mapping!C:N,12,FALSE)</f>
        <v>58.368400000000001</v>
      </c>
      <c r="M123" s="157">
        <f t="shared" si="59"/>
        <v>5.8550860069045828E-2</v>
      </c>
      <c r="N123" s="168">
        <f t="shared" si="64"/>
        <v>58.426950860069049</v>
      </c>
      <c r="O123" s="118">
        <f t="shared" si="65"/>
        <v>6070.3136000000004</v>
      </c>
      <c r="P123" s="118">
        <f t="shared" si="66"/>
        <v>6076.4028894471812</v>
      </c>
      <c r="Q123" s="118">
        <f t="shared" si="67"/>
        <v>6.0892894471808177</v>
      </c>
      <c r="R123" s="161">
        <f>((G123*$E$101)*(References!$D$61/References!$H$64))-M123</f>
        <v>0</v>
      </c>
      <c r="S123" s="158"/>
    </row>
    <row r="124" spans="1:19" ht="15.75" thickBot="1">
      <c r="A124" s="456"/>
      <c r="B124" s="154">
        <v>35</v>
      </c>
      <c r="C124" s="123" t="s">
        <v>295</v>
      </c>
      <c r="D124" s="123" t="s">
        <v>296</v>
      </c>
      <c r="E124" s="297" t="str">
        <f>VLOOKUP(C124,Mapping!$C$4:$H$110,6,FALSE)</f>
        <v>3 yard Compacted</v>
      </c>
      <c r="F124" s="158">
        <f>SUMIFS(Mapping!M:M,Mapping!A:A,"Commercial",Mapping!C:C,'DF Calculation'!C124)</f>
        <v>52</v>
      </c>
      <c r="G124" s="158">
        <f>VLOOKUP(C124,Mapping!C:L,8,FALSE)</f>
        <v>1419</v>
      </c>
      <c r="H124" s="158">
        <f t="shared" si="57"/>
        <v>73788</v>
      </c>
      <c r="I124" s="153">
        <f t="shared" si="58"/>
        <v>59259.683796654521</v>
      </c>
      <c r="J124" s="158">
        <f>(References!$D$61*I124)</f>
        <v>90.074719370914494</v>
      </c>
      <c r="K124" s="158">
        <f>J124/References!$H$64</f>
        <v>91.922358782441563</v>
      </c>
      <c r="L124" s="309">
        <v>144.97999999999999</v>
      </c>
      <c r="M124" s="157">
        <f t="shared" si="59"/>
        <v>1.767737668893107</v>
      </c>
      <c r="N124" s="168">
        <f t="shared" si="64"/>
        <v>146.74773766889311</v>
      </c>
      <c r="O124" s="118">
        <f t="shared" si="65"/>
        <v>7538.9599999999991</v>
      </c>
      <c r="P124" s="118">
        <f t="shared" si="66"/>
        <v>7630.8823587824418</v>
      </c>
      <c r="Q124" s="118">
        <f t="shared" si="67"/>
        <v>91.922358782442643</v>
      </c>
      <c r="R124" s="161">
        <f>((G124*$E$101)*(References!$D$61/References!$H$64))-M124</f>
        <v>0</v>
      </c>
      <c r="S124" s="158"/>
    </row>
    <row r="125" spans="1:19">
      <c r="A125" s="165"/>
      <c r="B125" s="92"/>
      <c r="C125" s="216"/>
      <c r="D125" s="108"/>
      <c r="E125" s="93" t="s">
        <v>13</v>
      </c>
      <c r="F125" s="85">
        <f>SUM(F116:F124)</f>
        <v>567.96</v>
      </c>
      <c r="G125" s="94"/>
      <c r="H125" s="85">
        <f>SUM(H116:H124)</f>
        <v>101069.2</v>
      </c>
      <c r="I125" s="85">
        <f>SUM(I116:I124)</f>
        <v>81169.415536141852</v>
      </c>
      <c r="J125" s="85">
        <f>SUM(J116:J124)</f>
        <v>123.37751161493509</v>
      </c>
      <c r="K125" s="85">
        <f>SUM(K116:K124)</f>
        <v>125.90826779766823</v>
      </c>
      <c r="L125" s="85"/>
      <c r="M125" s="85"/>
      <c r="N125" s="132"/>
      <c r="O125" s="85">
        <f>SUM(O116:O124)</f>
        <v>39483.2212</v>
      </c>
      <c r="P125" s="85">
        <f>SUM(P116:P124)</f>
        <v>39609.204721068985</v>
      </c>
      <c r="Q125" s="85">
        <f>SUM(Q116:Q124)</f>
        <v>125.98352106897684</v>
      </c>
      <c r="R125" s="84">
        <f>Q125/O125</f>
        <v>3.1908116217472357E-3</v>
      </c>
      <c r="S125" s="158"/>
    </row>
    <row r="126" spans="1:19">
      <c r="E126" s="115"/>
      <c r="F126" s="180"/>
      <c r="O126" s="116"/>
      <c r="P126" s="116"/>
      <c r="Q126" s="64"/>
      <c r="R126" s="117"/>
    </row>
    <row r="127" spans="1:19">
      <c r="E127" s="115"/>
      <c r="F127" s="115"/>
      <c r="O127" s="116"/>
      <c r="P127" s="116"/>
      <c r="Q127" s="64"/>
      <c r="R127" s="117"/>
    </row>
    <row r="128" spans="1:19">
      <c r="E128" s="115"/>
      <c r="F128" s="115"/>
      <c r="O128" s="116"/>
      <c r="P128" s="116"/>
      <c r="Q128" s="64"/>
      <c r="R128" s="117"/>
    </row>
    <row r="129" spans="5:18">
      <c r="E129" s="115"/>
      <c r="F129" s="115"/>
      <c r="O129" s="116"/>
      <c r="P129" s="116"/>
      <c r="Q129" s="64"/>
      <c r="R129" s="117"/>
    </row>
    <row r="130" spans="5:18">
      <c r="E130" s="115"/>
      <c r="F130" s="115"/>
      <c r="O130" s="116"/>
      <c r="P130" s="116"/>
      <c r="Q130" s="64"/>
      <c r="R130" s="117"/>
    </row>
    <row r="131" spans="5:18">
      <c r="O131" s="116"/>
      <c r="P131" s="116"/>
      <c r="Q131" s="64"/>
      <c r="R131" s="117"/>
    </row>
    <row r="132" spans="5:18">
      <c r="O132" s="116"/>
      <c r="P132" s="116"/>
      <c r="Q132" s="64"/>
      <c r="R132" s="117"/>
    </row>
    <row r="133" spans="5:18">
      <c r="P133" s="131"/>
      <c r="Q133" s="64"/>
      <c r="R133" s="117"/>
    </row>
    <row r="134" spans="5:18">
      <c r="O134" s="116"/>
      <c r="P134" s="131"/>
      <c r="Q134" s="96"/>
      <c r="R134" s="117"/>
    </row>
    <row r="135" spans="5:18">
      <c r="Q135" s="96"/>
      <c r="R135" s="117"/>
    </row>
    <row r="136" spans="5:18">
      <c r="O136" s="52"/>
      <c r="Q136" s="96"/>
      <c r="R136" s="117"/>
    </row>
    <row r="137" spans="5:18">
      <c r="O137" s="52"/>
      <c r="Q137" s="96"/>
      <c r="R137" s="117"/>
    </row>
    <row r="138" spans="5:18">
      <c r="Q138" s="96"/>
      <c r="R138" s="117"/>
    </row>
    <row r="139" spans="5:18">
      <c r="O139" s="52"/>
    </row>
    <row r="140" spans="5:18">
      <c r="O140" s="36"/>
    </row>
    <row r="141" spans="5:18">
      <c r="O141" s="54"/>
    </row>
    <row r="142" spans="5:18">
      <c r="O142" s="54"/>
    </row>
    <row r="143" spans="5:18">
      <c r="O143" s="54"/>
    </row>
  </sheetData>
  <mergeCells count="7">
    <mergeCell ref="A116:A124"/>
    <mergeCell ref="A109:A114"/>
    <mergeCell ref="A7:A36"/>
    <mergeCell ref="B97:E97"/>
    <mergeCell ref="J97:L97"/>
    <mergeCell ref="A44:A91"/>
    <mergeCell ref="A38:A42"/>
  </mergeCells>
  <pageMargins left="0.25" right="0.25" top="0.75" bottom="0.75" header="0.3" footer="0.3"/>
  <pageSetup scale="55" fitToHeight="4" pageOrder="overThenDown" orientation="landscape" r:id="rId1"/>
  <headerFooter>
    <oddFooter>&amp;L&amp;F - &amp;A&amp;R&amp;P of &amp;N</oddFooter>
  </headerFooter>
  <rowBreaks count="3" manualBreakCount="3">
    <brk id="42" max="16" man="1"/>
    <brk id="95" max="16" man="1"/>
    <brk id="106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24"/>
  <sheetViews>
    <sheetView showGridLines="0" zoomScale="85" zoomScaleNormal="85" workbookViewId="0">
      <pane ySplit="1" topLeftCell="A50" activePane="bottomLeft" state="frozen"/>
      <selection activeCell="D30" sqref="D30"/>
      <selection pane="bottomLeft" activeCell="D93" sqref="D93"/>
    </sheetView>
  </sheetViews>
  <sheetFormatPr defaultRowHeight="15"/>
  <cols>
    <col min="1" max="1" width="14" style="123" customWidth="1"/>
    <col min="2" max="2" width="17.28515625" style="123" customWidth="1"/>
    <col min="3" max="3" width="25.28515625" style="123" customWidth="1"/>
    <col min="4" max="4" width="26.7109375" style="123" customWidth="1"/>
    <col min="5" max="5" width="18.140625" style="123" customWidth="1"/>
    <col min="6" max="6" width="10.5703125" style="212" customWidth="1"/>
    <col min="7" max="7" width="13.42578125" style="123" customWidth="1"/>
    <col min="8" max="8" width="31.42578125" style="123" bestFit="1" customWidth="1"/>
    <col min="9" max="9" width="8" style="101" customWidth="1"/>
    <col min="10" max="11" width="11.85546875" style="101" customWidth="1"/>
    <col min="12" max="14" width="11.85546875" style="124" customWidth="1"/>
    <col min="15" max="15" width="18.28515625" style="124" customWidth="1"/>
    <col min="16" max="16" width="15.7109375" style="113" customWidth="1"/>
    <col min="17" max="18" width="9.85546875" style="113" customWidth="1"/>
    <col min="19" max="19" width="11" style="113" customWidth="1"/>
    <col min="20" max="20" width="12.42578125" style="113" bestFit="1" customWidth="1"/>
    <col min="21" max="16384" width="9.140625" style="113"/>
  </cols>
  <sheetData>
    <row r="1" spans="1:21" s="127" customFormat="1" ht="45.75" customHeight="1">
      <c r="A1" s="122" t="s">
        <v>114</v>
      </c>
      <c r="B1" s="122" t="s">
        <v>113</v>
      </c>
      <c r="C1" s="122" t="s">
        <v>115</v>
      </c>
      <c r="D1" s="122" t="s">
        <v>132</v>
      </c>
      <c r="E1" s="122" t="s">
        <v>116</v>
      </c>
      <c r="F1" s="211" t="s">
        <v>393</v>
      </c>
      <c r="G1" s="122" t="s">
        <v>133</v>
      </c>
      <c r="H1" s="122" t="s">
        <v>174</v>
      </c>
      <c r="I1" s="125" t="s">
        <v>121</v>
      </c>
      <c r="J1" s="122" t="s">
        <v>118</v>
      </c>
      <c r="K1" s="122" t="s">
        <v>117</v>
      </c>
      <c r="L1" s="126" t="s">
        <v>134</v>
      </c>
      <c r="M1" s="126" t="s">
        <v>135</v>
      </c>
      <c r="N1" s="126" t="s">
        <v>396</v>
      </c>
      <c r="O1" s="126" t="s">
        <v>896</v>
      </c>
      <c r="Q1" s="396"/>
      <c r="R1" s="397"/>
      <c r="S1" s="396"/>
      <c r="T1" s="398"/>
      <c r="U1" s="143"/>
    </row>
    <row r="2" spans="1:21" ht="15.75" customHeight="1">
      <c r="A2" s="225" t="s">
        <v>93</v>
      </c>
      <c r="B2" s="225" t="s">
        <v>961</v>
      </c>
      <c r="C2" s="225" t="s">
        <v>430</v>
      </c>
      <c r="D2" s="225" t="s">
        <v>431</v>
      </c>
      <c r="E2" s="225" t="s">
        <v>962</v>
      </c>
      <c r="F2" s="226" t="s">
        <v>86</v>
      </c>
      <c r="G2" s="226" t="s">
        <v>963</v>
      </c>
      <c r="H2" s="226" t="str">
        <f t="shared" ref="H2:H35" si="0">CONCATENATE(E2," ",G2)</f>
        <v>32 Gal Unit Over-Sized</v>
      </c>
      <c r="I2" s="220" t="s">
        <v>380</v>
      </c>
      <c r="J2" s="220">
        <f>References!$C$28</f>
        <v>34</v>
      </c>
      <c r="K2" s="224">
        <v>1</v>
      </c>
      <c r="L2" s="222">
        <f>IFERROR((VLOOKUP(C2,'2180 (Reg.) - Price Out '!B:AJ,35,FALSE)),0)</f>
        <v>10.984496124031008</v>
      </c>
      <c r="M2" s="222">
        <f t="shared" ref="M2:M35" si="1">IF(L2=0,K2*12,K2*L2)</f>
        <v>10.984496124031008</v>
      </c>
      <c r="N2" s="223">
        <v>7.74</v>
      </c>
    </row>
    <row r="3" spans="1:21" ht="15.75" customHeight="1">
      <c r="A3" s="225" t="s">
        <v>93</v>
      </c>
      <c r="B3" s="225" t="s">
        <v>961</v>
      </c>
      <c r="C3" s="225" t="s">
        <v>432</v>
      </c>
      <c r="D3" s="225" t="s">
        <v>433</v>
      </c>
      <c r="E3" s="225" t="s">
        <v>962</v>
      </c>
      <c r="F3" s="226" t="s">
        <v>86</v>
      </c>
      <c r="G3" s="226" t="s">
        <v>965</v>
      </c>
      <c r="H3" s="226" t="str">
        <f t="shared" si="0"/>
        <v>32 Gal Unit Over-Weight</v>
      </c>
      <c r="I3" s="220" t="s">
        <v>380</v>
      </c>
      <c r="J3" s="220">
        <f>References!$C$28</f>
        <v>34</v>
      </c>
      <c r="K3" s="224">
        <v>1</v>
      </c>
      <c r="L3" s="222">
        <f>IFERROR((VLOOKUP(C3,'2180 (Reg.) - Price Out '!B:AJ,35,FALSE)),0)</f>
        <v>22455.903324584429</v>
      </c>
      <c r="M3" s="222">
        <f t="shared" si="1"/>
        <v>22455.903324584429</v>
      </c>
      <c r="N3" s="223">
        <v>7.74</v>
      </c>
    </row>
    <row r="4" spans="1:21" ht="15.75" customHeight="1">
      <c r="A4" s="225" t="s">
        <v>93</v>
      </c>
      <c r="B4" s="225" t="s">
        <v>382</v>
      </c>
      <c r="C4" s="225" t="s">
        <v>177</v>
      </c>
      <c r="D4" s="225" t="s">
        <v>178</v>
      </c>
      <c r="E4" s="225" t="s">
        <v>107</v>
      </c>
      <c r="F4" s="226" t="s">
        <v>383</v>
      </c>
      <c r="G4" s="226" t="s">
        <v>82</v>
      </c>
      <c r="H4" s="226" t="str">
        <f t="shared" si="0"/>
        <v>20 Gallon Cart WG-R</v>
      </c>
      <c r="I4" s="220" t="s">
        <v>122</v>
      </c>
      <c r="J4" s="220">
        <f>References!$C$17</f>
        <v>20</v>
      </c>
      <c r="K4" s="224">
        <f>References!$C$11</f>
        <v>4.333333333333333</v>
      </c>
      <c r="L4" s="222">
        <f>IFERROR((VLOOKUP(C4,'2180 (Reg.) - Price Out '!B:AJ,35,FALSE)),0)</f>
        <v>122.60157235172541</v>
      </c>
      <c r="M4" s="222">
        <f t="shared" si="1"/>
        <v>531.27348019081012</v>
      </c>
      <c r="N4" s="223">
        <v>13.95</v>
      </c>
    </row>
    <row r="5" spans="1:21" ht="15" customHeight="1">
      <c r="A5" s="225" t="s">
        <v>93</v>
      </c>
      <c r="B5" s="225" t="s">
        <v>382</v>
      </c>
      <c r="C5" s="225" t="s">
        <v>179</v>
      </c>
      <c r="D5" s="225" t="s">
        <v>180</v>
      </c>
      <c r="E5" s="225" t="s">
        <v>107</v>
      </c>
      <c r="F5" s="226" t="s">
        <v>383</v>
      </c>
      <c r="G5" s="226" t="s">
        <v>83</v>
      </c>
      <c r="H5" s="226" t="str">
        <f t="shared" si="0"/>
        <v>20 Gallon Cart WG-NR</v>
      </c>
      <c r="I5" s="220" t="s">
        <v>122</v>
      </c>
      <c r="J5" s="220">
        <f>References!$C$17</f>
        <v>20</v>
      </c>
      <c r="K5" s="224">
        <f>References!$C$11</f>
        <v>4.333333333333333</v>
      </c>
      <c r="L5" s="222">
        <f>IFERROR((VLOOKUP(C5,'2180 (Reg.) - Price Out '!B:AJ,35,FALSE)),0)</f>
        <v>0</v>
      </c>
      <c r="M5" s="222">
        <f t="shared" si="1"/>
        <v>52</v>
      </c>
      <c r="N5" s="223">
        <v>14.95</v>
      </c>
      <c r="R5" s="162" t="s">
        <v>165</v>
      </c>
      <c r="S5" s="162" t="s">
        <v>166</v>
      </c>
      <c r="T5" s="391" t="s">
        <v>964</v>
      </c>
    </row>
    <row r="6" spans="1:21" ht="15" customHeight="1">
      <c r="A6" s="225" t="s">
        <v>93</v>
      </c>
      <c r="B6" s="225" t="s">
        <v>382</v>
      </c>
      <c r="C6" s="225" t="s">
        <v>181</v>
      </c>
      <c r="D6" s="225" t="s">
        <v>182</v>
      </c>
      <c r="E6" s="225" t="s">
        <v>378</v>
      </c>
      <c r="F6" s="226" t="s">
        <v>379</v>
      </c>
      <c r="G6" s="226" t="s">
        <v>379</v>
      </c>
      <c r="H6" s="226" t="str">
        <f t="shared" si="0"/>
        <v>32 Gallon Cart MG-NR</v>
      </c>
      <c r="I6" s="220" t="s">
        <v>380</v>
      </c>
      <c r="J6" s="220">
        <f>References!$C$18</f>
        <v>34</v>
      </c>
      <c r="K6" s="224">
        <f>References!$C$13</f>
        <v>1</v>
      </c>
      <c r="L6" s="222">
        <f>IFERROR((VLOOKUP(C6,'2180 (Reg.) - Price Out '!B:AJ,35,FALSE)),0)</f>
        <v>22.011875257446487</v>
      </c>
      <c r="M6" s="222">
        <f t="shared" si="1"/>
        <v>22.011875257446487</v>
      </c>
      <c r="N6" s="223">
        <v>8.57</v>
      </c>
      <c r="P6" s="220"/>
      <c r="Q6" s="221" t="s">
        <v>93</v>
      </c>
      <c r="R6" s="393">
        <f>SUMIF(A:A,Q6,L:L)</f>
        <v>689158.87458447355</v>
      </c>
      <c r="S6" s="393">
        <f>R6/12</f>
        <v>57429.906215372794</v>
      </c>
      <c r="T6" s="392">
        <f>R6-SUM('2180 (Reg.) - Price Out '!AJ11:AJ50)</f>
        <v>0</v>
      </c>
    </row>
    <row r="7" spans="1:21" ht="15" customHeight="1">
      <c r="A7" s="225" t="s">
        <v>93</v>
      </c>
      <c r="B7" s="225" t="s">
        <v>382</v>
      </c>
      <c r="C7" s="225" t="s">
        <v>183</v>
      </c>
      <c r="D7" s="225" t="s">
        <v>184</v>
      </c>
      <c r="E7" s="225" t="s">
        <v>378</v>
      </c>
      <c r="F7" s="226" t="s">
        <v>84</v>
      </c>
      <c r="G7" s="226" t="s">
        <v>387</v>
      </c>
      <c r="H7" s="226" t="str">
        <f t="shared" si="0"/>
        <v>32 Gallon Cart MG-R</v>
      </c>
      <c r="I7" s="220" t="s">
        <v>380</v>
      </c>
      <c r="J7" s="220">
        <f>References!$C$18</f>
        <v>34</v>
      </c>
      <c r="K7" s="224">
        <f>References!$C$13</f>
        <v>1</v>
      </c>
      <c r="L7" s="222">
        <f>IFERROR((VLOOKUP(C7,'2180 (Reg.) - Price Out '!B:AJ,35,FALSE)),0)</f>
        <v>680.29751767970163</v>
      </c>
      <c r="M7" s="222">
        <f t="shared" si="1"/>
        <v>680.29751767970163</v>
      </c>
      <c r="N7" s="223">
        <v>7.57</v>
      </c>
      <c r="P7" s="192"/>
      <c r="Q7" s="193" t="s">
        <v>99</v>
      </c>
      <c r="R7" s="393">
        <f>SUMIF(A:A,Q7,L:L)</f>
        <v>107779.65142361989</v>
      </c>
      <c r="S7" s="393">
        <f t="shared" ref="S7:S8" si="2">R7/12</f>
        <v>8981.6376186349898</v>
      </c>
      <c r="T7" s="392">
        <f>R7-SUM('2180 (Reg.) - Price Out '!AJ113:AJ175,'2180 (Reg.) - Price Out '!AJ222:AJ227,'2180 (Reg.) - Price Out '!AJ245:AJ248)</f>
        <v>0</v>
      </c>
    </row>
    <row r="8" spans="1:21" ht="15" customHeight="1">
      <c r="A8" s="225" t="s">
        <v>93</v>
      </c>
      <c r="B8" s="225" t="s">
        <v>382</v>
      </c>
      <c r="C8" s="225" t="s">
        <v>185</v>
      </c>
      <c r="D8" s="225" t="s">
        <v>186</v>
      </c>
      <c r="E8" s="225" t="s">
        <v>378</v>
      </c>
      <c r="F8" s="226" t="s">
        <v>383</v>
      </c>
      <c r="G8" s="226" t="s">
        <v>83</v>
      </c>
      <c r="H8" s="226" t="str">
        <f t="shared" si="0"/>
        <v>32 Gallon Cart WG-NR</v>
      </c>
      <c r="I8" s="220" t="s">
        <v>380</v>
      </c>
      <c r="J8" s="220">
        <f>References!$C$18</f>
        <v>34</v>
      </c>
      <c r="K8" s="224">
        <f>References!$C$11</f>
        <v>4.333333333333333</v>
      </c>
      <c r="L8" s="222">
        <f>IFERROR((VLOOKUP(C8,'2180 (Reg.) - Price Out '!B:AJ,35,FALSE)),0)</f>
        <v>957.20625445469398</v>
      </c>
      <c r="M8" s="222">
        <f t="shared" si="1"/>
        <v>4147.8937693036733</v>
      </c>
      <c r="N8" s="223">
        <v>19.93</v>
      </c>
      <c r="P8" s="205"/>
      <c r="Q8" s="201" t="s">
        <v>369</v>
      </c>
      <c r="R8" s="393">
        <f>SUMIF(A:A,Q8,L:L)</f>
        <v>51016.543466848874</v>
      </c>
      <c r="S8" s="393">
        <f t="shared" si="2"/>
        <v>4251.3786222374065</v>
      </c>
      <c r="T8" s="392">
        <f>R8-SUM('2180 (JBLM Housing) - Price Out'!AJ31:AJ45)</f>
        <v>0</v>
      </c>
    </row>
    <row r="9" spans="1:21" ht="15" customHeight="1">
      <c r="A9" s="225" t="s">
        <v>93</v>
      </c>
      <c r="B9" s="225" t="s">
        <v>382</v>
      </c>
      <c r="C9" s="225" t="s">
        <v>187</v>
      </c>
      <c r="D9" s="225" t="s">
        <v>188</v>
      </c>
      <c r="E9" s="225" t="s">
        <v>378</v>
      </c>
      <c r="F9" s="226" t="s">
        <v>383</v>
      </c>
      <c r="G9" s="226" t="s">
        <v>82</v>
      </c>
      <c r="H9" s="226" t="str">
        <f t="shared" si="0"/>
        <v>32 Gallon Cart WG-R</v>
      </c>
      <c r="I9" s="220" t="s">
        <v>380</v>
      </c>
      <c r="J9" s="220">
        <f>References!$C$18</f>
        <v>34</v>
      </c>
      <c r="K9" s="224">
        <f>References!$C$11</f>
        <v>4.333333333333333</v>
      </c>
      <c r="L9" s="222">
        <f>IFERROR((VLOOKUP(C9,'2180 (Reg.) - Price Out '!B:AJ,35,FALSE)),0)</f>
        <v>11107.38115817878</v>
      </c>
      <c r="M9" s="222">
        <f t="shared" si="1"/>
        <v>48131.985018774707</v>
      </c>
      <c r="N9" s="223">
        <v>18.93</v>
      </c>
    </row>
    <row r="10" spans="1:21" ht="15" customHeight="1">
      <c r="A10" s="225" t="s">
        <v>93</v>
      </c>
      <c r="B10" s="225" t="s">
        <v>382</v>
      </c>
      <c r="C10" s="225" t="s">
        <v>189</v>
      </c>
      <c r="D10" s="225" t="s">
        <v>190</v>
      </c>
      <c r="E10" s="225" t="s">
        <v>378</v>
      </c>
      <c r="F10" s="226" t="s">
        <v>383</v>
      </c>
      <c r="G10" s="226" t="s">
        <v>83</v>
      </c>
      <c r="H10" s="226" t="str">
        <f t="shared" si="0"/>
        <v>32 Gallon Cart WG-NR</v>
      </c>
      <c r="I10" s="220" t="s">
        <v>380</v>
      </c>
      <c r="J10" s="220">
        <f>References!$C$18</f>
        <v>34</v>
      </c>
      <c r="K10" s="224">
        <f>References!$D$11</f>
        <v>8.6666666666666661</v>
      </c>
      <c r="L10" s="222">
        <f>IFERROR((VLOOKUP(C10,'2180 (Reg.) - Price Out '!B:AJ,35,FALSE)),0)</f>
        <v>272.64396773140106</v>
      </c>
      <c r="M10" s="222">
        <f t="shared" si="1"/>
        <v>2362.9143870054759</v>
      </c>
      <c r="N10" s="223">
        <v>29.91</v>
      </c>
    </row>
    <row r="11" spans="1:21" ht="15" customHeight="1">
      <c r="A11" s="225" t="s">
        <v>93</v>
      </c>
      <c r="B11" s="225" t="s">
        <v>382</v>
      </c>
      <c r="C11" s="225" t="s">
        <v>191</v>
      </c>
      <c r="D11" s="225" t="s">
        <v>192</v>
      </c>
      <c r="E11" s="225" t="s">
        <v>378</v>
      </c>
      <c r="F11" s="226" t="s">
        <v>383</v>
      </c>
      <c r="G11" s="226" t="s">
        <v>82</v>
      </c>
      <c r="H11" s="226" t="str">
        <f t="shared" si="0"/>
        <v>32 Gallon Cart WG-R</v>
      </c>
      <c r="I11" s="220" t="s">
        <v>380</v>
      </c>
      <c r="J11" s="220">
        <f>References!$C$18</f>
        <v>34</v>
      </c>
      <c r="K11" s="224">
        <f>References!$D$11</f>
        <v>8.6666666666666661</v>
      </c>
      <c r="L11" s="222">
        <f>IFERROR((VLOOKUP(C11,'2180 (Reg.) - Price Out '!B:AJ,35,FALSE)),0)</f>
        <v>2499.9007639848555</v>
      </c>
      <c r="M11" s="222">
        <f t="shared" si="1"/>
        <v>21665.806621202079</v>
      </c>
      <c r="N11" s="223">
        <v>27.91</v>
      </c>
    </row>
    <row r="12" spans="1:21" ht="15" customHeight="1">
      <c r="A12" s="225" t="s">
        <v>93</v>
      </c>
      <c r="B12" s="225" t="s">
        <v>382</v>
      </c>
      <c r="C12" s="225" t="s">
        <v>193</v>
      </c>
      <c r="D12" s="225" t="s">
        <v>194</v>
      </c>
      <c r="E12" s="225" t="s">
        <v>378</v>
      </c>
      <c r="F12" s="226" t="s">
        <v>383</v>
      </c>
      <c r="G12" s="226" t="s">
        <v>83</v>
      </c>
      <c r="H12" s="226" t="str">
        <f t="shared" si="0"/>
        <v>32 Gallon Cart WG-NR</v>
      </c>
      <c r="I12" s="220" t="s">
        <v>380</v>
      </c>
      <c r="J12" s="220">
        <f>References!$C$18</f>
        <v>34</v>
      </c>
      <c r="K12" s="224">
        <f>References!$E$11</f>
        <v>13</v>
      </c>
      <c r="L12" s="222">
        <f>IFERROR((VLOOKUP(C12,'2180 (Reg.) - Price Out '!B:AJ,35,FALSE)),0)</f>
        <v>0</v>
      </c>
      <c r="M12" s="222">
        <f t="shared" si="1"/>
        <v>156</v>
      </c>
      <c r="N12" s="223">
        <v>40.65</v>
      </c>
    </row>
    <row r="13" spans="1:21" ht="15" customHeight="1">
      <c r="A13" s="225" t="s">
        <v>93</v>
      </c>
      <c r="B13" s="225" t="s">
        <v>382</v>
      </c>
      <c r="C13" s="225" t="s">
        <v>195</v>
      </c>
      <c r="D13" s="225" t="s">
        <v>196</v>
      </c>
      <c r="E13" s="225" t="s">
        <v>378</v>
      </c>
      <c r="F13" s="226" t="s">
        <v>383</v>
      </c>
      <c r="G13" s="226" t="s">
        <v>82</v>
      </c>
      <c r="H13" s="226" t="str">
        <f t="shared" si="0"/>
        <v>32 Gallon Cart WG-R</v>
      </c>
      <c r="I13" s="220" t="s">
        <v>380</v>
      </c>
      <c r="J13" s="220">
        <f>References!$C$18</f>
        <v>34</v>
      </c>
      <c r="K13" s="224">
        <f>References!$E$11</f>
        <v>13</v>
      </c>
      <c r="L13" s="222">
        <f>IFERROR((VLOOKUP(C13,'2180 (Reg.) - Price Out '!B:AJ,35,FALSE)),0)</f>
        <v>99.582125058533251</v>
      </c>
      <c r="M13" s="222">
        <f t="shared" si="1"/>
        <v>1294.5676257609323</v>
      </c>
      <c r="N13" s="223">
        <v>37.65</v>
      </c>
    </row>
    <row r="14" spans="1:21" ht="15" customHeight="1">
      <c r="A14" s="225" t="s">
        <v>93</v>
      </c>
      <c r="B14" s="225" t="s">
        <v>382</v>
      </c>
      <c r="C14" s="225" t="s">
        <v>197</v>
      </c>
      <c r="D14" s="225" t="s">
        <v>198</v>
      </c>
      <c r="E14" s="225" t="s">
        <v>378</v>
      </c>
      <c r="F14" s="226" t="s">
        <v>383</v>
      </c>
      <c r="G14" s="226" t="s">
        <v>83</v>
      </c>
      <c r="H14" s="226" t="str">
        <f t="shared" si="0"/>
        <v>32 Gallon Cart WG-NR</v>
      </c>
      <c r="I14" s="220" t="s">
        <v>380</v>
      </c>
      <c r="J14" s="220">
        <f>References!$C$18</f>
        <v>34</v>
      </c>
      <c r="K14" s="224">
        <f>References!$F$11</f>
        <v>17.333333333333332</v>
      </c>
      <c r="L14" s="222">
        <f>IFERROR((VLOOKUP(C14,'2180 (Reg.) - Price Out '!B:AJ,35,FALSE)),0)</f>
        <v>12.000300518156944</v>
      </c>
      <c r="M14" s="222">
        <f t="shared" si="1"/>
        <v>208.00520898138703</v>
      </c>
      <c r="N14" s="223">
        <v>50.79</v>
      </c>
    </row>
    <row r="15" spans="1:21" ht="15" customHeight="1">
      <c r="A15" s="225" t="s">
        <v>93</v>
      </c>
      <c r="B15" s="225" t="s">
        <v>382</v>
      </c>
      <c r="C15" s="225" t="s">
        <v>199</v>
      </c>
      <c r="D15" s="225" t="s">
        <v>200</v>
      </c>
      <c r="E15" s="225" t="s">
        <v>378</v>
      </c>
      <c r="F15" s="226" t="s">
        <v>383</v>
      </c>
      <c r="G15" s="226" t="s">
        <v>82</v>
      </c>
      <c r="H15" s="226" t="str">
        <f t="shared" si="0"/>
        <v>32 Gallon Cart WG-R</v>
      </c>
      <c r="I15" s="220" t="s">
        <v>380</v>
      </c>
      <c r="J15" s="220">
        <f>References!$C$18</f>
        <v>34</v>
      </c>
      <c r="K15" s="224">
        <f>References!$F$11</f>
        <v>17.333333333333332</v>
      </c>
      <c r="L15" s="222">
        <f>IFERROR((VLOOKUP(C15,'2180 (Reg.) - Price Out '!B:AJ,35,FALSE)),0)</f>
        <v>20.000354848902717</v>
      </c>
      <c r="M15" s="222">
        <f t="shared" si="1"/>
        <v>346.6728173809804</v>
      </c>
      <c r="N15" s="223">
        <v>46.79</v>
      </c>
    </row>
    <row r="16" spans="1:21" ht="15" customHeight="1">
      <c r="A16" s="225" t="s">
        <v>93</v>
      </c>
      <c r="B16" s="225" t="s">
        <v>382</v>
      </c>
      <c r="C16" s="225" t="s">
        <v>397</v>
      </c>
      <c r="D16" s="225" t="s">
        <v>399</v>
      </c>
      <c r="E16" s="225" t="s">
        <v>378</v>
      </c>
      <c r="F16" s="226" t="s">
        <v>383</v>
      </c>
      <c r="G16" s="226" t="s">
        <v>83</v>
      </c>
      <c r="H16" s="226" t="str">
        <f t="shared" si="0"/>
        <v>32 Gallon Cart WG-NR</v>
      </c>
      <c r="I16" s="220" t="s">
        <v>380</v>
      </c>
      <c r="J16" s="220">
        <f>References!$C$18</f>
        <v>34</v>
      </c>
      <c r="K16" s="224">
        <f>References!$G$11</f>
        <v>21.666666666666664</v>
      </c>
      <c r="L16" s="222">
        <f>IFERROR((VLOOKUP(C16,'2180 (Reg.) - Price Out '!B:AJ,35,FALSE)),0)</f>
        <v>0</v>
      </c>
      <c r="M16" s="222">
        <f t="shared" si="1"/>
        <v>260</v>
      </c>
      <c r="N16" s="223">
        <v>61.22</v>
      </c>
    </row>
    <row r="17" spans="1:15" ht="15" customHeight="1">
      <c r="A17" s="225" t="s">
        <v>93</v>
      </c>
      <c r="B17" s="225" t="s">
        <v>382</v>
      </c>
      <c r="C17" s="225" t="s">
        <v>398</v>
      </c>
      <c r="D17" s="225" t="s">
        <v>400</v>
      </c>
      <c r="E17" s="225" t="s">
        <v>378</v>
      </c>
      <c r="F17" s="226" t="s">
        <v>383</v>
      </c>
      <c r="G17" s="226" t="s">
        <v>82</v>
      </c>
      <c r="H17" s="226" t="str">
        <f t="shared" si="0"/>
        <v>32 Gallon Cart WG-R</v>
      </c>
      <c r="I17" s="220" t="s">
        <v>380</v>
      </c>
      <c r="J17" s="220">
        <f>References!$C$18</f>
        <v>34</v>
      </c>
      <c r="K17" s="224">
        <f>References!$G$11</f>
        <v>21.666666666666664</v>
      </c>
      <c r="L17" s="222">
        <f>IFERROR((VLOOKUP(C17,'2180 (Reg.) - Price Out '!B:AJ,35,FALSE)),0)</f>
        <v>0</v>
      </c>
      <c r="M17" s="222">
        <f t="shared" si="1"/>
        <v>260</v>
      </c>
      <c r="N17" s="223">
        <v>56.22</v>
      </c>
    </row>
    <row r="18" spans="1:15" ht="15" customHeight="1">
      <c r="A18" s="225" t="s">
        <v>93</v>
      </c>
      <c r="B18" s="225" t="s">
        <v>382</v>
      </c>
      <c r="C18" s="225" t="s">
        <v>401</v>
      </c>
      <c r="D18" s="225" t="s">
        <v>403</v>
      </c>
      <c r="E18" s="225" t="s">
        <v>378</v>
      </c>
      <c r="F18" s="226" t="s">
        <v>383</v>
      </c>
      <c r="G18" s="226" t="s">
        <v>83</v>
      </c>
      <c r="H18" s="226" t="str">
        <f t="shared" si="0"/>
        <v>32 Gallon Cart WG-NR</v>
      </c>
      <c r="I18" s="220" t="s">
        <v>380</v>
      </c>
      <c r="J18" s="220">
        <f>References!$C$18</f>
        <v>34</v>
      </c>
      <c r="K18" s="224">
        <f>References!$H$11</f>
        <v>26</v>
      </c>
      <c r="L18" s="222">
        <f>IFERROR((VLOOKUP(C18,'2180 (Reg.) - Price Out '!B:AJ,35,FALSE)),0)</f>
        <v>0</v>
      </c>
      <c r="M18" s="222">
        <f t="shared" si="1"/>
        <v>312</v>
      </c>
      <c r="N18" s="223">
        <v>72.260000000000005</v>
      </c>
    </row>
    <row r="19" spans="1:15" ht="15" customHeight="1">
      <c r="A19" s="225" t="s">
        <v>93</v>
      </c>
      <c r="B19" s="225" t="s">
        <v>382</v>
      </c>
      <c r="C19" s="225" t="s">
        <v>402</v>
      </c>
      <c r="D19" s="225" t="s">
        <v>404</v>
      </c>
      <c r="E19" s="225" t="s">
        <v>378</v>
      </c>
      <c r="F19" s="226" t="s">
        <v>383</v>
      </c>
      <c r="G19" s="226" t="s">
        <v>82</v>
      </c>
      <c r="H19" s="226" t="str">
        <f t="shared" si="0"/>
        <v>32 Gallon Cart WG-R</v>
      </c>
      <c r="I19" s="220" t="s">
        <v>380</v>
      </c>
      <c r="J19" s="220">
        <f>References!$C$18</f>
        <v>34</v>
      </c>
      <c r="K19" s="224">
        <f>References!$H$11</f>
        <v>26</v>
      </c>
      <c r="L19" s="222">
        <f>IFERROR((VLOOKUP(C19,'2180 (Reg.) - Price Out '!B:AJ,35,FALSE)),0)</f>
        <v>0</v>
      </c>
      <c r="M19" s="222">
        <f t="shared" si="1"/>
        <v>312</v>
      </c>
      <c r="N19" s="223">
        <v>66.260000000000005</v>
      </c>
    </row>
    <row r="20" spans="1:15" ht="15" customHeight="1">
      <c r="A20" s="225" t="s">
        <v>93</v>
      </c>
      <c r="B20" s="225" t="s">
        <v>382</v>
      </c>
      <c r="C20" s="225" t="s">
        <v>201</v>
      </c>
      <c r="D20" s="225" t="s">
        <v>202</v>
      </c>
      <c r="E20" s="225" t="s">
        <v>108</v>
      </c>
      <c r="F20" s="226" t="s">
        <v>84</v>
      </c>
      <c r="G20" s="226" t="s">
        <v>387</v>
      </c>
      <c r="H20" s="226" t="str">
        <f t="shared" si="0"/>
        <v>35 Gallon Cart MG-R</v>
      </c>
      <c r="I20" s="220" t="s">
        <v>123</v>
      </c>
      <c r="J20" s="220">
        <f>References!$C$18</f>
        <v>34</v>
      </c>
      <c r="K20" s="224">
        <f>References!$C$13</f>
        <v>1</v>
      </c>
      <c r="L20" s="222">
        <f>IFERROR((VLOOKUP(C20,'2180 (Reg.) - Price Out '!B:AJ,35,FALSE)),0)</f>
        <v>519.49165573691141</v>
      </c>
      <c r="M20" s="222">
        <f t="shared" si="1"/>
        <v>519.49165573691141</v>
      </c>
      <c r="N20" s="223">
        <v>9.3699999999999992</v>
      </c>
    </row>
    <row r="21" spans="1:15" ht="15" customHeight="1">
      <c r="A21" s="225" t="s">
        <v>93</v>
      </c>
      <c r="B21" s="225" t="s">
        <v>382</v>
      </c>
      <c r="C21" s="225" t="s">
        <v>203</v>
      </c>
      <c r="D21" s="225" t="s">
        <v>204</v>
      </c>
      <c r="E21" s="225" t="s">
        <v>108</v>
      </c>
      <c r="F21" s="226" t="s">
        <v>384</v>
      </c>
      <c r="G21" s="226" t="s">
        <v>388</v>
      </c>
      <c r="H21" s="226" t="str">
        <f t="shared" si="0"/>
        <v>35 Gallon Cart EOW-R</v>
      </c>
      <c r="I21" s="220" t="s">
        <v>123</v>
      </c>
      <c r="J21" s="220">
        <f>References!$C$18</f>
        <v>34</v>
      </c>
      <c r="K21" s="224">
        <f>References!$C$12</f>
        <v>2.1666666666666665</v>
      </c>
      <c r="L21" s="222">
        <f>IFERROR((VLOOKUP(C21,'2180 (Reg.) - Price Out '!B:AJ,35,FALSE)),0)</f>
        <v>3127.3698211847445</v>
      </c>
      <c r="M21" s="222">
        <f t="shared" si="1"/>
        <v>6775.9679459002791</v>
      </c>
      <c r="N21" s="223">
        <v>12.78</v>
      </c>
    </row>
    <row r="22" spans="1:15" ht="15" customHeight="1">
      <c r="A22" s="225" t="s">
        <v>93</v>
      </c>
      <c r="B22" s="225" t="s">
        <v>382</v>
      </c>
      <c r="C22" s="225" t="s">
        <v>205</v>
      </c>
      <c r="D22" s="225" t="s">
        <v>206</v>
      </c>
      <c r="E22" s="225" t="s">
        <v>108</v>
      </c>
      <c r="F22" s="226" t="s">
        <v>383</v>
      </c>
      <c r="G22" s="226" t="s">
        <v>82</v>
      </c>
      <c r="H22" s="226" t="str">
        <f t="shared" si="0"/>
        <v>35 Gallon Cart WG-R</v>
      </c>
      <c r="I22" s="220" t="s">
        <v>123</v>
      </c>
      <c r="J22" s="220">
        <f>References!$C$18</f>
        <v>34</v>
      </c>
      <c r="K22" s="224">
        <f>References!$C$11</f>
        <v>4.333333333333333</v>
      </c>
      <c r="L22" s="222">
        <f>IFERROR((VLOOKUP(C22,'2180 (Reg.) - Price Out '!B:AJ,35,FALSE)),0)</f>
        <v>19288.370124590481</v>
      </c>
      <c r="M22" s="222">
        <f t="shared" si="1"/>
        <v>83582.937206558752</v>
      </c>
      <c r="N22" s="223">
        <v>19.21</v>
      </c>
    </row>
    <row r="23" spans="1:15" ht="15" customHeight="1">
      <c r="A23" s="225" t="s">
        <v>93</v>
      </c>
      <c r="B23" s="225" t="s">
        <v>382</v>
      </c>
      <c r="C23" s="225" t="s">
        <v>207</v>
      </c>
      <c r="D23" s="225" t="s">
        <v>208</v>
      </c>
      <c r="E23" s="225" t="s">
        <v>108</v>
      </c>
      <c r="F23" s="226" t="s">
        <v>383</v>
      </c>
      <c r="G23" s="226" t="s">
        <v>82</v>
      </c>
      <c r="H23" s="226" t="str">
        <f t="shared" si="0"/>
        <v>35 Gallon Cart WG-R</v>
      </c>
      <c r="I23" s="220" t="s">
        <v>123</v>
      </c>
      <c r="J23" s="220">
        <f>References!$C$18</f>
        <v>34</v>
      </c>
      <c r="K23" s="224">
        <f>References!$D$11</f>
        <v>8.6666666666666661</v>
      </c>
      <c r="L23" s="222">
        <f>IFERROR((VLOOKUP(C23,'2180 (Reg.) - Price Out '!B:AJ,35,FALSE)),0)</f>
        <v>40.272746957322234</v>
      </c>
      <c r="M23" s="222">
        <f t="shared" si="1"/>
        <v>349.03047363012598</v>
      </c>
      <c r="N23" s="223">
        <v>38.42</v>
      </c>
      <c r="O23" s="406"/>
    </row>
    <row r="24" spans="1:15" ht="15" customHeight="1">
      <c r="A24" s="225" t="s">
        <v>93</v>
      </c>
      <c r="B24" s="225" t="s">
        <v>382</v>
      </c>
      <c r="C24" s="225" t="s">
        <v>209</v>
      </c>
      <c r="D24" s="225" t="s">
        <v>210</v>
      </c>
      <c r="E24" s="225" t="s">
        <v>109</v>
      </c>
      <c r="F24" s="226" t="s">
        <v>84</v>
      </c>
      <c r="G24" s="226" t="s">
        <v>379</v>
      </c>
      <c r="H24" s="226" t="str">
        <f t="shared" si="0"/>
        <v>65 Gallon Cart MG-NR</v>
      </c>
      <c r="I24" s="220" t="s">
        <v>124</v>
      </c>
      <c r="J24" s="220">
        <f>References!$C$25</f>
        <v>47</v>
      </c>
      <c r="K24" s="224">
        <f>References!$C$13</f>
        <v>1</v>
      </c>
      <c r="L24" s="222">
        <f>IFERROR((VLOOKUP(C24,'2180 (Reg.) - Price Out '!B:AJ,35,FALSE)),0)</f>
        <v>273.07553315695992</v>
      </c>
      <c r="M24" s="222">
        <f t="shared" si="1"/>
        <v>273.07553315695992</v>
      </c>
      <c r="N24" s="223">
        <v>11.42</v>
      </c>
    </row>
    <row r="25" spans="1:15" ht="15" customHeight="1">
      <c r="A25" s="225" t="s">
        <v>93</v>
      </c>
      <c r="B25" s="225" t="s">
        <v>382</v>
      </c>
      <c r="C25" s="225" t="s">
        <v>211</v>
      </c>
      <c r="D25" s="225" t="s">
        <v>212</v>
      </c>
      <c r="E25" s="225" t="s">
        <v>109</v>
      </c>
      <c r="F25" s="226" t="s">
        <v>84</v>
      </c>
      <c r="G25" s="226" t="s">
        <v>387</v>
      </c>
      <c r="H25" s="226" t="str">
        <f t="shared" si="0"/>
        <v>65 Gallon Cart MG-R</v>
      </c>
      <c r="I25" s="220" t="s">
        <v>124</v>
      </c>
      <c r="J25" s="220">
        <f>References!$C$25</f>
        <v>47</v>
      </c>
      <c r="K25" s="224">
        <f>References!$C$13</f>
        <v>1</v>
      </c>
      <c r="L25" s="222">
        <f>IFERROR((VLOOKUP(C25,'2180 (Reg.) - Price Out '!B:AJ,35,FALSE)),0)</f>
        <v>22172.182217310932</v>
      </c>
      <c r="M25" s="222">
        <f t="shared" si="1"/>
        <v>22172.182217310932</v>
      </c>
      <c r="N25" s="223">
        <v>9.42</v>
      </c>
    </row>
    <row r="26" spans="1:15" ht="15" customHeight="1">
      <c r="A26" s="225" t="s">
        <v>93</v>
      </c>
      <c r="B26" s="225" t="s">
        <v>382</v>
      </c>
      <c r="C26" s="225" t="s">
        <v>213</v>
      </c>
      <c r="D26" s="225" t="s">
        <v>214</v>
      </c>
      <c r="E26" s="225" t="s">
        <v>109</v>
      </c>
      <c r="F26" s="226" t="s">
        <v>383</v>
      </c>
      <c r="G26" s="226" t="s">
        <v>83</v>
      </c>
      <c r="H26" s="226" t="str">
        <f t="shared" si="0"/>
        <v>65 Gallon Cart WG-NR</v>
      </c>
      <c r="I26" s="220" t="s">
        <v>124</v>
      </c>
      <c r="J26" s="220">
        <f>References!$C$25</f>
        <v>47</v>
      </c>
      <c r="K26" s="224">
        <f>References!$C$11</f>
        <v>4.333333333333333</v>
      </c>
      <c r="L26" s="222">
        <f>IFERROR((VLOOKUP(C26,'2180 (Reg.) - Price Out '!B:AJ,35,FALSE)),0)</f>
        <v>3882.234067256069</v>
      </c>
      <c r="M26" s="222">
        <f t="shared" si="1"/>
        <v>16823.014291442963</v>
      </c>
      <c r="N26" s="223">
        <v>28.59</v>
      </c>
    </row>
    <row r="27" spans="1:15" ht="15" customHeight="1">
      <c r="A27" s="225" t="s">
        <v>93</v>
      </c>
      <c r="B27" s="225" t="s">
        <v>382</v>
      </c>
      <c r="C27" s="225" t="s">
        <v>215</v>
      </c>
      <c r="D27" s="225" t="s">
        <v>216</v>
      </c>
      <c r="E27" s="225" t="s">
        <v>109</v>
      </c>
      <c r="F27" s="226" t="s">
        <v>383</v>
      </c>
      <c r="G27" s="226" t="s">
        <v>82</v>
      </c>
      <c r="H27" s="226" t="str">
        <f t="shared" si="0"/>
        <v>65 Gallon Cart WG-R</v>
      </c>
      <c r="I27" s="220" t="s">
        <v>124</v>
      </c>
      <c r="J27" s="220">
        <f>References!$C$25</f>
        <v>47</v>
      </c>
      <c r="K27" s="224">
        <f>References!$C$11</f>
        <v>4.333333333333333</v>
      </c>
      <c r="L27" s="222">
        <f>IFERROR((VLOOKUP(C27,'2180 (Reg.) - Price Out '!B:AJ,35,FALSE)),0)</f>
        <v>318599.64367916551</v>
      </c>
      <c r="M27" s="222">
        <f t="shared" si="1"/>
        <v>1380598.4559430506</v>
      </c>
      <c r="N27" s="223">
        <v>26.59</v>
      </c>
    </row>
    <row r="28" spans="1:15" ht="15" customHeight="1">
      <c r="A28" s="225" t="s">
        <v>93</v>
      </c>
      <c r="B28" s="225" t="s">
        <v>382</v>
      </c>
      <c r="C28" s="225" t="s">
        <v>217</v>
      </c>
      <c r="D28" s="225" t="s">
        <v>218</v>
      </c>
      <c r="E28" s="225" t="s">
        <v>109</v>
      </c>
      <c r="F28" s="226" t="s">
        <v>384</v>
      </c>
      <c r="G28" s="226" t="s">
        <v>385</v>
      </c>
      <c r="H28" s="226" t="str">
        <f t="shared" si="0"/>
        <v>65 Gallon Cart EOWG-NR</v>
      </c>
      <c r="I28" s="220" t="s">
        <v>124</v>
      </c>
      <c r="J28" s="220">
        <f>References!$C$25</f>
        <v>47</v>
      </c>
      <c r="K28" s="224">
        <f>References!$C$12</f>
        <v>2.1666666666666665</v>
      </c>
      <c r="L28" s="222">
        <f>IFERROR((VLOOKUP(C28,'2180 (Reg.) - Price Out '!B:AJ,35,FALSE)),0)</f>
        <v>1959.4638269544675</v>
      </c>
      <c r="M28" s="222">
        <f t="shared" si="1"/>
        <v>4245.5049584013459</v>
      </c>
      <c r="N28" s="223">
        <v>18.579999999999998</v>
      </c>
    </row>
    <row r="29" spans="1:15" ht="15" customHeight="1">
      <c r="A29" s="225" t="s">
        <v>93</v>
      </c>
      <c r="B29" s="225" t="s">
        <v>382</v>
      </c>
      <c r="C29" s="225" t="s">
        <v>219</v>
      </c>
      <c r="D29" s="225" t="s">
        <v>220</v>
      </c>
      <c r="E29" s="225" t="s">
        <v>109</v>
      </c>
      <c r="F29" s="226" t="s">
        <v>384</v>
      </c>
      <c r="G29" s="226" t="s">
        <v>388</v>
      </c>
      <c r="H29" s="226" t="str">
        <f t="shared" si="0"/>
        <v>65 Gallon Cart EOW-R</v>
      </c>
      <c r="I29" s="220" t="s">
        <v>124</v>
      </c>
      <c r="J29" s="220">
        <f>References!$C$25</f>
        <v>47</v>
      </c>
      <c r="K29" s="224">
        <f>References!$C$12</f>
        <v>2.1666666666666665</v>
      </c>
      <c r="L29" s="222">
        <f>IFERROR((VLOOKUP(C29,'2180 (Reg.) - Price Out '!B:AJ,35,FALSE)),0)</f>
        <v>140024.77920691279</v>
      </c>
      <c r="M29" s="222">
        <f t="shared" si="1"/>
        <v>303387.02161497768</v>
      </c>
      <c r="N29" s="223">
        <v>16.579999999999998</v>
      </c>
    </row>
    <row r="30" spans="1:15" ht="15" customHeight="1">
      <c r="A30" s="225" t="s">
        <v>93</v>
      </c>
      <c r="B30" s="225" t="s">
        <v>382</v>
      </c>
      <c r="C30" s="225" t="s">
        <v>221</v>
      </c>
      <c r="D30" s="225" t="s">
        <v>222</v>
      </c>
      <c r="E30" s="225" t="s">
        <v>110</v>
      </c>
      <c r="F30" s="226" t="s">
        <v>84</v>
      </c>
      <c r="G30" s="226" t="s">
        <v>379</v>
      </c>
      <c r="H30" s="226" t="str">
        <f t="shared" si="0"/>
        <v>95 Gallon Cart MG-NR</v>
      </c>
      <c r="I30" s="220" t="s">
        <v>125</v>
      </c>
      <c r="J30" s="220">
        <f>References!$C$26</f>
        <v>68</v>
      </c>
      <c r="K30" s="224">
        <f>References!$C$13</f>
        <v>1</v>
      </c>
      <c r="L30" s="222">
        <f>IFERROR((VLOOKUP(C30,'2180 (Reg.) - Price Out '!B:AJ,35,FALSE)),0)</f>
        <v>30.012802562430473</v>
      </c>
      <c r="M30" s="222">
        <f t="shared" si="1"/>
        <v>30.012802562430473</v>
      </c>
      <c r="N30" s="223">
        <v>15.92</v>
      </c>
    </row>
    <row r="31" spans="1:15" ht="15" customHeight="1">
      <c r="A31" s="225" t="s">
        <v>93</v>
      </c>
      <c r="B31" s="225" t="s">
        <v>382</v>
      </c>
      <c r="C31" s="225" t="s">
        <v>223</v>
      </c>
      <c r="D31" s="225" t="s">
        <v>224</v>
      </c>
      <c r="E31" s="225" t="s">
        <v>110</v>
      </c>
      <c r="F31" s="226" t="s">
        <v>84</v>
      </c>
      <c r="G31" s="226" t="s">
        <v>387</v>
      </c>
      <c r="H31" s="226" t="str">
        <f t="shared" si="0"/>
        <v>95 Gallon Cart MG-R</v>
      </c>
      <c r="I31" s="220" t="s">
        <v>125</v>
      </c>
      <c r="J31" s="220">
        <f>References!$C$26</f>
        <v>68</v>
      </c>
      <c r="K31" s="224">
        <f>References!$C$13</f>
        <v>1</v>
      </c>
      <c r="L31" s="222">
        <f>IFERROR((VLOOKUP(C31,'2180 (Reg.) - Price Out '!B:AJ,35,FALSE)),0)</f>
        <v>2175.2282989660612</v>
      </c>
      <c r="M31" s="222">
        <f t="shared" si="1"/>
        <v>2175.2282989660612</v>
      </c>
      <c r="N31" s="223">
        <v>12.92</v>
      </c>
    </row>
    <row r="32" spans="1:15" ht="15" customHeight="1">
      <c r="A32" s="225" t="s">
        <v>93</v>
      </c>
      <c r="B32" s="225" t="s">
        <v>382</v>
      </c>
      <c r="C32" s="225" t="s">
        <v>225</v>
      </c>
      <c r="D32" s="225" t="s">
        <v>226</v>
      </c>
      <c r="E32" s="225" t="s">
        <v>110</v>
      </c>
      <c r="F32" s="226" t="s">
        <v>383</v>
      </c>
      <c r="G32" s="226" t="s">
        <v>83</v>
      </c>
      <c r="H32" s="226" t="str">
        <f t="shared" si="0"/>
        <v>95 Gallon Cart WG-NR</v>
      </c>
      <c r="I32" s="220" t="s">
        <v>125</v>
      </c>
      <c r="J32" s="220">
        <f>References!$C$26</f>
        <v>68</v>
      </c>
      <c r="K32" s="224">
        <f>References!$C$11</f>
        <v>4.333333333333333</v>
      </c>
      <c r="L32" s="222">
        <f>IFERROR((VLOOKUP(C32,'2180 (Reg.) - Price Out '!B:AJ,35,FALSE)),0)</f>
        <v>1044.7573423238882</v>
      </c>
      <c r="M32" s="222">
        <f t="shared" si="1"/>
        <v>4527.2818167368487</v>
      </c>
      <c r="N32" s="223">
        <v>38.24</v>
      </c>
    </row>
    <row r="33" spans="1:15" ht="15" customHeight="1">
      <c r="A33" s="225" t="s">
        <v>93</v>
      </c>
      <c r="B33" s="225" t="s">
        <v>382</v>
      </c>
      <c r="C33" s="225" t="s">
        <v>227</v>
      </c>
      <c r="D33" s="225" t="s">
        <v>228</v>
      </c>
      <c r="E33" s="225" t="s">
        <v>110</v>
      </c>
      <c r="F33" s="226" t="s">
        <v>383</v>
      </c>
      <c r="G33" s="226" t="s">
        <v>82</v>
      </c>
      <c r="H33" s="226" t="str">
        <f t="shared" si="0"/>
        <v>95 Gallon Cart WG-R</v>
      </c>
      <c r="I33" s="220" t="s">
        <v>125</v>
      </c>
      <c r="J33" s="220">
        <f>References!$C$26</f>
        <v>68</v>
      </c>
      <c r="K33" s="224">
        <f>References!$C$11</f>
        <v>4.333333333333333</v>
      </c>
      <c r="L33" s="222">
        <f>IFERROR((VLOOKUP(C33,'2180 (Reg.) - Price Out '!B:AJ,35,FALSE)),0)</f>
        <v>88930.885271130115</v>
      </c>
      <c r="M33" s="222">
        <f t="shared" si="1"/>
        <v>385367.16950823046</v>
      </c>
      <c r="N33" s="223">
        <v>35.24</v>
      </c>
    </row>
    <row r="34" spans="1:15" ht="15" customHeight="1">
      <c r="A34" s="225" t="s">
        <v>93</v>
      </c>
      <c r="B34" s="225" t="s">
        <v>382</v>
      </c>
      <c r="C34" s="225" t="s">
        <v>231</v>
      </c>
      <c r="D34" s="225" t="s">
        <v>232</v>
      </c>
      <c r="E34" s="225" t="s">
        <v>110</v>
      </c>
      <c r="F34" s="226" t="s">
        <v>384</v>
      </c>
      <c r="G34" s="226" t="s">
        <v>385</v>
      </c>
      <c r="H34" s="226" t="str">
        <f t="shared" si="0"/>
        <v>95 Gallon Cart EOWG-NR</v>
      </c>
      <c r="I34" s="220" t="s">
        <v>125</v>
      </c>
      <c r="J34" s="220">
        <f>References!$C$26</f>
        <v>68</v>
      </c>
      <c r="K34" s="224">
        <f>References!$C$12</f>
        <v>2.1666666666666665</v>
      </c>
      <c r="L34" s="222">
        <f>IFERROR((VLOOKUP(C34,'2180 (Reg.) - Price Out '!B:AJ,35,FALSE)),0)</f>
        <v>108.90663514000744</v>
      </c>
      <c r="M34" s="222">
        <f t="shared" si="1"/>
        <v>235.96437613668277</v>
      </c>
      <c r="N34" s="223">
        <v>24.76</v>
      </c>
    </row>
    <row r="35" spans="1:15" ht="14.25" customHeight="1">
      <c r="A35" s="225" t="s">
        <v>93</v>
      </c>
      <c r="B35" s="225" t="s">
        <v>382</v>
      </c>
      <c r="C35" s="225" t="s">
        <v>233</v>
      </c>
      <c r="D35" s="225" t="s">
        <v>234</v>
      </c>
      <c r="E35" s="225" t="s">
        <v>110</v>
      </c>
      <c r="F35" s="226" t="s">
        <v>384</v>
      </c>
      <c r="G35" s="226" t="s">
        <v>386</v>
      </c>
      <c r="H35" s="226" t="str">
        <f t="shared" si="0"/>
        <v>95 Gallon Cart EOWG-R</v>
      </c>
      <c r="I35" s="220" t="s">
        <v>125</v>
      </c>
      <c r="J35" s="220">
        <f>References!$C$26</f>
        <v>68</v>
      </c>
      <c r="K35" s="224">
        <f>References!$C$12</f>
        <v>2.1666666666666665</v>
      </c>
      <c r="L35" s="222">
        <f>IFERROR((VLOOKUP(C35,'2180 (Reg.) - Price Out '!B:AJ,35,FALSE)),0)</f>
        <v>18918.649860882735</v>
      </c>
      <c r="M35" s="222">
        <f t="shared" si="1"/>
        <v>40990.408031912593</v>
      </c>
      <c r="N35" s="223">
        <v>21.76</v>
      </c>
    </row>
    <row r="36" spans="1:15" ht="14.25" customHeight="1">
      <c r="A36" s="225" t="s">
        <v>93</v>
      </c>
      <c r="B36" s="225" t="s">
        <v>405</v>
      </c>
      <c r="C36" s="225" t="s">
        <v>235</v>
      </c>
      <c r="D36" s="225" t="s">
        <v>236</v>
      </c>
      <c r="E36" s="225" t="s">
        <v>85</v>
      </c>
      <c r="F36" s="226" t="s">
        <v>86</v>
      </c>
      <c r="G36" s="226" t="s">
        <v>120</v>
      </c>
      <c r="H36" s="226" t="str">
        <f t="shared" ref="H36:H69" si="3">CONCATENATE(E36," ",G36)</f>
        <v>Extra Units Extra</v>
      </c>
      <c r="I36" s="220" t="s">
        <v>126</v>
      </c>
      <c r="J36" s="220">
        <f>References!$C$31</f>
        <v>125</v>
      </c>
      <c r="K36" s="224">
        <f>References!$C$14</f>
        <v>1</v>
      </c>
      <c r="L36" s="222">
        <f>IFERROR((VLOOKUP(C36,'2180 (Reg.) - Price Out '!B:AJ,35,FALSE)),0)</f>
        <v>727.30321507651274</v>
      </c>
      <c r="M36" s="222">
        <f t="shared" ref="M36:M69" si="4">IF(L36=0,K36*12,K36*L36)</f>
        <v>727.30321507651274</v>
      </c>
      <c r="N36" s="223">
        <v>32.04</v>
      </c>
      <c r="O36" s="124">
        <f>SUM(L4:L35)/12</f>
        <v>53074.079081691307</v>
      </c>
    </row>
    <row r="37" spans="1:15" ht="15" customHeight="1">
      <c r="A37" s="225" t="s">
        <v>93</v>
      </c>
      <c r="B37" s="225" t="s">
        <v>381</v>
      </c>
      <c r="C37" s="225" t="s">
        <v>237</v>
      </c>
      <c r="D37" s="225" t="s">
        <v>238</v>
      </c>
      <c r="E37" s="225" t="s">
        <v>85</v>
      </c>
      <c r="F37" s="227" t="s">
        <v>86</v>
      </c>
      <c r="G37" s="226" t="s">
        <v>120</v>
      </c>
      <c r="H37" s="226" t="str">
        <f t="shared" si="3"/>
        <v>Extra Units Extra</v>
      </c>
      <c r="I37" s="220" t="s">
        <v>123</v>
      </c>
      <c r="J37" s="220">
        <f>References!$C$28</f>
        <v>34</v>
      </c>
      <c r="K37" s="224">
        <f>References!$C$14</f>
        <v>1</v>
      </c>
      <c r="L37" s="222">
        <f>IFERROR((VLOOKUP(C37,'2180 (Reg.) - Price Out '!B:AJ,35,FALSE)),0)</f>
        <v>29075.734568392883</v>
      </c>
      <c r="M37" s="222">
        <f t="shared" si="4"/>
        <v>29075.734568392883</v>
      </c>
      <c r="N37" s="223">
        <v>4.3899999999999997</v>
      </c>
    </row>
    <row r="38" spans="1:15" ht="15" customHeight="1">
      <c r="A38" s="192" t="s">
        <v>99</v>
      </c>
      <c r="B38" s="192" t="s">
        <v>392</v>
      </c>
      <c r="C38" s="192" t="s">
        <v>239</v>
      </c>
      <c r="D38" s="192" t="s">
        <v>240</v>
      </c>
      <c r="E38" s="192" t="s">
        <v>87</v>
      </c>
      <c r="F38" s="195" t="s">
        <v>86</v>
      </c>
      <c r="G38" s="192" t="s">
        <v>898</v>
      </c>
      <c r="H38" s="195" t="s">
        <v>899</v>
      </c>
      <c r="I38" s="191" t="s">
        <v>126</v>
      </c>
      <c r="J38" s="191">
        <f>References!$C$32</f>
        <v>175</v>
      </c>
      <c r="K38" s="206">
        <f>References!$C$11</f>
        <v>4.333333333333333</v>
      </c>
      <c r="L38" s="208">
        <f>IFERROR((VLOOKUP(C38,'2180 (Reg.) - Price Out '!B:AJ,35,FALSE)),0)</f>
        <v>15464.330350163094</v>
      </c>
      <c r="M38" s="208">
        <f t="shared" si="4"/>
        <v>67012.098184040078</v>
      </c>
      <c r="N38" s="204">
        <v>93.63</v>
      </c>
      <c r="O38" s="213"/>
    </row>
    <row r="39" spans="1:15" ht="15" customHeight="1">
      <c r="A39" s="192" t="s">
        <v>99</v>
      </c>
      <c r="B39" s="192" t="s">
        <v>392</v>
      </c>
      <c r="C39" s="192" t="s">
        <v>241</v>
      </c>
      <c r="D39" s="192" t="s">
        <v>242</v>
      </c>
      <c r="E39" s="192" t="s">
        <v>87</v>
      </c>
      <c r="F39" s="195" t="s">
        <v>86</v>
      </c>
      <c r="G39" s="192" t="s">
        <v>119</v>
      </c>
      <c r="H39" s="195" t="s">
        <v>899</v>
      </c>
      <c r="I39" s="191" t="s">
        <v>126</v>
      </c>
      <c r="J39" s="191">
        <f>References!$C$32</f>
        <v>175</v>
      </c>
      <c r="K39" s="206">
        <f>References!$C$10</f>
        <v>8.6666666666666661</v>
      </c>
      <c r="L39" s="208">
        <f>IFERROR((VLOOKUP(C39,'2180 (Reg.) - Price Out '!B:AJ,35,FALSE)),0)</f>
        <v>37.222247745936947</v>
      </c>
      <c r="M39" s="208">
        <f t="shared" si="4"/>
        <v>322.59281379812018</v>
      </c>
      <c r="N39" s="204">
        <v>174.13</v>
      </c>
      <c r="O39" s="213"/>
    </row>
    <row r="40" spans="1:15" ht="15" customHeight="1">
      <c r="A40" s="192" t="s">
        <v>99</v>
      </c>
      <c r="B40" s="192" t="s">
        <v>392</v>
      </c>
      <c r="C40" s="192" t="s">
        <v>243</v>
      </c>
      <c r="D40" s="192" t="s">
        <v>244</v>
      </c>
      <c r="E40" s="192" t="s">
        <v>87</v>
      </c>
      <c r="F40" s="195" t="s">
        <v>86</v>
      </c>
      <c r="G40" s="192" t="s">
        <v>119</v>
      </c>
      <c r="H40" s="195" t="s">
        <v>899</v>
      </c>
      <c r="I40" s="191" t="s">
        <v>126</v>
      </c>
      <c r="J40" s="191">
        <f>References!$C$32</f>
        <v>175</v>
      </c>
      <c r="K40" s="206">
        <f>References!$C$9</f>
        <v>13</v>
      </c>
      <c r="L40" s="208">
        <f>IFERROR((VLOOKUP(C40,'2180 (Reg.) - Price Out '!B:AJ,35,FALSE)),0)</f>
        <v>12</v>
      </c>
      <c r="M40" s="208">
        <f t="shared" si="4"/>
        <v>156</v>
      </c>
      <c r="N40" s="204">
        <v>254.62</v>
      </c>
      <c r="O40" s="213"/>
    </row>
    <row r="41" spans="1:15" ht="15" customHeight="1">
      <c r="A41" s="192" t="s">
        <v>99</v>
      </c>
      <c r="B41" s="192" t="s">
        <v>392</v>
      </c>
      <c r="C41" s="192" t="s">
        <v>651</v>
      </c>
      <c r="D41" s="192" t="s">
        <v>966</v>
      </c>
      <c r="E41" s="192" t="s">
        <v>87</v>
      </c>
      <c r="F41" s="195" t="s">
        <v>86</v>
      </c>
      <c r="G41" s="192" t="s">
        <v>119</v>
      </c>
      <c r="H41" s="195" t="s">
        <v>899</v>
      </c>
      <c r="I41" s="191" t="s">
        <v>126</v>
      </c>
      <c r="J41" s="191">
        <f>References!$C$32</f>
        <v>175</v>
      </c>
      <c r="K41" s="206">
        <f>References!$C$12</f>
        <v>2.1666666666666665</v>
      </c>
      <c r="L41" s="208">
        <f>IFERROR((VLOOKUP(C41,'2180 (Reg.) - Price Out '!B:AJ,35,FALSE)),0)</f>
        <v>9</v>
      </c>
      <c r="M41" s="208">
        <f t="shared" ref="M41" si="5">IF(L41=0,K41*12,K41*L41)</f>
        <v>19.5</v>
      </c>
      <c r="N41" s="204">
        <f>31.73+(18.59*1.17)</f>
        <v>53.4803</v>
      </c>
      <c r="O41" s="213"/>
    </row>
    <row r="42" spans="1:15" ht="15" customHeight="1">
      <c r="A42" s="192" t="s">
        <v>99</v>
      </c>
      <c r="B42" s="192" t="s">
        <v>391</v>
      </c>
      <c r="C42" s="192" t="s">
        <v>367</v>
      </c>
      <c r="D42" s="192" t="s">
        <v>368</v>
      </c>
      <c r="E42" s="192" t="s">
        <v>85</v>
      </c>
      <c r="F42" s="195" t="s">
        <v>86</v>
      </c>
      <c r="G42" s="192" t="s">
        <v>120</v>
      </c>
      <c r="H42" s="195" t="str">
        <f t="shared" si="3"/>
        <v>Extra Units Extra</v>
      </c>
      <c r="I42" s="191" t="s">
        <v>126</v>
      </c>
      <c r="J42" s="191">
        <f>References!$C$31</f>
        <v>125</v>
      </c>
      <c r="K42" s="206">
        <f>References!$C$14</f>
        <v>1</v>
      </c>
      <c r="L42" s="208">
        <f>IFERROR((VLOOKUP(C42,'2180 (Reg.) - Price Out '!B:AJ,35,FALSE)),0)</f>
        <v>0</v>
      </c>
      <c r="M42" s="208">
        <f t="shared" si="4"/>
        <v>12</v>
      </c>
      <c r="N42" s="204">
        <v>32.04</v>
      </c>
    </row>
    <row r="43" spans="1:15" ht="15" customHeight="1">
      <c r="A43" s="192" t="s">
        <v>99</v>
      </c>
      <c r="B43" s="192" t="s">
        <v>392</v>
      </c>
      <c r="C43" s="192" t="s">
        <v>347</v>
      </c>
      <c r="D43" s="192" t="s">
        <v>348</v>
      </c>
      <c r="E43" s="192" t="s">
        <v>87</v>
      </c>
      <c r="F43" s="195" t="s">
        <v>86</v>
      </c>
      <c r="G43" s="192" t="s">
        <v>173</v>
      </c>
      <c r="H43" s="195" t="str">
        <f t="shared" si="3"/>
        <v>1 yard Temp</v>
      </c>
      <c r="I43" s="191" t="s">
        <v>126</v>
      </c>
      <c r="J43" s="191">
        <f>References!$C$32</f>
        <v>175</v>
      </c>
      <c r="K43" s="206">
        <f>References!$C$14</f>
        <v>1</v>
      </c>
      <c r="L43" s="208">
        <f>IFERROR((VLOOKUP(C43,'2180 (Reg.) - Price Out '!B:AJ,35,FALSE)),0)</f>
        <v>46</v>
      </c>
      <c r="M43" s="208">
        <f t="shared" si="4"/>
        <v>46</v>
      </c>
      <c r="N43" s="204">
        <v>23.38</v>
      </c>
      <c r="O43" s="213"/>
    </row>
    <row r="44" spans="1:15" ht="15" customHeight="1">
      <c r="A44" s="192" t="s">
        <v>99</v>
      </c>
      <c r="B44" s="192" t="s">
        <v>392</v>
      </c>
      <c r="C44" s="192" t="s">
        <v>247</v>
      </c>
      <c r="D44" s="192" t="s">
        <v>248</v>
      </c>
      <c r="E44" s="192" t="s">
        <v>88</v>
      </c>
      <c r="F44" s="195" t="s">
        <v>86</v>
      </c>
      <c r="G44" s="192" t="s">
        <v>119</v>
      </c>
      <c r="H44" s="195" t="str">
        <f t="shared" si="3"/>
        <v>1.5 yard Regular</v>
      </c>
      <c r="I44" s="191" t="s">
        <v>127</v>
      </c>
      <c r="J44" s="191">
        <f>References!$C$33</f>
        <v>250</v>
      </c>
      <c r="K44" s="206">
        <f>References!$C$11</f>
        <v>4.333333333333333</v>
      </c>
      <c r="L44" s="208">
        <f>IFERROR((VLOOKUP(C44,'2180 (Reg.) - Price Out '!B:AJ,35,FALSE)),0)</f>
        <v>3044.0669685799407</v>
      </c>
      <c r="M44" s="208">
        <f t="shared" si="4"/>
        <v>13190.95686384641</v>
      </c>
      <c r="N44" s="204">
        <v>128.24</v>
      </c>
      <c r="O44" s="213"/>
    </row>
    <row r="45" spans="1:15" ht="15" customHeight="1">
      <c r="A45" s="192" t="s">
        <v>99</v>
      </c>
      <c r="B45" s="192" t="s">
        <v>392</v>
      </c>
      <c r="C45" s="192" t="s">
        <v>249</v>
      </c>
      <c r="D45" s="192" t="s">
        <v>250</v>
      </c>
      <c r="E45" s="192" t="s">
        <v>88</v>
      </c>
      <c r="F45" s="195" t="s">
        <v>86</v>
      </c>
      <c r="G45" s="192" t="s">
        <v>119</v>
      </c>
      <c r="H45" s="195" t="str">
        <f t="shared" si="3"/>
        <v>1.5 yard Regular</v>
      </c>
      <c r="I45" s="191" t="s">
        <v>127</v>
      </c>
      <c r="J45" s="191">
        <f>References!$C$33</f>
        <v>250</v>
      </c>
      <c r="K45" s="206">
        <f>References!$C$10</f>
        <v>8.6666666666666661</v>
      </c>
      <c r="L45" s="208">
        <f>IFERROR((VLOOKUP(C45,'2180 (Reg.) - Price Out '!B:AJ,35,FALSE)),0)</f>
        <v>261.17232656940018</v>
      </c>
      <c r="M45" s="208">
        <f t="shared" si="4"/>
        <v>2263.4934969348014</v>
      </c>
      <c r="N45" s="204">
        <v>238.52</v>
      </c>
      <c r="O45" s="213"/>
    </row>
    <row r="46" spans="1:15" ht="15" customHeight="1">
      <c r="A46" s="192" t="s">
        <v>99</v>
      </c>
      <c r="B46" s="192" t="s">
        <v>392</v>
      </c>
      <c r="C46" s="192" t="s">
        <v>251</v>
      </c>
      <c r="D46" s="192" t="s">
        <v>252</v>
      </c>
      <c r="E46" s="192" t="s">
        <v>88</v>
      </c>
      <c r="F46" s="195" t="s">
        <v>86</v>
      </c>
      <c r="G46" s="192" t="s">
        <v>119</v>
      </c>
      <c r="H46" s="195" t="str">
        <f t="shared" si="3"/>
        <v>1.5 yard Regular</v>
      </c>
      <c r="I46" s="191" t="s">
        <v>127</v>
      </c>
      <c r="J46" s="191">
        <f>References!$C$33</f>
        <v>250</v>
      </c>
      <c r="K46" s="206">
        <f>References!$C$9</f>
        <v>13</v>
      </c>
      <c r="L46" s="208">
        <f>IFERROR((VLOOKUP(C46,'2180 (Reg.) - Price Out '!B:AJ,35,FALSE)),0)</f>
        <v>24</v>
      </c>
      <c r="M46" s="208">
        <f t="shared" si="4"/>
        <v>312</v>
      </c>
      <c r="N46" s="204">
        <v>348.81</v>
      </c>
      <c r="O46" s="213"/>
    </row>
    <row r="47" spans="1:15" ht="15" customHeight="1">
      <c r="A47" s="192" t="s">
        <v>99</v>
      </c>
      <c r="B47" s="192" t="s">
        <v>405</v>
      </c>
      <c r="C47" s="192" t="s">
        <v>361</v>
      </c>
      <c r="D47" s="192" t="s">
        <v>362</v>
      </c>
      <c r="E47" s="192" t="s">
        <v>85</v>
      </c>
      <c r="F47" s="195" t="s">
        <v>86</v>
      </c>
      <c r="G47" s="210" t="s">
        <v>120</v>
      </c>
      <c r="H47" s="195" t="str">
        <f t="shared" si="3"/>
        <v>Extra Units Extra</v>
      </c>
      <c r="I47" s="191" t="s">
        <v>126</v>
      </c>
      <c r="J47" s="191">
        <f>References!$C$32</f>
        <v>175</v>
      </c>
      <c r="K47" s="206">
        <f>References!$C$14</f>
        <v>1</v>
      </c>
      <c r="L47" s="208">
        <f>IFERROR((VLOOKUP(C47,'2180 (Reg.) - Price Out '!B:AJ,35,FALSE)),0)</f>
        <v>0</v>
      </c>
      <c r="M47" s="208">
        <f t="shared" si="4"/>
        <v>12</v>
      </c>
      <c r="N47" s="204">
        <v>32.04</v>
      </c>
    </row>
    <row r="48" spans="1:15" ht="15" customHeight="1">
      <c r="A48" s="192" t="s">
        <v>99</v>
      </c>
      <c r="B48" s="192" t="s">
        <v>392</v>
      </c>
      <c r="C48" s="192" t="s">
        <v>245</v>
      </c>
      <c r="D48" s="192" t="s">
        <v>246</v>
      </c>
      <c r="E48" s="192" t="s">
        <v>87</v>
      </c>
      <c r="F48" s="195" t="s">
        <v>86</v>
      </c>
      <c r="G48" s="192" t="s">
        <v>119</v>
      </c>
      <c r="H48" s="195" t="str">
        <f t="shared" si="3"/>
        <v>1 yard Regular</v>
      </c>
      <c r="I48" s="191" t="s">
        <v>126</v>
      </c>
      <c r="J48" s="191">
        <f>References!$C$32</f>
        <v>175</v>
      </c>
      <c r="K48" s="206">
        <f>References!$C$8</f>
        <v>17.333333333333332</v>
      </c>
      <c r="L48" s="208">
        <f>IFERROR((VLOOKUP(C48,'2180 (Reg.) - Price Out '!B:AJ,35,FALSE)),0)</f>
        <v>0</v>
      </c>
      <c r="M48" s="208">
        <f t="shared" si="4"/>
        <v>208</v>
      </c>
      <c r="N48" s="204">
        <v>335.12</v>
      </c>
    </row>
    <row r="49" spans="1:19" ht="15" customHeight="1">
      <c r="A49" s="192" t="s">
        <v>99</v>
      </c>
      <c r="B49" s="192" t="s">
        <v>392</v>
      </c>
      <c r="C49" s="192" t="s">
        <v>349</v>
      </c>
      <c r="D49" s="192" t="s">
        <v>350</v>
      </c>
      <c r="E49" s="192" t="s">
        <v>88</v>
      </c>
      <c r="F49" s="195" t="s">
        <v>86</v>
      </c>
      <c r="G49" s="192" t="s">
        <v>173</v>
      </c>
      <c r="H49" s="195" t="str">
        <f t="shared" si="3"/>
        <v>1.5 yard Temp</v>
      </c>
      <c r="I49" s="191" t="s">
        <v>127</v>
      </c>
      <c r="J49" s="191">
        <f>References!$C$33</f>
        <v>250</v>
      </c>
      <c r="K49" s="206">
        <f>References!$C$14</f>
        <v>1</v>
      </c>
      <c r="L49" s="208">
        <f>IFERROR((VLOOKUP(C49,'2180 (Reg.) - Price Out '!B:AJ,35,FALSE)),0)</f>
        <v>327</v>
      </c>
      <c r="M49" s="208">
        <f t="shared" si="4"/>
        <v>327</v>
      </c>
      <c r="N49" s="204">
        <v>31.2</v>
      </c>
      <c r="O49" s="213"/>
    </row>
    <row r="50" spans="1:19" ht="15" customHeight="1">
      <c r="A50" s="192" t="s">
        <v>99</v>
      </c>
      <c r="B50" s="192" t="s">
        <v>392</v>
      </c>
      <c r="C50" s="192" t="s">
        <v>257</v>
      </c>
      <c r="D50" s="192" t="s">
        <v>258</v>
      </c>
      <c r="E50" s="192" t="s">
        <v>89</v>
      </c>
      <c r="F50" s="195" t="s">
        <v>86</v>
      </c>
      <c r="G50" s="192" t="s">
        <v>119</v>
      </c>
      <c r="H50" s="195" t="str">
        <f t="shared" si="3"/>
        <v>2 yard Regular</v>
      </c>
      <c r="I50" s="191" t="s">
        <v>131</v>
      </c>
      <c r="J50" s="191">
        <f>References!$C$34</f>
        <v>324</v>
      </c>
      <c r="K50" s="206">
        <f>References!$C$11</f>
        <v>4.333333333333333</v>
      </c>
      <c r="L50" s="208">
        <f>IFERROR((VLOOKUP(C50,'2180 (Reg.) - Price Out '!B:AJ,35,FALSE)),0)</f>
        <v>4565.7409491742619</v>
      </c>
      <c r="M50" s="208">
        <f t="shared" si="4"/>
        <v>19784.8774464218</v>
      </c>
      <c r="N50" s="204">
        <v>164.24</v>
      </c>
      <c r="O50" s="213"/>
    </row>
    <row r="51" spans="1:19" ht="15" customHeight="1">
      <c r="A51" s="192" t="s">
        <v>99</v>
      </c>
      <c r="B51" s="192" t="s">
        <v>392</v>
      </c>
      <c r="C51" s="192" t="s">
        <v>259</v>
      </c>
      <c r="D51" s="192" t="s">
        <v>260</v>
      </c>
      <c r="E51" s="192" t="s">
        <v>89</v>
      </c>
      <c r="F51" s="195" t="s">
        <v>86</v>
      </c>
      <c r="G51" s="192" t="s">
        <v>119</v>
      </c>
      <c r="H51" s="195" t="str">
        <f t="shared" si="3"/>
        <v>2 yard Regular</v>
      </c>
      <c r="I51" s="191" t="s">
        <v>131</v>
      </c>
      <c r="J51" s="191">
        <f>References!$C$34</f>
        <v>324</v>
      </c>
      <c r="K51" s="206">
        <f>References!$C$10</f>
        <v>8.6666666666666661</v>
      </c>
      <c r="L51" s="208">
        <f>IFERROR((VLOOKUP(C51,'2180 (Reg.) - Price Out '!B:AJ,35,FALSE)),0)</f>
        <v>469.21886612595722</v>
      </c>
      <c r="M51" s="208">
        <f t="shared" si="4"/>
        <v>4066.5635064249623</v>
      </c>
      <c r="N51" s="204">
        <v>309.47000000000003</v>
      </c>
      <c r="O51" s="213"/>
      <c r="S51" s="159"/>
    </row>
    <row r="52" spans="1:19" ht="15" customHeight="1">
      <c r="A52" s="192" t="s">
        <v>99</v>
      </c>
      <c r="B52" s="192" t="s">
        <v>392</v>
      </c>
      <c r="C52" s="192" t="s">
        <v>261</v>
      </c>
      <c r="D52" s="192" t="s">
        <v>262</v>
      </c>
      <c r="E52" s="192" t="s">
        <v>89</v>
      </c>
      <c r="F52" s="195" t="s">
        <v>86</v>
      </c>
      <c r="G52" s="192" t="s">
        <v>119</v>
      </c>
      <c r="H52" s="195" t="str">
        <f t="shared" si="3"/>
        <v>2 yard Regular</v>
      </c>
      <c r="I52" s="191" t="s">
        <v>131</v>
      </c>
      <c r="J52" s="191">
        <f>References!$C$34</f>
        <v>324</v>
      </c>
      <c r="K52" s="206">
        <f>References!$C$9</f>
        <v>13</v>
      </c>
      <c r="L52" s="208">
        <f>IFERROR((VLOOKUP(C52,'2180 (Reg.) - Price Out '!B:AJ,35,FALSE)),0)</f>
        <v>123.7756458313895</v>
      </c>
      <c r="M52" s="208">
        <f t="shared" si="4"/>
        <v>1609.0833958080634</v>
      </c>
      <c r="N52" s="204">
        <v>454.69</v>
      </c>
      <c r="O52" s="213"/>
      <c r="S52" s="159"/>
    </row>
    <row r="53" spans="1:19" ht="15" customHeight="1">
      <c r="A53" s="192" t="s">
        <v>99</v>
      </c>
      <c r="B53" s="192" t="s">
        <v>392</v>
      </c>
      <c r="C53" s="192" t="s">
        <v>253</v>
      </c>
      <c r="D53" s="192" t="s">
        <v>254</v>
      </c>
      <c r="E53" s="192" t="s">
        <v>88</v>
      </c>
      <c r="F53" s="195" t="s">
        <v>86</v>
      </c>
      <c r="G53" s="192" t="s">
        <v>119</v>
      </c>
      <c r="H53" s="195" t="str">
        <f t="shared" si="3"/>
        <v>1.5 yard Regular</v>
      </c>
      <c r="I53" s="191" t="s">
        <v>127</v>
      </c>
      <c r="J53" s="191">
        <f>References!$C$33</f>
        <v>250</v>
      </c>
      <c r="K53" s="206">
        <f>References!$C$8</f>
        <v>17.333333333333332</v>
      </c>
      <c r="L53" s="208">
        <f>IFERROR((VLOOKUP(C53,'2180 (Reg.) - Price Out '!B:AJ,35,FALSE)),0)</f>
        <v>0</v>
      </c>
      <c r="M53" s="208">
        <f t="shared" si="4"/>
        <v>208</v>
      </c>
      <c r="N53" s="204">
        <v>459.09</v>
      </c>
      <c r="S53" s="159"/>
    </row>
    <row r="54" spans="1:19" ht="15" customHeight="1">
      <c r="A54" s="192" t="s">
        <v>99</v>
      </c>
      <c r="B54" s="192" t="s">
        <v>392</v>
      </c>
      <c r="C54" s="192" t="s">
        <v>351</v>
      </c>
      <c r="D54" s="192" t="s">
        <v>352</v>
      </c>
      <c r="E54" s="192" t="s">
        <v>89</v>
      </c>
      <c r="F54" s="195" t="s">
        <v>86</v>
      </c>
      <c r="G54" s="192" t="s">
        <v>173</v>
      </c>
      <c r="H54" s="195" t="str">
        <f t="shared" si="3"/>
        <v>2 yard Temp</v>
      </c>
      <c r="I54" s="191" t="s">
        <v>131</v>
      </c>
      <c r="J54" s="191">
        <f>References!$C$34</f>
        <v>324</v>
      </c>
      <c r="K54" s="206">
        <f>References!$C$14</f>
        <v>1</v>
      </c>
      <c r="L54" s="208">
        <f>IFERROR((VLOOKUP(C54,'2180 (Reg.) - Price Out '!B:AJ,35,FALSE)),0)</f>
        <v>779.95006570302235</v>
      </c>
      <c r="M54" s="208">
        <f t="shared" si="4"/>
        <v>779.95006570302235</v>
      </c>
      <c r="N54" s="204">
        <v>38.049999999999997</v>
      </c>
      <c r="O54" s="213"/>
      <c r="S54" s="159"/>
    </row>
    <row r="55" spans="1:19" ht="15" customHeight="1">
      <c r="A55" s="192" t="s">
        <v>99</v>
      </c>
      <c r="B55" s="192" t="s">
        <v>392</v>
      </c>
      <c r="C55" s="192" t="s">
        <v>265</v>
      </c>
      <c r="D55" s="192" t="s">
        <v>266</v>
      </c>
      <c r="E55" s="192" t="s">
        <v>92</v>
      </c>
      <c r="F55" s="195" t="s">
        <v>86</v>
      </c>
      <c r="G55" s="192" t="s">
        <v>119</v>
      </c>
      <c r="H55" s="195" t="str">
        <f t="shared" si="3"/>
        <v>3 yard Regular</v>
      </c>
      <c r="I55" s="191" t="s">
        <v>130</v>
      </c>
      <c r="J55" s="191">
        <f>References!$C$35</f>
        <v>473</v>
      </c>
      <c r="K55" s="206">
        <f>References!$C$11</f>
        <v>4.333333333333333</v>
      </c>
      <c r="L55" s="208">
        <f>IFERROR((VLOOKUP(C55,'2180 (Reg.) - Price Out '!B:AJ,35,FALSE)),0)</f>
        <v>1550.1725166903925</v>
      </c>
      <c r="M55" s="208">
        <f t="shared" si="4"/>
        <v>6717.4142389917006</v>
      </c>
      <c r="N55" s="204">
        <v>229.55</v>
      </c>
      <c r="O55" s="213"/>
      <c r="S55" s="159"/>
    </row>
    <row r="56" spans="1:19" ht="15" customHeight="1">
      <c r="A56" s="192" t="s">
        <v>99</v>
      </c>
      <c r="B56" s="192" t="s">
        <v>392</v>
      </c>
      <c r="C56" s="192" t="s">
        <v>267</v>
      </c>
      <c r="D56" s="192" t="s">
        <v>268</v>
      </c>
      <c r="E56" s="192" t="s">
        <v>92</v>
      </c>
      <c r="F56" s="195" t="s">
        <v>86</v>
      </c>
      <c r="G56" s="192" t="s">
        <v>119</v>
      </c>
      <c r="H56" s="195" t="str">
        <f t="shared" si="3"/>
        <v>3 yard Regular</v>
      </c>
      <c r="I56" s="191" t="s">
        <v>130</v>
      </c>
      <c r="J56" s="191">
        <f>References!$C$35</f>
        <v>473</v>
      </c>
      <c r="K56" s="206">
        <f>References!$C$10</f>
        <v>8.6666666666666661</v>
      </c>
      <c r="L56" s="208">
        <f>IFERROR((VLOOKUP(C56,'2180 (Reg.) - Price Out '!B:AJ,35,FALSE)),0)</f>
        <v>234.01661651221417</v>
      </c>
      <c r="M56" s="208">
        <f t="shared" si="4"/>
        <v>2028.1440097725226</v>
      </c>
      <c r="N56" s="204">
        <v>435.36</v>
      </c>
      <c r="O56" s="213"/>
      <c r="S56" s="159"/>
    </row>
    <row r="57" spans="1:19" ht="15" customHeight="1">
      <c r="A57" s="192" t="s">
        <v>99</v>
      </c>
      <c r="B57" s="192" t="s">
        <v>392</v>
      </c>
      <c r="C57" s="192" t="s">
        <v>269</v>
      </c>
      <c r="D57" s="192" t="s">
        <v>270</v>
      </c>
      <c r="E57" s="192" t="s">
        <v>92</v>
      </c>
      <c r="F57" s="195" t="s">
        <v>86</v>
      </c>
      <c r="G57" s="192" t="s">
        <v>119</v>
      </c>
      <c r="H57" s="195" t="str">
        <f t="shared" si="3"/>
        <v>3 yard Regular</v>
      </c>
      <c r="I57" s="191" t="s">
        <v>130</v>
      </c>
      <c r="J57" s="191">
        <f>References!$C$35</f>
        <v>473</v>
      </c>
      <c r="K57" s="206">
        <f>References!$C$9</f>
        <v>13</v>
      </c>
      <c r="L57" s="208">
        <f>IFERROR((VLOOKUP(C57,'2180 (Reg.) - Price Out '!B:AJ,35,FALSE)),0)</f>
        <v>54.230769230769234</v>
      </c>
      <c r="M57" s="208">
        <f t="shared" si="4"/>
        <v>705</v>
      </c>
      <c r="N57" s="204">
        <v>641.16</v>
      </c>
      <c r="O57" s="213"/>
      <c r="S57" s="159"/>
    </row>
    <row r="58" spans="1:19" ht="15" customHeight="1">
      <c r="A58" s="192" t="s">
        <v>99</v>
      </c>
      <c r="B58" s="192" t="s">
        <v>392</v>
      </c>
      <c r="C58" s="192" t="s">
        <v>652</v>
      </c>
      <c r="D58" s="192" t="s">
        <v>967</v>
      </c>
      <c r="E58" s="192" t="s">
        <v>92</v>
      </c>
      <c r="F58" s="195" t="s">
        <v>86</v>
      </c>
      <c r="G58" s="192" t="s">
        <v>119</v>
      </c>
      <c r="H58" s="195" t="str">
        <f t="shared" ref="H58" si="6">CONCATENATE(E58," ",G58)</f>
        <v>3 yard Regular</v>
      </c>
      <c r="I58" s="191" t="s">
        <v>130</v>
      </c>
      <c r="J58" s="191">
        <f>References!$C$35</f>
        <v>473</v>
      </c>
      <c r="K58" s="206">
        <f>References!$C$8</f>
        <v>17.333333333333332</v>
      </c>
      <c r="L58" s="208">
        <f>IFERROR((VLOOKUP(C58,'2180 (Reg.) - Price Out '!B:AJ,35,FALSE)),0)</f>
        <v>9.8333313083941825</v>
      </c>
      <c r="M58" s="208">
        <f t="shared" ref="M58" si="7">IF(L58=0,K58*12,K58*L58)</f>
        <v>170.44440934549914</v>
      </c>
      <c r="N58" s="204">
        <v>846.97</v>
      </c>
      <c r="O58" s="213"/>
      <c r="S58" s="159"/>
    </row>
    <row r="59" spans="1:19" ht="15" customHeight="1">
      <c r="A59" s="192" t="s">
        <v>99</v>
      </c>
      <c r="B59" s="192" t="s">
        <v>392</v>
      </c>
      <c r="C59" s="192" t="s">
        <v>353</v>
      </c>
      <c r="D59" s="192" t="s">
        <v>354</v>
      </c>
      <c r="E59" s="192" t="s">
        <v>92</v>
      </c>
      <c r="F59" s="195" t="s">
        <v>86</v>
      </c>
      <c r="G59" s="192" t="s">
        <v>173</v>
      </c>
      <c r="H59" s="195" t="str">
        <f t="shared" si="3"/>
        <v>3 yard Temp</v>
      </c>
      <c r="I59" s="191" t="s">
        <v>130</v>
      </c>
      <c r="J59" s="191">
        <f>References!$C$35</f>
        <v>473</v>
      </c>
      <c r="K59" s="206">
        <f>References!$C$14</f>
        <v>1</v>
      </c>
      <c r="L59" s="208">
        <f>IFERROR((VLOOKUP(C59,'2180 (Reg.) - Price Out '!B:AJ,35,FALSE)),0)</f>
        <v>1</v>
      </c>
      <c r="M59" s="208">
        <f t="shared" si="4"/>
        <v>1</v>
      </c>
      <c r="N59" s="204">
        <v>53.43</v>
      </c>
      <c r="O59" s="213"/>
      <c r="S59" s="159"/>
    </row>
    <row r="60" spans="1:19" ht="15" customHeight="1">
      <c r="A60" s="192" t="s">
        <v>99</v>
      </c>
      <c r="B60" s="192" t="s">
        <v>392</v>
      </c>
      <c r="C60" s="192" t="s">
        <v>255</v>
      </c>
      <c r="D60" s="192" t="s">
        <v>256</v>
      </c>
      <c r="E60" s="192" t="s">
        <v>88</v>
      </c>
      <c r="F60" s="195" t="s">
        <v>86</v>
      </c>
      <c r="G60" s="192" t="s">
        <v>119</v>
      </c>
      <c r="H60" s="195" t="str">
        <f t="shared" si="3"/>
        <v>1.5 yard Regular</v>
      </c>
      <c r="I60" s="191" t="s">
        <v>127</v>
      </c>
      <c r="J60" s="191">
        <f>References!$C$33</f>
        <v>250</v>
      </c>
      <c r="K60" s="206">
        <f>References!$C$7</f>
        <v>21.666666666666668</v>
      </c>
      <c r="L60" s="208">
        <f>IFERROR((VLOOKUP(C60,'2180 (Reg.) - Price Out '!B:AJ,35,FALSE)),0)</f>
        <v>0</v>
      </c>
      <c r="M60" s="208">
        <f t="shared" si="4"/>
        <v>260</v>
      </c>
      <c r="N60" s="204">
        <v>569.38</v>
      </c>
      <c r="S60" s="159"/>
    </row>
    <row r="61" spans="1:19" ht="15" customHeight="1">
      <c r="A61" s="192" t="s">
        <v>99</v>
      </c>
      <c r="B61" s="192" t="s">
        <v>392</v>
      </c>
      <c r="C61" s="192" t="s">
        <v>263</v>
      </c>
      <c r="D61" s="192" t="s">
        <v>264</v>
      </c>
      <c r="E61" s="192" t="s">
        <v>89</v>
      </c>
      <c r="F61" s="195" t="s">
        <v>86</v>
      </c>
      <c r="G61" s="192" t="s">
        <v>119</v>
      </c>
      <c r="H61" s="195" t="str">
        <f t="shared" si="3"/>
        <v>2 yard Regular</v>
      </c>
      <c r="I61" s="191" t="s">
        <v>131</v>
      </c>
      <c r="J61" s="191">
        <f>References!$C$34</f>
        <v>324</v>
      </c>
      <c r="K61" s="206">
        <f>References!$C$7</f>
        <v>21.666666666666668</v>
      </c>
      <c r="L61" s="208">
        <f>IFERROR((VLOOKUP(C61,'2180 (Reg.) - Price Out '!B:AJ,35,FALSE)),0)</f>
        <v>0</v>
      </c>
      <c r="M61" s="208">
        <f t="shared" si="4"/>
        <v>260</v>
      </c>
      <c r="N61" s="204">
        <v>745.15</v>
      </c>
      <c r="O61" s="213"/>
      <c r="S61" s="159"/>
    </row>
    <row r="62" spans="1:19" ht="15" customHeight="1">
      <c r="A62" s="192" t="s">
        <v>99</v>
      </c>
      <c r="B62" s="192" t="s">
        <v>392</v>
      </c>
      <c r="C62" s="192" t="s">
        <v>273</v>
      </c>
      <c r="D62" s="192" t="s">
        <v>274</v>
      </c>
      <c r="E62" s="192" t="s">
        <v>90</v>
      </c>
      <c r="F62" s="195" t="s">
        <v>86</v>
      </c>
      <c r="G62" s="192" t="s">
        <v>119</v>
      </c>
      <c r="H62" s="195" t="str">
        <f t="shared" si="3"/>
        <v>4 yard Regular</v>
      </c>
      <c r="I62" s="191" t="s">
        <v>128</v>
      </c>
      <c r="J62" s="191">
        <f>References!$C$36</f>
        <v>613</v>
      </c>
      <c r="K62" s="206">
        <f>References!$C$11</f>
        <v>4.333333333333333</v>
      </c>
      <c r="L62" s="208">
        <f>IFERROR((VLOOKUP(C62,'2180 (Reg.) - Price Out '!B:AJ,35,FALSE)),0)</f>
        <v>1905.9001346158093</v>
      </c>
      <c r="M62" s="208">
        <f t="shared" si="4"/>
        <v>8258.900583335173</v>
      </c>
      <c r="N62" s="204">
        <v>302.02999999999997</v>
      </c>
      <c r="O62" s="213"/>
    </row>
    <row r="63" spans="1:19" ht="15" customHeight="1">
      <c r="A63" s="192" t="s">
        <v>99</v>
      </c>
      <c r="B63" s="192" t="s">
        <v>392</v>
      </c>
      <c r="C63" s="192" t="s">
        <v>275</v>
      </c>
      <c r="D63" s="192" t="s">
        <v>276</v>
      </c>
      <c r="E63" s="192" t="s">
        <v>90</v>
      </c>
      <c r="F63" s="195" t="s">
        <v>86</v>
      </c>
      <c r="G63" s="192" t="s">
        <v>119</v>
      </c>
      <c r="H63" s="195" t="str">
        <f t="shared" si="3"/>
        <v>4 yard Regular</v>
      </c>
      <c r="I63" s="191" t="s">
        <v>128</v>
      </c>
      <c r="J63" s="191">
        <f>References!$C$36</f>
        <v>613</v>
      </c>
      <c r="K63" s="206">
        <f>References!$C$10</f>
        <v>8.6666666666666661</v>
      </c>
      <c r="L63" s="208">
        <f>IFERROR((VLOOKUP(C63,'2180 (Reg.) - Price Out '!B:AJ,35,FALSE)),0)</f>
        <v>418.36508786784395</v>
      </c>
      <c r="M63" s="208">
        <f t="shared" si="4"/>
        <v>3625.8307615213139</v>
      </c>
      <c r="N63" s="204">
        <v>578.71</v>
      </c>
      <c r="O63" s="213"/>
      <c r="S63" s="159"/>
    </row>
    <row r="64" spans="1:19" ht="15" customHeight="1">
      <c r="A64" s="192" t="s">
        <v>99</v>
      </c>
      <c r="B64" s="192" t="s">
        <v>392</v>
      </c>
      <c r="C64" s="192" t="s">
        <v>277</v>
      </c>
      <c r="D64" s="192" t="s">
        <v>278</v>
      </c>
      <c r="E64" s="192" t="s">
        <v>90</v>
      </c>
      <c r="F64" s="195" t="s">
        <v>86</v>
      </c>
      <c r="G64" s="192" t="s">
        <v>119</v>
      </c>
      <c r="H64" s="195" t="str">
        <f t="shared" si="3"/>
        <v>4 yard Regular</v>
      </c>
      <c r="I64" s="191" t="s">
        <v>128</v>
      </c>
      <c r="J64" s="191">
        <f>References!$C$36</f>
        <v>613</v>
      </c>
      <c r="K64" s="206">
        <f>References!$C$9</f>
        <v>13</v>
      </c>
      <c r="L64" s="208">
        <f>IFERROR((VLOOKUP(C64,'2180 (Reg.) - Price Out '!B:AJ,35,FALSE)),0)</f>
        <v>130.37472527472528</v>
      </c>
      <c r="M64" s="208">
        <f t="shared" si="4"/>
        <v>1694.8714285714286</v>
      </c>
      <c r="N64" s="204">
        <v>855.4</v>
      </c>
      <c r="O64" s="213"/>
    </row>
    <row r="65" spans="1:16" ht="15" customHeight="1">
      <c r="A65" s="192" t="s">
        <v>99</v>
      </c>
      <c r="B65" s="192" t="s">
        <v>392</v>
      </c>
      <c r="C65" s="192" t="s">
        <v>355</v>
      </c>
      <c r="D65" s="192" t="s">
        <v>356</v>
      </c>
      <c r="E65" s="192" t="s">
        <v>90</v>
      </c>
      <c r="F65" s="195" t="s">
        <v>86</v>
      </c>
      <c r="G65" s="192" t="s">
        <v>173</v>
      </c>
      <c r="H65" s="195" t="str">
        <f t="shared" si="3"/>
        <v>4 yard Temp</v>
      </c>
      <c r="I65" s="191" t="s">
        <v>128</v>
      </c>
      <c r="J65" s="191">
        <f>References!$C$36</f>
        <v>613</v>
      </c>
      <c r="K65" s="206">
        <f>References!$C$14</f>
        <v>1</v>
      </c>
      <c r="L65" s="208">
        <f>IFERROR((VLOOKUP(C65,'2180 (Reg.) - Price Out '!B:AJ,35,FALSE)),0)</f>
        <v>8</v>
      </c>
      <c r="M65" s="208">
        <f t="shared" si="4"/>
        <v>8</v>
      </c>
      <c r="N65" s="204">
        <v>68.87</v>
      </c>
      <c r="O65" s="213"/>
    </row>
    <row r="66" spans="1:16" ht="15" customHeight="1">
      <c r="A66" s="192" t="s">
        <v>99</v>
      </c>
      <c r="B66" s="192" t="s">
        <v>392</v>
      </c>
      <c r="C66" s="192" t="s">
        <v>357</v>
      </c>
      <c r="D66" s="192" t="s">
        <v>358</v>
      </c>
      <c r="E66" s="192" t="s">
        <v>91</v>
      </c>
      <c r="F66" s="195" t="s">
        <v>86</v>
      </c>
      <c r="G66" s="192" t="s">
        <v>173</v>
      </c>
      <c r="H66" s="195" t="str">
        <f t="shared" si="3"/>
        <v>6 yard Temp</v>
      </c>
      <c r="I66" s="191" t="s">
        <v>129</v>
      </c>
      <c r="J66" s="191">
        <f>References!$C$37</f>
        <v>840</v>
      </c>
      <c r="K66" s="206">
        <f>References!$C$14</f>
        <v>1</v>
      </c>
      <c r="L66" s="208">
        <f>IFERROR((VLOOKUP(C66,'2180 (Reg.) - Price Out '!B:AJ,35,FALSE)),0)</f>
        <v>12</v>
      </c>
      <c r="M66" s="208">
        <f t="shared" si="4"/>
        <v>12</v>
      </c>
      <c r="N66" s="204">
        <v>95.91</v>
      </c>
      <c r="O66" s="213"/>
    </row>
    <row r="67" spans="1:16" ht="15" customHeight="1">
      <c r="A67" s="192" t="s">
        <v>99</v>
      </c>
      <c r="B67" s="192" t="s">
        <v>392</v>
      </c>
      <c r="C67" s="192" t="s">
        <v>283</v>
      </c>
      <c r="D67" s="192" t="s">
        <v>284</v>
      </c>
      <c r="E67" s="192" t="s">
        <v>91</v>
      </c>
      <c r="F67" s="195" t="s">
        <v>86</v>
      </c>
      <c r="G67" s="192" t="s">
        <v>119</v>
      </c>
      <c r="H67" s="195" t="str">
        <f t="shared" si="3"/>
        <v>6 yard Regular</v>
      </c>
      <c r="I67" s="191" t="s">
        <v>129</v>
      </c>
      <c r="J67" s="191">
        <f>References!$C$37</f>
        <v>840</v>
      </c>
      <c r="K67" s="206">
        <f>References!$C$11</f>
        <v>4.333333333333333</v>
      </c>
      <c r="L67" s="208">
        <f>IFERROR((VLOOKUP(C67,'2180 (Reg.) - Price Out '!B:AJ,35,FALSE)),0)</f>
        <v>1828.7297207341123</v>
      </c>
      <c r="M67" s="208">
        <f t="shared" si="4"/>
        <v>7924.4954565144862</v>
      </c>
      <c r="N67" s="204">
        <v>413.59</v>
      </c>
      <c r="O67" s="213"/>
    </row>
    <row r="68" spans="1:16" ht="15" customHeight="1">
      <c r="A68" s="192" t="s">
        <v>99</v>
      </c>
      <c r="B68" s="192" t="s">
        <v>392</v>
      </c>
      <c r="C68" s="192" t="s">
        <v>271</v>
      </c>
      <c r="D68" s="192" t="s">
        <v>272</v>
      </c>
      <c r="E68" s="192" t="s">
        <v>92</v>
      </c>
      <c r="F68" s="195" t="s">
        <v>86</v>
      </c>
      <c r="G68" s="192" t="s">
        <v>119</v>
      </c>
      <c r="H68" s="195" t="str">
        <f t="shared" si="3"/>
        <v>3 yard Regular</v>
      </c>
      <c r="I68" s="191" t="s">
        <v>130</v>
      </c>
      <c r="J68" s="191">
        <f>References!$C$35</f>
        <v>473</v>
      </c>
      <c r="K68" s="206">
        <f>References!$C$7</f>
        <v>21.666666666666668</v>
      </c>
      <c r="L68" s="208">
        <f>IFERROR((VLOOKUP(C68,'2180 (Reg.) - Price Out '!B:AJ,35,FALSE)),0)</f>
        <v>0</v>
      </c>
      <c r="M68" s="208">
        <f t="shared" si="4"/>
        <v>260</v>
      </c>
      <c r="N68" s="204">
        <v>1052.77</v>
      </c>
    </row>
    <row r="69" spans="1:16" ht="15" customHeight="1">
      <c r="A69" s="192" t="s">
        <v>99</v>
      </c>
      <c r="B69" s="192" t="s">
        <v>392</v>
      </c>
      <c r="C69" s="192" t="s">
        <v>285</v>
      </c>
      <c r="D69" s="192" t="s">
        <v>286</v>
      </c>
      <c r="E69" s="192" t="s">
        <v>91</v>
      </c>
      <c r="F69" s="195" t="s">
        <v>86</v>
      </c>
      <c r="G69" s="192" t="s">
        <v>119</v>
      </c>
      <c r="H69" s="195" t="str">
        <f t="shared" si="3"/>
        <v>6 yard Regular</v>
      </c>
      <c r="I69" s="191" t="s">
        <v>129</v>
      </c>
      <c r="J69" s="191">
        <f>References!$C$37</f>
        <v>840</v>
      </c>
      <c r="K69" s="206">
        <f>References!$C$10</f>
        <v>8.6666666666666661</v>
      </c>
      <c r="L69" s="208">
        <f>IFERROR((VLOOKUP(C69,'2180 (Reg.) - Price Out '!B:AJ,35,FALSE)),0)</f>
        <v>1266.6750255010834</v>
      </c>
      <c r="M69" s="208">
        <f t="shared" si="4"/>
        <v>10977.850221009388</v>
      </c>
      <c r="N69" s="204">
        <v>795.49</v>
      </c>
      <c r="O69" s="213"/>
    </row>
    <row r="70" spans="1:16" ht="15" customHeight="1">
      <c r="A70" s="192" t="s">
        <v>99</v>
      </c>
      <c r="B70" s="192" t="s">
        <v>392</v>
      </c>
      <c r="C70" s="192" t="s">
        <v>287</v>
      </c>
      <c r="D70" s="192" t="s">
        <v>288</v>
      </c>
      <c r="E70" s="192" t="s">
        <v>91</v>
      </c>
      <c r="F70" s="195" t="s">
        <v>86</v>
      </c>
      <c r="G70" s="192" t="s">
        <v>119</v>
      </c>
      <c r="H70" s="195" t="str">
        <f t="shared" ref="H70:H108" si="8">CONCATENATE(E70," ",G70)</f>
        <v>6 yard Regular</v>
      </c>
      <c r="I70" s="191" t="s">
        <v>129</v>
      </c>
      <c r="J70" s="191">
        <f>References!$C$37</f>
        <v>840</v>
      </c>
      <c r="K70" s="206">
        <f>References!$C$9</f>
        <v>13</v>
      </c>
      <c r="L70" s="208">
        <f>IFERROR((VLOOKUP(C70,'2180 (Reg.) - Price Out '!B:AJ,35,FALSE)),0)</f>
        <v>669.83807542041779</v>
      </c>
      <c r="M70" s="208">
        <f t="shared" ref="M70:M108" si="9">IF(L70=0,K70*12,K70*L70)</f>
        <v>8707.8949804654312</v>
      </c>
      <c r="N70" s="204">
        <v>1177.4000000000001</v>
      </c>
      <c r="O70" s="213"/>
    </row>
    <row r="71" spans="1:16" ht="15" customHeight="1">
      <c r="A71" s="192" t="s">
        <v>99</v>
      </c>
      <c r="B71" s="192" t="s">
        <v>392</v>
      </c>
      <c r="C71" s="192" t="s">
        <v>279</v>
      </c>
      <c r="D71" s="192" t="s">
        <v>280</v>
      </c>
      <c r="E71" s="192" t="s">
        <v>90</v>
      </c>
      <c r="F71" s="195" t="s">
        <v>86</v>
      </c>
      <c r="G71" s="192" t="s">
        <v>119</v>
      </c>
      <c r="H71" s="195" t="str">
        <f t="shared" si="8"/>
        <v>4 yard Regular</v>
      </c>
      <c r="I71" s="191" t="s">
        <v>128</v>
      </c>
      <c r="J71" s="191">
        <f>References!$C$36</f>
        <v>613</v>
      </c>
      <c r="K71" s="206">
        <f>References!$C$8</f>
        <v>17.333333333333332</v>
      </c>
      <c r="L71" s="208">
        <f>IFERROR((VLOOKUP(C71,'2180 (Reg.) - Price Out '!B:AJ,35,FALSE)),0)</f>
        <v>0.3888913425611038</v>
      </c>
      <c r="M71" s="208">
        <f t="shared" si="9"/>
        <v>6.740783271059132</v>
      </c>
      <c r="N71" s="204">
        <v>1132.0899999999999</v>
      </c>
    </row>
    <row r="72" spans="1:16" ht="15" customHeight="1">
      <c r="A72" s="192" t="s">
        <v>99</v>
      </c>
      <c r="B72" s="192" t="s">
        <v>392</v>
      </c>
      <c r="C72" s="192" t="s">
        <v>281</v>
      </c>
      <c r="D72" s="192" t="s">
        <v>282</v>
      </c>
      <c r="E72" s="192" t="s">
        <v>90</v>
      </c>
      <c r="F72" s="195" t="s">
        <v>86</v>
      </c>
      <c r="G72" s="192" t="s">
        <v>119</v>
      </c>
      <c r="H72" s="195" t="str">
        <f t="shared" si="8"/>
        <v>4 yard Regular</v>
      </c>
      <c r="I72" s="191" t="s">
        <v>128</v>
      </c>
      <c r="J72" s="191">
        <f>References!$C$36</f>
        <v>613</v>
      </c>
      <c r="K72" s="206">
        <f>References!$C$7</f>
        <v>21.666666666666668</v>
      </c>
      <c r="L72" s="208">
        <f>IFERROR((VLOOKUP(C72,'2180 (Reg.) - Price Out '!B:AJ,35,FALSE)),0)</f>
        <v>0</v>
      </c>
      <c r="M72" s="208">
        <f t="shared" si="9"/>
        <v>260</v>
      </c>
      <c r="N72" s="204">
        <v>1408.78</v>
      </c>
    </row>
    <row r="73" spans="1:16" ht="15" customHeight="1">
      <c r="A73" s="192" t="s">
        <v>99</v>
      </c>
      <c r="B73" s="192" t="s">
        <v>392</v>
      </c>
      <c r="C73" s="192" t="s">
        <v>289</v>
      </c>
      <c r="D73" s="192" t="s">
        <v>290</v>
      </c>
      <c r="E73" s="192" t="s">
        <v>91</v>
      </c>
      <c r="F73" s="195" t="s">
        <v>86</v>
      </c>
      <c r="G73" s="192" t="s">
        <v>119</v>
      </c>
      <c r="H73" s="195" t="str">
        <f t="shared" si="8"/>
        <v>6 yard Regular</v>
      </c>
      <c r="I73" s="191" t="s">
        <v>129</v>
      </c>
      <c r="J73" s="191">
        <f>References!$C$37</f>
        <v>840</v>
      </c>
      <c r="K73" s="206">
        <f>References!$C$8</f>
        <v>17.333333333333332</v>
      </c>
      <c r="L73" s="208">
        <f>IFERROR((VLOOKUP(C73,'2180 (Reg.) - Price Out '!B:AJ,35,FALSE)),0)</f>
        <v>30.166664468912771</v>
      </c>
      <c r="M73" s="208">
        <f t="shared" si="9"/>
        <v>522.88885079448801</v>
      </c>
      <c r="N73" s="204">
        <v>1559.3</v>
      </c>
      <c r="O73" s="213"/>
      <c r="P73" s="8"/>
    </row>
    <row r="74" spans="1:16" ht="15" customHeight="1">
      <c r="A74" s="192" t="s">
        <v>99</v>
      </c>
      <c r="B74" s="192" t="s">
        <v>392</v>
      </c>
      <c r="C74" s="386" t="s">
        <v>614</v>
      </c>
      <c r="D74" s="386" t="s">
        <v>615</v>
      </c>
      <c r="E74" s="386" t="s">
        <v>88</v>
      </c>
      <c r="F74" s="387" t="s">
        <v>86</v>
      </c>
      <c r="G74" s="386" t="s">
        <v>912</v>
      </c>
      <c r="H74" s="387" t="str">
        <f t="shared" si="8"/>
        <v>1.5 yard Special</v>
      </c>
      <c r="I74" s="388" t="s">
        <v>127</v>
      </c>
      <c r="J74" s="388">
        <f>References!$C$33</f>
        <v>250</v>
      </c>
      <c r="K74" s="389">
        <v>1</v>
      </c>
      <c r="L74" s="390">
        <f>IFERROR((VLOOKUP(C74,'2180 (Reg.) - Price Out '!B:AJ,35,FALSE)),0)</f>
        <v>21</v>
      </c>
      <c r="M74" s="390">
        <f t="shared" ref="M74:M79" si="10">IF(L74=0,K74*12,K74*L74)</f>
        <v>21</v>
      </c>
      <c r="N74" s="204">
        <v>71.09</v>
      </c>
      <c r="O74" s="213"/>
      <c r="P74" s="8"/>
    </row>
    <row r="75" spans="1:16" ht="15" customHeight="1">
      <c r="A75" s="192" t="s">
        <v>99</v>
      </c>
      <c r="B75" s="192" t="s">
        <v>392</v>
      </c>
      <c r="C75" s="386" t="s">
        <v>616</v>
      </c>
      <c r="D75" s="386" t="s">
        <v>617</v>
      </c>
      <c r="E75" s="386" t="s">
        <v>87</v>
      </c>
      <c r="F75" s="387" t="s">
        <v>86</v>
      </c>
      <c r="G75" s="386" t="s">
        <v>912</v>
      </c>
      <c r="H75" s="387" t="str">
        <f t="shared" si="8"/>
        <v>1 yard Special</v>
      </c>
      <c r="I75" s="388" t="s">
        <v>126</v>
      </c>
      <c r="J75" s="388">
        <f>References!$C$32</f>
        <v>175</v>
      </c>
      <c r="K75" s="389">
        <v>1</v>
      </c>
      <c r="L75" s="390">
        <f>IFERROR((VLOOKUP(C75,'2180 (Reg.) - Price Out '!B:AJ,35,FALSE)),0)</f>
        <v>55.40278865737114</v>
      </c>
      <c r="M75" s="390">
        <f t="shared" si="10"/>
        <v>55.40278865737114</v>
      </c>
      <c r="N75" s="204">
        <v>63.83</v>
      </c>
      <c r="O75" s="213"/>
      <c r="P75" s="8"/>
    </row>
    <row r="76" spans="1:16" ht="15" customHeight="1">
      <c r="A76" s="192" t="s">
        <v>99</v>
      </c>
      <c r="B76" s="192" t="s">
        <v>392</v>
      </c>
      <c r="C76" s="386" t="s">
        <v>618</v>
      </c>
      <c r="D76" s="386" t="s">
        <v>619</v>
      </c>
      <c r="E76" s="386" t="s">
        <v>89</v>
      </c>
      <c r="F76" s="387" t="s">
        <v>86</v>
      </c>
      <c r="G76" s="386" t="s">
        <v>912</v>
      </c>
      <c r="H76" s="387" t="str">
        <f t="shared" si="8"/>
        <v>2 yard Special</v>
      </c>
      <c r="I76" s="388" t="s">
        <v>131</v>
      </c>
      <c r="J76" s="388">
        <f>References!$C$34</f>
        <v>324</v>
      </c>
      <c r="K76" s="389">
        <v>1</v>
      </c>
      <c r="L76" s="390">
        <f>IFERROR((VLOOKUP(C76,'2180 (Reg.) - Price Out '!B:AJ,35,FALSE)),0)</f>
        <v>47.000509813917922</v>
      </c>
      <c r="M76" s="390">
        <f t="shared" si="10"/>
        <v>47.000509813917922</v>
      </c>
      <c r="N76" s="204">
        <v>79.41</v>
      </c>
      <c r="O76" s="213"/>
      <c r="P76" s="8"/>
    </row>
    <row r="77" spans="1:16" ht="15" customHeight="1">
      <c r="A77" s="192" t="s">
        <v>99</v>
      </c>
      <c r="B77" s="192" t="s">
        <v>392</v>
      </c>
      <c r="C77" s="386" t="s">
        <v>620</v>
      </c>
      <c r="D77" s="386" t="s">
        <v>621</v>
      </c>
      <c r="E77" s="386" t="s">
        <v>92</v>
      </c>
      <c r="F77" s="387" t="s">
        <v>86</v>
      </c>
      <c r="G77" s="386" t="s">
        <v>912</v>
      </c>
      <c r="H77" s="387" t="str">
        <f t="shared" si="8"/>
        <v>3 yard Special</v>
      </c>
      <c r="I77" s="388" t="s">
        <v>130</v>
      </c>
      <c r="J77" s="388">
        <f>References!$C$35</f>
        <v>473</v>
      </c>
      <c r="K77" s="389">
        <v>1</v>
      </c>
      <c r="L77" s="390">
        <f>IFERROR((VLOOKUP(C77,'2180 (Reg.) - Price Out '!B:AJ,35,FALSE)),0)</f>
        <v>9</v>
      </c>
      <c r="M77" s="390">
        <f t="shared" si="10"/>
        <v>9</v>
      </c>
      <c r="N77" s="204">
        <v>91.89</v>
      </c>
      <c r="O77" s="213"/>
      <c r="P77" s="8"/>
    </row>
    <row r="78" spans="1:16" ht="15" customHeight="1">
      <c r="A78" s="192" t="s">
        <v>99</v>
      </c>
      <c r="B78" s="192" t="s">
        <v>392</v>
      </c>
      <c r="C78" s="386" t="s">
        <v>622</v>
      </c>
      <c r="D78" s="386" t="s">
        <v>623</v>
      </c>
      <c r="E78" s="386" t="s">
        <v>90</v>
      </c>
      <c r="F78" s="387" t="s">
        <v>86</v>
      </c>
      <c r="G78" s="386" t="s">
        <v>912</v>
      </c>
      <c r="H78" s="387" t="str">
        <f t="shared" si="8"/>
        <v>4 yard Special</v>
      </c>
      <c r="I78" s="388" t="s">
        <v>128</v>
      </c>
      <c r="J78" s="388">
        <f>References!$C$36</f>
        <v>613</v>
      </c>
      <c r="K78" s="389">
        <v>1</v>
      </c>
      <c r="L78" s="390">
        <f>IFERROR((VLOOKUP(C78,'2180 (Reg.) - Price Out '!B:AJ,35,FALSE)),0)</f>
        <v>37</v>
      </c>
      <c r="M78" s="390">
        <f t="shared" si="10"/>
        <v>37</v>
      </c>
      <c r="N78" s="204">
        <v>106.14</v>
      </c>
      <c r="O78" s="213"/>
      <c r="P78" s="8"/>
    </row>
    <row r="79" spans="1:16" ht="15" customHeight="1">
      <c r="A79" s="192" t="s">
        <v>99</v>
      </c>
      <c r="B79" s="192" t="s">
        <v>392</v>
      </c>
      <c r="C79" s="386" t="s">
        <v>624</v>
      </c>
      <c r="D79" s="386" t="s">
        <v>625</v>
      </c>
      <c r="E79" s="386" t="s">
        <v>91</v>
      </c>
      <c r="F79" s="387" t="s">
        <v>86</v>
      </c>
      <c r="G79" s="386" t="s">
        <v>912</v>
      </c>
      <c r="H79" s="387" t="str">
        <f t="shared" si="8"/>
        <v>6 yard Special</v>
      </c>
      <c r="I79" s="388" t="s">
        <v>129</v>
      </c>
      <c r="J79" s="388">
        <f>References!$C$37</f>
        <v>840</v>
      </c>
      <c r="K79" s="389">
        <v>1</v>
      </c>
      <c r="L79" s="390">
        <f>IFERROR((VLOOKUP(C79,'2180 (Reg.) - Price Out '!B:AJ,35,FALSE)),0)</f>
        <v>141</v>
      </c>
      <c r="M79" s="390">
        <f t="shared" si="10"/>
        <v>141</v>
      </c>
      <c r="N79" s="204">
        <v>126.22</v>
      </c>
      <c r="O79" s="213"/>
      <c r="P79" s="8"/>
    </row>
    <row r="80" spans="1:16" ht="15" customHeight="1">
      <c r="A80" s="192" t="s">
        <v>99</v>
      </c>
      <c r="B80" s="192" t="s">
        <v>406</v>
      </c>
      <c r="C80" s="192" t="s">
        <v>303</v>
      </c>
      <c r="D80" s="192" t="s">
        <v>304</v>
      </c>
      <c r="E80" s="192" t="s">
        <v>378</v>
      </c>
      <c r="F80" s="195" t="s">
        <v>86</v>
      </c>
      <c r="G80" s="195" t="s">
        <v>83</v>
      </c>
      <c r="H80" s="195" t="str">
        <f t="shared" si="8"/>
        <v>32 Gallon Cart WG-NR</v>
      </c>
      <c r="I80" s="191" t="s">
        <v>380</v>
      </c>
      <c r="J80" s="191">
        <f>References!$C$30</f>
        <v>29</v>
      </c>
      <c r="K80" s="206">
        <f>References!$C$11</f>
        <v>4.333333333333333</v>
      </c>
      <c r="L80" s="208">
        <f>IFERROR((VLOOKUP(C80,'2180 (Reg.) - Price Out '!B:AJ,35,FALSE)),0)</f>
        <v>50.450255049477413</v>
      </c>
      <c r="M80" s="208">
        <f t="shared" si="9"/>
        <v>218.61777188106876</v>
      </c>
      <c r="N80" s="204">
        <v>17.809999999999999</v>
      </c>
    </row>
    <row r="81" spans="1:16" ht="15" customHeight="1">
      <c r="A81" s="192" t="s">
        <v>99</v>
      </c>
      <c r="B81" s="192" t="s">
        <v>406</v>
      </c>
      <c r="C81" s="192" t="s">
        <v>305</v>
      </c>
      <c r="D81" s="192" t="s">
        <v>306</v>
      </c>
      <c r="E81" s="192" t="s">
        <v>378</v>
      </c>
      <c r="F81" s="195" t="s">
        <v>86</v>
      </c>
      <c r="G81" s="195" t="s">
        <v>82</v>
      </c>
      <c r="H81" s="195" t="str">
        <f t="shared" si="8"/>
        <v>32 Gallon Cart WG-R</v>
      </c>
      <c r="I81" s="191" t="s">
        <v>380</v>
      </c>
      <c r="J81" s="191">
        <f>References!$C$30</f>
        <v>29</v>
      </c>
      <c r="K81" s="206">
        <f>References!$C$11</f>
        <v>4.333333333333333</v>
      </c>
      <c r="L81" s="208">
        <f>IFERROR((VLOOKUP(C81,'2180 (Reg.) - Price Out '!B:AJ,35,FALSE)),0)</f>
        <v>4594.5496911847276</v>
      </c>
      <c r="M81" s="208">
        <f t="shared" si="9"/>
        <v>19909.715328467151</v>
      </c>
      <c r="N81" s="204">
        <v>17.809999999999999</v>
      </c>
    </row>
    <row r="82" spans="1:16" ht="15" customHeight="1">
      <c r="A82" s="192" t="s">
        <v>99</v>
      </c>
      <c r="B82" s="192" t="s">
        <v>392</v>
      </c>
      <c r="C82" s="192" t="s">
        <v>291</v>
      </c>
      <c r="D82" s="192" t="s">
        <v>292</v>
      </c>
      <c r="E82" s="192" t="s">
        <v>91</v>
      </c>
      <c r="F82" s="195" t="s">
        <v>86</v>
      </c>
      <c r="G82" s="192" t="s">
        <v>119</v>
      </c>
      <c r="H82" s="195" t="str">
        <f t="shared" si="8"/>
        <v>6 yard Regular</v>
      </c>
      <c r="I82" s="191" t="s">
        <v>129</v>
      </c>
      <c r="J82" s="191">
        <f>References!$C$37</f>
        <v>840</v>
      </c>
      <c r="K82" s="206">
        <f>References!$C$7</f>
        <v>21.666666666666668</v>
      </c>
      <c r="L82" s="208">
        <f>IFERROR((VLOOKUP(C82,'2180 (Reg.) - Price Out '!B:AJ,35,FALSE)),0)</f>
        <v>0</v>
      </c>
      <c r="M82" s="208">
        <f t="shared" si="9"/>
        <v>260</v>
      </c>
      <c r="N82" s="204">
        <v>1941.21</v>
      </c>
    </row>
    <row r="83" spans="1:16" ht="15" customHeight="1">
      <c r="A83" s="192" t="s">
        <v>99</v>
      </c>
      <c r="B83" s="192" t="s">
        <v>406</v>
      </c>
      <c r="C83" s="192" t="s">
        <v>310</v>
      </c>
      <c r="D83" s="192" t="s">
        <v>304</v>
      </c>
      <c r="E83" s="192" t="s">
        <v>378</v>
      </c>
      <c r="F83" s="195" t="s">
        <v>86</v>
      </c>
      <c r="G83" s="195" t="s">
        <v>83</v>
      </c>
      <c r="H83" s="195" t="str">
        <f t="shared" si="8"/>
        <v>32 Gallon Cart WG-NR</v>
      </c>
      <c r="I83" s="191" t="s">
        <v>380</v>
      </c>
      <c r="J83" s="191">
        <f>References!$C$30</f>
        <v>29</v>
      </c>
      <c r="K83" s="206">
        <f>References!$C$11</f>
        <v>4.333333333333333</v>
      </c>
      <c r="L83" s="208">
        <f>IFERROR((VLOOKUP(C83,'2180 (Reg.) - Price Out '!B:AJ,35,FALSE)),0)</f>
        <v>0</v>
      </c>
      <c r="M83" s="208">
        <f t="shared" si="9"/>
        <v>52</v>
      </c>
      <c r="N83" s="204">
        <v>43.39</v>
      </c>
    </row>
    <row r="84" spans="1:16" ht="15" customHeight="1">
      <c r="A84" s="192" t="s">
        <v>99</v>
      </c>
      <c r="B84" s="192" t="s">
        <v>406</v>
      </c>
      <c r="C84" s="192" t="s">
        <v>307</v>
      </c>
      <c r="D84" s="192" t="s">
        <v>304</v>
      </c>
      <c r="E84" s="192" t="s">
        <v>378</v>
      </c>
      <c r="F84" s="195" t="s">
        <v>86</v>
      </c>
      <c r="G84" s="195" t="s">
        <v>83</v>
      </c>
      <c r="H84" s="195" t="str">
        <f t="shared" si="8"/>
        <v>32 Gallon Cart WG-NR</v>
      </c>
      <c r="I84" s="191" t="s">
        <v>380</v>
      </c>
      <c r="J84" s="191">
        <f>References!$C$30</f>
        <v>29</v>
      </c>
      <c r="K84" s="206">
        <f>References!$C$11</f>
        <v>4.333333333333333</v>
      </c>
      <c r="L84" s="208">
        <f>IFERROR((VLOOKUP(C84,'2180 (Reg.) - Price Out '!B:AJ,35,FALSE)),0)</f>
        <v>57</v>
      </c>
      <c r="M84" s="208">
        <f t="shared" si="9"/>
        <v>246.99999999999997</v>
      </c>
      <c r="N84" s="204">
        <v>28.92</v>
      </c>
    </row>
    <row r="85" spans="1:16" ht="15" customHeight="1">
      <c r="A85" s="192" t="s">
        <v>99</v>
      </c>
      <c r="B85" s="192" t="s">
        <v>406</v>
      </c>
      <c r="C85" s="192" t="s">
        <v>308</v>
      </c>
      <c r="D85" s="192" t="s">
        <v>309</v>
      </c>
      <c r="E85" s="192" t="s">
        <v>378</v>
      </c>
      <c r="F85" s="195" t="s">
        <v>86</v>
      </c>
      <c r="G85" s="195" t="s">
        <v>82</v>
      </c>
      <c r="H85" s="195" t="str">
        <f t="shared" si="8"/>
        <v>32 Gallon Cart WG-R</v>
      </c>
      <c r="I85" s="191" t="s">
        <v>380</v>
      </c>
      <c r="J85" s="191">
        <f>References!$C$30</f>
        <v>29</v>
      </c>
      <c r="K85" s="206">
        <f>References!$D$11</f>
        <v>8.6666666666666661</v>
      </c>
      <c r="L85" s="208">
        <f>IFERROR((VLOOKUP(C85,'2180 (Reg.) - Price Out '!B:AJ,35,FALSE)),0)</f>
        <v>41</v>
      </c>
      <c r="M85" s="208">
        <f t="shared" si="9"/>
        <v>355.33333333333331</v>
      </c>
      <c r="N85" s="204">
        <v>28.92</v>
      </c>
    </row>
    <row r="86" spans="1:16" ht="15" customHeight="1">
      <c r="A86" s="192" t="s">
        <v>99</v>
      </c>
      <c r="B86" s="192" t="s">
        <v>406</v>
      </c>
      <c r="C86" s="192" t="s">
        <v>311</v>
      </c>
      <c r="D86" s="192" t="s">
        <v>312</v>
      </c>
      <c r="E86" s="192" t="s">
        <v>378</v>
      </c>
      <c r="F86" s="195" t="s">
        <v>86</v>
      </c>
      <c r="G86" s="195" t="s">
        <v>82</v>
      </c>
      <c r="H86" s="195" t="str">
        <f t="shared" si="8"/>
        <v>32 Gallon Cart WG-R</v>
      </c>
      <c r="I86" s="191" t="s">
        <v>380</v>
      </c>
      <c r="J86" s="191">
        <f>References!$C$30</f>
        <v>29</v>
      </c>
      <c r="K86" s="206">
        <f>References!$E$11</f>
        <v>13</v>
      </c>
      <c r="L86" s="208">
        <f>IFERROR((VLOOKUP(C86,'2180 (Reg.) - Price Out '!B:AJ,35,FALSE)),0)</f>
        <v>12</v>
      </c>
      <c r="M86" s="208">
        <f t="shared" si="9"/>
        <v>156</v>
      </c>
      <c r="N86" s="204">
        <v>43.39</v>
      </c>
      <c r="P86" s="8"/>
    </row>
    <row r="87" spans="1:16" ht="15" customHeight="1">
      <c r="A87" s="192" t="s">
        <v>99</v>
      </c>
      <c r="B87" s="192" t="s">
        <v>406</v>
      </c>
      <c r="C87" s="192" t="s">
        <v>313</v>
      </c>
      <c r="D87" s="192" t="s">
        <v>314</v>
      </c>
      <c r="E87" s="192" t="s">
        <v>378</v>
      </c>
      <c r="F87" s="195" t="s">
        <v>86</v>
      </c>
      <c r="G87" s="195" t="s">
        <v>82</v>
      </c>
      <c r="H87" s="195" t="str">
        <f t="shared" si="8"/>
        <v>32 Gallon Cart WG-R</v>
      </c>
      <c r="I87" s="191" t="s">
        <v>380</v>
      </c>
      <c r="J87" s="191">
        <f>References!$C$30</f>
        <v>29</v>
      </c>
      <c r="K87" s="206">
        <f>References!$F$11</f>
        <v>17.333333333333332</v>
      </c>
      <c r="L87" s="208">
        <f>IFERROR((VLOOKUP(C87,'2180 (Reg.) - Price Out '!B:AJ,35,FALSE)),0)</f>
        <v>32.800035423308536</v>
      </c>
      <c r="M87" s="208">
        <f t="shared" si="9"/>
        <v>568.53394733734797</v>
      </c>
      <c r="N87" s="204">
        <v>57.85</v>
      </c>
      <c r="P87" s="8"/>
    </row>
    <row r="88" spans="1:16" ht="15" customHeight="1">
      <c r="A88" s="192" t="s">
        <v>99</v>
      </c>
      <c r="B88" s="192" t="s">
        <v>406</v>
      </c>
      <c r="C88" s="192" t="s">
        <v>341</v>
      </c>
      <c r="D88" s="192" t="s">
        <v>342</v>
      </c>
      <c r="E88" s="192" t="s">
        <v>108</v>
      </c>
      <c r="F88" s="195" t="s">
        <v>86</v>
      </c>
      <c r="G88" s="195" t="s">
        <v>119</v>
      </c>
      <c r="H88" s="195" t="str">
        <f t="shared" si="8"/>
        <v>35 Gallon Cart Regular</v>
      </c>
      <c r="I88" s="191" t="s">
        <v>123</v>
      </c>
      <c r="J88" s="191">
        <f>References!$C$18</f>
        <v>34</v>
      </c>
      <c r="K88" s="206">
        <f>References!$C$14</f>
        <v>1</v>
      </c>
      <c r="L88" s="208">
        <f>IFERROR((VLOOKUP(C88,'2180 (Reg.) - Price Out '!B:AJ,35,FALSE)),0)</f>
        <v>47248.005988023957</v>
      </c>
      <c r="M88" s="208">
        <f t="shared" si="9"/>
        <v>47248.005988023957</v>
      </c>
      <c r="N88" s="204">
        <v>3.34</v>
      </c>
      <c r="O88" s="385"/>
    </row>
    <row r="89" spans="1:16" ht="15" customHeight="1">
      <c r="A89" s="192" t="s">
        <v>99</v>
      </c>
      <c r="B89" s="192" t="s">
        <v>406</v>
      </c>
      <c r="C89" s="192" t="s">
        <v>343</v>
      </c>
      <c r="D89" s="192" t="s">
        <v>344</v>
      </c>
      <c r="E89" s="192" t="s">
        <v>108</v>
      </c>
      <c r="F89" s="195" t="s">
        <v>86</v>
      </c>
      <c r="G89" s="195" t="s">
        <v>119</v>
      </c>
      <c r="H89" s="195" t="str">
        <f t="shared" si="8"/>
        <v>35 Gallon Cart Regular</v>
      </c>
      <c r="I89" s="191" t="s">
        <v>123</v>
      </c>
      <c r="J89" s="191">
        <f>References!C18*4</f>
        <v>136</v>
      </c>
      <c r="K89" s="206">
        <v>4.33</v>
      </c>
      <c r="L89" s="208">
        <f>IFERROR((VLOOKUP(C89,'2180 (Reg.) - Price Out '!B:AJ,35,FALSE)),0)</f>
        <v>48.000172860847016</v>
      </c>
      <c r="M89" s="208">
        <f t="shared" si="9"/>
        <v>207.84074848746758</v>
      </c>
      <c r="N89" s="204">
        <v>57.85</v>
      </c>
    </row>
    <row r="90" spans="1:16" ht="15" customHeight="1">
      <c r="A90" s="192" t="s">
        <v>99</v>
      </c>
      <c r="B90" s="192" t="s">
        <v>406</v>
      </c>
      <c r="C90" s="192" t="s">
        <v>315</v>
      </c>
      <c r="D90" s="192" t="s">
        <v>316</v>
      </c>
      <c r="E90" s="192" t="s">
        <v>378</v>
      </c>
      <c r="F90" s="195" t="s">
        <v>86</v>
      </c>
      <c r="G90" s="195" t="s">
        <v>82</v>
      </c>
      <c r="H90" s="195" t="str">
        <f t="shared" si="8"/>
        <v>32 Gallon Cart WG-R</v>
      </c>
      <c r="I90" s="191" t="s">
        <v>380</v>
      </c>
      <c r="J90" s="191">
        <f>References!$C$30</f>
        <v>29</v>
      </c>
      <c r="K90" s="206">
        <f>References!$G$11</f>
        <v>21.666666666666664</v>
      </c>
      <c r="L90" s="208">
        <f>IFERROR((VLOOKUP(C90,'2180 (Reg.) - Price Out '!B:AJ,35,FALSE)),0)</f>
        <v>0</v>
      </c>
      <c r="M90" s="208">
        <f t="shared" si="9"/>
        <v>260</v>
      </c>
      <c r="N90" s="204">
        <v>72.31</v>
      </c>
    </row>
    <row r="91" spans="1:16" ht="15" customHeight="1">
      <c r="A91" s="192" t="s">
        <v>99</v>
      </c>
      <c r="B91" s="192" t="s">
        <v>406</v>
      </c>
      <c r="C91" s="192" t="s">
        <v>654</v>
      </c>
      <c r="D91" s="192" t="s">
        <v>969</v>
      </c>
      <c r="E91" s="192" t="s">
        <v>108</v>
      </c>
      <c r="F91" s="195" t="s">
        <v>970</v>
      </c>
      <c r="G91" s="195" t="s">
        <v>82</v>
      </c>
      <c r="H91" s="195" t="str">
        <f t="shared" si="8"/>
        <v>35 Gallon Cart WG-R</v>
      </c>
      <c r="I91" s="191" t="s">
        <v>123</v>
      </c>
      <c r="J91" s="191">
        <f>References!$C$18</f>
        <v>34</v>
      </c>
      <c r="K91" s="206">
        <v>4.33</v>
      </c>
      <c r="L91" s="208">
        <f>IFERROR((VLOOKUP(C91,'2180 (Reg.) - Price Out '!B:AJ,35,FALSE)),0)</f>
        <v>832.90230207748459</v>
      </c>
      <c r="M91" s="208">
        <f t="shared" ref="M91" si="11">IF(L91=0,K91*12,K91*L91)</f>
        <v>3606.4669679955082</v>
      </c>
      <c r="N91" s="204">
        <v>17.809999999999999</v>
      </c>
    </row>
    <row r="92" spans="1:16" ht="15" customHeight="1">
      <c r="A92" s="192" t="s">
        <v>99</v>
      </c>
      <c r="B92" s="192" t="s">
        <v>406</v>
      </c>
      <c r="C92" s="192" t="s">
        <v>319</v>
      </c>
      <c r="D92" s="192" t="s">
        <v>320</v>
      </c>
      <c r="E92" s="192" t="s">
        <v>109</v>
      </c>
      <c r="F92" s="195" t="s">
        <v>86</v>
      </c>
      <c r="G92" s="195" t="s">
        <v>83</v>
      </c>
      <c r="H92" s="195" t="str">
        <f t="shared" si="8"/>
        <v>65 Gallon Cart WG-NR</v>
      </c>
      <c r="I92" s="191" t="s">
        <v>124</v>
      </c>
      <c r="J92" s="191">
        <f>References!$C$25</f>
        <v>47</v>
      </c>
      <c r="K92" s="206">
        <f>References!$C$11</f>
        <v>4.333333333333333</v>
      </c>
      <c r="L92" s="208">
        <f>IFERROR((VLOOKUP(C92,'2180 (Reg.) - Price Out '!B:AJ,35,FALSE)),0)</f>
        <v>587.8937570956266</v>
      </c>
      <c r="M92" s="208">
        <f t="shared" si="9"/>
        <v>2547.5396140810485</v>
      </c>
      <c r="N92" s="204">
        <v>29.18</v>
      </c>
      <c r="P92" s="8"/>
    </row>
    <row r="93" spans="1:16" ht="15" customHeight="1">
      <c r="A93" s="192" t="s">
        <v>99</v>
      </c>
      <c r="B93" s="192" t="s">
        <v>406</v>
      </c>
      <c r="C93" s="192" t="s">
        <v>321</v>
      </c>
      <c r="D93" s="192" t="s">
        <v>322</v>
      </c>
      <c r="E93" s="192" t="s">
        <v>109</v>
      </c>
      <c r="F93" s="195" t="s">
        <v>86</v>
      </c>
      <c r="G93" s="195" t="s">
        <v>82</v>
      </c>
      <c r="H93" s="195" t="str">
        <f t="shared" si="8"/>
        <v>65 Gallon Cart WG-R</v>
      </c>
      <c r="I93" s="191" t="s">
        <v>124</v>
      </c>
      <c r="J93" s="191">
        <f>References!$C$25</f>
        <v>47</v>
      </c>
      <c r="K93" s="206">
        <f>References!$C$11</f>
        <v>4.333333333333333</v>
      </c>
      <c r="L93" s="208">
        <f>IFERROR((VLOOKUP(C93,'2180 (Reg.) - Price Out '!B:AJ,35,FALSE)),0)</f>
        <v>5485.8608967001455</v>
      </c>
      <c r="M93" s="208">
        <f t="shared" si="9"/>
        <v>23772.063885700631</v>
      </c>
      <c r="N93" s="204">
        <v>29.18</v>
      </c>
    </row>
    <row r="94" spans="1:16" ht="15" customHeight="1">
      <c r="A94" s="192" t="s">
        <v>99</v>
      </c>
      <c r="B94" s="192" t="s">
        <v>406</v>
      </c>
      <c r="C94" s="192" t="s">
        <v>325</v>
      </c>
      <c r="D94" s="192" t="s">
        <v>326</v>
      </c>
      <c r="E94" s="192" t="s">
        <v>109</v>
      </c>
      <c r="F94" s="195" t="s">
        <v>86</v>
      </c>
      <c r="G94" s="195" t="s">
        <v>385</v>
      </c>
      <c r="H94" s="195" t="str">
        <f t="shared" si="8"/>
        <v>65 Gallon Cart EOWG-NR</v>
      </c>
      <c r="I94" s="191" t="s">
        <v>124</v>
      </c>
      <c r="J94" s="191">
        <f>References!$C$25</f>
        <v>47</v>
      </c>
      <c r="K94" s="206">
        <f>References!$C$12</f>
        <v>2.1666666666666665</v>
      </c>
      <c r="L94" s="208">
        <f>IFERROR((VLOOKUP(C94,'2180 (Reg.) - Price Out '!B:AJ,35,FALSE)),0)</f>
        <v>108.5</v>
      </c>
      <c r="M94" s="208">
        <f t="shared" si="9"/>
        <v>235.08333333333331</v>
      </c>
      <c r="N94" s="204">
        <v>20.9</v>
      </c>
      <c r="P94" s="8"/>
    </row>
    <row r="95" spans="1:16" ht="15" customHeight="1">
      <c r="A95" s="192" t="s">
        <v>99</v>
      </c>
      <c r="B95" s="192" t="s">
        <v>406</v>
      </c>
      <c r="C95" s="192" t="s">
        <v>327</v>
      </c>
      <c r="D95" s="192" t="s">
        <v>328</v>
      </c>
      <c r="E95" s="192" t="s">
        <v>109</v>
      </c>
      <c r="F95" s="195" t="s">
        <v>86</v>
      </c>
      <c r="G95" s="195" t="s">
        <v>386</v>
      </c>
      <c r="H95" s="195" t="str">
        <f t="shared" si="8"/>
        <v>65 Gallon Cart EOWG-R</v>
      </c>
      <c r="I95" s="191" t="s">
        <v>124</v>
      </c>
      <c r="J95" s="191">
        <f>References!$C$25</f>
        <v>47</v>
      </c>
      <c r="K95" s="206">
        <f>References!$C$12</f>
        <v>2.1666666666666665</v>
      </c>
      <c r="L95" s="208">
        <f>IFERROR((VLOOKUP(C95,'2180 (Reg.) - Price Out '!B:AJ,35,FALSE)),0)</f>
        <v>1146.8832488745375</v>
      </c>
      <c r="M95" s="208">
        <f t="shared" si="9"/>
        <v>2484.9137058948309</v>
      </c>
      <c r="N95" s="204">
        <v>20.9</v>
      </c>
    </row>
    <row r="96" spans="1:16" ht="15" customHeight="1">
      <c r="A96" s="192" t="s">
        <v>99</v>
      </c>
      <c r="B96" s="192" t="s">
        <v>406</v>
      </c>
      <c r="C96" s="192" t="s">
        <v>345</v>
      </c>
      <c r="D96" s="192" t="s">
        <v>346</v>
      </c>
      <c r="E96" s="192" t="s">
        <v>108</v>
      </c>
      <c r="F96" s="195" t="s">
        <v>86</v>
      </c>
      <c r="G96" s="195" t="s">
        <v>119</v>
      </c>
      <c r="H96" s="195" t="str">
        <f t="shared" si="8"/>
        <v>35 Gallon Cart Regular</v>
      </c>
      <c r="I96" s="191" t="s">
        <v>123</v>
      </c>
      <c r="J96" s="191">
        <f>References!$C$18*5</f>
        <v>170</v>
      </c>
      <c r="K96" s="206">
        <v>4.33</v>
      </c>
      <c r="L96" s="208">
        <f>IFERROR((VLOOKUP(C96,'2180 (Reg.) - Price Out '!B:AJ,35,FALSE)),0)</f>
        <v>0</v>
      </c>
      <c r="M96" s="208">
        <f t="shared" si="9"/>
        <v>51.96</v>
      </c>
      <c r="N96" s="204">
        <v>72.31</v>
      </c>
    </row>
    <row r="97" spans="1:16" ht="15" customHeight="1">
      <c r="A97" s="192" t="s">
        <v>99</v>
      </c>
      <c r="B97" s="192" t="s">
        <v>406</v>
      </c>
      <c r="C97" s="192" t="s">
        <v>365</v>
      </c>
      <c r="D97" s="192" t="s">
        <v>366</v>
      </c>
      <c r="E97" s="192" t="s">
        <v>85</v>
      </c>
      <c r="F97" s="195" t="s">
        <v>86</v>
      </c>
      <c r="G97" s="210" t="s">
        <v>120</v>
      </c>
      <c r="H97" s="195" t="str">
        <f t="shared" si="8"/>
        <v>Extra Units Extra</v>
      </c>
      <c r="I97" s="191" t="s">
        <v>380</v>
      </c>
      <c r="J97" s="191">
        <f>References!$C$30</f>
        <v>29</v>
      </c>
      <c r="K97" s="206">
        <f>References!$C$14</f>
        <v>1</v>
      </c>
      <c r="L97" s="208">
        <f>IFERROR((VLOOKUP(C97,'2180 (Reg.) - Price Out '!B:AJ,35,FALSE)),0)</f>
        <v>0</v>
      </c>
      <c r="M97" s="208">
        <f t="shared" si="9"/>
        <v>12</v>
      </c>
      <c r="N97" s="204">
        <v>3.34</v>
      </c>
    </row>
    <row r="98" spans="1:16" ht="15" customHeight="1">
      <c r="A98" s="192" t="s">
        <v>99</v>
      </c>
      <c r="B98" s="192" t="s">
        <v>406</v>
      </c>
      <c r="C98" s="192" t="s">
        <v>317</v>
      </c>
      <c r="D98" s="192" t="s">
        <v>318</v>
      </c>
      <c r="E98" s="192" t="s">
        <v>109</v>
      </c>
      <c r="F98" s="195" t="s">
        <v>86</v>
      </c>
      <c r="G98" s="195" t="s">
        <v>82</v>
      </c>
      <c r="H98" s="195" t="str">
        <f t="shared" si="8"/>
        <v>65 Gallon Cart WG-R</v>
      </c>
      <c r="I98" s="191" t="s">
        <v>124</v>
      </c>
      <c r="J98" s="191">
        <f>References!$C$25</f>
        <v>47</v>
      </c>
      <c r="K98" s="206">
        <f>References!$C$13</f>
        <v>1</v>
      </c>
      <c r="L98" s="208">
        <f>IFERROR((VLOOKUP(C98,'2180 (Reg.) - Price Out '!B:AJ,35,FALSE)),0)</f>
        <v>0</v>
      </c>
      <c r="M98" s="208">
        <f t="shared" si="9"/>
        <v>12</v>
      </c>
      <c r="N98" s="215">
        <v>20.9</v>
      </c>
    </row>
    <row r="99" spans="1:16" ht="15" customHeight="1">
      <c r="A99" s="192" t="s">
        <v>99</v>
      </c>
      <c r="B99" s="192" t="s">
        <v>406</v>
      </c>
      <c r="C99" s="192" t="s">
        <v>323</v>
      </c>
      <c r="D99" s="192" t="s">
        <v>324</v>
      </c>
      <c r="E99" s="192" t="s">
        <v>109</v>
      </c>
      <c r="F99" s="195" t="s">
        <v>86</v>
      </c>
      <c r="G99" s="195" t="s">
        <v>83</v>
      </c>
      <c r="H99" s="195" t="str">
        <f t="shared" si="8"/>
        <v>65 Gallon Cart WG-NR</v>
      </c>
      <c r="I99" s="191" t="s">
        <v>124</v>
      </c>
      <c r="J99" s="191">
        <f>References!$C$25</f>
        <v>47</v>
      </c>
      <c r="K99" s="206">
        <f>References!$D$11</f>
        <v>8.6666666666666661</v>
      </c>
      <c r="L99" s="208">
        <f>IFERROR((VLOOKUP(C99,'2180 (Reg.) - Price Out '!B:AJ,35,FALSE)),0)</f>
        <v>0</v>
      </c>
      <c r="M99" s="208">
        <f t="shared" si="9"/>
        <v>104</v>
      </c>
      <c r="N99" s="215">
        <f>6.74*4.33*2</f>
        <v>58.368400000000001</v>
      </c>
      <c r="P99" s="8"/>
    </row>
    <row r="100" spans="1:16" ht="15" customHeight="1">
      <c r="A100" s="192" t="s">
        <v>99</v>
      </c>
      <c r="B100" s="192" t="s">
        <v>395</v>
      </c>
      <c r="C100" s="192" t="s">
        <v>295</v>
      </c>
      <c r="D100" s="192" t="s">
        <v>296</v>
      </c>
      <c r="E100" s="192" t="s">
        <v>92</v>
      </c>
      <c r="F100" s="195" t="s">
        <v>394</v>
      </c>
      <c r="G100" s="192" t="s">
        <v>394</v>
      </c>
      <c r="H100" s="195" t="str">
        <f t="shared" si="8"/>
        <v>3 yard Compacted</v>
      </c>
      <c r="I100" s="191" t="s">
        <v>130</v>
      </c>
      <c r="J100" s="191">
        <f>References!$C$45</f>
        <v>1419</v>
      </c>
      <c r="K100" s="206">
        <f>References!$C$11</f>
        <v>4.333333333333333</v>
      </c>
      <c r="L100" s="208">
        <f>IFERROR((VLOOKUP(C100,'2180 (Reg.) - Price Out '!B:AJ,35,FALSE)),0)</f>
        <v>0</v>
      </c>
      <c r="M100" s="208">
        <f t="shared" si="9"/>
        <v>52</v>
      </c>
      <c r="N100" s="204">
        <v>627.76</v>
      </c>
      <c r="P100" s="8"/>
    </row>
    <row r="101" spans="1:16" ht="15" customHeight="1">
      <c r="A101" s="192" t="s">
        <v>99</v>
      </c>
      <c r="B101" s="192" t="s">
        <v>406</v>
      </c>
      <c r="C101" s="192" t="s">
        <v>337</v>
      </c>
      <c r="D101" s="192" t="s">
        <v>338</v>
      </c>
      <c r="E101" s="192" t="s">
        <v>109</v>
      </c>
      <c r="F101" s="195" t="s">
        <v>86</v>
      </c>
      <c r="G101" s="192" t="s">
        <v>119</v>
      </c>
      <c r="H101" s="195" t="str">
        <f t="shared" si="8"/>
        <v>65 Gallon Cart Regular</v>
      </c>
      <c r="I101" s="191" t="s">
        <v>124</v>
      </c>
      <c r="J101" s="191">
        <f>References!$C$25</f>
        <v>47</v>
      </c>
      <c r="K101" s="206">
        <f>References!$C$14</f>
        <v>1</v>
      </c>
      <c r="L101" s="208">
        <f>IFERROR((VLOOKUP(C101,'2180 (Reg.) - Price Out '!B:AJ,35,FALSE)),0)</f>
        <v>5188.1151515151514</v>
      </c>
      <c r="M101" s="208">
        <f t="shared" si="9"/>
        <v>5188.1151515151514</v>
      </c>
      <c r="N101" s="204">
        <v>6.74</v>
      </c>
      <c r="P101" s="8"/>
    </row>
    <row r="102" spans="1:16" ht="15" customHeight="1">
      <c r="A102" s="192" t="s">
        <v>99</v>
      </c>
      <c r="B102" s="192" t="s">
        <v>406</v>
      </c>
      <c r="C102" s="192" t="s">
        <v>329</v>
      </c>
      <c r="D102" s="192" t="s">
        <v>330</v>
      </c>
      <c r="E102" s="192" t="s">
        <v>110</v>
      </c>
      <c r="F102" s="195" t="s">
        <v>86</v>
      </c>
      <c r="G102" s="195" t="s">
        <v>83</v>
      </c>
      <c r="H102" s="195" t="str">
        <f t="shared" si="8"/>
        <v>95 Gallon Cart WG-NR</v>
      </c>
      <c r="I102" s="191" t="s">
        <v>125</v>
      </c>
      <c r="J102" s="191">
        <f>References!$C$26</f>
        <v>68</v>
      </c>
      <c r="K102" s="206">
        <f>References!$C$11</f>
        <v>4.333333333333333</v>
      </c>
      <c r="L102" s="208">
        <f>IFERROR((VLOOKUP(C102,'2180 (Reg.) - Price Out '!B:AJ,35,FALSE)),0)</f>
        <v>1907.4814126915544</v>
      </c>
      <c r="M102" s="208">
        <f t="shared" si="9"/>
        <v>8265.7527883300681</v>
      </c>
      <c r="N102" s="204">
        <v>37.24</v>
      </c>
      <c r="P102" s="8"/>
    </row>
    <row r="103" spans="1:16" ht="15" customHeight="1">
      <c r="A103" s="192" t="s">
        <v>99</v>
      </c>
      <c r="B103" s="192" t="s">
        <v>406</v>
      </c>
      <c r="C103" s="192" t="s">
        <v>331</v>
      </c>
      <c r="D103" s="192" t="s">
        <v>332</v>
      </c>
      <c r="E103" s="192" t="s">
        <v>110</v>
      </c>
      <c r="F103" s="195" t="s">
        <v>86</v>
      </c>
      <c r="G103" s="195" t="s">
        <v>82</v>
      </c>
      <c r="H103" s="195" t="str">
        <f t="shared" si="8"/>
        <v>95 Gallon Cart WG-R</v>
      </c>
      <c r="I103" s="191" t="s">
        <v>125</v>
      </c>
      <c r="J103" s="191">
        <f>References!$C$26</f>
        <v>68</v>
      </c>
      <c r="K103" s="206">
        <f>References!$C$11</f>
        <v>4.333333333333333</v>
      </c>
      <c r="L103" s="208">
        <f>IFERROR((VLOOKUP(C103,'2180 (Reg.) - Price Out '!B:AJ,35,FALSE)),0)</f>
        <v>3257.6358556157079</v>
      </c>
      <c r="M103" s="208">
        <f t="shared" si="9"/>
        <v>14116.4220410014</v>
      </c>
      <c r="N103" s="204">
        <v>37.24</v>
      </c>
      <c r="P103" s="8"/>
    </row>
    <row r="104" spans="1:16" ht="15" customHeight="1">
      <c r="A104" s="192" t="s">
        <v>99</v>
      </c>
      <c r="B104" s="192" t="s">
        <v>406</v>
      </c>
      <c r="C104" s="192" t="s">
        <v>333</v>
      </c>
      <c r="D104" s="192" t="s">
        <v>334</v>
      </c>
      <c r="E104" s="192" t="s">
        <v>110</v>
      </c>
      <c r="F104" s="195" t="s">
        <v>86</v>
      </c>
      <c r="G104" s="195" t="s">
        <v>385</v>
      </c>
      <c r="H104" s="195" t="str">
        <f t="shared" si="8"/>
        <v>95 Gallon Cart EOWG-NR</v>
      </c>
      <c r="I104" s="191" t="s">
        <v>125</v>
      </c>
      <c r="J104" s="191">
        <f>References!$C$26</f>
        <v>68</v>
      </c>
      <c r="K104" s="206">
        <f>References!$C$12</f>
        <v>2.1666666666666665</v>
      </c>
      <c r="L104" s="208">
        <f>IFERROR((VLOOKUP(C104,'2180 (Reg.) - Price Out '!B:AJ,35,FALSE)),0)</f>
        <v>53.500192678227364</v>
      </c>
      <c r="M104" s="208">
        <f t="shared" si="9"/>
        <v>115.91708413615927</v>
      </c>
      <c r="N104" s="204">
        <v>26.81</v>
      </c>
      <c r="P104" s="8"/>
    </row>
    <row r="105" spans="1:16" ht="15" customHeight="1">
      <c r="A105" s="192" t="s">
        <v>99</v>
      </c>
      <c r="B105" s="192" t="s">
        <v>406</v>
      </c>
      <c r="C105" s="192" t="s">
        <v>335</v>
      </c>
      <c r="D105" s="192" t="s">
        <v>336</v>
      </c>
      <c r="E105" s="192" t="s">
        <v>110</v>
      </c>
      <c r="F105" s="195" t="s">
        <v>86</v>
      </c>
      <c r="G105" s="195" t="s">
        <v>386</v>
      </c>
      <c r="H105" s="195" t="str">
        <f t="shared" si="8"/>
        <v>95 Gallon Cart EOWG-R</v>
      </c>
      <c r="I105" s="191" t="s">
        <v>125</v>
      </c>
      <c r="J105" s="191">
        <f>References!$C$26</f>
        <v>68</v>
      </c>
      <c r="K105" s="206">
        <f>References!$C$12</f>
        <v>2.1666666666666665</v>
      </c>
      <c r="L105" s="208">
        <f>IFERROR((VLOOKUP(C105,'2180 (Reg.) - Price Out '!B:AJ,35,FALSE)),0)</f>
        <v>191.50018649757553</v>
      </c>
      <c r="M105" s="208">
        <f t="shared" si="9"/>
        <v>414.91707074474692</v>
      </c>
      <c r="N105" s="204">
        <v>26.81</v>
      </c>
      <c r="P105" s="8"/>
    </row>
    <row r="106" spans="1:16" ht="15" customHeight="1">
      <c r="A106" s="192" t="s">
        <v>99</v>
      </c>
      <c r="B106" s="192" t="s">
        <v>406</v>
      </c>
      <c r="C106" s="192" t="s">
        <v>339</v>
      </c>
      <c r="D106" s="192" t="s">
        <v>340</v>
      </c>
      <c r="E106" s="192" t="s">
        <v>110</v>
      </c>
      <c r="F106" s="195" t="s">
        <v>86</v>
      </c>
      <c r="G106" s="192" t="s">
        <v>119</v>
      </c>
      <c r="H106" s="195" t="str">
        <f t="shared" si="8"/>
        <v>95 Gallon Cart Regular</v>
      </c>
      <c r="I106" s="191" t="s">
        <v>125</v>
      </c>
      <c r="J106" s="191">
        <f>References!$C$26</f>
        <v>68</v>
      </c>
      <c r="K106" s="206">
        <f>References!$C$14</f>
        <v>1</v>
      </c>
      <c r="L106" s="208">
        <f>IFERROR((VLOOKUP(C106,'2180 (Reg.) - Price Out '!B:AJ,35,FALSE)),0)</f>
        <v>3258</v>
      </c>
      <c r="M106" s="208">
        <f t="shared" si="9"/>
        <v>3258</v>
      </c>
      <c r="N106" s="204">
        <v>8.6</v>
      </c>
      <c r="P106" s="8"/>
    </row>
    <row r="107" spans="1:16" ht="15" customHeight="1">
      <c r="A107" s="192" t="s">
        <v>99</v>
      </c>
      <c r="B107" s="192" t="s">
        <v>395</v>
      </c>
      <c r="C107" s="192" t="s">
        <v>293</v>
      </c>
      <c r="D107" s="192" t="s">
        <v>294</v>
      </c>
      <c r="E107" s="192" t="s">
        <v>89</v>
      </c>
      <c r="F107" s="195" t="s">
        <v>394</v>
      </c>
      <c r="G107" s="195" t="s">
        <v>394</v>
      </c>
      <c r="H107" s="195" t="str">
        <f t="shared" si="8"/>
        <v>2 yard Compacted</v>
      </c>
      <c r="I107" s="191" t="s">
        <v>131</v>
      </c>
      <c r="J107" s="191">
        <f>References!$C$44</f>
        <v>972</v>
      </c>
      <c r="K107" s="206">
        <f>References!$C$11</f>
        <v>4.333333333333333</v>
      </c>
      <c r="L107" s="208">
        <f>IFERROR((VLOOKUP(C107,'2180 (Reg.) - Price Out '!B:AJ,35,FALSE)),0)</f>
        <v>12</v>
      </c>
      <c r="M107" s="208">
        <f t="shared" si="9"/>
        <v>52</v>
      </c>
      <c r="N107" s="204">
        <v>446.9</v>
      </c>
    </row>
    <row r="108" spans="1:16" ht="15" customHeight="1">
      <c r="A108" s="192" t="s">
        <v>99</v>
      </c>
      <c r="B108" s="192" t="s">
        <v>395</v>
      </c>
      <c r="C108" s="192" t="s">
        <v>297</v>
      </c>
      <c r="D108" s="192" t="s">
        <v>298</v>
      </c>
      <c r="E108" s="192" t="s">
        <v>92</v>
      </c>
      <c r="F108" s="195" t="s">
        <v>394</v>
      </c>
      <c r="G108" s="195" t="s">
        <v>394</v>
      </c>
      <c r="H108" s="195" t="str">
        <f t="shared" si="8"/>
        <v>3 yard Compacted</v>
      </c>
      <c r="I108" s="191" t="s">
        <v>130</v>
      </c>
      <c r="J108" s="191">
        <f>References!$C$45</f>
        <v>1419</v>
      </c>
      <c r="K108" s="206">
        <f>References!$C$10</f>
        <v>8.6666666666666661</v>
      </c>
      <c r="L108" s="208">
        <f>IFERROR((VLOOKUP(C108,'2180 (Reg.) - Price Out '!B:AJ,35,FALSE)),0)</f>
        <v>12</v>
      </c>
      <c r="M108" s="208">
        <f t="shared" si="9"/>
        <v>104</v>
      </c>
      <c r="N108" s="204">
        <v>1255.53</v>
      </c>
    </row>
    <row r="109" spans="1:16" ht="15" customHeight="1">
      <c r="A109" s="192" t="s">
        <v>99</v>
      </c>
      <c r="B109" s="192" t="s">
        <v>395</v>
      </c>
      <c r="C109" s="192" t="s">
        <v>299</v>
      </c>
      <c r="D109" s="192" t="s">
        <v>300</v>
      </c>
      <c r="E109" s="192" t="s">
        <v>90</v>
      </c>
      <c r="F109" s="195" t="s">
        <v>394</v>
      </c>
      <c r="G109" s="195" t="s">
        <v>394</v>
      </c>
      <c r="H109" s="195" t="str">
        <f t="shared" ref="H109:H116" si="12">CONCATENATE(E109," ",G109)</f>
        <v>4 yard Compacted</v>
      </c>
      <c r="I109" s="191" t="s">
        <v>128</v>
      </c>
      <c r="J109" s="191">
        <f>References!$C$46</f>
        <v>1839</v>
      </c>
      <c r="K109" s="206">
        <f>References!$C$11</f>
        <v>4.333333333333333</v>
      </c>
      <c r="L109" s="208">
        <f>IFERROR((VLOOKUP(C109,'2180 (Reg.) - Price Out '!B:AJ,35,FALSE)),0)</f>
        <v>24</v>
      </c>
      <c r="M109" s="208">
        <f t="shared" ref="M109:M116" si="13">IF(L109=0,K109*12,K109*L109)</f>
        <v>104</v>
      </c>
      <c r="N109" s="204">
        <v>826.99</v>
      </c>
    </row>
    <row r="110" spans="1:16" ht="15" customHeight="1">
      <c r="A110" s="192" t="s">
        <v>99</v>
      </c>
      <c r="B110" s="192" t="s">
        <v>395</v>
      </c>
      <c r="C110" s="192" t="s">
        <v>301</v>
      </c>
      <c r="D110" s="192" t="s">
        <v>302</v>
      </c>
      <c r="E110" s="192" t="s">
        <v>90</v>
      </c>
      <c r="F110" s="195" t="s">
        <v>394</v>
      </c>
      <c r="G110" s="195" t="s">
        <v>394</v>
      </c>
      <c r="H110" s="195" t="str">
        <f t="shared" si="12"/>
        <v>4 yard Compacted</v>
      </c>
      <c r="I110" s="191" t="s">
        <v>128</v>
      </c>
      <c r="J110" s="191">
        <f>References!$C$46</f>
        <v>1839</v>
      </c>
      <c r="K110" s="206">
        <f>References!$C$10</f>
        <v>8.6666666666666661</v>
      </c>
      <c r="L110" s="208">
        <f>IFERROR((VLOOKUP(C110,'2180 (Reg.) - Price Out '!B:AJ,35,FALSE)),0)</f>
        <v>24</v>
      </c>
      <c r="M110" s="208">
        <f t="shared" si="13"/>
        <v>208</v>
      </c>
      <c r="N110" s="204">
        <v>1653.97</v>
      </c>
      <c r="P110" s="8"/>
    </row>
    <row r="111" spans="1:16" ht="15" customHeight="1">
      <c r="A111" s="192" t="s">
        <v>99</v>
      </c>
      <c r="B111" s="192" t="s">
        <v>395</v>
      </c>
      <c r="C111" s="192" t="s">
        <v>653</v>
      </c>
      <c r="D111" s="192" t="s">
        <v>968</v>
      </c>
      <c r="E111" s="192" t="s">
        <v>91</v>
      </c>
      <c r="F111" s="195" t="s">
        <v>394</v>
      </c>
      <c r="G111" s="195" t="s">
        <v>394</v>
      </c>
      <c r="H111" s="195" t="str">
        <f t="shared" si="12"/>
        <v>6 yard Compacted</v>
      </c>
      <c r="I111" s="191" t="s">
        <v>129</v>
      </c>
      <c r="J111" s="191">
        <f>References!C47</f>
        <v>2520</v>
      </c>
      <c r="K111" s="206">
        <f>References!$C$10</f>
        <v>8.6666666666666661</v>
      </c>
      <c r="L111" s="208">
        <f>IFERROR((VLOOKUP(C111,'2180 (Reg.) - Price Out '!B:AJ,35,FALSE)),0)</f>
        <v>12</v>
      </c>
      <c r="M111" s="208">
        <f t="shared" ref="M111" si="14">IF(L111=0,K111*12,K111*L111)</f>
        <v>104</v>
      </c>
      <c r="N111" s="204">
        <f>262.14*4.33*2</f>
        <v>2270.1324</v>
      </c>
      <c r="P111" s="8"/>
    </row>
    <row r="112" spans="1:16" s="194" customFormat="1" ht="15" customHeight="1">
      <c r="A112" s="196" t="s">
        <v>369</v>
      </c>
      <c r="B112" s="196" t="s">
        <v>390</v>
      </c>
      <c r="C112" s="198" t="s">
        <v>370</v>
      </c>
      <c r="D112" s="198" t="s">
        <v>371</v>
      </c>
      <c r="E112" s="196" t="s">
        <v>90</v>
      </c>
      <c r="F112" s="202" t="s">
        <v>86</v>
      </c>
      <c r="G112" s="196" t="s">
        <v>119</v>
      </c>
      <c r="H112" s="202" t="str">
        <f t="shared" si="12"/>
        <v>4 yard Regular</v>
      </c>
      <c r="I112" s="199" t="s">
        <v>128</v>
      </c>
      <c r="J112" s="214">
        <f>References!$C$36</f>
        <v>613</v>
      </c>
      <c r="K112" s="207">
        <f>References!$C$10</f>
        <v>8.6666666666666661</v>
      </c>
      <c r="L112" s="405">
        <f>IFERROR((VLOOKUP(C112,'2180 (JBLM Housing) - Price Out'!B:AJ,35,FALSE)),0)</f>
        <v>48</v>
      </c>
      <c r="M112" s="209">
        <f t="shared" si="13"/>
        <v>416</v>
      </c>
      <c r="N112" s="203">
        <v>464.49</v>
      </c>
      <c r="O112" s="124"/>
      <c r="P112" s="404"/>
    </row>
    <row r="113" spans="1:15" s="194" customFormat="1" ht="15" customHeight="1">
      <c r="A113" s="196" t="s">
        <v>369</v>
      </c>
      <c r="B113" s="196" t="s">
        <v>390</v>
      </c>
      <c r="C113" s="198" t="s">
        <v>372</v>
      </c>
      <c r="D113" s="198" t="s">
        <v>373</v>
      </c>
      <c r="E113" s="205" t="s">
        <v>91</v>
      </c>
      <c r="F113" s="202" t="s">
        <v>86</v>
      </c>
      <c r="G113" s="196" t="s">
        <v>119</v>
      </c>
      <c r="H113" s="202" t="str">
        <f t="shared" si="12"/>
        <v>6 yard Regular</v>
      </c>
      <c r="I113" s="199" t="s">
        <v>129</v>
      </c>
      <c r="J113" s="214">
        <f>References!$C$37</f>
        <v>840</v>
      </c>
      <c r="K113" s="207">
        <f>References!$C$11</f>
        <v>4.333333333333333</v>
      </c>
      <c r="L113" s="405">
        <f>IFERROR((VLOOKUP(C113,'2180 (JBLM Housing) - Price Out'!B:AJ,35,FALSE)),0)</f>
        <v>324</v>
      </c>
      <c r="M113" s="209">
        <f t="shared" si="13"/>
        <v>1404</v>
      </c>
      <c r="N113" s="203">
        <v>329.11</v>
      </c>
      <c r="O113" s="124"/>
    </row>
    <row r="114" spans="1:15" s="194" customFormat="1" ht="15" customHeight="1">
      <c r="A114" s="196" t="s">
        <v>369</v>
      </c>
      <c r="B114" s="196" t="s">
        <v>390</v>
      </c>
      <c r="C114" s="198" t="s">
        <v>374</v>
      </c>
      <c r="D114" s="198" t="s">
        <v>375</v>
      </c>
      <c r="E114" s="205" t="s">
        <v>91</v>
      </c>
      <c r="F114" s="202" t="s">
        <v>86</v>
      </c>
      <c r="G114" s="196" t="s">
        <v>119</v>
      </c>
      <c r="H114" s="202" t="str">
        <f t="shared" si="12"/>
        <v>6 yard Regular</v>
      </c>
      <c r="I114" s="199" t="s">
        <v>129</v>
      </c>
      <c r="J114" s="214">
        <f>References!$C$37</f>
        <v>840</v>
      </c>
      <c r="K114" s="207">
        <f>References!$C$10</f>
        <v>8.6666666666666661</v>
      </c>
      <c r="L114" s="405">
        <f>IFERROR((VLOOKUP(C114,'2180 (JBLM Housing) - Price Out'!B:AJ,35,FALSE)),0)</f>
        <v>168</v>
      </c>
      <c r="M114" s="209">
        <f t="shared" si="13"/>
        <v>1456</v>
      </c>
      <c r="N114" s="203">
        <v>626.54</v>
      </c>
      <c r="O114" s="124"/>
    </row>
    <row r="115" spans="1:15" s="194" customFormat="1" ht="15" customHeight="1">
      <c r="A115" s="196" t="s">
        <v>369</v>
      </c>
      <c r="B115" s="196" t="s">
        <v>389</v>
      </c>
      <c r="C115" s="197" t="s">
        <v>215</v>
      </c>
      <c r="D115" s="197" t="s">
        <v>216</v>
      </c>
      <c r="E115" s="196" t="s">
        <v>109</v>
      </c>
      <c r="F115" s="202" t="s">
        <v>383</v>
      </c>
      <c r="G115" s="196" t="s">
        <v>82</v>
      </c>
      <c r="H115" s="202" t="str">
        <f t="shared" si="12"/>
        <v>65 Gallon Cart WG-R</v>
      </c>
      <c r="I115" s="199" t="s">
        <v>124</v>
      </c>
      <c r="J115" s="199">
        <f>References!$C$25</f>
        <v>47</v>
      </c>
      <c r="K115" s="207">
        <f>References!$C$11</f>
        <v>4.333333333333333</v>
      </c>
      <c r="L115" s="405">
        <f>IFERROR((VLOOKUP(C115,'2180 (JBLM Housing) - Price Out'!B:AJ,35,FALSE)),0)</f>
        <v>40026.650115048324</v>
      </c>
      <c r="M115" s="209">
        <f t="shared" si="13"/>
        <v>173448.81716520939</v>
      </c>
      <c r="N115" s="203">
        <v>22.1</v>
      </c>
      <c r="O115" s="124"/>
    </row>
    <row r="116" spans="1:15" s="194" customFormat="1" ht="15" customHeight="1">
      <c r="A116" s="196" t="s">
        <v>369</v>
      </c>
      <c r="B116" s="196" t="s">
        <v>389</v>
      </c>
      <c r="C116" s="200" t="s">
        <v>227</v>
      </c>
      <c r="D116" s="200" t="s">
        <v>228</v>
      </c>
      <c r="E116" s="196" t="s">
        <v>110</v>
      </c>
      <c r="F116" s="202" t="s">
        <v>383</v>
      </c>
      <c r="G116" s="196" t="s">
        <v>82</v>
      </c>
      <c r="H116" s="202" t="str">
        <f t="shared" si="12"/>
        <v>95 Gallon Cart WG-R</v>
      </c>
      <c r="I116" s="199" t="s">
        <v>125</v>
      </c>
      <c r="J116" s="199">
        <f>References!$C$26</f>
        <v>68</v>
      </c>
      <c r="K116" s="207">
        <f>References!$C$11</f>
        <v>4.333333333333333</v>
      </c>
      <c r="L116" s="405">
        <f>IFERROR((VLOOKUP(C116,'2180 (JBLM Housing) - Price Out'!B:AJ,35,FALSE)),0)</f>
        <v>10449.893351800554</v>
      </c>
      <c r="M116" s="209">
        <f t="shared" si="13"/>
        <v>45282.871191135731</v>
      </c>
      <c r="N116" s="203">
        <v>28.88</v>
      </c>
      <c r="O116" s="124"/>
    </row>
    <row r="124" spans="1:15">
      <c r="N124" s="213"/>
    </row>
  </sheetData>
  <autoFilter ref="A1:N116">
    <sortState ref="A3:O92">
      <sortCondition ref="B1:B105"/>
    </sortState>
  </autoFilter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5"/>
  <sheetViews>
    <sheetView showGridLines="0" tabSelected="1" zoomScaleNormal="100" workbookViewId="0">
      <pane xSplit="1" ySplit="1" topLeftCell="B65" activePane="bottomRight" state="frozen"/>
      <selection pane="topRight" activeCell="B1" sqref="B1"/>
      <selection pane="bottomLeft" activeCell="A2" sqref="A2"/>
      <selection pane="bottomRight" activeCell="L83" sqref="L83"/>
    </sheetView>
  </sheetViews>
  <sheetFormatPr defaultRowHeight="15" outlineLevelCol="1"/>
  <cols>
    <col min="1" max="1" width="7.5703125" style="55" customWidth="1"/>
    <col min="2" max="2" width="24.5703125" style="55" customWidth="1" outlineLevel="1"/>
    <col min="3" max="4" width="29.7109375" style="55" customWidth="1"/>
    <col min="5" max="6" width="11.140625" style="35" customWidth="1"/>
    <col min="9" max="9" width="16" customWidth="1"/>
  </cols>
  <sheetData>
    <row r="1" spans="1:6" ht="30">
      <c r="A1" s="119" t="s">
        <v>12</v>
      </c>
      <c r="B1" s="119"/>
      <c r="C1" s="119" t="s">
        <v>111</v>
      </c>
      <c r="D1" s="119" t="s">
        <v>174</v>
      </c>
      <c r="E1" s="120" t="s">
        <v>169</v>
      </c>
      <c r="F1" s="120" t="s">
        <v>170</v>
      </c>
    </row>
    <row r="2" spans="1:6">
      <c r="A2" s="154">
        <v>16</v>
      </c>
      <c r="B2" s="123" t="s">
        <v>430</v>
      </c>
      <c r="C2" s="123" t="s">
        <v>431</v>
      </c>
      <c r="D2" s="111" t="str">
        <f>VLOOKUP(C2,Mapping!$D$2:$H$110,5,FALSE)</f>
        <v>32 Gal Unit Over-Sized</v>
      </c>
      <c r="E2" s="311">
        <f>SUMIFS('DF Calculation'!L:L,'DF Calculation'!B:B,'To Populate Tariff'!A2,'DF Calculation'!C:C,'To Populate Tariff'!B2)</f>
        <v>7.74</v>
      </c>
      <c r="F2" s="311">
        <f>SUMIFS('DF Calculation'!N:N,'DF Calculation'!B:B,'To Populate Tariff'!A2,'DF Calculation'!C:C,'To Populate Tariff'!B2)</f>
        <v>7.7823559413265437</v>
      </c>
    </row>
    <row r="3" spans="1:6">
      <c r="A3" s="154">
        <v>16</v>
      </c>
      <c r="B3" s="123" t="s">
        <v>432</v>
      </c>
      <c r="C3" s="123" t="s">
        <v>433</v>
      </c>
      <c r="D3" s="111" t="str">
        <f>VLOOKUP(C3,Mapping!$D$2:$H$110,5,FALSE)</f>
        <v>32 Gal Unit Over-Weight</v>
      </c>
      <c r="E3" s="311">
        <f>SUMIFS('DF Calculation'!L:L,'DF Calculation'!B:B,'To Populate Tariff'!A3,'DF Calculation'!C:C,'To Populate Tariff'!B3)</f>
        <v>7.74</v>
      </c>
      <c r="F3" s="311">
        <f>SUMIFS('DF Calculation'!N:N,'DF Calculation'!B:B,'To Populate Tariff'!A3,'DF Calculation'!C:C,'To Populate Tariff'!B3)</f>
        <v>7.7823559413265437</v>
      </c>
    </row>
    <row r="4" spans="1:6">
      <c r="A4" s="154">
        <v>21</v>
      </c>
      <c r="B4" s="123" t="s">
        <v>177</v>
      </c>
      <c r="C4" s="123" t="s">
        <v>178</v>
      </c>
      <c r="D4" s="111" t="str">
        <f>VLOOKUP(C4,Mapping!$D$4:$H$110,5,FALSE)</f>
        <v>20 Gallon Cart WG-R</v>
      </c>
      <c r="E4" s="311">
        <f>SUMIFS('DF Calculation'!L:L,'DF Calculation'!B:B,'To Populate Tariff'!A4,'DF Calculation'!C:C,'To Populate Tariff'!B4)</f>
        <v>13.95</v>
      </c>
      <c r="F4" s="311">
        <f>SUMIFS('DF Calculation'!N:N,'DF Calculation'!B:B,'To Populate Tariff'!A4,'DF Calculation'!C:C,'To Populate Tariff'!B4)</f>
        <v>14.057966124950013</v>
      </c>
    </row>
    <row r="5" spans="1:6">
      <c r="A5" s="154">
        <v>21</v>
      </c>
      <c r="B5" s="123" t="s">
        <v>179</v>
      </c>
      <c r="C5" s="123" t="s">
        <v>180</v>
      </c>
      <c r="D5" s="111" t="str">
        <f>VLOOKUP(C5,Mapping!$D$4:$H$110,5,FALSE)</f>
        <v>20 Gallon Cart WG-NR</v>
      </c>
      <c r="E5" s="311">
        <f>SUMIFS('DF Calculation'!L:L,'DF Calculation'!B:B,'To Populate Tariff'!A5,'DF Calculation'!C:C,'To Populate Tariff'!B5)</f>
        <v>14.95</v>
      </c>
      <c r="F5" s="399">
        <f>F4+1</f>
        <v>15.057966124950013</v>
      </c>
    </row>
    <row r="6" spans="1:6">
      <c r="A6" s="154">
        <v>21</v>
      </c>
      <c r="B6" s="123" t="s">
        <v>181</v>
      </c>
      <c r="C6" s="123" t="s">
        <v>182</v>
      </c>
      <c r="D6" s="111" t="str">
        <f>VLOOKUP(C6,Mapping!$D$4:$H$110,5,FALSE)</f>
        <v>32 Gallon Cart MG-NR</v>
      </c>
      <c r="E6" s="311">
        <f>SUMIFS('DF Calculation'!L:L,'DF Calculation'!B:B,'To Populate Tariff'!A6,'DF Calculation'!C:C,'To Populate Tariff'!B6)</f>
        <v>8.57</v>
      </c>
      <c r="F6" s="311">
        <f>SUMIFS('DF Calculation'!N:N,'DF Calculation'!B:B,'To Populate Tariff'!A6,'DF Calculation'!C:C,'To Populate Tariff'!B6)</f>
        <v>8.6123559413265447</v>
      </c>
    </row>
    <row r="7" spans="1:6">
      <c r="A7" s="154">
        <v>21</v>
      </c>
      <c r="B7" s="123" t="s">
        <v>183</v>
      </c>
      <c r="C7" s="123" t="s">
        <v>184</v>
      </c>
      <c r="D7" s="111" t="str">
        <f>VLOOKUP(C7,Mapping!$D$4:$H$110,5,FALSE)</f>
        <v>32 Gallon Cart MG-R</v>
      </c>
      <c r="E7" s="311">
        <f>SUMIFS('DF Calculation'!L:L,'DF Calculation'!B:B,'To Populate Tariff'!A7,'DF Calculation'!C:C,'To Populate Tariff'!B7)</f>
        <v>7.57</v>
      </c>
      <c r="F7" s="311">
        <f>SUMIFS('DF Calculation'!N:N,'DF Calculation'!B:B,'To Populate Tariff'!A7,'DF Calculation'!C:C,'To Populate Tariff'!B7)</f>
        <v>7.6123559413265438</v>
      </c>
    </row>
    <row r="8" spans="1:6">
      <c r="A8" s="154">
        <v>21</v>
      </c>
      <c r="B8" s="123" t="s">
        <v>185</v>
      </c>
      <c r="C8" s="123" t="s">
        <v>186</v>
      </c>
      <c r="D8" s="111" t="str">
        <f>VLOOKUP(C8,Mapping!$D$4:$H$110,5,FALSE)</f>
        <v>32 Gallon Cart WG-NR</v>
      </c>
      <c r="E8" s="311">
        <f>SUMIFS('DF Calculation'!L:L,'DF Calculation'!B:B,'To Populate Tariff'!A8,'DF Calculation'!C:C,'To Populate Tariff'!B8)</f>
        <v>19.93</v>
      </c>
      <c r="F8" s="311">
        <f>SUMIFS('DF Calculation'!N:N,'DF Calculation'!B:B,'To Populate Tariff'!A8,'DF Calculation'!C:C,'To Populate Tariff'!B8)</f>
        <v>20.113542412415022</v>
      </c>
    </row>
    <row r="9" spans="1:6">
      <c r="A9" s="154">
        <v>21</v>
      </c>
      <c r="B9" s="123" t="s">
        <v>187</v>
      </c>
      <c r="C9" s="123" t="s">
        <v>188</v>
      </c>
      <c r="D9" s="111" t="str">
        <f>VLOOKUP(C9,Mapping!$D$4:$H$110,5,FALSE)</f>
        <v>32 Gallon Cart WG-R</v>
      </c>
      <c r="E9" s="311">
        <f>SUMIFS('DF Calculation'!L:L,'DF Calculation'!B:B,'To Populate Tariff'!A9,'DF Calculation'!C:C,'To Populate Tariff'!B9)</f>
        <v>18.93</v>
      </c>
      <c r="F9" s="311">
        <f>SUMIFS('DF Calculation'!N:N,'DF Calculation'!B:B,'To Populate Tariff'!A9,'DF Calculation'!C:C,'To Populate Tariff'!B9)</f>
        <v>19.113542412415022</v>
      </c>
    </row>
    <row r="10" spans="1:6">
      <c r="A10" s="154">
        <v>21</v>
      </c>
      <c r="B10" s="123" t="s">
        <v>189</v>
      </c>
      <c r="C10" s="123" t="s">
        <v>190</v>
      </c>
      <c r="D10" s="111" t="str">
        <f>VLOOKUP(C10,Mapping!$D$4:$H$110,5,FALSE)</f>
        <v>32 Gallon Cart WG-NR</v>
      </c>
      <c r="E10" s="311">
        <f>SUMIFS('DF Calculation'!L:L,'DF Calculation'!B:B,'To Populate Tariff'!A10,'DF Calculation'!C:C,'To Populate Tariff'!B10)</f>
        <v>29.91</v>
      </c>
      <c r="F10" s="311">
        <f>SUMIFS('DF Calculation'!N:N,'DF Calculation'!B:B,'To Populate Tariff'!A10,'DF Calculation'!C:C,'To Populate Tariff'!B10)</f>
        <v>30.277084824830045</v>
      </c>
    </row>
    <row r="11" spans="1:6">
      <c r="A11" s="154">
        <v>21</v>
      </c>
      <c r="B11" s="123" t="s">
        <v>191</v>
      </c>
      <c r="C11" s="123" t="s">
        <v>192</v>
      </c>
      <c r="D11" s="111" t="str">
        <f>VLOOKUP(C11,Mapping!$D$4:$H$110,5,FALSE)</f>
        <v>32 Gallon Cart WG-R</v>
      </c>
      <c r="E11" s="311">
        <f>SUMIFS('DF Calculation'!L:L,'DF Calculation'!B:B,'To Populate Tariff'!A11,'DF Calculation'!C:C,'To Populate Tariff'!B11)</f>
        <v>27.91</v>
      </c>
      <c r="F11" s="311">
        <f>SUMIFS('DF Calculation'!N:N,'DF Calculation'!B:B,'To Populate Tariff'!A11,'DF Calculation'!C:C,'To Populate Tariff'!B11)</f>
        <v>28.277084824830048</v>
      </c>
    </row>
    <row r="12" spans="1:6">
      <c r="A12" s="154">
        <v>21</v>
      </c>
      <c r="B12" s="123" t="s">
        <v>193</v>
      </c>
      <c r="C12" s="123" t="s">
        <v>194</v>
      </c>
      <c r="D12" s="111" t="str">
        <f>VLOOKUP(C12,Mapping!$D$4:$H$110,5,FALSE)</f>
        <v>32 Gallon Cart WG-NR</v>
      </c>
      <c r="E12" s="311">
        <f>SUMIFS('DF Calculation'!L:L,'DF Calculation'!B:B,'To Populate Tariff'!A12,'DF Calculation'!C:C,'To Populate Tariff'!B12)</f>
        <v>40.65</v>
      </c>
      <c r="F12" s="311">
        <f>SUMIFS('DF Calculation'!N:N,'DF Calculation'!B:B,'To Populate Tariff'!A12,'DF Calculation'!C:C,'To Populate Tariff'!B12)</f>
        <v>41.200627237245065</v>
      </c>
    </row>
    <row r="13" spans="1:6">
      <c r="A13" s="154">
        <v>21</v>
      </c>
      <c r="B13" s="123" t="s">
        <v>195</v>
      </c>
      <c r="C13" s="123" t="s">
        <v>196</v>
      </c>
      <c r="D13" s="111" t="str">
        <f>VLOOKUP(C13,Mapping!$D$4:$H$110,5,FALSE)</f>
        <v>32 Gallon Cart WG-R</v>
      </c>
      <c r="E13" s="311">
        <f>SUMIFS('DF Calculation'!L:L,'DF Calculation'!B:B,'To Populate Tariff'!A13,'DF Calculation'!C:C,'To Populate Tariff'!B13)</f>
        <v>37.65</v>
      </c>
      <c r="F13" s="311">
        <f>SUMIFS('DF Calculation'!N:N,'DF Calculation'!B:B,'To Populate Tariff'!A13,'DF Calculation'!C:C,'To Populate Tariff'!B13)</f>
        <v>38.200627237245065</v>
      </c>
    </row>
    <row r="14" spans="1:6">
      <c r="A14" s="154">
        <v>21</v>
      </c>
      <c r="B14" s="123" t="s">
        <v>197</v>
      </c>
      <c r="C14" s="123" t="s">
        <v>198</v>
      </c>
      <c r="D14" s="111" t="str">
        <f>VLOOKUP(C14,Mapping!$D$4:$H$110,5,FALSE)</f>
        <v>32 Gallon Cart WG-NR</v>
      </c>
      <c r="E14" s="311">
        <f>SUMIFS('DF Calculation'!L:L,'DF Calculation'!B:B,'To Populate Tariff'!A14,'DF Calculation'!C:C,'To Populate Tariff'!B14)</f>
        <v>50.79</v>
      </c>
      <c r="F14" s="311">
        <f>SUMIFS('DF Calculation'!N:N,'DF Calculation'!B:B,'To Populate Tariff'!A14,'DF Calculation'!C:C,'To Populate Tariff'!B14)</f>
        <v>51.524169649660088</v>
      </c>
    </row>
    <row r="15" spans="1:6">
      <c r="A15" s="154">
        <v>21</v>
      </c>
      <c r="B15" s="123" t="s">
        <v>199</v>
      </c>
      <c r="C15" s="123" t="s">
        <v>200</v>
      </c>
      <c r="D15" s="111" t="str">
        <f>VLOOKUP(C15,Mapping!$D$4:$H$110,5,FALSE)</f>
        <v>32 Gallon Cart WG-R</v>
      </c>
      <c r="E15" s="311">
        <f>SUMIFS('DF Calculation'!L:L,'DF Calculation'!B:B,'To Populate Tariff'!A15,'DF Calculation'!C:C,'To Populate Tariff'!B15)</f>
        <v>46.79</v>
      </c>
      <c r="F15" s="311">
        <f>SUMIFS('DF Calculation'!N:N,'DF Calculation'!B:B,'To Populate Tariff'!A15,'DF Calculation'!C:C,'To Populate Tariff'!B15)</f>
        <v>47.524169649660088</v>
      </c>
    </row>
    <row r="16" spans="1:6">
      <c r="A16" s="154">
        <v>21</v>
      </c>
      <c r="B16" s="123" t="s">
        <v>397</v>
      </c>
      <c r="C16" s="123" t="s">
        <v>399</v>
      </c>
      <c r="D16" s="111" t="str">
        <f>VLOOKUP(C16,Mapping!$D$4:$H$110,5,FALSE)</f>
        <v>32 Gallon Cart WG-NR</v>
      </c>
      <c r="E16" s="311">
        <f>SUMIFS('DF Calculation'!L:L,'DF Calculation'!B:B,'To Populate Tariff'!A16,'DF Calculation'!C:C,'To Populate Tariff'!B16)</f>
        <v>61.22</v>
      </c>
      <c r="F16" s="311">
        <f>SUMIFS('DF Calculation'!N:N,'DF Calculation'!B:B,'To Populate Tariff'!A16,'DF Calculation'!C:C,'To Populate Tariff'!B16)</f>
        <v>62.137712062075117</v>
      </c>
    </row>
    <row r="17" spans="1:7">
      <c r="A17" s="154">
        <v>21</v>
      </c>
      <c r="B17" s="123" t="s">
        <v>398</v>
      </c>
      <c r="C17" s="123" t="s">
        <v>400</v>
      </c>
      <c r="D17" s="111" t="str">
        <f>VLOOKUP(C17,Mapping!$D$4:$H$110,5,FALSE)</f>
        <v>32 Gallon Cart WG-R</v>
      </c>
      <c r="E17" s="311">
        <f>SUMIFS('DF Calculation'!L:L,'DF Calculation'!B:B,'To Populate Tariff'!A17,'DF Calculation'!C:C,'To Populate Tariff'!B17)</f>
        <v>56.22</v>
      </c>
      <c r="F17" s="311">
        <f>SUMIFS('DF Calculation'!N:N,'DF Calculation'!B:B,'To Populate Tariff'!A17,'DF Calculation'!C:C,'To Populate Tariff'!B17)</f>
        <v>57.137712062075117</v>
      </c>
    </row>
    <row r="18" spans="1:7">
      <c r="A18" s="154">
        <v>21</v>
      </c>
      <c r="B18" s="123" t="s">
        <v>401</v>
      </c>
      <c r="C18" s="123" t="s">
        <v>403</v>
      </c>
      <c r="D18" s="111" t="str">
        <f>VLOOKUP(C18,Mapping!$D$4:$H$110,5,FALSE)</f>
        <v>32 Gallon Cart WG-NR</v>
      </c>
      <c r="E18" s="311">
        <f>SUMIFS('DF Calculation'!L:L,'DF Calculation'!B:B,'To Populate Tariff'!A18,'DF Calculation'!C:C,'To Populate Tariff'!B18)</f>
        <v>72.260000000000005</v>
      </c>
      <c r="F18" s="311">
        <f>SUMIFS('DF Calculation'!N:N,'DF Calculation'!B:B,'To Populate Tariff'!A18,'DF Calculation'!C:C,'To Populate Tariff'!B18)</f>
        <v>73.361254474490138</v>
      </c>
    </row>
    <row r="19" spans="1:7">
      <c r="A19" s="154">
        <v>21</v>
      </c>
      <c r="B19" s="123" t="s">
        <v>402</v>
      </c>
      <c r="C19" s="123" t="s">
        <v>404</v>
      </c>
      <c r="D19" s="111" t="str">
        <f>VLOOKUP(C19,Mapping!$D$4:$H$110,5,FALSE)</f>
        <v>32 Gallon Cart WG-R</v>
      </c>
      <c r="E19" s="311">
        <f>SUMIFS('DF Calculation'!L:L,'DF Calculation'!B:B,'To Populate Tariff'!A19,'DF Calculation'!C:C,'To Populate Tariff'!B19)</f>
        <v>66.260000000000005</v>
      </c>
      <c r="F19" s="311">
        <f>SUMIFS('DF Calculation'!N:N,'DF Calculation'!B:B,'To Populate Tariff'!A19,'DF Calculation'!C:C,'To Populate Tariff'!B19)</f>
        <v>67.361254474490138</v>
      </c>
    </row>
    <row r="20" spans="1:7">
      <c r="A20" s="154">
        <v>21</v>
      </c>
      <c r="B20" s="123" t="s">
        <v>201</v>
      </c>
      <c r="C20" s="123" t="s">
        <v>202</v>
      </c>
      <c r="D20" s="111" t="str">
        <f>VLOOKUP(C20,Mapping!$D$4:$H$110,5,FALSE)</f>
        <v>35 Gallon Cart MG-R</v>
      </c>
      <c r="E20" s="311">
        <f>SUMIFS('DF Calculation'!L:L,'DF Calculation'!B:B,'To Populate Tariff'!A20,'DF Calculation'!C:C,'To Populate Tariff'!B20)</f>
        <v>9.3699999999999992</v>
      </c>
      <c r="F20" s="311">
        <f>SUMIFS('DF Calculation'!N:N,'DF Calculation'!B:B,'To Populate Tariff'!A20,'DF Calculation'!C:C,'To Populate Tariff'!B20)</f>
        <v>9.4123559413265436</v>
      </c>
    </row>
    <row r="21" spans="1:7">
      <c r="A21" s="154">
        <v>21</v>
      </c>
      <c r="B21" s="123" t="s">
        <v>203</v>
      </c>
      <c r="C21" s="123" t="s">
        <v>204</v>
      </c>
      <c r="D21" s="111" t="str">
        <f>VLOOKUP(C21,Mapping!$D$4:$H$110,5,FALSE)</f>
        <v>35 Gallon Cart EOW-R</v>
      </c>
      <c r="E21" s="311">
        <f>SUMIFS('DF Calculation'!L:L,'DF Calculation'!B:B,'To Populate Tariff'!A21,'DF Calculation'!C:C,'To Populate Tariff'!B21)</f>
        <v>12.78</v>
      </c>
      <c r="F21" s="311">
        <f>SUMIFS('DF Calculation'!N:N,'DF Calculation'!B:B,'To Populate Tariff'!A21,'DF Calculation'!C:C,'To Populate Tariff'!B21)</f>
        <v>12.87177120620751</v>
      </c>
    </row>
    <row r="22" spans="1:7">
      <c r="A22" s="154">
        <v>21</v>
      </c>
      <c r="B22" s="123" t="s">
        <v>205</v>
      </c>
      <c r="C22" s="123" t="s">
        <v>206</v>
      </c>
      <c r="D22" s="111" t="str">
        <f>VLOOKUP(C22,Mapping!$D$4:$H$110,5,FALSE)</f>
        <v>35 Gallon Cart WG-R</v>
      </c>
      <c r="E22" s="311">
        <f>SUMIFS('DF Calculation'!L:L,'DF Calculation'!B:B,'To Populate Tariff'!A22,'DF Calculation'!C:C,'To Populate Tariff'!B22)</f>
        <v>19.21</v>
      </c>
      <c r="F22" s="311">
        <f>SUMIFS('DF Calculation'!N:N,'DF Calculation'!B:B,'To Populate Tariff'!A22,'DF Calculation'!C:C,'To Populate Tariff'!B22)</f>
        <v>19.393542412415023</v>
      </c>
    </row>
    <row r="23" spans="1:7">
      <c r="A23" s="154">
        <v>21</v>
      </c>
      <c r="B23" s="123" t="s">
        <v>207</v>
      </c>
      <c r="C23" s="123" t="s">
        <v>208</v>
      </c>
      <c r="D23" s="111" t="str">
        <f>VLOOKUP(C23,Mapping!$D$4:$H$110,5,FALSE)</f>
        <v>35 Gallon Cart WG-R</v>
      </c>
      <c r="E23" s="311">
        <f>SUMIFS('DF Calculation'!L:L,'DF Calculation'!B:B,'To Populate Tariff'!A23,'DF Calculation'!C:C,'To Populate Tariff'!B23)</f>
        <v>38.42</v>
      </c>
      <c r="F23" s="311">
        <f>SUMIFS('DF Calculation'!N:N,'DF Calculation'!B:B,'To Populate Tariff'!A23,'DF Calculation'!C:C,'To Populate Tariff'!B23)</f>
        <v>38.787084824830046</v>
      </c>
    </row>
    <row r="24" spans="1:7">
      <c r="A24" s="154">
        <v>21</v>
      </c>
      <c r="B24" s="123" t="s">
        <v>209</v>
      </c>
      <c r="C24" s="123" t="s">
        <v>210</v>
      </c>
      <c r="D24" s="111" t="str">
        <f>VLOOKUP(C24,Mapping!$D$4:$H$110,5,FALSE)</f>
        <v>65 Gallon Cart MG-NR</v>
      </c>
      <c r="E24" s="311">
        <f>SUMIFS('DF Calculation'!L:L,'DF Calculation'!B:B,'To Populate Tariff'!A24,'DF Calculation'!C:C,'To Populate Tariff'!B24)</f>
        <v>11.42</v>
      </c>
      <c r="F24" s="311">
        <f>SUMIFS('DF Calculation'!N:N,'DF Calculation'!B:B,'To Populate Tariff'!A24,'DF Calculation'!C:C,'To Populate Tariff'!B24)</f>
        <v>11.478550860069046</v>
      </c>
    </row>
    <row r="25" spans="1:7">
      <c r="A25" s="154">
        <v>21</v>
      </c>
      <c r="B25" s="123" t="s">
        <v>211</v>
      </c>
      <c r="C25" s="123" t="s">
        <v>212</v>
      </c>
      <c r="D25" s="111" t="str">
        <f>VLOOKUP(C25,Mapping!$D$4:$H$110,5,FALSE)</f>
        <v>65 Gallon Cart MG-R</v>
      </c>
      <c r="E25" s="311">
        <f>SUMIFS('DF Calculation'!L:L,'DF Calculation'!B:B,'To Populate Tariff'!A25,'DF Calculation'!C:C,'To Populate Tariff'!B25)</f>
        <v>9.42</v>
      </c>
      <c r="F25" s="311">
        <f>SUMIFS('DF Calculation'!N:N,'DF Calculation'!B:B,'To Populate Tariff'!A25,'DF Calculation'!C:C,'To Populate Tariff'!B25)</f>
        <v>9.4785508600690456</v>
      </c>
    </row>
    <row r="26" spans="1:7">
      <c r="A26" s="154">
        <v>21</v>
      </c>
      <c r="B26" s="123" t="s">
        <v>213</v>
      </c>
      <c r="C26" s="123" t="s">
        <v>214</v>
      </c>
      <c r="D26" s="111" t="str">
        <f>VLOOKUP(C26,Mapping!$D$4:$H$110,5,FALSE)</f>
        <v>65 Gallon Cart WG-NR</v>
      </c>
      <c r="E26" s="311">
        <f>SUMIFS('DF Calculation'!L:L,'DF Calculation'!B:B,'To Populate Tariff'!A26,'DF Calculation'!C:C,'To Populate Tariff'!B26)</f>
        <v>28.59</v>
      </c>
      <c r="F26" s="311">
        <f>SUMIFS('DF Calculation'!N:N,'DF Calculation'!B:B,'To Populate Tariff'!A26,'DF Calculation'!C:C,'To Populate Tariff'!B26)</f>
        <v>28.84372039363253</v>
      </c>
    </row>
    <row r="27" spans="1:7">
      <c r="A27" s="154">
        <v>21</v>
      </c>
      <c r="B27" s="123" t="s">
        <v>215</v>
      </c>
      <c r="C27" s="123" t="s">
        <v>216</v>
      </c>
      <c r="D27" s="111" t="str">
        <f>VLOOKUP(C27,Mapping!$D$4:$H$110,5,FALSE)</f>
        <v>65 Gallon Cart WG-R</v>
      </c>
      <c r="E27" s="311">
        <f>SUMIFS('DF Calculation'!L:L,'DF Calculation'!B:B,'To Populate Tariff'!A27,'DF Calculation'!C:C,'To Populate Tariff'!B27)</f>
        <v>26.59</v>
      </c>
      <c r="F27" s="311">
        <f>SUMIFS('DF Calculation'!N:N,'DF Calculation'!B:B,'To Populate Tariff'!A27,'DF Calculation'!C:C,'To Populate Tariff'!B27)</f>
        <v>26.84372039363253</v>
      </c>
    </row>
    <row r="28" spans="1:7">
      <c r="A28" s="154">
        <v>21</v>
      </c>
      <c r="B28" s="123" t="s">
        <v>217</v>
      </c>
      <c r="C28" s="123" t="s">
        <v>218</v>
      </c>
      <c r="D28" s="111" t="str">
        <f>VLOOKUP(C28,Mapping!$D$4:$H$110,5,FALSE)</f>
        <v>65 Gallon Cart EOWG-NR</v>
      </c>
      <c r="E28" s="311">
        <f>SUMIFS('DF Calculation'!L:L,'DF Calculation'!B:B,'To Populate Tariff'!A28,'DF Calculation'!C:C,'To Populate Tariff'!B28)</f>
        <v>18.579999999999998</v>
      </c>
      <c r="F28" s="311">
        <f>SUMIFS('DF Calculation'!N:N,'DF Calculation'!B:B,'To Populate Tariff'!A28,'DF Calculation'!C:C,'To Populate Tariff'!B28)</f>
        <v>18.706860196816265</v>
      </c>
    </row>
    <row r="29" spans="1:7">
      <c r="A29" s="154">
        <v>21</v>
      </c>
      <c r="B29" s="123" t="s">
        <v>219</v>
      </c>
      <c r="C29" s="123" t="s">
        <v>220</v>
      </c>
      <c r="D29" s="111" t="str">
        <f>VLOOKUP(C29,Mapping!$D$4:$H$110,5,FALSE)</f>
        <v>65 Gallon Cart EOW-R</v>
      </c>
      <c r="E29" s="311">
        <f>SUMIFS('DF Calculation'!L:L,'DF Calculation'!B:B,'To Populate Tariff'!A29,'DF Calculation'!C:C,'To Populate Tariff'!B29)</f>
        <v>16.579999999999998</v>
      </c>
      <c r="F29" s="311">
        <f>SUMIFS('DF Calculation'!N:N,'DF Calculation'!B:B,'To Populate Tariff'!A29,'DF Calculation'!C:C,'To Populate Tariff'!B29)</f>
        <v>16.706860196816265</v>
      </c>
    </row>
    <row r="30" spans="1:7">
      <c r="A30" s="154">
        <v>21</v>
      </c>
      <c r="B30" s="123" t="s">
        <v>221</v>
      </c>
      <c r="C30" s="123" t="s">
        <v>222</v>
      </c>
      <c r="D30" s="111" t="str">
        <f>VLOOKUP(C30,Mapping!$D$4:$H$110,5,FALSE)</f>
        <v>95 Gallon Cart MG-NR</v>
      </c>
      <c r="E30" s="311">
        <f>SUMIFS('DF Calculation'!L:L,'DF Calculation'!B:B,'To Populate Tariff'!A30,'DF Calculation'!C:C,'To Populate Tariff'!B30)</f>
        <v>15.92</v>
      </c>
      <c r="F30" s="311">
        <f>SUMIFS('DF Calculation'!N:N,'DF Calculation'!B:B,'To Populate Tariff'!A30,'DF Calculation'!C:C,'To Populate Tariff'!B30)</f>
        <v>16.004711882653087</v>
      </c>
      <c r="G30" s="402">
        <f t="shared" ref="G30:G35" si="0">F30-E30</f>
        <v>8.4711882653087045E-2</v>
      </c>
    </row>
    <row r="31" spans="1:7">
      <c r="A31" s="154">
        <v>21</v>
      </c>
      <c r="B31" s="123" t="s">
        <v>223</v>
      </c>
      <c r="C31" s="123" t="s">
        <v>224</v>
      </c>
      <c r="D31" s="111" t="str">
        <f>VLOOKUP(C31,Mapping!$D$4:$H$110,5,FALSE)</f>
        <v>95 Gallon Cart MG-R</v>
      </c>
      <c r="E31" s="311">
        <f>SUMIFS('DF Calculation'!L:L,'DF Calculation'!B:B,'To Populate Tariff'!A31,'DF Calculation'!C:C,'To Populate Tariff'!B31)</f>
        <v>12.92</v>
      </c>
      <c r="F31" s="311">
        <f>SUMIFS('DF Calculation'!N:N,'DF Calculation'!B:B,'To Populate Tariff'!A31,'DF Calculation'!C:C,'To Populate Tariff'!B31)</f>
        <v>13.004711882653087</v>
      </c>
      <c r="G31" s="402">
        <f t="shared" si="0"/>
        <v>8.4711882653087045E-2</v>
      </c>
    </row>
    <row r="32" spans="1:7">
      <c r="A32" s="154">
        <v>21</v>
      </c>
      <c r="B32" s="123" t="s">
        <v>225</v>
      </c>
      <c r="C32" s="123" t="s">
        <v>226</v>
      </c>
      <c r="D32" s="111" t="str">
        <f>VLOOKUP(C32,Mapping!$D$4:$H$110,5,FALSE)</f>
        <v>95 Gallon Cart WG-NR</v>
      </c>
      <c r="E32" s="311">
        <f>SUMIFS('DF Calculation'!L:L,'DF Calculation'!B:B,'To Populate Tariff'!A32,'DF Calculation'!C:C,'To Populate Tariff'!B32)</f>
        <v>38.24</v>
      </c>
      <c r="F32" s="311">
        <f>SUMIFS('DF Calculation'!N:N,'DF Calculation'!B:B,'To Populate Tariff'!A32,'DF Calculation'!C:C,'To Populate Tariff'!B32)</f>
        <v>38.607084824830046</v>
      </c>
      <c r="G32" s="402">
        <f t="shared" si="0"/>
        <v>0.36708482483004445</v>
      </c>
    </row>
    <row r="33" spans="1:7">
      <c r="A33" s="154">
        <v>21</v>
      </c>
      <c r="B33" s="123" t="s">
        <v>227</v>
      </c>
      <c r="C33" s="123" t="s">
        <v>228</v>
      </c>
      <c r="D33" s="111" t="str">
        <f>VLOOKUP(C33,Mapping!$D$4:$H$110,5,FALSE)</f>
        <v>95 Gallon Cart WG-R</v>
      </c>
      <c r="E33" s="311">
        <f>SUMIFS('DF Calculation'!L:L,'DF Calculation'!B:B,'To Populate Tariff'!A33,'DF Calculation'!C:C,'To Populate Tariff'!B33)</f>
        <v>35.24</v>
      </c>
      <c r="F33" s="311">
        <f>SUMIFS('DF Calculation'!N:N,'DF Calculation'!B:B,'To Populate Tariff'!A33,'DF Calculation'!C:C,'To Populate Tariff'!B33)</f>
        <v>35.607084824830046</v>
      </c>
      <c r="G33" s="402">
        <f t="shared" si="0"/>
        <v>0.36708482483004445</v>
      </c>
    </row>
    <row r="34" spans="1:7">
      <c r="A34" s="154">
        <v>21</v>
      </c>
      <c r="B34" s="123" t="s">
        <v>231</v>
      </c>
      <c r="C34" s="123" t="s">
        <v>232</v>
      </c>
      <c r="D34" s="111" t="str">
        <f>VLOOKUP(C34,Mapping!$D$4:$H$110,5,FALSE)</f>
        <v>95 Gallon Cart EOWG-NR</v>
      </c>
      <c r="E34" s="311">
        <f>SUMIFS('DF Calculation'!L:L,'DF Calculation'!B:B,'To Populate Tariff'!A34,'DF Calculation'!C:C,'To Populate Tariff'!B34)</f>
        <v>24.76</v>
      </c>
      <c r="F34" s="311">
        <f>SUMIFS('DF Calculation'!N:N,'DF Calculation'!B:B,'To Populate Tariff'!A34,'DF Calculation'!C:C,'To Populate Tariff'!B34)</f>
        <v>24.943542412415024</v>
      </c>
      <c r="G34" s="402">
        <f t="shared" si="0"/>
        <v>0.18354241241502223</v>
      </c>
    </row>
    <row r="35" spans="1:7">
      <c r="A35" s="154">
        <v>21</v>
      </c>
      <c r="B35" s="123" t="s">
        <v>233</v>
      </c>
      <c r="C35" s="123" t="s">
        <v>234</v>
      </c>
      <c r="D35" s="111" t="str">
        <f>VLOOKUP(C35,Mapping!$D$4:$H$110,5,FALSE)</f>
        <v>95 Gallon Cart EOWG-R</v>
      </c>
      <c r="E35" s="311">
        <f>SUMIFS('DF Calculation'!L:L,'DF Calculation'!B:B,'To Populate Tariff'!A35,'DF Calculation'!C:C,'To Populate Tariff'!B35)</f>
        <v>21.76</v>
      </c>
      <c r="F35" s="311">
        <f>SUMIFS('DF Calculation'!N:N,'DF Calculation'!B:B,'To Populate Tariff'!A35,'DF Calculation'!C:C,'To Populate Tariff'!B35)</f>
        <v>21.943542412415024</v>
      </c>
      <c r="G35" s="402">
        <f t="shared" si="0"/>
        <v>0.18354241241502223</v>
      </c>
    </row>
    <row r="36" spans="1:7">
      <c r="A36" s="154">
        <v>22</v>
      </c>
      <c r="B36" s="123" t="s">
        <v>237</v>
      </c>
      <c r="C36" s="123" t="s">
        <v>238</v>
      </c>
      <c r="D36" s="111" t="str">
        <f>VLOOKUP(C36,Mapping!$D$4:$H$110,5,FALSE)</f>
        <v>Extra Units Extra</v>
      </c>
      <c r="E36" s="311">
        <f>SUMIFS('DF Calculation'!L:L,'DF Calculation'!B:B,'To Populate Tariff'!A36,'DF Calculation'!C:C,'To Populate Tariff'!B36)</f>
        <v>4.3899999999999997</v>
      </c>
      <c r="F36" s="311">
        <f>SUMIFS('DF Calculation'!N:N,'DF Calculation'!B:B,'To Populate Tariff'!A36,'DF Calculation'!C:C,'To Populate Tariff'!B36)</f>
        <v>4.4323559413265432</v>
      </c>
    </row>
    <row r="37" spans="1:7">
      <c r="A37" s="154">
        <v>22</v>
      </c>
      <c r="B37" s="123"/>
      <c r="C37" s="123"/>
      <c r="D37" s="111" t="s">
        <v>971</v>
      </c>
      <c r="E37" s="311">
        <v>9.32</v>
      </c>
      <c r="F37" s="311">
        <f>E37+(F25-E25)</f>
        <v>9.3785508600690459</v>
      </c>
      <c r="G37" s="400" t="s">
        <v>974</v>
      </c>
    </row>
    <row r="38" spans="1:7">
      <c r="A38" s="154">
        <v>22</v>
      </c>
      <c r="B38" s="123"/>
      <c r="C38" s="123"/>
      <c r="D38" s="111" t="s">
        <v>972</v>
      </c>
      <c r="E38" s="311">
        <v>12.27</v>
      </c>
      <c r="F38" s="311">
        <f>E38+(F31-E31)</f>
        <v>12.354711882653087</v>
      </c>
      <c r="G38" s="400" t="s">
        <v>974</v>
      </c>
    </row>
    <row r="39" spans="1:7">
      <c r="A39" s="154">
        <v>22</v>
      </c>
      <c r="B39" s="123"/>
      <c r="C39" s="123"/>
      <c r="D39" s="111" t="s">
        <v>973</v>
      </c>
      <c r="E39" s="311">
        <v>5.09</v>
      </c>
      <c r="F39" s="311">
        <f>E39+(F36-E36)</f>
        <v>5.1323559413265434</v>
      </c>
      <c r="G39" s="400" t="s">
        <v>974</v>
      </c>
    </row>
    <row r="40" spans="1:7">
      <c r="A40" s="154">
        <v>26</v>
      </c>
      <c r="B40" s="123" t="s">
        <v>235</v>
      </c>
      <c r="C40" s="123" t="s">
        <v>236</v>
      </c>
      <c r="D40" s="111" t="str">
        <f>VLOOKUP(C40,Mapping!$D$4:$H$110,5,FALSE)</f>
        <v>Extra Units Extra</v>
      </c>
      <c r="E40" s="311">
        <f>SUMIFS('DF Calculation'!L:L,'DF Calculation'!B:B,'To Populate Tariff'!A40,'DF Calculation'!C:C,'To Populate Tariff'!B40)</f>
        <v>32.04</v>
      </c>
      <c r="F40" s="311">
        <f>SUMIFS('DF Calculation'!N:N,'DF Calculation'!B:B,'To Populate Tariff'!A40,'DF Calculation'!C:C,'To Populate Tariff'!B40)</f>
        <v>32.195720372524057</v>
      </c>
    </row>
    <row r="41" spans="1:7">
      <c r="A41" s="154">
        <v>26</v>
      </c>
      <c r="B41" s="123" t="s">
        <v>367</v>
      </c>
      <c r="C41" s="123" t="s">
        <v>368</v>
      </c>
      <c r="D41" s="297" t="str">
        <f>VLOOKUP(B41,Mapping!$C$4:$H$110,6,FALSE)</f>
        <v>Extra Units Extra</v>
      </c>
      <c r="E41" s="311">
        <f>SUMIFS('DF Calculation'!L:L,'DF Calculation'!B:B,'To Populate Tariff'!A41,'DF Calculation'!C:C,'To Populate Tariff'!B41)</f>
        <v>32.04</v>
      </c>
      <c r="F41" s="311">
        <f>SUMIFS('DF Calculation'!N:N,'DF Calculation'!B:B,'To Populate Tariff'!A41,'DF Calculation'!C:C,'To Populate Tariff'!B41)</f>
        <v>32.200000000000003</v>
      </c>
    </row>
    <row r="42" spans="1:7">
      <c r="A42" s="154">
        <v>26</v>
      </c>
      <c r="B42" s="123" t="s">
        <v>361</v>
      </c>
      <c r="C42" s="123" t="s">
        <v>362</v>
      </c>
      <c r="D42" s="297" t="str">
        <f>VLOOKUP(B42,Mapping!$C$4:$H$110,6,FALSE)</f>
        <v>Extra Units Extra</v>
      </c>
      <c r="E42" s="311">
        <f>SUMIFS('DF Calculation'!L:L,'DF Calculation'!B:B,'To Populate Tariff'!A42,'DF Calculation'!C:C,'To Populate Tariff'!B42)</f>
        <v>32.04</v>
      </c>
      <c r="F42" s="311">
        <f>SUMIFS('DF Calculation'!N:N,'DF Calculation'!B:B,'To Populate Tariff'!A42,'DF Calculation'!C:C,'To Populate Tariff'!B42)</f>
        <v>32.26</v>
      </c>
    </row>
    <row r="43" spans="1:7">
      <c r="A43" s="304">
        <v>33</v>
      </c>
      <c r="B43" s="306" t="s">
        <v>899</v>
      </c>
      <c r="C43" s="305" t="s">
        <v>240</v>
      </c>
      <c r="D43" s="306" t="s">
        <v>901</v>
      </c>
      <c r="E43" s="186">
        <f>'DF Calculation'!L44</f>
        <v>31.73</v>
      </c>
      <c r="F43" s="186">
        <f>'DF Calculation'!N44</f>
        <v>31.95</v>
      </c>
    </row>
    <row r="44" spans="1:7">
      <c r="A44" s="304">
        <v>33</v>
      </c>
      <c r="B44" s="306" t="s">
        <v>899</v>
      </c>
      <c r="C44" s="305" t="s">
        <v>240</v>
      </c>
      <c r="D44" s="306" t="s">
        <v>900</v>
      </c>
      <c r="E44" s="186">
        <f>'DF Calculation'!L45</f>
        <v>18.59</v>
      </c>
      <c r="F44" s="186">
        <f>'DF Calculation'!N45</f>
        <v>18.809999999999999</v>
      </c>
    </row>
    <row r="45" spans="1:7">
      <c r="A45" s="304">
        <v>33</v>
      </c>
      <c r="B45" s="305" t="s">
        <v>347</v>
      </c>
      <c r="C45" s="305" t="s">
        <v>348</v>
      </c>
      <c r="D45" s="306" t="s">
        <v>907</v>
      </c>
      <c r="E45" s="186">
        <f>'DF Calculation'!L46</f>
        <v>23.38</v>
      </c>
      <c r="F45" s="186">
        <f>'DF Calculation'!N46</f>
        <v>23.6</v>
      </c>
    </row>
    <row r="46" spans="1:7">
      <c r="A46" s="312">
        <v>33</v>
      </c>
      <c r="B46" s="308" t="s">
        <v>616</v>
      </c>
      <c r="C46" s="308" t="s">
        <v>617</v>
      </c>
      <c r="D46" s="195" t="str">
        <f>CONCATENATE(A46," ",C46)</f>
        <v>33 SPECIAL PICK UP 1 YD - CO</v>
      </c>
      <c r="E46" s="185">
        <f>'DF Calculation'!L47</f>
        <v>63.83</v>
      </c>
      <c r="F46" s="185">
        <f>'DF Calculation'!N47</f>
        <v>64.05</v>
      </c>
    </row>
    <row r="47" spans="1:7">
      <c r="A47" s="304">
        <v>33</v>
      </c>
      <c r="B47" s="305" t="s">
        <v>903</v>
      </c>
      <c r="C47" s="305" t="s">
        <v>248</v>
      </c>
      <c r="D47" s="306" t="s">
        <v>901</v>
      </c>
      <c r="E47" s="186">
        <f>'DF Calculation'!L48</f>
        <v>43.42</v>
      </c>
      <c r="F47" s="186">
        <f>'DF Calculation'!N48</f>
        <v>43.73</v>
      </c>
    </row>
    <row r="48" spans="1:7">
      <c r="A48" s="304">
        <v>33</v>
      </c>
      <c r="B48" s="305" t="s">
        <v>903</v>
      </c>
      <c r="C48" s="305" t="s">
        <v>248</v>
      </c>
      <c r="D48" s="306" t="s">
        <v>900</v>
      </c>
      <c r="E48" s="186">
        <f>'DF Calculation'!L49</f>
        <v>25.47</v>
      </c>
      <c r="F48" s="186">
        <f>'DF Calculation'!N49</f>
        <v>25.78</v>
      </c>
    </row>
    <row r="49" spans="1:6">
      <c r="A49" s="304">
        <v>33</v>
      </c>
      <c r="B49" s="305" t="s">
        <v>349</v>
      </c>
      <c r="C49" s="305" t="s">
        <v>350</v>
      </c>
      <c r="D49" s="306" t="s">
        <v>908</v>
      </c>
      <c r="E49" s="186">
        <f>'DF Calculation'!L50</f>
        <v>31.2</v>
      </c>
      <c r="F49" s="186">
        <f>'DF Calculation'!N50</f>
        <v>31.51</v>
      </c>
    </row>
    <row r="50" spans="1:6">
      <c r="A50" s="312">
        <v>33</v>
      </c>
      <c r="B50" s="308" t="s">
        <v>614</v>
      </c>
      <c r="C50" s="308" t="s">
        <v>615</v>
      </c>
      <c r="D50" s="195" t="str">
        <f>CONCATENATE(A50," ",C50)</f>
        <v>33 SPECIAL PICK UP 1.5 YD -</v>
      </c>
      <c r="E50" s="185">
        <f>'DF Calculation'!L51</f>
        <v>71.09</v>
      </c>
      <c r="F50" s="185">
        <f>'DF Calculation'!N51</f>
        <v>71.400000000000006</v>
      </c>
    </row>
    <row r="51" spans="1:6">
      <c r="A51" s="304">
        <v>33</v>
      </c>
      <c r="B51" s="305" t="s">
        <v>902</v>
      </c>
      <c r="C51" s="305" t="s">
        <v>258</v>
      </c>
      <c r="D51" s="306" t="s">
        <v>901</v>
      </c>
      <c r="E51" s="186">
        <f>'DF Calculation'!L52</f>
        <v>52.55</v>
      </c>
      <c r="F51" s="186">
        <f>'DF Calculation'!N52</f>
        <v>52.95</v>
      </c>
    </row>
    <row r="52" spans="1:6">
      <c r="A52" s="304">
        <v>33</v>
      </c>
      <c r="B52" s="305" t="s">
        <v>902</v>
      </c>
      <c r="C52" s="305" t="s">
        <v>258</v>
      </c>
      <c r="D52" s="306" t="s">
        <v>900</v>
      </c>
      <c r="E52" s="186">
        <f>'DF Calculation'!L53</f>
        <v>33.54</v>
      </c>
      <c r="F52" s="186">
        <f>'DF Calculation'!N53</f>
        <v>33.94</v>
      </c>
    </row>
    <row r="53" spans="1:6">
      <c r="A53" s="304">
        <v>33</v>
      </c>
      <c r="B53" s="305" t="s">
        <v>351</v>
      </c>
      <c r="C53" s="305" t="s">
        <v>352</v>
      </c>
      <c r="D53" s="306" t="s">
        <v>909</v>
      </c>
      <c r="E53" s="186">
        <f>'DF Calculation'!L54</f>
        <v>38.049999999999997</v>
      </c>
      <c r="F53" s="186">
        <f>'DF Calculation'!N54</f>
        <v>38.450000000000003</v>
      </c>
    </row>
    <row r="54" spans="1:6">
      <c r="A54" s="312">
        <v>33</v>
      </c>
      <c r="B54" s="308" t="s">
        <v>618</v>
      </c>
      <c r="C54" s="308" t="s">
        <v>619</v>
      </c>
      <c r="D54" s="195" t="str">
        <f>CONCATENATE(A54," ",C54)</f>
        <v>33 SPECIAL PICK UP 2 YD - CO</v>
      </c>
      <c r="E54" s="185">
        <f>'DF Calculation'!L55</f>
        <v>79.41</v>
      </c>
      <c r="F54" s="185">
        <f>'DF Calculation'!N55</f>
        <v>79.81</v>
      </c>
    </row>
    <row r="55" spans="1:6">
      <c r="A55" s="304">
        <v>33</v>
      </c>
      <c r="B55" s="305" t="s">
        <v>904</v>
      </c>
      <c r="C55" s="305" t="s">
        <v>266</v>
      </c>
      <c r="D55" s="306" t="s">
        <v>901</v>
      </c>
      <c r="E55" s="186">
        <f>'DF Calculation'!L56</f>
        <v>71.28</v>
      </c>
      <c r="F55" s="186">
        <f>'DF Calculation'!N56</f>
        <v>71.87</v>
      </c>
    </row>
    <row r="56" spans="1:6">
      <c r="A56" s="304">
        <v>33</v>
      </c>
      <c r="B56" s="305" t="s">
        <v>904</v>
      </c>
      <c r="C56" s="305" t="s">
        <v>274</v>
      </c>
      <c r="D56" s="306" t="s">
        <v>900</v>
      </c>
      <c r="E56" s="186">
        <f>'DF Calculation'!L57</f>
        <v>47.53</v>
      </c>
      <c r="F56" s="186">
        <f>'DF Calculation'!N57</f>
        <v>48.12</v>
      </c>
    </row>
    <row r="57" spans="1:6">
      <c r="A57" s="304">
        <v>33</v>
      </c>
      <c r="B57" s="305" t="s">
        <v>353</v>
      </c>
      <c r="C57" s="305" t="s">
        <v>354</v>
      </c>
      <c r="D57" s="306" t="s">
        <v>910</v>
      </c>
      <c r="E57" s="186">
        <f>'DF Calculation'!L58</f>
        <v>53.43</v>
      </c>
      <c r="F57" s="186">
        <f>'DF Calculation'!N58</f>
        <v>54.02</v>
      </c>
    </row>
    <row r="58" spans="1:6">
      <c r="A58" s="312">
        <v>33</v>
      </c>
      <c r="B58" s="308" t="s">
        <v>620</v>
      </c>
      <c r="C58" s="308" t="s">
        <v>621</v>
      </c>
      <c r="D58" s="195" t="str">
        <f>CONCATENATE(A58," ",C58)</f>
        <v>33 SPECIAL PICK UP 3 YD - CO</v>
      </c>
      <c r="E58" s="185">
        <f>'DF Calculation'!L59</f>
        <v>91.89</v>
      </c>
      <c r="F58" s="185">
        <f>'DF Calculation'!N59</f>
        <v>92.48</v>
      </c>
    </row>
    <row r="59" spans="1:6">
      <c r="A59" s="304">
        <v>33</v>
      </c>
      <c r="B59" s="305" t="s">
        <v>905</v>
      </c>
      <c r="C59" s="305" t="s">
        <v>274</v>
      </c>
      <c r="D59" s="306" t="s">
        <v>901</v>
      </c>
      <c r="E59" s="186">
        <f>'DF Calculation'!L60</f>
        <v>89.24</v>
      </c>
      <c r="F59" s="186">
        <f>'DF Calculation'!N60</f>
        <v>90</v>
      </c>
    </row>
    <row r="60" spans="1:6">
      <c r="A60" s="304">
        <v>33</v>
      </c>
      <c r="B60" s="305" t="s">
        <v>905</v>
      </c>
      <c r="C60" s="305" t="s">
        <v>274</v>
      </c>
      <c r="D60" s="306" t="s">
        <v>900</v>
      </c>
      <c r="E60" s="186">
        <f>'DF Calculation'!L61</f>
        <v>63.9</v>
      </c>
      <c r="F60" s="186">
        <f>'DF Calculation'!N61</f>
        <v>64.66</v>
      </c>
    </row>
    <row r="61" spans="1:6">
      <c r="A61" s="304">
        <v>33</v>
      </c>
      <c r="B61" s="305" t="s">
        <v>355</v>
      </c>
      <c r="C61" s="305" t="s">
        <v>356</v>
      </c>
      <c r="D61" s="306" t="s">
        <v>911</v>
      </c>
      <c r="E61" s="186">
        <f>'DF Calculation'!L62</f>
        <v>68.87</v>
      </c>
      <c r="F61" s="186">
        <f>'DF Calculation'!N62</f>
        <v>69.63</v>
      </c>
    </row>
    <row r="62" spans="1:6">
      <c r="A62" s="312">
        <v>33</v>
      </c>
      <c r="B62" s="308" t="s">
        <v>622</v>
      </c>
      <c r="C62" s="308" t="s">
        <v>623</v>
      </c>
      <c r="D62" s="195" t="str">
        <f>CONCATENATE(A62," ",C62)</f>
        <v>33 SPECIAL PICK UP 4 YD - CO</v>
      </c>
      <c r="E62" s="185">
        <f>'DF Calculation'!L63</f>
        <v>106.14</v>
      </c>
      <c r="F62" s="185">
        <f>'DF Calculation'!N63</f>
        <v>106.9</v>
      </c>
    </row>
    <row r="63" spans="1:6">
      <c r="A63" s="304">
        <v>33</v>
      </c>
      <c r="B63" s="305" t="s">
        <v>906</v>
      </c>
      <c r="C63" s="305" t="s">
        <v>284</v>
      </c>
      <c r="D63" s="306" t="s">
        <v>901</v>
      </c>
      <c r="E63" s="186">
        <f>'DF Calculation'!L64</f>
        <v>119.88</v>
      </c>
      <c r="F63" s="186">
        <f>'DF Calculation'!N64</f>
        <v>120.93</v>
      </c>
    </row>
    <row r="64" spans="1:6">
      <c r="A64" s="304">
        <v>33</v>
      </c>
      <c r="B64" s="305" t="s">
        <v>906</v>
      </c>
      <c r="C64" s="305" t="s">
        <v>284</v>
      </c>
      <c r="D64" s="306" t="s">
        <v>900</v>
      </c>
      <c r="E64" s="186">
        <f>'DF Calculation'!L65</f>
        <v>88.2</v>
      </c>
      <c r="F64" s="186">
        <f>'DF Calculation'!N65</f>
        <v>89.25</v>
      </c>
    </row>
    <row r="65" spans="1:7">
      <c r="A65" s="304">
        <v>33</v>
      </c>
      <c r="B65" s="305" t="s">
        <v>357</v>
      </c>
      <c r="C65" s="305" t="s">
        <v>358</v>
      </c>
      <c r="D65" s="306" t="str">
        <f>VLOOKUP(B65,Mapping!$C$4:$H$110,6,FALSE)</f>
        <v>6 yard Temp</v>
      </c>
      <c r="E65" s="186">
        <f>'DF Calculation'!L66</f>
        <v>95.91</v>
      </c>
      <c r="F65" s="186">
        <f>'DF Calculation'!N66</f>
        <v>96.96</v>
      </c>
    </row>
    <row r="66" spans="1:7">
      <c r="A66" s="312">
        <v>33</v>
      </c>
      <c r="B66" s="308" t="s">
        <v>624</v>
      </c>
      <c r="C66" s="308" t="s">
        <v>625</v>
      </c>
      <c r="D66" s="195" t="str">
        <f>CONCATENATE(A66," ",C66)</f>
        <v>33 SPECIAL PICK UP 6 YD - CO</v>
      </c>
      <c r="E66" s="185">
        <f>'DF Calculation'!L67</f>
        <v>126.22</v>
      </c>
      <c r="F66" s="185">
        <f>'DF Calculation'!N67</f>
        <v>127.27</v>
      </c>
    </row>
    <row r="67" spans="1:7">
      <c r="A67" s="301">
        <v>34</v>
      </c>
      <c r="B67" s="123" t="s">
        <v>303</v>
      </c>
      <c r="C67" s="123" t="s">
        <v>304</v>
      </c>
      <c r="D67" s="297" t="s">
        <v>1001</v>
      </c>
      <c r="E67" s="311">
        <f>SUMIFS('DF Calculation'!L:L,'DF Calculation'!B:B,'To Populate Tariff'!A67,'DF Calculation'!C:C,'To Populate Tariff'!B67)</f>
        <v>17.809999999999999</v>
      </c>
      <c r="F67" s="311">
        <f>SUMIFS('DF Calculation'!N:N,'DF Calculation'!B:B,'To Populate Tariff'!A67,'DF Calculation'!C:C,'To Populate Tariff'!B67)</f>
        <v>17.97</v>
      </c>
    </row>
    <row r="68" spans="1:7">
      <c r="A68" s="301">
        <v>34</v>
      </c>
      <c r="B68" s="123" t="s">
        <v>305</v>
      </c>
      <c r="C68" s="123" t="s">
        <v>306</v>
      </c>
      <c r="D68" s="297" t="s">
        <v>1001</v>
      </c>
      <c r="E68" s="311">
        <f>SUMIFS('DF Calculation'!L:L,'DF Calculation'!B:B,'To Populate Tariff'!A68,'DF Calculation'!C:C,'To Populate Tariff'!B68)</f>
        <v>17.809999999999999</v>
      </c>
      <c r="F68" s="311">
        <f>SUMIFS('DF Calculation'!N:N,'DF Calculation'!B:B,'To Populate Tariff'!A68,'DF Calculation'!C:C,'To Populate Tariff'!B68)</f>
        <v>17.966550881177518</v>
      </c>
    </row>
    <row r="69" spans="1:7">
      <c r="A69" s="301">
        <v>34</v>
      </c>
      <c r="B69" s="123" t="s">
        <v>307</v>
      </c>
      <c r="C69" s="123" t="s">
        <v>304</v>
      </c>
      <c r="D69" s="297" t="str">
        <f>VLOOKUP(B69,Mapping!$C$4:$H$110,6,FALSE)</f>
        <v>32 Gallon Cart WG-NR</v>
      </c>
      <c r="E69" s="311">
        <f>SUMIFS('DF Calculation'!L:L,'DF Calculation'!B:B,'To Populate Tariff'!A69,'DF Calculation'!C:C,'To Populate Tariff'!B69)</f>
        <v>28.92</v>
      </c>
      <c r="F69" s="311">
        <f>SUMIFS('DF Calculation'!N:N,'DF Calculation'!B:B,'To Populate Tariff'!A69,'DF Calculation'!C:C,'To Populate Tariff'!B69)</f>
        <v>29.076550881177521</v>
      </c>
    </row>
    <row r="70" spans="1:7">
      <c r="A70" s="301">
        <v>34</v>
      </c>
      <c r="B70" s="123" t="s">
        <v>308</v>
      </c>
      <c r="C70" s="123" t="s">
        <v>309</v>
      </c>
      <c r="D70" s="297" t="str">
        <f>VLOOKUP(B70,Mapping!$C$4:$H$110,6,FALSE)</f>
        <v>32 Gallon Cart WG-R</v>
      </c>
      <c r="E70" s="311">
        <f>SUMIFS('DF Calculation'!L:L,'DF Calculation'!B:B,'To Populate Tariff'!A70,'DF Calculation'!C:C,'To Populate Tariff'!B70)</f>
        <v>28.92</v>
      </c>
      <c r="F70" s="311">
        <f>SUMIFS('DF Calculation'!N:N,'DF Calculation'!B:B,'To Populate Tariff'!A70,'DF Calculation'!C:C,'To Populate Tariff'!B70)</f>
        <v>29.233101762355041</v>
      </c>
    </row>
    <row r="71" spans="1:7">
      <c r="A71" s="301">
        <v>34</v>
      </c>
      <c r="B71" s="123" t="s">
        <v>311</v>
      </c>
      <c r="C71" s="123" t="s">
        <v>312</v>
      </c>
      <c r="D71" s="297" t="str">
        <f>VLOOKUP(B71,Mapping!$C$4:$H$110,6,FALSE)</f>
        <v>32 Gallon Cart WG-R</v>
      </c>
      <c r="E71" s="311">
        <f>SUMIFS('DF Calculation'!L:L,'DF Calculation'!B:B,'To Populate Tariff'!A71,'DF Calculation'!C:C,'To Populate Tariff'!B71)</f>
        <v>43.39</v>
      </c>
      <c r="F71" s="311">
        <f>SUMIFS('DF Calculation'!N:N,'DF Calculation'!B:B,'To Populate Tariff'!A71,'DF Calculation'!C:C,'To Populate Tariff'!B71)</f>
        <v>43.859652643532563</v>
      </c>
    </row>
    <row r="72" spans="1:7">
      <c r="A72" s="301">
        <v>34</v>
      </c>
      <c r="B72" s="123" t="s">
        <v>313</v>
      </c>
      <c r="C72" s="123" t="s">
        <v>314</v>
      </c>
      <c r="D72" s="297" t="str">
        <f>VLOOKUP(B72,Mapping!$C$4:$H$110,6,FALSE)</f>
        <v>32 Gallon Cart WG-R</v>
      </c>
      <c r="E72" s="311">
        <f>SUMIFS('DF Calculation'!L:L,'DF Calculation'!B:B,'To Populate Tariff'!A72,'DF Calculation'!C:C,'To Populate Tariff'!B72)</f>
        <v>57.85</v>
      </c>
      <c r="F72" s="311">
        <f>SUMIFS('DF Calculation'!N:N,'DF Calculation'!B:B,'To Populate Tariff'!A72,'DF Calculation'!C:C,'To Populate Tariff'!B72)</f>
        <v>58.47620352471008</v>
      </c>
    </row>
    <row r="73" spans="1:7">
      <c r="A73" s="301">
        <v>34</v>
      </c>
      <c r="B73" s="123" t="s">
        <v>319</v>
      </c>
      <c r="C73" s="123" t="s">
        <v>320</v>
      </c>
      <c r="D73" s="297" t="str">
        <f>VLOOKUP(B73,Mapping!$C$4:$H$110,6,FALSE)</f>
        <v>65 Gallon Cart WG-NR</v>
      </c>
      <c r="E73" s="311">
        <f>SUMIFS('DF Calculation'!L:L,'DF Calculation'!B:B,'To Populate Tariff'!A73,'DF Calculation'!C:C,'To Populate Tariff'!B73)</f>
        <v>29.18</v>
      </c>
      <c r="F73" s="311">
        <f>SUMIFS('DF Calculation'!N:N,'DF Calculation'!B:B,'To Populate Tariff'!A73,'DF Calculation'!C:C,'To Populate Tariff'!B73)</f>
        <v>29.43372039363253</v>
      </c>
    </row>
    <row r="74" spans="1:7">
      <c r="A74" s="301">
        <v>34</v>
      </c>
      <c r="B74" s="123" t="s">
        <v>321</v>
      </c>
      <c r="C74" s="123" t="s">
        <v>322</v>
      </c>
      <c r="D74" s="297" t="str">
        <f>VLOOKUP(B74,Mapping!$C$4:$H$110,6,FALSE)</f>
        <v>65 Gallon Cart WG-R</v>
      </c>
      <c r="E74" s="311">
        <f>SUMIFS('DF Calculation'!L:L,'DF Calculation'!B:B,'To Populate Tariff'!A74,'DF Calculation'!C:C,'To Populate Tariff'!B74)</f>
        <v>29.18</v>
      </c>
      <c r="F74" s="311">
        <f>SUMIFS('DF Calculation'!N:N,'DF Calculation'!B:B,'To Populate Tariff'!A74,'DF Calculation'!C:C,'To Populate Tariff'!B74)</f>
        <v>29.43372039363253</v>
      </c>
    </row>
    <row r="75" spans="1:7">
      <c r="A75" s="301">
        <v>34</v>
      </c>
      <c r="B75" s="123" t="s">
        <v>325</v>
      </c>
      <c r="C75" s="123" t="s">
        <v>326</v>
      </c>
      <c r="D75" s="297" t="s">
        <v>1000</v>
      </c>
      <c r="E75" s="311">
        <f>SUMIFS('DF Calculation'!L:L,'DF Calculation'!B:B,'To Populate Tariff'!A75,'DF Calculation'!C:C,'To Populate Tariff'!B75)</f>
        <v>20.9</v>
      </c>
      <c r="F75" s="311">
        <f>SUMIFS('DF Calculation'!N:N,'DF Calculation'!B:B,'To Populate Tariff'!A75,'DF Calculation'!C:C,'To Populate Tariff'!B75)</f>
        <v>21.026860196816266</v>
      </c>
      <c r="G75" s="402"/>
    </row>
    <row r="76" spans="1:7">
      <c r="A76" s="301">
        <v>34</v>
      </c>
      <c r="B76" s="123" t="s">
        <v>327</v>
      </c>
      <c r="C76" s="123" t="s">
        <v>328</v>
      </c>
      <c r="D76" s="297" t="s">
        <v>1000</v>
      </c>
      <c r="E76" s="311">
        <f>SUMIFS('DF Calculation'!L:L,'DF Calculation'!B:B,'To Populate Tariff'!A76,'DF Calculation'!C:C,'To Populate Tariff'!B76)</f>
        <v>20.9</v>
      </c>
      <c r="F76" s="311">
        <f>SUMIFS('DF Calculation'!N:N,'DF Calculation'!B:B,'To Populate Tariff'!A76,'DF Calculation'!C:C,'To Populate Tariff'!B76)</f>
        <v>21.026860196816266</v>
      </c>
    </row>
    <row r="77" spans="1:7">
      <c r="A77" s="301">
        <v>34</v>
      </c>
      <c r="B77" s="123" t="s">
        <v>329</v>
      </c>
      <c r="C77" s="123" t="s">
        <v>330</v>
      </c>
      <c r="D77" s="297" t="str">
        <f>VLOOKUP(B77,Mapping!$C$4:$H$110,6,FALSE)</f>
        <v>95 Gallon Cart WG-NR</v>
      </c>
      <c r="E77" s="311">
        <f>SUMIFS('DF Calculation'!L:L,'DF Calculation'!B:B,'To Populate Tariff'!A77,'DF Calculation'!C:C,'To Populate Tariff'!B77)</f>
        <v>37.24</v>
      </c>
      <c r="F77" s="311">
        <f>SUMIFS('DF Calculation'!N:N,'DF Calculation'!B:B,'To Populate Tariff'!A77,'DF Calculation'!C:C,'To Populate Tariff'!B77)</f>
        <v>37.607084824830046</v>
      </c>
    </row>
    <row r="78" spans="1:7">
      <c r="A78" s="301">
        <v>34</v>
      </c>
      <c r="B78" s="123" t="s">
        <v>331</v>
      </c>
      <c r="C78" s="123" t="s">
        <v>332</v>
      </c>
      <c r="D78" s="297" t="str">
        <f>VLOOKUP(B78,Mapping!$C$4:$H$110,6,FALSE)</f>
        <v>95 Gallon Cart WG-R</v>
      </c>
      <c r="E78" s="311">
        <f>SUMIFS('DF Calculation'!L:L,'DF Calculation'!B:B,'To Populate Tariff'!A78,'DF Calculation'!C:C,'To Populate Tariff'!B78)</f>
        <v>37.24</v>
      </c>
      <c r="F78" s="311">
        <f>SUMIFS('DF Calculation'!N:N,'DF Calculation'!B:B,'To Populate Tariff'!A78,'DF Calculation'!C:C,'To Populate Tariff'!B78)</f>
        <v>37.607084824830046</v>
      </c>
    </row>
    <row r="79" spans="1:7">
      <c r="A79" s="301">
        <v>34</v>
      </c>
      <c r="B79" s="123" t="s">
        <v>333</v>
      </c>
      <c r="C79" s="123" t="s">
        <v>334</v>
      </c>
      <c r="D79" s="297" t="s">
        <v>1002</v>
      </c>
      <c r="E79" s="311">
        <f>SUMIFS('DF Calculation'!L:L,'DF Calculation'!B:B,'To Populate Tariff'!A79,'DF Calculation'!C:C,'To Populate Tariff'!B79)</f>
        <v>26.81</v>
      </c>
      <c r="F79" s="311">
        <f>SUMIFS('DF Calculation'!N:N,'DF Calculation'!B:B,'To Populate Tariff'!A79,'DF Calculation'!C:C,'To Populate Tariff'!B79)</f>
        <v>26.993542412415021</v>
      </c>
    </row>
    <row r="80" spans="1:7">
      <c r="A80" s="301">
        <v>34</v>
      </c>
      <c r="B80" s="123" t="s">
        <v>335</v>
      </c>
      <c r="C80" s="123" t="s">
        <v>336</v>
      </c>
      <c r="D80" s="297" t="s">
        <v>1002</v>
      </c>
      <c r="E80" s="311">
        <f>SUMIFS('DF Calculation'!L:L,'DF Calculation'!B:B,'To Populate Tariff'!A80,'DF Calculation'!C:C,'To Populate Tariff'!B80)</f>
        <v>26.81</v>
      </c>
      <c r="F80" s="311">
        <f>SUMIFS('DF Calculation'!N:N,'DF Calculation'!B:B,'To Populate Tariff'!A80,'DF Calculation'!C:C,'To Populate Tariff'!B80)</f>
        <v>26.993542412415021</v>
      </c>
      <c r="G80" s="402"/>
    </row>
    <row r="81" spans="1:7">
      <c r="A81" s="301">
        <v>34</v>
      </c>
      <c r="B81" s="123" t="s">
        <v>337</v>
      </c>
      <c r="C81" s="123" t="s">
        <v>338</v>
      </c>
      <c r="D81" s="297" t="str">
        <f>VLOOKUP(B81,Mapping!$C$4:$H$110,6,FALSE)</f>
        <v>65 Gallon Cart Regular</v>
      </c>
      <c r="E81" s="311">
        <f>SUMIFS('DF Calculation'!L:L,'DF Calculation'!B:B,'To Populate Tariff'!A81,'DF Calculation'!C:C,'To Populate Tariff'!B81)</f>
        <v>6.74</v>
      </c>
      <c r="F81" s="311">
        <f>SUMIFS('DF Calculation'!N:N,'DF Calculation'!B:B,'To Populate Tariff'!A81,'DF Calculation'!C:C,'To Populate Tariff'!B81)</f>
        <v>6.7985508600690459</v>
      </c>
    </row>
    <row r="82" spans="1:7">
      <c r="A82" s="301">
        <v>34</v>
      </c>
      <c r="B82" s="123" t="s">
        <v>341</v>
      </c>
      <c r="C82" s="123" t="s">
        <v>342</v>
      </c>
      <c r="D82" s="297" t="str">
        <f>VLOOKUP(B82,Mapping!$C$4:$H$110,6,FALSE)</f>
        <v>35 Gallon Cart Regular</v>
      </c>
      <c r="E82" s="311">
        <f>SUMIFS('DF Calculation'!L:L,'DF Calculation'!B:B,'To Populate Tariff'!A82,'DF Calculation'!C:C,'To Populate Tariff'!B82)</f>
        <v>3.34</v>
      </c>
      <c r="F82" s="311">
        <f>SUMIFS('DF Calculation'!N:N,'DF Calculation'!B:B,'To Populate Tariff'!A82,'DF Calculation'!C:C,'To Populate Tariff'!B82)</f>
        <v>3.3823559413265438</v>
      </c>
    </row>
    <row r="83" spans="1:7">
      <c r="A83" s="301">
        <v>34</v>
      </c>
      <c r="B83" s="123"/>
      <c r="C83" s="123"/>
      <c r="D83" s="297" t="s">
        <v>999</v>
      </c>
      <c r="E83" s="311">
        <v>3.18</v>
      </c>
      <c r="F83" s="311">
        <f>E83+(F82-E82)</f>
        <v>3.2223559413265441</v>
      </c>
      <c r="G83" s="400" t="s">
        <v>974</v>
      </c>
    </row>
    <row r="84" spans="1:7">
      <c r="A84" s="301">
        <v>34</v>
      </c>
      <c r="B84" s="123"/>
      <c r="C84" s="123"/>
      <c r="D84" s="297" t="s">
        <v>1003</v>
      </c>
      <c r="E84" s="311">
        <v>12.33</v>
      </c>
      <c r="F84" s="311">
        <f>E84+($F$82-$E$82)</f>
        <v>12.372355941326544</v>
      </c>
      <c r="G84" s="400" t="s">
        <v>974</v>
      </c>
    </row>
    <row r="85" spans="1:7">
      <c r="A85" s="301">
        <v>34</v>
      </c>
      <c r="B85" s="123"/>
      <c r="C85" s="123"/>
      <c r="D85" s="297" t="s">
        <v>1004</v>
      </c>
      <c r="E85" s="311">
        <v>4.3099999999999996</v>
      </c>
      <c r="F85" s="311">
        <f>E85+($F$82-$E$82)</f>
        <v>4.3523559413265431</v>
      </c>
      <c r="G85" s="400" t="s">
        <v>974</v>
      </c>
    </row>
    <row r="86" spans="1:7">
      <c r="A86" s="301">
        <v>34</v>
      </c>
      <c r="B86" s="123" t="s">
        <v>343</v>
      </c>
      <c r="C86" s="123" t="s">
        <v>344</v>
      </c>
      <c r="D86" s="297" t="str">
        <f>VLOOKUP(B86,Mapping!$C$4:$H$110,6,FALSE)</f>
        <v>35 Gallon Cart Regular</v>
      </c>
      <c r="E86" s="311">
        <f>SUMIFS('DF Calculation'!L:L,'DF Calculation'!B:B,'To Populate Tariff'!A86,'DF Calculation'!C:C,'To Populate Tariff'!B86)</f>
        <v>57.85</v>
      </c>
      <c r="F86" s="311">
        <f>SUMIFS('DF Calculation'!N:N,'DF Calculation'!B:B,'To Populate Tariff'!A86,'DF Calculation'!C:C,'To Populate Tariff'!B86)</f>
        <v>58.019423765306179</v>
      </c>
    </row>
    <row r="87" spans="1:7">
      <c r="A87" s="301">
        <v>34</v>
      </c>
      <c r="B87" s="123" t="s">
        <v>339</v>
      </c>
      <c r="C87" s="123" t="s">
        <v>340</v>
      </c>
      <c r="D87" s="297" t="str">
        <f>VLOOKUP(B87,Mapping!$C$4:$H$110,6,FALSE)</f>
        <v>95 Gallon Cart Regular</v>
      </c>
      <c r="E87" s="311">
        <f>SUMIFS('DF Calculation'!L:L,'DF Calculation'!B:B,'To Populate Tariff'!A87,'DF Calculation'!C:C,'To Populate Tariff'!B87)</f>
        <v>8.6</v>
      </c>
      <c r="F87" s="311">
        <f>SUMIFS('DF Calculation'!N:N,'DF Calculation'!B:B,'To Populate Tariff'!A87,'DF Calculation'!C:C,'To Populate Tariff'!B87)</f>
        <v>8.6847118826530867</v>
      </c>
    </row>
    <row r="88" spans="1:7">
      <c r="A88" s="154">
        <v>34</v>
      </c>
      <c r="B88" s="123" t="s">
        <v>310</v>
      </c>
      <c r="C88" s="123" t="s">
        <v>304</v>
      </c>
      <c r="D88" s="297" t="str">
        <f>VLOOKUP(B88,Mapping!$C$4:$H$110,6,FALSE)</f>
        <v>32 Gallon Cart WG-NR</v>
      </c>
      <c r="E88" s="311">
        <f>SUMIFS('DF Calculation'!L:L,'DF Calculation'!B:B,'To Populate Tariff'!A88,'DF Calculation'!C:C,'To Populate Tariff'!B88)</f>
        <v>43.39</v>
      </c>
      <c r="F88" s="311">
        <f>SUMIFS('DF Calculation'!N:N,'DF Calculation'!B:B,'To Populate Tariff'!A88,'DF Calculation'!C:C,'To Populate Tariff'!B88)</f>
        <v>43.426127126425584</v>
      </c>
    </row>
    <row r="89" spans="1:7">
      <c r="A89" s="154">
        <v>34</v>
      </c>
      <c r="B89" s="123" t="s">
        <v>315</v>
      </c>
      <c r="C89" s="123" t="s">
        <v>316</v>
      </c>
      <c r="D89" s="297" t="str">
        <f>VLOOKUP(B89,Mapping!$C$4:$H$110,6,FALSE)</f>
        <v>32 Gallon Cart WG-R</v>
      </c>
      <c r="E89" s="311">
        <f>SUMIFS('DF Calculation'!L:L,'DF Calculation'!B:B,'To Populate Tariff'!A89,'DF Calculation'!C:C,'To Populate Tariff'!B89)</f>
        <v>72.31</v>
      </c>
      <c r="F89" s="311">
        <f>SUMIFS('DF Calculation'!N:N,'DF Calculation'!B:B,'To Populate Tariff'!A89,'DF Calculation'!C:C,'To Populate Tariff'!B89)</f>
        <v>72.346127126425586</v>
      </c>
    </row>
    <row r="90" spans="1:7">
      <c r="A90" s="154">
        <v>34</v>
      </c>
      <c r="B90" s="123" t="s">
        <v>345</v>
      </c>
      <c r="C90" s="123" t="s">
        <v>346</v>
      </c>
      <c r="D90" s="297" t="str">
        <f>VLOOKUP(B90,Mapping!$C$4:$H$110,6,FALSE)</f>
        <v>35 Gallon Cart Regular</v>
      </c>
      <c r="E90" s="311">
        <f>SUMIFS('DF Calculation'!L:L,'DF Calculation'!B:B,'To Populate Tariff'!A90,'DF Calculation'!C:C,'To Populate Tariff'!B90)</f>
        <v>72.31</v>
      </c>
      <c r="F90" s="311">
        <f>SUMIFS('DF Calculation'!N:N,'DF Calculation'!B:B,'To Populate Tariff'!A90,'DF Calculation'!C:C,'To Populate Tariff'!B90)</f>
        <v>72.521779706632728</v>
      </c>
    </row>
    <row r="91" spans="1:7">
      <c r="A91" s="154">
        <v>34</v>
      </c>
      <c r="B91" s="123" t="s">
        <v>365</v>
      </c>
      <c r="C91" s="123" t="s">
        <v>366</v>
      </c>
      <c r="D91" s="297" t="str">
        <f>VLOOKUP(B91,Mapping!$C$4:$H$110,6,FALSE)</f>
        <v>Extra Units Extra</v>
      </c>
      <c r="E91" s="311">
        <f>SUMIFS('DF Calculation'!L:L,'DF Calculation'!B:B,'To Populate Tariff'!A91,'DF Calculation'!C:C,'To Populate Tariff'!B91)</f>
        <v>3.34</v>
      </c>
      <c r="F91" s="311">
        <f>SUMIFS('DF Calculation'!N:N,'DF Calculation'!B:B,'To Populate Tariff'!A91,'DF Calculation'!C:C,'To Populate Tariff'!B91)</f>
        <v>3.3761271264255814</v>
      </c>
    </row>
    <row r="92" spans="1:7">
      <c r="A92" s="154">
        <v>34</v>
      </c>
      <c r="B92" s="123" t="s">
        <v>317</v>
      </c>
      <c r="C92" s="123" t="s">
        <v>318</v>
      </c>
      <c r="D92" s="297" t="str">
        <f>VLOOKUP(B92,Mapping!$C$4:$H$110,6,FALSE)</f>
        <v>65 Gallon Cart WG-R</v>
      </c>
      <c r="E92" s="311">
        <f>SUMIFS('DF Calculation'!L:L,'DF Calculation'!B:B,'To Populate Tariff'!A92,'DF Calculation'!C:C,'To Populate Tariff'!B92)</f>
        <v>20.9</v>
      </c>
      <c r="F92" s="311">
        <f>SUMIFS('DF Calculation'!N:N,'DF Calculation'!B:B,'To Populate Tariff'!A92,'DF Calculation'!C:C,'To Populate Tariff'!B92)</f>
        <v>20.958550860069046</v>
      </c>
    </row>
    <row r="93" spans="1:7">
      <c r="A93" s="154">
        <v>34</v>
      </c>
      <c r="B93" s="123" t="s">
        <v>323</v>
      </c>
      <c r="C93" s="123" t="s">
        <v>324</v>
      </c>
      <c r="D93" s="297" t="str">
        <f>VLOOKUP(B93,Mapping!$C$4:$H$110,6,FALSE)</f>
        <v>65 Gallon Cart WG-NR</v>
      </c>
      <c r="E93" s="311">
        <f>SUMIFS('DF Calculation'!L:L,'DF Calculation'!B:B,'To Populate Tariff'!A93,'DF Calculation'!C:C,'To Populate Tariff'!B93)</f>
        <v>58.368400000000001</v>
      </c>
      <c r="F93" s="311">
        <f>SUMIFS('DF Calculation'!N:N,'DF Calculation'!B:B,'To Populate Tariff'!A93,'DF Calculation'!C:C,'To Populate Tariff'!B93)</f>
        <v>58.426950860069049</v>
      </c>
    </row>
    <row r="94" spans="1:7">
      <c r="A94" s="301">
        <v>35</v>
      </c>
      <c r="B94" s="123" t="s">
        <v>293</v>
      </c>
      <c r="C94" s="123" t="s">
        <v>294</v>
      </c>
      <c r="D94" s="297" t="str">
        <f>VLOOKUP(B94,Mapping!$C$4:$H$110,6,FALSE)</f>
        <v>2 yard Compacted</v>
      </c>
      <c r="E94" s="311">
        <f>SUMIFS('DF Calculation'!L:L,'DF Calculation'!B:B,'To Populate Tariff'!A94,'DF Calculation'!C:C,'To Populate Tariff'!B94)</f>
        <v>103.21</v>
      </c>
      <c r="F94" s="311">
        <f>SUMIFS('DF Calculation'!N:N,'DF Calculation'!B:B,'To Populate Tariff'!A94,'DF Calculation'!C:C,'To Populate Tariff'!B94)</f>
        <v>104.42088161674707</v>
      </c>
      <c r="G94" s="402">
        <f t="shared" ref="G94:G99" si="1">F94-E94</f>
        <v>1.2108816167470735</v>
      </c>
    </row>
    <row r="95" spans="1:7">
      <c r="A95" s="301">
        <v>35</v>
      </c>
      <c r="B95" s="123" t="s">
        <v>297</v>
      </c>
      <c r="C95" s="123" t="s">
        <v>298</v>
      </c>
      <c r="D95" s="297" t="str">
        <f>VLOOKUP(B95,Mapping!$C$4:$H$110,6,FALSE)</f>
        <v>3 yard Compacted</v>
      </c>
      <c r="E95" s="311">
        <f>SUMIFS('DF Calculation'!L:L,'DF Calculation'!B:B,'To Populate Tariff'!A95,'DF Calculation'!C:C,'To Populate Tariff'!B95)</f>
        <v>144.97999999999999</v>
      </c>
      <c r="F95" s="311">
        <f>SUMIFS('DF Calculation'!N:N,'DF Calculation'!B:B,'To Populate Tariff'!A95,'DF Calculation'!C:C,'To Populate Tariff'!B95)</f>
        <v>146.74773766889311</v>
      </c>
      <c r="G95" s="402">
        <f t="shared" si="1"/>
        <v>1.767737668893119</v>
      </c>
    </row>
    <row r="96" spans="1:7">
      <c r="A96" s="301">
        <v>35</v>
      </c>
      <c r="B96" s="123" t="s">
        <v>299</v>
      </c>
      <c r="C96" s="123" t="s">
        <v>300</v>
      </c>
      <c r="D96" s="297" t="str">
        <f>VLOOKUP(B96,Mapping!$C$4:$H$110,6,FALSE)</f>
        <v>4 yard Compacted</v>
      </c>
      <c r="E96" s="311">
        <f>SUMIFS('DF Calculation'!L:L,'DF Calculation'!B:B,'To Populate Tariff'!A96,'DF Calculation'!C:C,'To Populate Tariff'!B96)</f>
        <v>190.99</v>
      </c>
      <c r="F96" s="311">
        <f>SUMIFS('DF Calculation'!N:N,'DF Calculation'!B:B,'To Populate Tariff'!A96,'DF Calculation'!C:C,'To Populate Tariff'!B96)</f>
        <v>193.28095812057396</v>
      </c>
      <c r="G96" s="402">
        <f t="shared" si="1"/>
        <v>2.2909581205739471</v>
      </c>
    </row>
    <row r="97" spans="1:7">
      <c r="A97" s="301">
        <v>35</v>
      </c>
      <c r="B97" s="123" t="s">
        <v>301</v>
      </c>
      <c r="C97" s="123" t="s">
        <v>302</v>
      </c>
      <c r="D97" s="297" t="str">
        <f>VLOOKUP(B97,Mapping!$C$4:$H$110,6,FALSE)</f>
        <v>4 yard Compacted</v>
      </c>
      <c r="E97" s="311">
        <f>SUMIFS('DF Calculation'!L:L,'DF Calculation'!B:B,'To Populate Tariff'!A97,'DF Calculation'!C:C,'To Populate Tariff'!B97)</f>
        <v>190.99</v>
      </c>
      <c r="F97" s="311">
        <f>SUMIFS('DF Calculation'!N:N,'DF Calculation'!B:B,'To Populate Tariff'!A97,'DF Calculation'!C:C,'To Populate Tariff'!B97)</f>
        <v>193.28095812057396</v>
      </c>
      <c r="G97" s="402">
        <f t="shared" si="1"/>
        <v>2.2909581205739471</v>
      </c>
    </row>
    <row r="98" spans="1:7">
      <c r="A98" s="154">
        <v>35</v>
      </c>
      <c r="B98" s="123" t="s">
        <v>295</v>
      </c>
      <c r="C98" s="123" t="s">
        <v>296</v>
      </c>
      <c r="D98" s="297" t="str">
        <f>VLOOKUP(B98,Mapping!$C$4:$H$110,6,FALSE)</f>
        <v>3 yard Compacted</v>
      </c>
      <c r="E98" s="311">
        <f>SUMIFS('DF Calculation'!L:L,'DF Calculation'!B:B,'To Populate Tariff'!A98,'DF Calculation'!C:C,'To Populate Tariff'!B98)</f>
        <v>144.97999999999999</v>
      </c>
      <c r="F98" s="311">
        <f>SUMIFS('DF Calculation'!N:N,'DF Calculation'!B:B,'To Populate Tariff'!A98,'DF Calculation'!C:C,'To Populate Tariff'!B98)</f>
        <v>146.74773766889311</v>
      </c>
      <c r="G98" s="402">
        <f t="shared" si="1"/>
        <v>1.767737668893119</v>
      </c>
    </row>
    <row r="99" spans="1:7">
      <c r="A99" s="154">
        <v>35</v>
      </c>
      <c r="B99" s="123" t="s">
        <v>653</v>
      </c>
      <c r="C99" s="123" t="s">
        <v>968</v>
      </c>
      <c r="D99" s="297" t="str">
        <f>VLOOKUP(B99,Mapping!$C$4:$H$111,6,FALSE)</f>
        <v>6 yard Compacted</v>
      </c>
      <c r="E99" s="311">
        <f>SUMIFS('DF Calculation'!L:L,'DF Calculation'!B:B,'To Populate Tariff'!A99,'DF Calculation'!C:C,'To Populate Tariff'!B99)</f>
        <v>262.14</v>
      </c>
      <c r="F99" s="311">
        <f>SUMIFS('DF Calculation'!N:N,'DF Calculation'!B:B,'To Populate Tariff'!A99,'DF Calculation'!C:C,'To Populate Tariff'!B99)</f>
        <v>265.27932271008501</v>
      </c>
      <c r="G99" s="402">
        <f t="shared" si="1"/>
        <v>3.1393227100850254</v>
      </c>
    </row>
    <row r="100" spans="1:7">
      <c r="A100" s="154" t="s">
        <v>895</v>
      </c>
      <c r="B100" s="299" t="s">
        <v>215</v>
      </c>
      <c r="C100" s="299" t="s">
        <v>216</v>
      </c>
      <c r="D100" s="297" t="str">
        <f>VLOOKUP(B100,Mapping!$C$4:$H$116,6,FALSE)</f>
        <v>65 Gallon Cart WG-R</v>
      </c>
      <c r="E100" s="311">
        <f>SUMIFS('DF Calculation'!L:L,'DF Calculation'!B:B,'To Populate Tariff'!A100,'DF Calculation'!C:C,'To Populate Tariff'!B100)</f>
        <v>22.1</v>
      </c>
      <c r="F100" s="311">
        <f>SUMIFS('DF Calculation'!N:N,'DF Calculation'!B:B,'To Populate Tariff'!A100,'DF Calculation'!C:C,'To Populate Tariff'!B100)</f>
        <v>22.077719839357364</v>
      </c>
    </row>
    <row r="101" spans="1:7">
      <c r="A101" s="154" t="s">
        <v>895</v>
      </c>
      <c r="B101" s="300" t="s">
        <v>227</v>
      </c>
      <c r="C101" s="300" t="s">
        <v>228</v>
      </c>
      <c r="D101" s="297" t="str">
        <f>VLOOKUP(B101,Mapping!$C$4:$H$116,6,FALSE)</f>
        <v>95 Gallon Cart WG-R</v>
      </c>
      <c r="E101" s="311">
        <f>SUMIFS('DF Calculation'!L:L,'DF Calculation'!B:B,'To Populate Tariff'!A101,'DF Calculation'!C:C,'To Populate Tariff'!B101)</f>
        <v>28.88</v>
      </c>
      <c r="F101" s="311">
        <f>SUMIFS('DF Calculation'!N:N,'DF Calculation'!B:B,'To Populate Tariff'!A101,'DF Calculation'!C:C,'To Populate Tariff'!B101)</f>
        <v>28.847764873963843</v>
      </c>
    </row>
    <row r="102" spans="1:7">
      <c r="A102" s="154" t="s">
        <v>1080</v>
      </c>
      <c r="B102" s="300"/>
      <c r="C102" s="300"/>
      <c r="D102" s="297" t="s">
        <v>975</v>
      </c>
      <c r="E102" s="311">
        <v>3.71</v>
      </c>
      <c r="F102" s="311">
        <f>E102+(References!C28*'DF Calculation'!E105*References!D74)</f>
        <v>3.7062805623804436</v>
      </c>
      <c r="G102" s="400" t="s">
        <v>974</v>
      </c>
    </row>
    <row r="103" spans="1:7">
      <c r="A103" s="154" t="s">
        <v>1080</v>
      </c>
      <c r="B103" s="300"/>
      <c r="C103" s="300"/>
      <c r="D103" s="111" t="s">
        <v>971</v>
      </c>
      <c r="E103" s="311">
        <v>8.26</v>
      </c>
      <c r="F103" s="311">
        <f>E103+(F100-E100)</f>
        <v>8.2377198393573625</v>
      </c>
      <c r="G103" s="400" t="s">
        <v>974</v>
      </c>
    </row>
    <row r="104" spans="1:7">
      <c r="A104" s="154" t="s">
        <v>1080</v>
      </c>
      <c r="B104" s="300"/>
      <c r="C104" s="300"/>
      <c r="D104" s="111" t="s">
        <v>972</v>
      </c>
      <c r="E104" s="311">
        <v>10.8</v>
      </c>
      <c r="F104" s="311">
        <f>E104+(F101-E101)</f>
        <v>10.767764873963845</v>
      </c>
      <c r="G104" s="400" t="s">
        <v>974</v>
      </c>
    </row>
    <row r="105" spans="1:7">
      <c r="A105" s="154" t="s">
        <v>894</v>
      </c>
      <c r="B105" s="300"/>
      <c r="C105" s="300"/>
      <c r="D105" s="111" t="s">
        <v>976</v>
      </c>
      <c r="E105" s="311">
        <v>27.83</v>
      </c>
      <c r="F105" s="311">
        <f>E105+(References!$C$32*'DF Calculation'!$E$105*References!$D$74)</f>
        <v>27.810855835781695</v>
      </c>
      <c r="G105" s="400" t="s">
        <v>974</v>
      </c>
    </row>
    <row r="106" spans="1:7">
      <c r="A106" s="154" t="s">
        <v>894</v>
      </c>
      <c r="B106" s="300"/>
      <c r="C106" s="300"/>
      <c r="D106" s="111" t="s">
        <v>977</v>
      </c>
      <c r="E106" s="311">
        <v>14.69</v>
      </c>
      <c r="F106" s="311">
        <f>E106+(References!$C$32*'DF Calculation'!$E$105*References!$D$74)</f>
        <v>14.670855835781694</v>
      </c>
      <c r="G106" s="400" t="s">
        <v>974</v>
      </c>
    </row>
    <row r="107" spans="1:7">
      <c r="A107" s="154" t="s">
        <v>894</v>
      </c>
      <c r="B107" s="300"/>
      <c r="C107" s="300"/>
      <c r="D107" s="111" t="s">
        <v>907</v>
      </c>
      <c r="E107" s="311">
        <f>E106+5</f>
        <v>19.689999999999998</v>
      </c>
      <c r="F107" s="311">
        <f>F106+5</f>
        <v>19.670855835781694</v>
      </c>
      <c r="G107" s="400" t="s">
        <v>974</v>
      </c>
    </row>
    <row r="108" spans="1:7">
      <c r="A108" s="154" t="s">
        <v>894</v>
      </c>
      <c r="B108" s="300"/>
      <c r="C108" s="300"/>
      <c r="D108" s="111" t="s">
        <v>992</v>
      </c>
      <c r="E108" s="311">
        <f>E106+20</f>
        <v>34.69</v>
      </c>
      <c r="F108" s="311">
        <f>F106+20</f>
        <v>34.670855835781694</v>
      </c>
      <c r="G108" s="400" t="s">
        <v>974</v>
      </c>
    </row>
    <row r="109" spans="1:7">
      <c r="A109" s="154" t="s">
        <v>894</v>
      </c>
      <c r="B109" s="300"/>
      <c r="C109" s="300"/>
      <c r="D109" s="111" t="s">
        <v>978</v>
      </c>
      <c r="E109" s="311">
        <v>38.119999999999997</v>
      </c>
      <c r="F109" s="311">
        <f>E109+(References!$C$33*'DF Calculation'!$E$105*References!$D$74)</f>
        <v>38.09265119397385</v>
      </c>
      <c r="G109" s="400" t="s">
        <v>974</v>
      </c>
    </row>
    <row r="110" spans="1:7">
      <c r="A110" s="154" t="s">
        <v>894</v>
      </c>
      <c r="B110" s="300"/>
      <c r="C110" s="300"/>
      <c r="D110" s="111" t="s">
        <v>979</v>
      </c>
      <c r="E110" s="311">
        <v>20.170000000000002</v>
      </c>
      <c r="F110" s="311">
        <f>E110+(References!$C$33*'DF Calculation'!$E$105*References!$D$74)</f>
        <v>20.142651193973851</v>
      </c>
      <c r="G110" s="400" t="s">
        <v>974</v>
      </c>
    </row>
    <row r="111" spans="1:7">
      <c r="A111" s="154" t="s">
        <v>894</v>
      </c>
      <c r="B111" s="300"/>
      <c r="C111" s="300"/>
      <c r="D111" s="111" t="s">
        <v>908</v>
      </c>
      <c r="E111" s="311">
        <f>E110+5</f>
        <v>25.17</v>
      </c>
      <c r="F111" s="311">
        <f>F110+5</f>
        <v>25.142651193973851</v>
      </c>
      <c r="G111" s="400" t="s">
        <v>974</v>
      </c>
    </row>
    <row r="112" spans="1:7">
      <c r="A112" s="154" t="s">
        <v>894</v>
      </c>
      <c r="B112" s="300"/>
      <c r="C112" s="300"/>
      <c r="D112" s="111" t="s">
        <v>993</v>
      </c>
      <c r="E112" s="311">
        <f>E110+20</f>
        <v>40.17</v>
      </c>
      <c r="F112" s="311">
        <f>F110+20</f>
        <v>40.142651193973848</v>
      </c>
      <c r="G112" s="400" t="s">
        <v>974</v>
      </c>
    </row>
    <row r="113" spans="1:7">
      <c r="A113" s="154" t="s">
        <v>894</v>
      </c>
      <c r="B113" s="300"/>
      <c r="C113" s="300"/>
      <c r="D113" s="111" t="s">
        <v>980</v>
      </c>
      <c r="E113" s="311">
        <v>45.65</v>
      </c>
      <c r="F113" s="311">
        <f>E113+(References!$C$34*'DF Calculation'!$E$105*References!$D$74)</f>
        <v>45.614555947390109</v>
      </c>
      <c r="G113" s="400" t="s">
        <v>974</v>
      </c>
    </row>
    <row r="114" spans="1:7">
      <c r="A114" s="154" t="s">
        <v>894</v>
      </c>
      <c r="B114" s="300"/>
      <c r="C114" s="300"/>
      <c r="D114" s="111" t="s">
        <v>981</v>
      </c>
      <c r="E114" s="311">
        <v>26.64</v>
      </c>
      <c r="F114" s="311">
        <f>E114+(References!$C$34*'DF Calculation'!$E$105*References!$D$74)</f>
        <v>26.604555947390111</v>
      </c>
      <c r="G114" s="400" t="s">
        <v>974</v>
      </c>
    </row>
    <row r="115" spans="1:7">
      <c r="A115" s="154" t="s">
        <v>894</v>
      </c>
      <c r="B115" s="300"/>
      <c r="C115" s="300"/>
      <c r="D115" s="111" t="s">
        <v>909</v>
      </c>
      <c r="E115" s="311">
        <f>E114+5</f>
        <v>31.64</v>
      </c>
      <c r="F115" s="311">
        <f>F114+5</f>
        <v>31.604555947390111</v>
      </c>
      <c r="G115" s="400" t="s">
        <v>974</v>
      </c>
    </row>
    <row r="116" spans="1:7">
      <c r="A116" s="154" t="s">
        <v>894</v>
      </c>
      <c r="B116" s="300"/>
      <c r="C116" s="300"/>
      <c r="D116" s="111" t="s">
        <v>994</v>
      </c>
      <c r="E116" s="311">
        <f>E114+20</f>
        <v>46.64</v>
      </c>
      <c r="F116" s="311">
        <f>F114+20</f>
        <v>46.604555947390111</v>
      </c>
      <c r="G116" s="400" t="s">
        <v>974</v>
      </c>
    </row>
    <row r="117" spans="1:7">
      <c r="A117" s="154" t="s">
        <v>894</v>
      </c>
      <c r="B117" s="300"/>
      <c r="C117" s="300"/>
      <c r="D117" s="111" t="s">
        <v>982</v>
      </c>
      <c r="E117" s="311">
        <v>60.83</v>
      </c>
      <c r="F117" s="311">
        <f>E117+(References!$C$35*'DF Calculation'!$E$105*References!$D$74)</f>
        <v>60.778256058998522</v>
      </c>
      <c r="G117" s="400" t="s">
        <v>974</v>
      </c>
    </row>
    <row r="118" spans="1:7">
      <c r="A118" s="154" t="s">
        <v>894</v>
      </c>
      <c r="B118" s="300"/>
      <c r="C118" s="300"/>
      <c r="D118" s="111" t="s">
        <v>983</v>
      </c>
      <c r="E118" s="311">
        <v>37.08</v>
      </c>
      <c r="F118" s="311">
        <f>E118+(References!$C$35*'DF Calculation'!$E$105*References!$D$74)</f>
        <v>37.028256058998522</v>
      </c>
      <c r="G118" s="400" t="s">
        <v>974</v>
      </c>
    </row>
    <row r="119" spans="1:7">
      <c r="A119" s="154" t="s">
        <v>894</v>
      </c>
      <c r="B119" s="300"/>
      <c r="C119" s="300"/>
      <c r="D119" s="111" t="s">
        <v>910</v>
      </c>
      <c r="E119" s="311">
        <f>E118+5</f>
        <v>42.08</v>
      </c>
      <c r="F119" s="311">
        <f>F118+5</f>
        <v>42.028256058998522</v>
      </c>
      <c r="G119" s="400" t="s">
        <v>974</v>
      </c>
    </row>
    <row r="120" spans="1:7">
      <c r="A120" s="154" t="s">
        <v>894</v>
      </c>
      <c r="B120" s="300"/>
      <c r="C120" s="300"/>
      <c r="D120" s="111" t="s">
        <v>995</v>
      </c>
      <c r="E120" s="311">
        <f>E118+20</f>
        <v>57.08</v>
      </c>
      <c r="F120" s="311">
        <f>F118+20</f>
        <v>57.028256058998522</v>
      </c>
      <c r="G120" s="400" t="s">
        <v>974</v>
      </c>
    </row>
    <row r="121" spans="1:7">
      <c r="A121" s="154" t="s">
        <v>894</v>
      </c>
      <c r="B121" s="300"/>
      <c r="C121" s="300"/>
      <c r="D121" s="111" t="s">
        <v>984</v>
      </c>
      <c r="E121" s="311">
        <v>76.05</v>
      </c>
      <c r="F121" s="311">
        <f>E121+(References!$C$36*'DF Calculation'!$E$105*References!$D$74)</f>
        <v>75.98294072762387</v>
      </c>
      <c r="G121" s="400"/>
    </row>
    <row r="122" spans="1:7">
      <c r="A122" s="154" t="s">
        <v>894</v>
      </c>
      <c r="B122" s="300"/>
      <c r="C122" s="300"/>
      <c r="D122" s="111" t="s">
        <v>985</v>
      </c>
      <c r="E122" s="311">
        <v>50.71</v>
      </c>
      <c r="F122" s="311">
        <f>E122+(References!$C$36*'DF Calculation'!$E$105*References!$D$74)</f>
        <v>50.642940727623881</v>
      </c>
      <c r="G122" s="400"/>
    </row>
    <row r="123" spans="1:7">
      <c r="A123" s="154" t="s">
        <v>894</v>
      </c>
      <c r="B123" s="300"/>
      <c r="C123" s="300"/>
      <c r="D123" s="111" t="s">
        <v>911</v>
      </c>
      <c r="E123" s="311">
        <f>E122+5</f>
        <v>55.71</v>
      </c>
      <c r="F123" s="311">
        <f>F122+5</f>
        <v>55.642940727623881</v>
      </c>
      <c r="G123" s="400" t="s">
        <v>974</v>
      </c>
    </row>
    <row r="124" spans="1:7">
      <c r="A124" s="154" t="s">
        <v>894</v>
      </c>
      <c r="B124" s="300"/>
      <c r="C124" s="300"/>
      <c r="D124" s="111" t="s">
        <v>996</v>
      </c>
      <c r="E124" s="311">
        <f>E122+20</f>
        <v>70.710000000000008</v>
      </c>
      <c r="F124" s="311">
        <f>F122+20</f>
        <v>70.642940727623881</v>
      </c>
      <c r="G124" s="400" t="s">
        <v>974</v>
      </c>
    </row>
    <row r="125" spans="1:7">
      <c r="A125" s="154" t="s">
        <v>894</v>
      </c>
      <c r="B125" s="300"/>
      <c r="C125" s="300"/>
      <c r="D125" s="111" t="s">
        <v>986</v>
      </c>
      <c r="E125" s="311">
        <v>100.37</v>
      </c>
      <c r="F125" s="311">
        <f>E125+(References!$C$37*'DF Calculation'!$E$105*References!$D$74)</f>
        <v>100.27810801175214</v>
      </c>
      <c r="G125" s="400"/>
    </row>
    <row r="126" spans="1:7">
      <c r="A126" s="154" t="s">
        <v>894</v>
      </c>
      <c r="B126" s="300"/>
      <c r="C126" s="300"/>
      <c r="D126" s="111" t="s">
        <v>987</v>
      </c>
      <c r="E126" s="311">
        <v>68.69</v>
      </c>
      <c r="F126" s="311">
        <f>E126+(References!$C$37*'DF Calculation'!$E$105*References!$D$74)</f>
        <v>68.598108011752132</v>
      </c>
      <c r="G126" s="400"/>
    </row>
    <row r="127" spans="1:7">
      <c r="A127" s="154" t="s">
        <v>894</v>
      </c>
      <c r="B127" s="300"/>
      <c r="C127" s="300"/>
      <c r="D127" s="111" t="s">
        <v>990</v>
      </c>
      <c r="E127" s="311">
        <f>E126+5</f>
        <v>73.69</v>
      </c>
      <c r="F127" s="311">
        <f>F126+5</f>
        <v>73.598108011752132</v>
      </c>
      <c r="G127" s="400" t="s">
        <v>974</v>
      </c>
    </row>
    <row r="128" spans="1:7">
      <c r="A128" s="154" t="s">
        <v>894</v>
      </c>
      <c r="B128" s="300"/>
      <c r="C128" s="300"/>
      <c r="D128" s="111" t="s">
        <v>997</v>
      </c>
      <c r="E128" s="311">
        <f>E126+20</f>
        <v>88.69</v>
      </c>
      <c r="F128" s="311">
        <f>F126+20</f>
        <v>88.598108011752132</v>
      </c>
      <c r="G128" s="400" t="s">
        <v>974</v>
      </c>
    </row>
    <row r="129" spans="1:7">
      <c r="A129" s="154" t="s">
        <v>894</v>
      </c>
      <c r="B129" s="300"/>
      <c r="C129" s="300"/>
      <c r="D129" s="111" t="s">
        <v>988</v>
      </c>
      <c r="E129" s="311">
        <v>130.26</v>
      </c>
      <c r="F129" s="311">
        <f>E129+(References!$C$38*'DF Calculation'!$E$105*References!$D$74)</f>
        <v>130.15279268037747</v>
      </c>
      <c r="G129" s="400" t="s">
        <v>974</v>
      </c>
    </row>
    <row r="130" spans="1:7">
      <c r="A130" s="154" t="s">
        <v>894</v>
      </c>
      <c r="B130" s="300"/>
      <c r="C130" s="300"/>
      <c r="D130" s="111" t="s">
        <v>989</v>
      </c>
      <c r="E130" s="311">
        <v>92.24</v>
      </c>
      <c r="F130" s="311">
        <f>E130+(References!$C$38*'DF Calculation'!$E$105*References!$D$74)</f>
        <v>92.132792680377491</v>
      </c>
      <c r="G130" s="400" t="s">
        <v>974</v>
      </c>
    </row>
    <row r="131" spans="1:7">
      <c r="A131" s="154" t="s">
        <v>894</v>
      </c>
      <c r="B131" s="300"/>
      <c r="C131" s="300"/>
      <c r="D131" s="111" t="s">
        <v>991</v>
      </c>
      <c r="E131" s="311">
        <f>E130+5</f>
        <v>97.24</v>
      </c>
      <c r="F131" s="311">
        <f>F130+5</f>
        <v>97.132792680377491</v>
      </c>
      <c r="G131" s="400" t="s">
        <v>974</v>
      </c>
    </row>
    <row r="132" spans="1:7">
      <c r="A132" s="154" t="s">
        <v>894</v>
      </c>
      <c r="B132" s="300"/>
      <c r="C132" s="300"/>
      <c r="D132" s="111" t="s">
        <v>998</v>
      </c>
      <c r="E132" s="311">
        <f>E130+20</f>
        <v>112.24</v>
      </c>
      <c r="F132" s="311">
        <f>F130+20</f>
        <v>112.13279268037749</v>
      </c>
      <c r="G132" s="400" t="s">
        <v>974</v>
      </c>
    </row>
    <row r="133" spans="1:7">
      <c r="A133" s="154" t="s">
        <v>894</v>
      </c>
      <c r="B133" s="298" t="s">
        <v>370</v>
      </c>
      <c r="C133" s="298" t="s">
        <v>371</v>
      </c>
      <c r="D133" s="297" t="str">
        <f>VLOOKUP(B133,Mapping!$C$4:$H$116,6,FALSE)</f>
        <v>4 yard Regular</v>
      </c>
      <c r="E133" s="311">
        <f>SUMIFS('DF Calculation'!L:L,'DF Calculation'!B:B,'To Populate Tariff'!A133,'DF Calculation'!C:C,'To Populate Tariff'!B133)</f>
        <v>464.49</v>
      </c>
      <c r="F133" s="311">
        <f>SUMIFS('DF Calculation'!N:N,'DF Calculation'!B:B,'To Populate Tariff'!A133,'DF Calculation'!C:C,'To Populate Tariff'!B133)</f>
        <v>464.19940981970348</v>
      </c>
    </row>
    <row r="134" spans="1:7">
      <c r="A134" s="154" t="s">
        <v>894</v>
      </c>
      <c r="B134" s="298" t="s">
        <v>372</v>
      </c>
      <c r="C134" s="298" t="s">
        <v>373</v>
      </c>
      <c r="D134" s="297" t="str">
        <f>VLOOKUP(B134,Mapping!$C$4:$H$116,6,FALSE)</f>
        <v>6 yard Regular</v>
      </c>
      <c r="E134" s="311">
        <f>SUMIFS('DF Calculation'!L:L,'DF Calculation'!B:B,'To Populate Tariff'!A134,'DF Calculation'!C:C,'To Populate Tariff'!B134)</f>
        <v>329.11</v>
      </c>
      <c r="F134" s="311">
        <f>SUMIFS('DF Calculation'!N:N,'DF Calculation'!B:B,'To Populate Tariff'!A134,'DF Calculation'!C:C,'To Populate Tariff'!B134)</f>
        <v>328.71180138425927</v>
      </c>
    </row>
    <row r="135" spans="1:7">
      <c r="A135" s="154" t="s">
        <v>894</v>
      </c>
      <c r="B135" s="298" t="s">
        <v>374</v>
      </c>
      <c r="C135" s="298" t="s">
        <v>375</v>
      </c>
      <c r="D135" s="297" t="str">
        <f>VLOOKUP(B135,Mapping!$C$4:$H$116,6,FALSE)</f>
        <v>6 yard Regular</v>
      </c>
      <c r="E135" s="311">
        <f>SUMIFS('DF Calculation'!L:L,'DF Calculation'!B:B,'To Populate Tariff'!A135,'DF Calculation'!C:C,'To Populate Tariff'!B135)</f>
        <v>626.54</v>
      </c>
      <c r="F135" s="311">
        <f>SUMIFS('DF Calculation'!N:N,'DF Calculation'!B:B,'To Populate Tariff'!A135,'DF Calculation'!C:C,'To Populate Tariff'!B135)</f>
        <v>626.14180138425922</v>
      </c>
    </row>
  </sheetData>
  <pageMargins left="0.7" right="0.7" top="0.75" bottom="0.75" header="0.3" footer="0.3"/>
  <pageSetup scale="79" fitToHeight="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B145"/>
  <sheetViews>
    <sheetView view="pageBreakPreview" zoomScale="85" zoomScaleNormal="80" zoomScaleSheetLayoutView="85" workbookViewId="0">
      <pane xSplit="1" ySplit="8" topLeftCell="B87" activePane="bottomRight" state="frozen"/>
      <selection activeCell="A44" sqref="A44:A91"/>
      <selection pane="topRight" activeCell="A44" sqref="A44:A91"/>
      <selection pane="bottomLeft" activeCell="A44" sqref="A44:A91"/>
      <selection pane="bottomRight" activeCell="A44" sqref="A44:A91"/>
    </sheetView>
  </sheetViews>
  <sheetFormatPr defaultRowHeight="15"/>
  <cols>
    <col min="1" max="1" width="18.5703125" customWidth="1"/>
    <col min="2" max="14" width="17.140625" customWidth="1"/>
    <col min="15" max="15" width="9.7109375" customWidth="1"/>
    <col min="16" max="16" width="17.85546875" customWidth="1"/>
    <col min="17" max="19" width="16.28515625" bestFit="1" customWidth="1"/>
    <col min="20" max="20" width="15.140625" bestFit="1" customWidth="1"/>
    <col min="257" max="257" width="21.28515625" customWidth="1"/>
    <col min="258" max="269" width="15.7109375" customWidth="1"/>
    <col min="270" max="270" width="16.28515625" bestFit="1" customWidth="1"/>
    <col min="271" max="271" width="18" bestFit="1" customWidth="1"/>
    <col min="272" max="272" width="17.85546875" customWidth="1"/>
    <col min="273" max="275" width="16.28515625" bestFit="1" customWidth="1"/>
    <col min="276" max="276" width="15.140625" bestFit="1" customWidth="1"/>
    <col min="513" max="513" width="21.28515625" customWidth="1"/>
    <col min="514" max="525" width="15.7109375" customWidth="1"/>
    <col min="526" max="526" width="16.28515625" bestFit="1" customWidth="1"/>
    <col min="527" max="527" width="18" bestFit="1" customWidth="1"/>
    <col min="528" max="528" width="17.85546875" customWidth="1"/>
    <col min="529" max="531" width="16.28515625" bestFit="1" customWidth="1"/>
    <col min="532" max="532" width="15.140625" bestFit="1" customWidth="1"/>
    <col min="769" max="769" width="21.28515625" customWidth="1"/>
    <col min="770" max="781" width="15.7109375" customWidth="1"/>
    <col min="782" max="782" width="16.28515625" bestFit="1" customWidth="1"/>
    <col min="783" max="783" width="18" bestFit="1" customWidth="1"/>
    <col min="784" max="784" width="17.85546875" customWidth="1"/>
    <col min="785" max="787" width="16.28515625" bestFit="1" customWidth="1"/>
    <col min="788" max="788" width="15.140625" bestFit="1" customWidth="1"/>
    <col min="1025" max="1025" width="21.28515625" customWidth="1"/>
    <col min="1026" max="1037" width="15.7109375" customWidth="1"/>
    <col min="1038" max="1038" width="16.28515625" bestFit="1" customWidth="1"/>
    <col min="1039" max="1039" width="18" bestFit="1" customWidth="1"/>
    <col min="1040" max="1040" width="17.85546875" customWidth="1"/>
    <col min="1041" max="1043" width="16.28515625" bestFit="1" customWidth="1"/>
    <col min="1044" max="1044" width="15.140625" bestFit="1" customWidth="1"/>
    <col min="1281" max="1281" width="21.28515625" customWidth="1"/>
    <col min="1282" max="1293" width="15.7109375" customWidth="1"/>
    <col min="1294" max="1294" width="16.28515625" bestFit="1" customWidth="1"/>
    <col min="1295" max="1295" width="18" bestFit="1" customWidth="1"/>
    <col min="1296" max="1296" width="17.85546875" customWidth="1"/>
    <col min="1297" max="1299" width="16.28515625" bestFit="1" customWidth="1"/>
    <col min="1300" max="1300" width="15.140625" bestFit="1" customWidth="1"/>
    <col min="1537" max="1537" width="21.28515625" customWidth="1"/>
    <col min="1538" max="1549" width="15.7109375" customWidth="1"/>
    <col min="1550" max="1550" width="16.28515625" bestFit="1" customWidth="1"/>
    <col min="1551" max="1551" width="18" bestFit="1" customWidth="1"/>
    <col min="1552" max="1552" width="17.85546875" customWidth="1"/>
    <col min="1553" max="1555" width="16.28515625" bestFit="1" customWidth="1"/>
    <col min="1556" max="1556" width="15.140625" bestFit="1" customWidth="1"/>
    <col min="1793" max="1793" width="21.28515625" customWidth="1"/>
    <col min="1794" max="1805" width="15.7109375" customWidth="1"/>
    <col min="1806" max="1806" width="16.28515625" bestFit="1" customWidth="1"/>
    <col min="1807" max="1807" width="18" bestFit="1" customWidth="1"/>
    <col min="1808" max="1808" width="17.85546875" customWidth="1"/>
    <col min="1809" max="1811" width="16.28515625" bestFit="1" customWidth="1"/>
    <col min="1812" max="1812" width="15.140625" bestFit="1" customWidth="1"/>
    <col min="2049" max="2049" width="21.28515625" customWidth="1"/>
    <col min="2050" max="2061" width="15.7109375" customWidth="1"/>
    <col min="2062" max="2062" width="16.28515625" bestFit="1" customWidth="1"/>
    <col min="2063" max="2063" width="18" bestFit="1" customWidth="1"/>
    <col min="2064" max="2064" width="17.85546875" customWidth="1"/>
    <col min="2065" max="2067" width="16.28515625" bestFit="1" customWidth="1"/>
    <col min="2068" max="2068" width="15.140625" bestFit="1" customWidth="1"/>
    <col min="2305" max="2305" width="21.28515625" customWidth="1"/>
    <col min="2306" max="2317" width="15.7109375" customWidth="1"/>
    <col min="2318" max="2318" width="16.28515625" bestFit="1" customWidth="1"/>
    <col min="2319" max="2319" width="18" bestFit="1" customWidth="1"/>
    <col min="2320" max="2320" width="17.85546875" customWidth="1"/>
    <col min="2321" max="2323" width="16.28515625" bestFit="1" customWidth="1"/>
    <col min="2324" max="2324" width="15.140625" bestFit="1" customWidth="1"/>
    <col min="2561" max="2561" width="21.28515625" customWidth="1"/>
    <col min="2562" max="2573" width="15.7109375" customWidth="1"/>
    <col min="2574" max="2574" width="16.28515625" bestFit="1" customWidth="1"/>
    <col min="2575" max="2575" width="18" bestFit="1" customWidth="1"/>
    <col min="2576" max="2576" width="17.85546875" customWidth="1"/>
    <col min="2577" max="2579" width="16.28515625" bestFit="1" customWidth="1"/>
    <col min="2580" max="2580" width="15.140625" bestFit="1" customWidth="1"/>
    <col min="2817" max="2817" width="21.28515625" customWidth="1"/>
    <col min="2818" max="2829" width="15.7109375" customWidth="1"/>
    <col min="2830" max="2830" width="16.28515625" bestFit="1" customWidth="1"/>
    <col min="2831" max="2831" width="18" bestFit="1" customWidth="1"/>
    <col min="2832" max="2832" width="17.85546875" customWidth="1"/>
    <col min="2833" max="2835" width="16.28515625" bestFit="1" customWidth="1"/>
    <col min="2836" max="2836" width="15.140625" bestFit="1" customWidth="1"/>
    <col min="3073" max="3073" width="21.28515625" customWidth="1"/>
    <col min="3074" max="3085" width="15.7109375" customWidth="1"/>
    <col min="3086" max="3086" width="16.28515625" bestFit="1" customWidth="1"/>
    <col min="3087" max="3087" width="18" bestFit="1" customWidth="1"/>
    <col min="3088" max="3088" width="17.85546875" customWidth="1"/>
    <col min="3089" max="3091" width="16.28515625" bestFit="1" customWidth="1"/>
    <col min="3092" max="3092" width="15.140625" bestFit="1" customWidth="1"/>
    <col min="3329" max="3329" width="21.28515625" customWidth="1"/>
    <col min="3330" max="3341" width="15.7109375" customWidth="1"/>
    <col min="3342" max="3342" width="16.28515625" bestFit="1" customWidth="1"/>
    <col min="3343" max="3343" width="18" bestFit="1" customWidth="1"/>
    <col min="3344" max="3344" width="17.85546875" customWidth="1"/>
    <col min="3345" max="3347" width="16.28515625" bestFit="1" customWidth="1"/>
    <col min="3348" max="3348" width="15.140625" bestFit="1" customWidth="1"/>
    <col min="3585" max="3585" width="21.28515625" customWidth="1"/>
    <col min="3586" max="3597" width="15.7109375" customWidth="1"/>
    <col min="3598" max="3598" width="16.28515625" bestFit="1" customWidth="1"/>
    <col min="3599" max="3599" width="18" bestFit="1" customWidth="1"/>
    <col min="3600" max="3600" width="17.85546875" customWidth="1"/>
    <col min="3601" max="3603" width="16.28515625" bestFit="1" customWidth="1"/>
    <col min="3604" max="3604" width="15.140625" bestFit="1" customWidth="1"/>
    <col min="3841" max="3841" width="21.28515625" customWidth="1"/>
    <col min="3842" max="3853" width="15.7109375" customWidth="1"/>
    <col min="3854" max="3854" width="16.28515625" bestFit="1" customWidth="1"/>
    <col min="3855" max="3855" width="18" bestFit="1" customWidth="1"/>
    <col min="3856" max="3856" width="17.85546875" customWidth="1"/>
    <col min="3857" max="3859" width="16.28515625" bestFit="1" customWidth="1"/>
    <col min="3860" max="3860" width="15.140625" bestFit="1" customWidth="1"/>
    <col min="4097" max="4097" width="21.28515625" customWidth="1"/>
    <col min="4098" max="4109" width="15.7109375" customWidth="1"/>
    <col min="4110" max="4110" width="16.28515625" bestFit="1" customWidth="1"/>
    <col min="4111" max="4111" width="18" bestFit="1" customWidth="1"/>
    <col min="4112" max="4112" width="17.85546875" customWidth="1"/>
    <col min="4113" max="4115" width="16.28515625" bestFit="1" customWidth="1"/>
    <col min="4116" max="4116" width="15.140625" bestFit="1" customWidth="1"/>
    <col min="4353" max="4353" width="21.28515625" customWidth="1"/>
    <col min="4354" max="4365" width="15.7109375" customWidth="1"/>
    <col min="4366" max="4366" width="16.28515625" bestFit="1" customWidth="1"/>
    <col min="4367" max="4367" width="18" bestFit="1" customWidth="1"/>
    <col min="4368" max="4368" width="17.85546875" customWidth="1"/>
    <col min="4369" max="4371" width="16.28515625" bestFit="1" customWidth="1"/>
    <col min="4372" max="4372" width="15.140625" bestFit="1" customWidth="1"/>
    <col min="4609" max="4609" width="21.28515625" customWidth="1"/>
    <col min="4610" max="4621" width="15.7109375" customWidth="1"/>
    <col min="4622" max="4622" width="16.28515625" bestFit="1" customWidth="1"/>
    <col min="4623" max="4623" width="18" bestFit="1" customWidth="1"/>
    <col min="4624" max="4624" width="17.85546875" customWidth="1"/>
    <col min="4625" max="4627" width="16.28515625" bestFit="1" customWidth="1"/>
    <col min="4628" max="4628" width="15.140625" bestFit="1" customWidth="1"/>
    <col min="4865" max="4865" width="21.28515625" customWidth="1"/>
    <col min="4866" max="4877" width="15.7109375" customWidth="1"/>
    <col min="4878" max="4878" width="16.28515625" bestFit="1" customWidth="1"/>
    <col min="4879" max="4879" width="18" bestFit="1" customWidth="1"/>
    <col min="4880" max="4880" width="17.85546875" customWidth="1"/>
    <col min="4881" max="4883" width="16.28515625" bestFit="1" customWidth="1"/>
    <col min="4884" max="4884" width="15.140625" bestFit="1" customWidth="1"/>
    <col min="5121" max="5121" width="21.28515625" customWidth="1"/>
    <col min="5122" max="5133" width="15.7109375" customWidth="1"/>
    <col min="5134" max="5134" width="16.28515625" bestFit="1" customWidth="1"/>
    <col min="5135" max="5135" width="18" bestFit="1" customWidth="1"/>
    <col min="5136" max="5136" width="17.85546875" customWidth="1"/>
    <col min="5137" max="5139" width="16.28515625" bestFit="1" customWidth="1"/>
    <col min="5140" max="5140" width="15.140625" bestFit="1" customWidth="1"/>
    <col min="5377" max="5377" width="21.28515625" customWidth="1"/>
    <col min="5378" max="5389" width="15.7109375" customWidth="1"/>
    <col min="5390" max="5390" width="16.28515625" bestFit="1" customWidth="1"/>
    <col min="5391" max="5391" width="18" bestFit="1" customWidth="1"/>
    <col min="5392" max="5392" width="17.85546875" customWidth="1"/>
    <col min="5393" max="5395" width="16.28515625" bestFit="1" customWidth="1"/>
    <col min="5396" max="5396" width="15.140625" bestFit="1" customWidth="1"/>
    <col min="5633" max="5633" width="21.28515625" customWidth="1"/>
    <col min="5634" max="5645" width="15.7109375" customWidth="1"/>
    <col min="5646" max="5646" width="16.28515625" bestFit="1" customWidth="1"/>
    <col min="5647" max="5647" width="18" bestFit="1" customWidth="1"/>
    <col min="5648" max="5648" width="17.85546875" customWidth="1"/>
    <col min="5649" max="5651" width="16.28515625" bestFit="1" customWidth="1"/>
    <col min="5652" max="5652" width="15.140625" bestFit="1" customWidth="1"/>
    <col min="5889" max="5889" width="21.28515625" customWidth="1"/>
    <col min="5890" max="5901" width="15.7109375" customWidth="1"/>
    <col min="5902" max="5902" width="16.28515625" bestFit="1" customWidth="1"/>
    <col min="5903" max="5903" width="18" bestFit="1" customWidth="1"/>
    <col min="5904" max="5904" width="17.85546875" customWidth="1"/>
    <col min="5905" max="5907" width="16.28515625" bestFit="1" customWidth="1"/>
    <col min="5908" max="5908" width="15.140625" bestFit="1" customWidth="1"/>
    <col min="6145" max="6145" width="21.28515625" customWidth="1"/>
    <col min="6146" max="6157" width="15.7109375" customWidth="1"/>
    <col min="6158" max="6158" width="16.28515625" bestFit="1" customWidth="1"/>
    <col min="6159" max="6159" width="18" bestFit="1" customWidth="1"/>
    <col min="6160" max="6160" width="17.85546875" customWidth="1"/>
    <col min="6161" max="6163" width="16.28515625" bestFit="1" customWidth="1"/>
    <col min="6164" max="6164" width="15.140625" bestFit="1" customWidth="1"/>
    <col min="6401" max="6401" width="21.28515625" customWidth="1"/>
    <col min="6402" max="6413" width="15.7109375" customWidth="1"/>
    <col min="6414" max="6414" width="16.28515625" bestFit="1" customWidth="1"/>
    <col min="6415" max="6415" width="18" bestFit="1" customWidth="1"/>
    <col min="6416" max="6416" width="17.85546875" customWidth="1"/>
    <col min="6417" max="6419" width="16.28515625" bestFit="1" customWidth="1"/>
    <col min="6420" max="6420" width="15.140625" bestFit="1" customWidth="1"/>
    <col min="6657" max="6657" width="21.28515625" customWidth="1"/>
    <col min="6658" max="6669" width="15.7109375" customWidth="1"/>
    <col min="6670" max="6670" width="16.28515625" bestFit="1" customWidth="1"/>
    <col min="6671" max="6671" width="18" bestFit="1" customWidth="1"/>
    <col min="6672" max="6672" width="17.85546875" customWidth="1"/>
    <col min="6673" max="6675" width="16.28515625" bestFit="1" customWidth="1"/>
    <col min="6676" max="6676" width="15.140625" bestFit="1" customWidth="1"/>
    <col min="6913" max="6913" width="21.28515625" customWidth="1"/>
    <col min="6914" max="6925" width="15.7109375" customWidth="1"/>
    <col min="6926" max="6926" width="16.28515625" bestFit="1" customWidth="1"/>
    <col min="6927" max="6927" width="18" bestFit="1" customWidth="1"/>
    <col min="6928" max="6928" width="17.85546875" customWidth="1"/>
    <col min="6929" max="6931" width="16.28515625" bestFit="1" customWidth="1"/>
    <col min="6932" max="6932" width="15.140625" bestFit="1" customWidth="1"/>
    <col min="7169" max="7169" width="21.28515625" customWidth="1"/>
    <col min="7170" max="7181" width="15.7109375" customWidth="1"/>
    <col min="7182" max="7182" width="16.28515625" bestFit="1" customWidth="1"/>
    <col min="7183" max="7183" width="18" bestFit="1" customWidth="1"/>
    <col min="7184" max="7184" width="17.85546875" customWidth="1"/>
    <col min="7185" max="7187" width="16.28515625" bestFit="1" customWidth="1"/>
    <col min="7188" max="7188" width="15.140625" bestFit="1" customWidth="1"/>
    <col min="7425" max="7425" width="21.28515625" customWidth="1"/>
    <col min="7426" max="7437" width="15.7109375" customWidth="1"/>
    <col min="7438" max="7438" width="16.28515625" bestFit="1" customWidth="1"/>
    <col min="7439" max="7439" width="18" bestFit="1" customWidth="1"/>
    <col min="7440" max="7440" width="17.85546875" customWidth="1"/>
    <col min="7441" max="7443" width="16.28515625" bestFit="1" customWidth="1"/>
    <col min="7444" max="7444" width="15.140625" bestFit="1" customWidth="1"/>
    <col min="7681" max="7681" width="21.28515625" customWidth="1"/>
    <col min="7682" max="7693" width="15.7109375" customWidth="1"/>
    <col min="7694" max="7694" width="16.28515625" bestFit="1" customWidth="1"/>
    <col min="7695" max="7695" width="18" bestFit="1" customWidth="1"/>
    <col min="7696" max="7696" width="17.85546875" customWidth="1"/>
    <col min="7697" max="7699" width="16.28515625" bestFit="1" customWidth="1"/>
    <col min="7700" max="7700" width="15.140625" bestFit="1" customWidth="1"/>
    <col min="7937" max="7937" width="21.28515625" customWidth="1"/>
    <col min="7938" max="7949" width="15.7109375" customWidth="1"/>
    <col min="7950" max="7950" width="16.28515625" bestFit="1" customWidth="1"/>
    <col min="7951" max="7951" width="18" bestFit="1" customWidth="1"/>
    <col min="7952" max="7952" width="17.85546875" customWidth="1"/>
    <col min="7953" max="7955" width="16.28515625" bestFit="1" customWidth="1"/>
    <col min="7956" max="7956" width="15.140625" bestFit="1" customWidth="1"/>
    <col min="8193" max="8193" width="21.28515625" customWidth="1"/>
    <col min="8194" max="8205" width="15.7109375" customWidth="1"/>
    <col min="8206" max="8206" width="16.28515625" bestFit="1" customWidth="1"/>
    <col min="8207" max="8207" width="18" bestFit="1" customWidth="1"/>
    <col min="8208" max="8208" width="17.85546875" customWidth="1"/>
    <col min="8209" max="8211" width="16.28515625" bestFit="1" customWidth="1"/>
    <col min="8212" max="8212" width="15.140625" bestFit="1" customWidth="1"/>
    <col min="8449" max="8449" width="21.28515625" customWidth="1"/>
    <col min="8450" max="8461" width="15.7109375" customWidth="1"/>
    <col min="8462" max="8462" width="16.28515625" bestFit="1" customWidth="1"/>
    <col min="8463" max="8463" width="18" bestFit="1" customWidth="1"/>
    <col min="8464" max="8464" width="17.85546875" customWidth="1"/>
    <col min="8465" max="8467" width="16.28515625" bestFit="1" customWidth="1"/>
    <col min="8468" max="8468" width="15.140625" bestFit="1" customWidth="1"/>
    <col min="8705" max="8705" width="21.28515625" customWidth="1"/>
    <col min="8706" max="8717" width="15.7109375" customWidth="1"/>
    <col min="8718" max="8718" width="16.28515625" bestFit="1" customWidth="1"/>
    <col min="8719" max="8719" width="18" bestFit="1" customWidth="1"/>
    <col min="8720" max="8720" width="17.85546875" customWidth="1"/>
    <col min="8721" max="8723" width="16.28515625" bestFit="1" customWidth="1"/>
    <col min="8724" max="8724" width="15.140625" bestFit="1" customWidth="1"/>
    <col min="8961" max="8961" width="21.28515625" customWidth="1"/>
    <col min="8962" max="8973" width="15.7109375" customWidth="1"/>
    <col min="8974" max="8974" width="16.28515625" bestFit="1" customWidth="1"/>
    <col min="8975" max="8975" width="18" bestFit="1" customWidth="1"/>
    <col min="8976" max="8976" width="17.85546875" customWidth="1"/>
    <col min="8977" max="8979" width="16.28515625" bestFit="1" customWidth="1"/>
    <col min="8980" max="8980" width="15.140625" bestFit="1" customWidth="1"/>
    <col min="9217" max="9217" width="21.28515625" customWidth="1"/>
    <col min="9218" max="9229" width="15.7109375" customWidth="1"/>
    <col min="9230" max="9230" width="16.28515625" bestFit="1" customWidth="1"/>
    <col min="9231" max="9231" width="18" bestFit="1" customWidth="1"/>
    <col min="9232" max="9232" width="17.85546875" customWidth="1"/>
    <col min="9233" max="9235" width="16.28515625" bestFit="1" customWidth="1"/>
    <col min="9236" max="9236" width="15.140625" bestFit="1" customWidth="1"/>
    <col min="9473" max="9473" width="21.28515625" customWidth="1"/>
    <col min="9474" max="9485" width="15.7109375" customWidth="1"/>
    <col min="9486" max="9486" width="16.28515625" bestFit="1" customWidth="1"/>
    <col min="9487" max="9487" width="18" bestFit="1" customWidth="1"/>
    <col min="9488" max="9488" width="17.85546875" customWidth="1"/>
    <col min="9489" max="9491" width="16.28515625" bestFit="1" customWidth="1"/>
    <col min="9492" max="9492" width="15.140625" bestFit="1" customWidth="1"/>
    <col min="9729" max="9729" width="21.28515625" customWidth="1"/>
    <col min="9730" max="9741" width="15.7109375" customWidth="1"/>
    <col min="9742" max="9742" width="16.28515625" bestFit="1" customWidth="1"/>
    <col min="9743" max="9743" width="18" bestFit="1" customWidth="1"/>
    <col min="9744" max="9744" width="17.85546875" customWidth="1"/>
    <col min="9745" max="9747" width="16.28515625" bestFit="1" customWidth="1"/>
    <col min="9748" max="9748" width="15.140625" bestFit="1" customWidth="1"/>
    <col min="9985" max="9985" width="21.28515625" customWidth="1"/>
    <col min="9986" max="9997" width="15.7109375" customWidth="1"/>
    <col min="9998" max="9998" width="16.28515625" bestFit="1" customWidth="1"/>
    <col min="9999" max="9999" width="18" bestFit="1" customWidth="1"/>
    <col min="10000" max="10000" width="17.85546875" customWidth="1"/>
    <col min="10001" max="10003" width="16.28515625" bestFit="1" customWidth="1"/>
    <col min="10004" max="10004" width="15.140625" bestFit="1" customWidth="1"/>
    <col min="10241" max="10241" width="21.28515625" customWidth="1"/>
    <col min="10242" max="10253" width="15.7109375" customWidth="1"/>
    <col min="10254" max="10254" width="16.28515625" bestFit="1" customWidth="1"/>
    <col min="10255" max="10255" width="18" bestFit="1" customWidth="1"/>
    <col min="10256" max="10256" width="17.85546875" customWidth="1"/>
    <col min="10257" max="10259" width="16.28515625" bestFit="1" customWidth="1"/>
    <col min="10260" max="10260" width="15.140625" bestFit="1" customWidth="1"/>
    <col min="10497" max="10497" width="21.28515625" customWidth="1"/>
    <col min="10498" max="10509" width="15.7109375" customWidth="1"/>
    <col min="10510" max="10510" width="16.28515625" bestFit="1" customWidth="1"/>
    <col min="10511" max="10511" width="18" bestFit="1" customWidth="1"/>
    <col min="10512" max="10512" width="17.85546875" customWidth="1"/>
    <col min="10513" max="10515" width="16.28515625" bestFit="1" customWidth="1"/>
    <col min="10516" max="10516" width="15.140625" bestFit="1" customWidth="1"/>
    <col min="10753" max="10753" width="21.28515625" customWidth="1"/>
    <col min="10754" max="10765" width="15.7109375" customWidth="1"/>
    <col min="10766" max="10766" width="16.28515625" bestFit="1" customWidth="1"/>
    <col min="10767" max="10767" width="18" bestFit="1" customWidth="1"/>
    <col min="10768" max="10768" width="17.85546875" customWidth="1"/>
    <col min="10769" max="10771" width="16.28515625" bestFit="1" customWidth="1"/>
    <col min="10772" max="10772" width="15.140625" bestFit="1" customWidth="1"/>
    <col min="11009" max="11009" width="21.28515625" customWidth="1"/>
    <col min="11010" max="11021" width="15.7109375" customWidth="1"/>
    <col min="11022" max="11022" width="16.28515625" bestFit="1" customWidth="1"/>
    <col min="11023" max="11023" width="18" bestFit="1" customWidth="1"/>
    <col min="11024" max="11024" width="17.85546875" customWidth="1"/>
    <col min="11025" max="11027" width="16.28515625" bestFit="1" customWidth="1"/>
    <col min="11028" max="11028" width="15.140625" bestFit="1" customWidth="1"/>
    <col min="11265" max="11265" width="21.28515625" customWidth="1"/>
    <col min="11266" max="11277" width="15.7109375" customWidth="1"/>
    <col min="11278" max="11278" width="16.28515625" bestFit="1" customWidth="1"/>
    <col min="11279" max="11279" width="18" bestFit="1" customWidth="1"/>
    <col min="11280" max="11280" width="17.85546875" customWidth="1"/>
    <col min="11281" max="11283" width="16.28515625" bestFit="1" customWidth="1"/>
    <col min="11284" max="11284" width="15.140625" bestFit="1" customWidth="1"/>
    <col min="11521" max="11521" width="21.28515625" customWidth="1"/>
    <col min="11522" max="11533" width="15.7109375" customWidth="1"/>
    <col min="11534" max="11534" width="16.28515625" bestFit="1" customWidth="1"/>
    <col min="11535" max="11535" width="18" bestFit="1" customWidth="1"/>
    <col min="11536" max="11536" width="17.85546875" customWidth="1"/>
    <col min="11537" max="11539" width="16.28515625" bestFit="1" customWidth="1"/>
    <col min="11540" max="11540" width="15.140625" bestFit="1" customWidth="1"/>
    <col min="11777" max="11777" width="21.28515625" customWidth="1"/>
    <col min="11778" max="11789" width="15.7109375" customWidth="1"/>
    <col min="11790" max="11790" width="16.28515625" bestFit="1" customWidth="1"/>
    <col min="11791" max="11791" width="18" bestFit="1" customWidth="1"/>
    <col min="11792" max="11792" width="17.85546875" customWidth="1"/>
    <col min="11793" max="11795" width="16.28515625" bestFit="1" customWidth="1"/>
    <col min="11796" max="11796" width="15.140625" bestFit="1" customWidth="1"/>
    <col min="12033" max="12033" width="21.28515625" customWidth="1"/>
    <col min="12034" max="12045" width="15.7109375" customWidth="1"/>
    <col min="12046" max="12046" width="16.28515625" bestFit="1" customWidth="1"/>
    <col min="12047" max="12047" width="18" bestFit="1" customWidth="1"/>
    <col min="12048" max="12048" width="17.85546875" customWidth="1"/>
    <col min="12049" max="12051" width="16.28515625" bestFit="1" customWidth="1"/>
    <col min="12052" max="12052" width="15.140625" bestFit="1" customWidth="1"/>
    <col min="12289" max="12289" width="21.28515625" customWidth="1"/>
    <col min="12290" max="12301" width="15.7109375" customWidth="1"/>
    <col min="12302" max="12302" width="16.28515625" bestFit="1" customWidth="1"/>
    <col min="12303" max="12303" width="18" bestFit="1" customWidth="1"/>
    <col min="12304" max="12304" width="17.85546875" customWidth="1"/>
    <col min="12305" max="12307" width="16.28515625" bestFit="1" customWidth="1"/>
    <col min="12308" max="12308" width="15.140625" bestFit="1" customWidth="1"/>
    <col min="12545" max="12545" width="21.28515625" customWidth="1"/>
    <col min="12546" max="12557" width="15.7109375" customWidth="1"/>
    <col min="12558" max="12558" width="16.28515625" bestFit="1" customWidth="1"/>
    <col min="12559" max="12559" width="18" bestFit="1" customWidth="1"/>
    <col min="12560" max="12560" width="17.85546875" customWidth="1"/>
    <col min="12561" max="12563" width="16.28515625" bestFit="1" customWidth="1"/>
    <col min="12564" max="12564" width="15.140625" bestFit="1" customWidth="1"/>
    <col min="12801" max="12801" width="21.28515625" customWidth="1"/>
    <col min="12802" max="12813" width="15.7109375" customWidth="1"/>
    <col min="12814" max="12814" width="16.28515625" bestFit="1" customWidth="1"/>
    <col min="12815" max="12815" width="18" bestFit="1" customWidth="1"/>
    <col min="12816" max="12816" width="17.85546875" customWidth="1"/>
    <col min="12817" max="12819" width="16.28515625" bestFit="1" customWidth="1"/>
    <col min="12820" max="12820" width="15.140625" bestFit="1" customWidth="1"/>
    <col min="13057" max="13057" width="21.28515625" customWidth="1"/>
    <col min="13058" max="13069" width="15.7109375" customWidth="1"/>
    <col min="13070" max="13070" width="16.28515625" bestFit="1" customWidth="1"/>
    <col min="13071" max="13071" width="18" bestFit="1" customWidth="1"/>
    <col min="13072" max="13072" width="17.85546875" customWidth="1"/>
    <col min="13073" max="13075" width="16.28515625" bestFit="1" customWidth="1"/>
    <col min="13076" max="13076" width="15.140625" bestFit="1" customWidth="1"/>
    <col min="13313" max="13313" width="21.28515625" customWidth="1"/>
    <col min="13314" max="13325" width="15.7109375" customWidth="1"/>
    <col min="13326" max="13326" width="16.28515625" bestFit="1" customWidth="1"/>
    <col min="13327" max="13327" width="18" bestFit="1" customWidth="1"/>
    <col min="13328" max="13328" width="17.85546875" customWidth="1"/>
    <col min="13329" max="13331" width="16.28515625" bestFit="1" customWidth="1"/>
    <col min="13332" max="13332" width="15.140625" bestFit="1" customWidth="1"/>
    <col min="13569" max="13569" width="21.28515625" customWidth="1"/>
    <col min="13570" max="13581" width="15.7109375" customWidth="1"/>
    <col min="13582" max="13582" width="16.28515625" bestFit="1" customWidth="1"/>
    <col min="13583" max="13583" width="18" bestFit="1" customWidth="1"/>
    <col min="13584" max="13584" width="17.85546875" customWidth="1"/>
    <col min="13585" max="13587" width="16.28515625" bestFit="1" customWidth="1"/>
    <col min="13588" max="13588" width="15.140625" bestFit="1" customWidth="1"/>
    <col min="13825" max="13825" width="21.28515625" customWidth="1"/>
    <col min="13826" max="13837" width="15.7109375" customWidth="1"/>
    <col min="13838" max="13838" width="16.28515625" bestFit="1" customWidth="1"/>
    <col min="13839" max="13839" width="18" bestFit="1" customWidth="1"/>
    <col min="13840" max="13840" width="17.85546875" customWidth="1"/>
    <col min="13841" max="13843" width="16.28515625" bestFit="1" customWidth="1"/>
    <col min="13844" max="13844" width="15.140625" bestFit="1" customWidth="1"/>
    <col min="14081" max="14081" width="21.28515625" customWidth="1"/>
    <col min="14082" max="14093" width="15.7109375" customWidth="1"/>
    <col min="14094" max="14094" width="16.28515625" bestFit="1" customWidth="1"/>
    <col min="14095" max="14095" width="18" bestFit="1" customWidth="1"/>
    <col min="14096" max="14096" width="17.85546875" customWidth="1"/>
    <col min="14097" max="14099" width="16.28515625" bestFit="1" customWidth="1"/>
    <col min="14100" max="14100" width="15.140625" bestFit="1" customWidth="1"/>
    <col min="14337" max="14337" width="21.28515625" customWidth="1"/>
    <col min="14338" max="14349" width="15.7109375" customWidth="1"/>
    <col min="14350" max="14350" width="16.28515625" bestFit="1" customWidth="1"/>
    <col min="14351" max="14351" width="18" bestFit="1" customWidth="1"/>
    <col min="14352" max="14352" width="17.85546875" customWidth="1"/>
    <col min="14353" max="14355" width="16.28515625" bestFit="1" customWidth="1"/>
    <col min="14356" max="14356" width="15.140625" bestFit="1" customWidth="1"/>
    <col min="14593" max="14593" width="21.28515625" customWidth="1"/>
    <col min="14594" max="14605" width="15.7109375" customWidth="1"/>
    <col min="14606" max="14606" width="16.28515625" bestFit="1" customWidth="1"/>
    <col min="14607" max="14607" width="18" bestFit="1" customWidth="1"/>
    <col min="14608" max="14608" width="17.85546875" customWidth="1"/>
    <col min="14609" max="14611" width="16.28515625" bestFit="1" customWidth="1"/>
    <col min="14612" max="14612" width="15.140625" bestFit="1" customWidth="1"/>
    <col min="14849" max="14849" width="21.28515625" customWidth="1"/>
    <col min="14850" max="14861" width="15.7109375" customWidth="1"/>
    <col min="14862" max="14862" width="16.28515625" bestFit="1" customWidth="1"/>
    <col min="14863" max="14863" width="18" bestFit="1" customWidth="1"/>
    <col min="14864" max="14864" width="17.85546875" customWidth="1"/>
    <col min="14865" max="14867" width="16.28515625" bestFit="1" customWidth="1"/>
    <col min="14868" max="14868" width="15.140625" bestFit="1" customWidth="1"/>
    <col min="15105" max="15105" width="21.28515625" customWidth="1"/>
    <col min="15106" max="15117" width="15.7109375" customWidth="1"/>
    <col min="15118" max="15118" width="16.28515625" bestFit="1" customWidth="1"/>
    <col min="15119" max="15119" width="18" bestFit="1" customWidth="1"/>
    <col min="15120" max="15120" width="17.85546875" customWidth="1"/>
    <col min="15121" max="15123" width="16.28515625" bestFit="1" customWidth="1"/>
    <col min="15124" max="15124" width="15.140625" bestFit="1" customWidth="1"/>
    <col min="15361" max="15361" width="21.28515625" customWidth="1"/>
    <col min="15362" max="15373" width="15.7109375" customWidth="1"/>
    <col min="15374" max="15374" width="16.28515625" bestFit="1" customWidth="1"/>
    <col min="15375" max="15375" width="18" bestFit="1" customWidth="1"/>
    <col min="15376" max="15376" width="17.85546875" customWidth="1"/>
    <col min="15377" max="15379" width="16.28515625" bestFit="1" customWidth="1"/>
    <col min="15380" max="15380" width="15.140625" bestFit="1" customWidth="1"/>
    <col min="15617" max="15617" width="21.28515625" customWidth="1"/>
    <col min="15618" max="15629" width="15.7109375" customWidth="1"/>
    <col min="15630" max="15630" width="16.28515625" bestFit="1" customWidth="1"/>
    <col min="15631" max="15631" width="18" bestFit="1" customWidth="1"/>
    <col min="15632" max="15632" width="17.85546875" customWidth="1"/>
    <col min="15633" max="15635" width="16.28515625" bestFit="1" customWidth="1"/>
    <col min="15636" max="15636" width="15.140625" bestFit="1" customWidth="1"/>
    <col min="15873" max="15873" width="21.28515625" customWidth="1"/>
    <col min="15874" max="15885" width="15.7109375" customWidth="1"/>
    <col min="15886" max="15886" width="16.28515625" bestFit="1" customWidth="1"/>
    <col min="15887" max="15887" width="18" bestFit="1" customWidth="1"/>
    <col min="15888" max="15888" width="17.85546875" customWidth="1"/>
    <col min="15889" max="15891" width="16.28515625" bestFit="1" customWidth="1"/>
    <col min="15892" max="15892" width="15.140625" bestFit="1" customWidth="1"/>
    <col min="16129" max="16129" width="21.28515625" customWidth="1"/>
    <col min="16130" max="16141" width="15.7109375" customWidth="1"/>
    <col min="16142" max="16142" width="16.28515625" bestFit="1" customWidth="1"/>
    <col min="16143" max="16143" width="18" bestFit="1" customWidth="1"/>
    <col min="16144" max="16144" width="17.85546875" customWidth="1"/>
    <col min="16145" max="16147" width="16.28515625" bestFit="1" customWidth="1"/>
    <col min="16148" max="16148" width="15.140625" bestFit="1" customWidth="1"/>
  </cols>
  <sheetData>
    <row r="1" spans="1:28" ht="18">
      <c r="A1" s="466" t="s">
        <v>916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315"/>
      <c r="O1" s="469" t="s">
        <v>916</v>
      </c>
      <c r="P1" s="469"/>
      <c r="Q1" s="469"/>
      <c r="R1" s="469"/>
      <c r="S1" s="469"/>
      <c r="T1" s="451"/>
      <c r="U1" s="451"/>
      <c r="V1" s="451"/>
      <c r="W1" s="451"/>
      <c r="X1" s="451"/>
      <c r="Y1" s="451"/>
      <c r="Z1" s="451"/>
      <c r="AA1" s="451"/>
      <c r="AB1" s="451"/>
    </row>
    <row r="2" spans="1:28" ht="18">
      <c r="A2" s="466" t="s">
        <v>917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315"/>
      <c r="O2" s="469" t="s">
        <v>917</v>
      </c>
      <c r="P2" s="469"/>
      <c r="Q2" s="469"/>
      <c r="R2" s="469"/>
      <c r="S2" s="469"/>
      <c r="T2" s="451"/>
      <c r="U2" s="451"/>
      <c r="V2" s="451"/>
      <c r="W2" s="451"/>
      <c r="X2" s="451"/>
      <c r="Y2" s="451"/>
      <c r="Z2" s="451"/>
      <c r="AA2" s="451"/>
      <c r="AB2" s="451"/>
    </row>
    <row r="3" spans="1:28">
      <c r="A3" s="316"/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5"/>
      <c r="O3" s="470"/>
      <c r="P3" s="470"/>
      <c r="Q3" s="470"/>
      <c r="R3" s="470"/>
      <c r="S3" s="470"/>
      <c r="T3" s="316"/>
      <c r="U3" s="316"/>
      <c r="V3" s="316"/>
      <c r="W3" s="316"/>
      <c r="X3" s="316"/>
      <c r="Y3" s="316"/>
      <c r="Z3" s="316"/>
      <c r="AA3" s="316"/>
      <c r="AB3" s="316"/>
    </row>
    <row r="4" spans="1:28" ht="18">
      <c r="A4" s="466" t="s">
        <v>918</v>
      </c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315"/>
      <c r="O4" s="469" t="s">
        <v>918</v>
      </c>
      <c r="P4" s="469"/>
      <c r="Q4" s="469"/>
      <c r="R4" s="469"/>
      <c r="S4" s="469"/>
      <c r="T4" s="451"/>
      <c r="U4" s="451"/>
      <c r="V4" s="451"/>
      <c r="W4" s="451"/>
      <c r="X4" s="451"/>
      <c r="Y4" s="451"/>
      <c r="Z4" s="451"/>
      <c r="AA4" s="451"/>
      <c r="AB4" s="451"/>
    </row>
    <row r="5" spans="1:28">
      <c r="A5" s="316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5"/>
      <c r="O5" s="470"/>
      <c r="P5" s="470"/>
      <c r="Q5" s="470"/>
      <c r="R5" s="470"/>
      <c r="S5" s="470"/>
    </row>
    <row r="6" spans="1:28">
      <c r="A6" s="317" t="s">
        <v>919</v>
      </c>
      <c r="B6" s="318">
        <v>2018</v>
      </c>
      <c r="C6" s="319">
        <v>2019</v>
      </c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20"/>
      <c r="O6" s="321"/>
      <c r="P6" s="315"/>
      <c r="Q6" s="315"/>
    </row>
    <row r="7" spans="1:28">
      <c r="A7" s="322" t="s">
        <v>920</v>
      </c>
      <c r="B7" s="323">
        <v>12</v>
      </c>
      <c r="C7" s="323">
        <v>1</v>
      </c>
      <c r="D7" s="323">
        <v>2</v>
      </c>
      <c r="E7" s="323">
        <v>3</v>
      </c>
      <c r="F7" s="323">
        <v>4</v>
      </c>
      <c r="G7" s="323">
        <v>5</v>
      </c>
      <c r="H7" s="323">
        <v>6</v>
      </c>
      <c r="I7" s="323">
        <v>7</v>
      </c>
      <c r="J7" s="323">
        <v>8</v>
      </c>
      <c r="K7" s="323">
        <v>9</v>
      </c>
      <c r="L7" s="323">
        <v>10</v>
      </c>
      <c r="M7" s="323">
        <v>11</v>
      </c>
      <c r="N7" s="324" t="s">
        <v>921</v>
      </c>
      <c r="O7" s="321"/>
      <c r="P7" s="315"/>
      <c r="Q7" s="315"/>
    </row>
    <row r="8" spans="1:28" s="329" customFormat="1" ht="12.75">
      <c r="A8" s="325" t="s">
        <v>922</v>
      </c>
      <c r="B8" s="326">
        <v>43435</v>
      </c>
      <c r="C8" s="326">
        <v>43466</v>
      </c>
      <c r="D8" s="326">
        <v>43497</v>
      </c>
      <c r="E8" s="326">
        <v>43525</v>
      </c>
      <c r="F8" s="326">
        <v>43556</v>
      </c>
      <c r="G8" s="326">
        <v>43586</v>
      </c>
      <c r="H8" s="326">
        <v>43617</v>
      </c>
      <c r="I8" s="326">
        <v>43647</v>
      </c>
      <c r="J8" s="326">
        <v>43678</v>
      </c>
      <c r="K8" s="326">
        <v>43709</v>
      </c>
      <c r="L8" s="326">
        <v>43739</v>
      </c>
      <c r="M8" s="326">
        <v>43770</v>
      </c>
      <c r="N8" s="327" t="s">
        <v>923</v>
      </c>
      <c r="O8" s="328"/>
    </row>
    <row r="9" spans="1:28">
      <c r="A9" s="322" t="s">
        <v>924</v>
      </c>
      <c r="B9" s="441">
        <v>1374.46</v>
      </c>
      <c r="C9" s="441">
        <v>1674.07</v>
      </c>
      <c r="D9" s="441">
        <v>1267.8399999999999</v>
      </c>
      <c r="E9" s="442">
        <v>1546.28</v>
      </c>
      <c r="F9" s="442">
        <v>1577.76</v>
      </c>
      <c r="G9" s="442">
        <v>1659.87</v>
      </c>
      <c r="H9" s="442">
        <v>1542.13</v>
      </c>
      <c r="I9" s="442">
        <v>1582.13</v>
      </c>
      <c r="J9" s="442">
        <v>1706.08</v>
      </c>
      <c r="K9" s="441">
        <v>1617.64</v>
      </c>
      <c r="L9" s="441">
        <v>1534.85</v>
      </c>
      <c r="M9" s="441">
        <v>1417.38</v>
      </c>
      <c r="N9" s="443">
        <f>SUM(B9:M9)</f>
        <v>18500.490000000002</v>
      </c>
    </row>
    <row r="10" spans="1:28" s="336" customFormat="1" ht="12.75">
      <c r="A10" s="333" t="s">
        <v>926</v>
      </c>
      <c r="B10" s="440">
        <v>157.38</v>
      </c>
      <c r="C10" s="440">
        <v>157.38</v>
      </c>
      <c r="D10" s="440">
        <v>157.38</v>
      </c>
      <c r="E10" s="440">
        <v>164.34</v>
      </c>
      <c r="F10" s="440">
        <v>164.34</v>
      </c>
      <c r="G10" s="440">
        <v>164.34</v>
      </c>
      <c r="H10" s="440">
        <v>164.34</v>
      </c>
      <c r="I10" s="440">
        <v>164.34</v>
      </c>
      <c r="J10" s="440">
        <v>164.34</v>
      </c>
      <c r="K10" s="440">
        <v>164.34</v>
      </c>
      <c r="L10" s="440">
        <v>164.34</v>
      </c>
      <c r="M10" s="440">
        <v>164.34</v>
      </c>
      <c r="N10" s="436"/>
    </row>
    <row r="11" spans="1:28" s="336" customFormat="1">
      <c r="A11" s="333" t="s">
        <v>928</v>
      </c>
      <c r="B11" s="118">
        <f>ROUND(B9*B10,2)</f>
        <v>216312.51</v>
      </c>
      <c r="C11" s="118">
        <f t="shared" ref="C11:M11" si="0">ROUND(C9*C10,2)</f>
        <v>263465.14</v>
      </c>
      <c r="D11" s="118">
        <f t="shared" si="0"/>
        <v>199532.66</v>
      </c>
      <c r="E11" s="437">
        <f t="shared" si="0"/>
        <v>254115.66</v>
      </c>
      <c r="F11" s="437">
        <f t="shared" si="0"/>
        <v>259289.08</v>
      </c>
      <c r="G11" s="437">
        <f t="shared" si="0"/>
        <v>272783.03999999998</v>
      </c>
      <c r="H11" s="437">
        <f t="shared" si="0"/>
        <v>253433.64</v>
      </c>
      <c r="I11" s="437">
        <f t="shared" si="0"/>
        <v>260007.24</v>
      </c>
      <c r="J11" s="437">
        <f t="shared" si="0"/>
        <v>280377.19</v>
      </c>
      <c r="K11" s="118">
        <f t="shared" si="0"/>
        <v>265842.96000000002</v>
      </c>
      <c r="L11" s="118">
        <f t="shared" si="0"/>
        <v>252237.25</v>
      </c>
      <c r="M11" s="118">
        <f t="shared" si="0"/>
        <v>232932.23</v>
      </c>
      <c r="N11" s="435">
        <f>SUM(B11:M11)</f>
        <v>3010328.6</v>
      </c>
    </row>
    <row r="12" spans="1:28">
      <c r="A12" s="322"/>
      <c r="B12" s="118"/>
      <c r="C12" s="118"/>
      <c r="D12" s="118"/>
      <c r="E12" s="437"/>
      <c r="F12" s="437"/>
      <c r="G12" s="437"/>
      <c r="H12" s="437"/>
      <c r="I12" s="437"/>
      <c r="J12" s="437"/>
      <c r="K12" s="118"/>
      <c r="L12" s="118"/>
      <c r="M12" s="118"/>
      <c r="N12" s="436"/>
    </row>
    <row r="13" spans="1:28">
      <c r="A13" s="325" t="s">
        <v>931</v>
      </c>
      <c r="B13" s="433"/>
      <c r="C13" s="433"/>
      <c r="D13" s="433"/>
      <c r="E13" s="434"/>
      <c r="F13" s="434"/>
      <c r="G13" s="434"/>
      <c r="H13" s="434"/>
      <c r="I13" s="434"/>
      <c r="J13" s="434"/>
      <c r="K13" s="433"/>
      <c r="L13" s="433"/>
      <c r="M13" s="433"/>
      <c r="N13" s="436"/>
    </row>
    <row r="14" spans="1:28">
      <c r="A14" s="322" t="s">
        <v>924</v>
      </c>
      <c r="B14" s="441">
        <v>4099.88</v>
      </c>
      <c r="C14" s="441">
        <v>4646.26</v>
      </c>
      <c r="D14" s="441">
        <v>3692.1</v>
      </c>
      <c r="E14" s="442">
        <v>4184.4799999999996</v>
      </c>
      <c r="F14" s="442">
        <v>4480.3999999999996</v>
      </c>
      <c r="G14" s="442">
        <v>4955.8100000000004</v>
      </c>
      <c r="H14" s="442">
        <v>4286.2</v>
      </c>
      <c r="I14" s="442">
        <v>4882.12</v>
      </c>
      <c r="J14" s="442">
        <v>4765.1899999999996</v>
      </c>
      <c r="K14" s="441">
        <v>4547.57</v>
      </c>
      <c r="L14" s="441">
        <v>4640.91</v>
      </c>
      <c r="M14" s="441">
        <v>4434.57</v>
      </c>
      <c r="N14" s="443">
        <f>SUM(B14:M14)</f>
        <v>53615.490000000013</v>
      </c>
    </row>
    <row r="15" spans="1:28" s="336" customFormat="1" ht="12.75">
      <c r="A15" s="333" t="s">
        <v>926</v>
      </c>
      <c r="B15" s="434">
        <f>+B10</f>
        <v>157.38</v>
      </c>
      <c r="C15" s="434">
        <f>+C10</f>
        <v>157.38</v>
      </c>
      <c r="D15" s="434">
        <f t="shared" ref="D15:M15" si="1">+D10</f>
        <v>157.38</v>
      </c>
      <c r="E15" s="434">
        <f t="shared" si="1"/>
        <v>164.34</v>
      </c>
      <c r="F15" s="434">
        <f t="shared" si="1"/>
        <v>164.34</v>
      </c>
      <c r="G15" s="434">
        <f t="shared" si="1"/>
        <v>164.34</v>
      </c>
      <c r="H15" s="434">
        <f t="shared" si="1"/>
        <v>164.34</v>
      </c>
      <c r="I15" s="434">
        <f t="shared" si="1"/>
        <v>164.34</v>
      </c>
      <c r="J15" s="434">
        <f t="shared" si="1"/>
        <v>164.34</v>
      </c>
      <c r="K15" s="434">
        <f t="shared" si="1"/>
        <v>164.34</v>
      </c>
      <c r="L15" s="434">
        <f t="shared" si="1"/>
        <v>164.34</v>
      </c>
      <c r="M15" s="434">
        <f t="shared" si="1"/>
        <v>164.34</v>
      </c>
      <c r="N15" s="436"/>
    </row>
    <row r="16" spans="1:28" s="336" customFormat="1">
      <c r="A16" s="333" t="s">
        <v>928</v>
      </c>
      <c r="B16" s="118">
        <f>ROUND(B14*B15,2)</f>
        <v>645239.11</v>
      </c>
      <c r="C16" s="118">
        <f t="shared" ref="C16:M16" si="2">ROUND(C14*C15,2)</f>
        <v>731228.4</v>
      </c>
      <c r="D16" s="118">
        <f t="shared" si="2"/>
        <v>581062.69999999995</v>
      </c>
      <c r="E16" s="437">
        <f t="shared" si="2"/>
        <v>687677.43999999994</v>
      </c>
      <c r="F16" s="437">
        <f t="shared" si="2"/>
        <v>736308.94</v>
      </c>
      <c r="G16" s="437">
        <f t="shared" si="2"/>
        <v>814437.82</v>
      </c>
      <c r="H16" s="437">
        <f t="shared" si="2"/>
        <v>704394.11</v>
      </c>
      <c r="I16" s="437">
        <f t="shared" si="2"/>
        <v>802327.6</v>
      </c>
      <c r="J16" s="437">
        <f t="shared" si="2"/>
        <v>783111.32</v>
      </c>
      <c r="K16" s="118">
        <f t="shared" si="2"/>
        <v>747347.65</v>
      </c>
      <c r="L16" s="118">
        <f t="shared" si="2"/>
        <v>762687.15</v>
      </c>
      <c r="M16" s="118">
        <f t="shared" si="2"/>
        <v>728777.23</v>
      </c>
      <c r="N16" s="435">
        <f>SUM(B16:M16)</f>
        <v>8724599.4700000007</v>
      </c>
    </row>
    <row r="17" spans="1:19">
      <c r="A17" s="322"/>
      <c r="B17" s="118"/>
      <c r="C17" s="118"/>
      <c r="D17" s="118"/>
      <c r="E17" s="437"/>
      <c r="F17" s="437"/>
      <c r="G17" s="437"/>
      <c r="H17" s="437"/>
      <c r="I17" s="437"/>
      <c r="J17" s="437"/>
      <c r="K17" s="118"/>
      <c r="L17" s="118"/>
      <c r="M17" s="118"/>
      <c r="N17" s="436"/>
    </row>
    <row r="18" spans="1:19">
      <c r="A18" s="325" t="s">
        <v>933</v>
      </c>
      <c r="B18" s="433"/>
      <c r="C18" s="433"/>
      <c r="D18" s="433"/>
      <c r="E18" s="434"/>
      <c r="F18" s="434"/>
      <c r="G18" s="434"/>
      <c r="H18" s="434"/>
      <c r="I18" s="434"/>
      <c r="J18" s="434"/>
      <c r="K18" s="433"/>
      <c r="L18" s="433"/>
      <c r="M18" s="433"/>
      <c r="N18" s="436"/>
    </row>
    <row r="19" spans="1:19">
      <c r="A19" s="322" t="s">
        <v>924</v>
      </c>
      <c r="B19" s="441">
        <v>1720.64</v>
      </c>
      <c r="C19" s="441">
        <v>1889.95</v>
      </c>
      <c r="D19" s="441">
        <v>1482.26</v>
      </c>
      <c r="E19" s="442">
        <v>1716.51</v>
      </c>
      <c r="F19" s="442">
        <v>1889.73</v>
      </c>
      <c r="G19" s="442">
        <v>2002.99</v>
      </c>
      <c r="H19" s="442">
        <v>1709.93</v>
      </c>
      <c r="I19" s="442">
        <v>1846.87</v>
      </c>
      <c r="J19" s="442">
        <v>1749.24</v>
      </c>
      <c r="K19" s="441">
        <v>1769.69</v>
      </c>
      <c r="L19" s="441">
        <v>1929.21</v>
      </c>
      <c r="M19" s="441">
        <v>1722.02</v>
      </c>
      <c r="N19" s="443">
        <f>SUM(B19:M19)</f>
        <v>21429.040000000001</v>
      </c>
    </row>
    <row r="20" spans="1:19" s="336" customFormat="1" ht="12.75">
      <c r="A20" s="333" t="s">
        <v>926</v>
      </c>
      <c r="B20" s="434">
        <f>+B10</f>
        <v>157.38</v>
      </c>
      <c r="C20" s="434">
        <f>+C10</f>
        <v>157.38</v>
      </c>
      <c r="D20" s="434">
        <f t="shared" ref="D20:M20" si="3">+D10</f>
        <v>157.38</v>
      </c>
      <c r="E20" s="434">
        <f t="shared" si="3"/>
        <v>164.34</v>
      </c>
      <c r="F20" s="434">
        <f t="shared" si="3"/>
        <v>164.34</v>
      </c>
      <c r="G20" s="434">
        <f t="shared" si="3"/>
        <v>164.34</v>
      </c>
      <c r="H20" s="434">
        <f t="shared" si="3"/>
        <v>164.34</v>
      </c>
      <c r="I20" s="434">
        <f t="shared" si="3"/>
        <v>164.34</v>
      </c>
      <c r="J20" s="434">
        <f t="shared" si="3"/>
        <v>164.34</v>
      </c>
      <c r="K20" s="434">
        <f t="shared" si="3"/>
        <v>164.34</v>
      </c>
      <c r="L20" s="434">
        <f t="shared" si="3"/>
        <v>164.34</v>
      </c>
      <c r="M20" s="434">
        <f t="shared" si="3"/>
        <v>164.34</v>
      </c>
      <c r="N20" s="436"/>
    </row>
    <row r="21" spans="1:19" s="336" customFormat="1">
      <c r="A21" s="333" t="s">
        <v>928</v>
      </c>
      <c r="B21" s="118">
        <f>ROUND(B19*B20,2)</f>
        <v>270794.32</v>
      </c>
      <c r="C21" s="118">
        <f t="shared" ref="C21:M21" si="4">ROUND(C19*C20,2)</f>
        <v>297440.33</v>
      </c>
      <c r="D21" s="118">
        <f t="shared" si="4"/>
        <v>233278.07999999999</v>
      </c>
      <c r="E21" s="437">
        <f t="shared" si="4"/>
        <v>282091.25</v>
      </c>
      <c r="F21" s="437">
        <f t="shared" si="4"/>
        <v>310558.23</v>
      </c>
      <c r="G21" s="437">
        <f t="shared" si="4"/>
        <v>329171.38</v>
      </c>
      <c r="H21" s="437">
        <f t="shared" si="4"/>
        <v>281009.90000000002</v>
      </c>
      <c r="I21" s="437">
        <f t="shared" si="4"/>
        <v>303514.62</v>
      </c>
      <c r="J21" s="437">
        <f t="shared" si="4"/>
        <v>287470.09999999998</v>
      </c>
      <c r="K21" s="118">
        <f t="shared" si="4"/>
        <v>290830.84999999998</v>
      </c>
      <c r="L21" s="118">
        <f t="shared" si="4"/>
        <v>317046.37</v>
      </c>
      <c r="M21" s="118">
        <f t="shared" si="4"/>
        <v>282996.77</v>
      </c>
      <c r="N21" s="435">
        <f>SUM(B21:M21)</f>
        <v>3486202.2</v>
      </c>
    </row>
    <row r="22" spans="1:19">
      <c r="A22" s="322"/>
      <c r="B22" s="433"/>
      <c r="C22" s="433"/>
      <c r="D22" s="433"/>
      <c r="E22" s="434"/>
      <c r="F22" s="434"/>
      <c r="G22" s="434"/>
      <c r="H22" s="434"/>
      <c r="I22" s="434"/>
      <c r="J22" s="434"/>
      <c r="K22" s="433"/>
      <c r="L22" s="433"/>
      <c r="M22" s="433"/>
      <c r="N22" s="436"/>
    </row>
    <row r="23" spans="1:19" s="329" customFormat="1" ht="12.75">
      <c r="A23" s="325" t="s">
        <v>934</v>
      </c>
      <c r="B23" s="438">
        <f>B11+B21+B16</f>
        <v>1132345.94</v>
      </c>
      <c r="C23" s="438">
        <f t="shared" ref="C23:L23" si="5">C11+C21+C16</f>
        <v>1292133.8700000001</v>
      </c>
      <c r="D23" s="438">
        <f t="shared" si="5"/>
        <v>1013873.44</v>
      </c>
      <c r="E23" s="438">
        <f t="shared" si="5"/>
        <v>1223884.3500000001</v>
      </c>
      <c r="F23" s="438">
        <f t="shared" si="5"/>
        <v>1306156.25</v>
      </c>
      <c r="G23" s="438">
        <f t="shared" si="5"/>
        <v>1416392.2399999998</v>
      </c>
      <c r="H23" s="438">
        <f t="shared" si="5"/>
        <v>1238837.6499999999</v>
      </c>
      <c r="I23" s="438">
        <f t="shared" si="5"/>
        <v>1365849.46</v>
      </c>
      <c r="J23" s="438">
        <f t="shared" si="5"/>
        <v>1350958.6099999999</v>
      </c>
      <c r="K23" s="438">
        <f t="shared" si="5"/>
        <v>1304021.46</v>
      </c>
      <c r="L23" s="438">
        <f t="shared" si="5"/>
        <v>1331970.77</v>
      </c>
      <c r="M23" s="438">
        <f>M11+M21+M16</f>
        <v>1244706.23</v>
      </c>
      <c r="N23" s="439">
        <f>SUM(C23:M23)</f>
        <v>14088784.330000002</v>
      </c>
    </row>
    <row r="24" spans="1:19">
      <c r="A24" s="317" t="s">
        <v>938</v>
      </c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20"/>
    </row>
    <row r="25" spans="1:19">
      <c r="A25" s="322" t="s">
        <v>920</v>
      </c>
      <c r="B25" s="345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45"/>
      <c r="N25" s="324"/>
    </row>
    <row r="26" spans="1:19" s="329" customFormat="1" ht="12.75">
      <c r="A26" s="325" t="s">
        <v>922</v>
      </c>
      <c r="B26" s="326">
        <f>B8</f>
        <v>43435</v>
      </c>
      <c r="C26" s="326">
        <f>C8</f>
        <v>43466</v>
      </c>
      <c r="D26" s="326">
        <f t="shared" ref="D26:M26" si="6">D8</f>
        <v>43497</v>
      </c>
      <c r="E26" s="326">
        <f t="shared" si="6"/>
        <v>43525</v>
      </c>
      <c r="F26" s="326">
        <f t="shared" si="6"/>
        <v>43556</v>
      </c>
      <c r="G26" s="326">
        <f t="shared" si="6"/>
        <v>43586</v>
      </c>
      <c r="H26" s="326">
        <f t="shared" si="6"/>
        <v>43617</v>
      </c>
      <c r="I26" s="326">
        <f t="shared" si="6"/>
        <v>43647</v>
      </c>
      <c r="J26" s="326">
        <f t="shared" si="6"/>
        <v>43678</v>
      </c>
      <c r="K26" s="326">
        <f t="shared" si="6"/>
        <v>43709</v>
      </c>
      <c r="L26" s="326">
        <f t="shared" si="6"/>
        <v>43739</v>
      </c>
      <c r="M26" s="326">
        <f t="shared" si="6"/>
        <v>43770</v>
      </c>
      <c r="N26" s="327" t="s">
        <v>923</v>
      </c>
    </row>
    <row r="27" spans="1:19">
      <c r="A27" s="322" t="s">
        <v>924</v>
      </c>
      <c r="B27" s="330">
        <v>107.87</v>
      </c>
      <c r="C27" s="330">
        <v>149.62</v>
      </c>
      <c r="D27" s="330">
        <v>80.569999999999993</v>
      </c>
      <c r="E27" s="331">
        <v>110.57</v>
      </c>
      <c r="F27" s="331">
        <v>159.25</v>
      </c>
      <c r="G27" s="331">
        <v>129.25</v>
      </c>
      <c r="H27" s="331">
        <v>147.80000000000001</v>
      </c>
      <c r="I27" s="331">
        <v>185.29</v>
      </c>
      <c r="J27" s="331">
        <v>186.07</v>
      </c>
      <c r="K27" s="330">
        <v>187</v>
      </c>
      <c r="L27" s="330">
        <v>154.83000000000001</v>
      </c>
      <c r="M27" s="330">
        <v>116.42</v>
      </c>
      <c r="N27" s="435">
        <f>SUM(B27:M27)</f>
        <v>1714.54</v>
      </c>
      <c r="O27" s="321"/>
      <c r="P27" s="329"/>
      <c r="Q27" s="329"/>
      <c r="R27" s="329"/>
      <c r="S27" s="329"/>
    </row>
    <row r="28" spans="1:19" s="336" customFormat="1">
      <c r="A28" s="333" t="s">
        <v>926</v>
      </c>
      <c r="B28" s="334">
        <v>107.83</v>
      </c>
      <c r="C28" s="334">
        <v>107.83</v>
      </c>
      <c r="D28" s="334">
        <v>107.83</v>
      </c>
      <c r="E28" s="334">
        <v>112.64</v>
      </c>
      <c r="F28" s="334">
        <v>112.64</v>
      </c>
      <c r="G28" s="334">
        <v>112.64</v>
      </c>
      <c r="H28" s="334">
        <v>112.64</v>
      </c>
      <c r="I28" s="334">
        <v>112.64</v>
      </c>
      <c r="J28" s="334">
        <v>112.64</v>
      </c>
      <c r="K28" s="334">
        <v>112.64</v>
      </c>
      <c r="L28" s="334">
        <v>112.64</v>
      </c>
      <c r="M28" s="334">
        <v>112.64</v>
      </c>
      <c r="N28" s="335"/>
      <c r="O28" s="321"/>
    </row>
    <row r="29" spans="1:19" s="336" customFormat="1">
      <c r="A29" s="333" t="s">
        <v>928</v>
      </c>
      <c r="B29" s="118">
        <f>ROUND(B27*B28,2)</f>
        <v>11631.62</v>
      </c>
      <c r="C29" s="118">
        <f t="shared" ref="C29:M29" si="7">ROUND(C27*C28,2)</f>
        <v>16133.52</v>
      </c>
      <c r="D29" s="118">
        <f t="shared" si="7"/>
        <v>8687.86</v>
      </c>
      <c r="E29" s="437">
        <f t="shared" si="7"/>
        <v>12454.6</v>
      </c>
      <c r="F29" s="437">
        <f t="shared" si="7"/>
        <v>17937.919999999998</v>
      </c>
      <c r="G29" s="437">
        <f t="shared" si="7"/>
        <v>14558.72</v>
      </c>
      <c r="H29" s="437">
        <f t="shared" si="7"/>
        <v>16648.189999999999</v>
      </c>
      <c r="I29" s="437">
        <f>ROUND(I27*I28,2)</f>
        <v>20871.07</v>
      </c>
      <c r="J29" s="437">
        <f>ROUND(J27*J28,2)</f>
        <v>20958.919999999998</v>
      </c>
      <c r="K29" s="118">
        <f t="shared" si="7"/>
        <v>21063.68</v>
      </c>
      <c r="L29" s="118">
        <f t="shared" si="7"/>
        <v>17440.05</v>
      </c>
      <c r="M29" s="118">
        <f t="shared" si="7"/>
        <v>13113.55</v>
      </c>
      <c r="N29" s="435">
        <f>SUM(B29:M29)</f>
        <v>191499.69999999995</v>
      </c>
      <c r="O29" s="321"/>
    </row>
    <row r="30" spans="1:19">
      <c r="A30" s="322"/>
      <c r="B30" s="340"/>
      <c r="C30" s="341"/>
      <c r="D30" s="341"/>
      <c r="E30" s="342"/>
      <c r="F30" s="342"/>
      <c r="G30" s="342"/>
      <c r="H30" s="342"/>
      <c r="I30" s="342"/>
      <c r="J30" s="342"/>
      <c r="K30" s="341"/>
      <c r="L30" s="341"/>
      <c r="M30" s="341"/>
      <c r="N30" s="343"/>
      <c r="O30" s="321"/>
      <c r="P30" s="315"/>
      <c r="Q30" s="315"/>
      <c r="R30" s="315"/>
      <c r="S30" s="315"/>
    </row>
    <row r="31" spans="1:19">
      <c r="A31" s="325" t="s">
        <v>931</v>
      </c>
      <c r="B31" s="345"/>
      <c r="C31" s="345"/>
      <c r="D31" s="345"/>
      <c r="E31" s="323"/>
      <c r="F31" s="323"/>
      <c r="G31" s="323"/>
      <c r="H31" s="323"/>
      <c r="I31" s="323"/>
      <c r="J31" s="323"/>
      <c r="K31" s="345"/>
      <c r="L31" s="345"/>
      <c r="M31" s="345"/>
      <c r="N31" s="324"/>
      <c r="O31" s="321"/>
      <c r="P31" s="315"/>
      <c r="Q31" s="315"/>
      <c r="R31" s="315"/>
      <c r="S31" s="315"/>
    </row>
    <row r="32" spans="1:19">
      <c r="A32" s="322" t="s">
        <v>924</v>
      </c>
      <c r="B32" s="330">
        <v>593.24</v>
      </c>
      <c r="C32" s="330">
        <v>502.62</v>
      </c>
      <c r="D32" s="330">
        <v>405.71</v>
      </c>
      <c r="E32" s="331">
        <v>448.91</v>
      </c>
      <c r="F32" s="331">
        <v>486.94</v>
      </c>
      <c r="G32" s="331">
        <v>526.39</v>
      </c>
      <c r="H32" s="331">
        <v>470.58</v>
      </c>
      <c r="I32" s="331">
        <v>497.61</v>
      </c>
      <c r="J32" s="331">
        <v>475.32</v>
      </c>
      <c r="K32" s="330">
        <v>434.01</v>
      </c>
      <c r="L32" s="330">
        <v>464.24</v>
      </c>
      <c r="M32" s="330">
        <v>420.67</v>
      </c>
      <c r="N32" s="332">
        <f>SUM(B32:M32)</f>
        <v>5726.24</v>
      </c>
      <c r="O32" s="321"/>
      <c r="P32" s="315"/>
      <c r="Q32" s="315"/>
      <c r="R32" s="315"/>
      <c r="S32" s="315"/>
    </row>
    <row r="33" spans="1:16" s="336" customFormat="1">
      <c r="A33" s="333" t="s">
        <v>926</v>
      </c>
      <c r="B33" s="346">
        <f>+B28</f>
        <v>107.83</v>
      </c>
      <c r="C33" s="346">
        <f>+C28</f>
        <v>107.83</v>
      </c>
      <c r="D33" s="346">
        <f t="shared" ref="D33:M33" si="8">+D28</f>
        <v>107.83</v>
      </c>
      <c r="E33" s="346">
        <f t="shared" si="8"/>
        <v>112.64</v>
      </c>
      <c r="F33" s="346">
        <f t="shared" si="8"/>
        <v>112.64</v>
      </c>
      <c r="G33" s="346">
        <f t="shared" si="8"/>
        <v>112.64</v>
      </c>
      <c r="H33" s="346">
        <f t="shared" si="8"/>
        <v>112.64</v>
      </c>
      <c r="I33" s="346">
        <f t="shared" si="8"/>
        <v>112.64</v>
      </c>
      <c r="J33" s="346">
        <f t="shared" si="8"/>
        <v>112.64</v>
      </c>
      <c r="K33" s="346">
        <f t="shared" si="8"/>
        <v>112.64</v>
      </c>
      <c r="L33" s="346">
        <f t="shared" si="8"/>
        <v>112.64</v>
      </c>
      <c r="M33" s="346">
        <f t="shared" si="8"/>
        <v>112.64</v>
      </c>
      <c r="N33" s="335"/>
      <c r="O33" s="321"/>
    </row>
    <row r="34" spans="1:16" s="336" customFormat="1">
      <c r="A34" s="333" t="s">
        <v>928</v>
      </c>
      <c r="B34" s="118">
        <f>ROUND(B32*B33,2)</f>
        <v>63969.07</v>
      </c>
      <c r="C34" s="118">
        <f t="shared" ref="C34:M34" si="9">ROUND(C32*C33,2)</f>
        <v>54197.51</v>
      </c>
      <c r="D34" s="118">
        <f t="shared" si="9"/>
        <v>43747.71</v>
      </c>
      <c r="E34" s="437">
        <f t="shared" si="9"/>
        <v>50565.22</v>
      </c>
      <c r="F34" s="437">
        <f t="shared" si="9"/>
        <v>54848.92</v>
      </c>
      <c r="G34" s="437">
        <f t="shared" si="9"/>
        <v>59292.57</v>
      </c>
      <c r="H34" s="437">
        <f t="shared" si="9"/>
        <v>53006.13</v>
      </c>
      <c r="I34" s="437">
        <f t="shared" si="9"/>
        <v>56050.79</v>
      </c>
      <c r="J34" s="437">
        <f t="shared" si="9"/>
        <v>53540.04</v>
      </c>
      <c r="K34" s="118">
        <f t="shared" si="9"/>
        <v>48886.89</v>
      </c>
      <c r="L34" s="118">
        <f t="shared" si="9"/>
        <v>52291.99</v>
      </c>
      <c r="M34" s="118">
        <f t="shared" si="9"/>
        <v>47384.27</v>
      </c>
      <c r="N34" s="435">
        <f>SUM(B34:M34)</f>
        <v>637781.11</v>
      </c>
      <c r="O34" s="321"/>
    </row>
    <row r="35" spans="1:16">
      <c r="A35" s="322"/>
      <c r="B35" s="340"/>
      <c r="C35" s="341"/>
      <c r="D35" s="341"/>
      <c r="E35" s="342"/>
      <c r="F35" s="342"/>
      <c r="G35" s="342"/>
      <c r="H35" s="342"/>
      <c r="I35" s="342"/>
      <c r="J35" s="342"/>
      <c r="K35" s="341"/>
      <c r="L35" s="341"/>
      <c r="M35" s="341"/>
      <c r="N35" s="343"/>
      <c r="O35" s="321"/>
      <c r="P35" s="315"/>
    </row>
    <row r="36" spans="1:16">
      <c r="A36" s="325" t="s">
        <v>933</v>
      </c>
      <c r="B36" s="345"/>
      <c r="C36" s="345"/>
      <c r="D36" s="345"/>
      <c r="E36" s="323"/>
      <c r="F36" s="323"/>
      <c r="G36" s="323"/>
      <c r="H36" s="323"/>
      <c r="I36" s="323"/>
      <c r="J36" s="323"/>
      <c r="K36" s="345"/>
      <c r="L36" s="345"/>
      <c r="M36" s="345"/>
      <c r="N36" s="324"/>
      <c r="O36" s="321"/>
      <c r="P36" s="315"/>
    </row>
    <row r="37" spans="1:16">
      <c r="A37" s="322" t="s">
        <v>924</v>
      </c>
      <c r="B37" s="330">
        <v>865.94</v>
      </c>
      <c r="C37" s="330">
        <v>825.47981136974761</v>
      </c>
      <c r="D37" s="330">
        <v>698.65035333395167</v>
      </c>
      <c r="E37" s="331">
        <v>813.94844460227284</v>
      </c>
      <c r="F37" s="331">
        <v>1113.1321768465907</v>
      </c>
      <c r="G37" s="331">
        <v>722.8497017045454</v>
      </c>
      <c r="H37" s="331">
        <v>698.73993963068199</v>
      </c>
      <c r="I37" s="331">
        <v>951.44046519886354</v>
      </c>
      <c r="J37" s="331">
        <v>612.92986860795475</v>
      </c>
      <c r="K37" s="330">
        <v>782.60993963068188</v>
      </c>
      <c r="L37" s="330">
        <v>833.5498508522727</v>
      </c>
      <c r="M37" s="330">
        <v>751.44990607244324</v>
      </c>
      <c r="N37" s="332">
        <f>SUM(B37:M37)</f>
        <v>9670.7204578500059</v>
      </c>
      <c r="O37" s="321"/>
      <c r="P37" s="347"/>
    </row>
    <row r="38" spans="1:16" s="336" customFormat="1">
      <c r="A38" s="333" t="s">
        <v>926</v>
      </c>
      <c r="B38" s="346">
        <f>+B33</f>
        <v>107.83</v>
      </c>
      <c r="C38" s="346">
        <f>+C33</f>
        <v>107.83</v>
      </c>
      <c r="D38" s="346">
        <f t="shared" ref="D38:M38" si="10">+D33</f>
        <v>107.83</v>
      </c>
      <c r="E38" s="346">
        <f t="shared" si="10"/>
        <v>112.64</v>
      </c>
      <c r="F38" s="346">
        <f t="shared" si="10"/>
        <v>112.64</v>
      </c>
      <c r="G38" s="346">
        <f t="shared" si="10"/>
        <v>112.64</v>
      </c>
      <c r="H38" s="346">
        <f t="shared" si="10"/>
        <v>112.64</v>
      </c>
      <c r="I38" s="346">
        <f t="shared" si="10"/>
        <v>112.64</v>
      </c>
      <c r="J38" s="346">
        <f t="shared" si="10"/>
        <v>112.64</v>
      </c>
      <c r="K38" s="346">
        <f t="shared" si="10"/>
        <v>112.64</v>
      </c>
      <c r="L38" s="346">
        <f t="shared" si="10"/>
        <v>112.64</v>
      </c>
      <c r="M38" s="346">
        <f t="shared" si="10"/>
        <v>112.64</v>
      </c>
      <c r="N38" s="335"/>
      <c r="O38" s="321"/>
    </row>
    <row r="39" spans="1:16" s="336" customFormat="1">
      <c r="A39" s="333" t="s">
        <v>928</v>
      </c>
      <c r="B39" s="118">
        <f>ROUND(B37*B38,2)</f>
        <v>93374.31</v>
      </c>
      <c r="C39" s="118">
        <f t="shared" ref="C39:M39" si="11">ROUND(C37*C38,2)</f>
        <v>89011.49</v>
      </c>
      <c r="D39" s="118">
        <f t="shared" si="11"/>
        <v>75335.47</v>
      </c>
      <c r="E39" s="437">
        <f t="shared" si="11"/>
        <v>91683.15</v>
      </c>
      <c r="F39" s="437">
        <f t="shared" si="11"/>
        <v>125383.21</v>
      </c>
      <c r="G39" s="437">
        <f t="shared" si="11"/>
        <v>81421.789999999994</v>
      </c>
      <c r="H39" s="437">
        <f t="shared" si="11"/>
        <v>78706.070000000007</v>
      </c>
      <c r="I39" s="437">
        <f t="shared" si="11"/>
        <v>107170.25</v>
      </c>
      <c r="J39" s="437">
        <f t="shared" si="11"/>
        <v>69040.42</v>
      </c>
      <c r="K39" s="118">
        <f t="shared" si="11"/>
        <v>88153.18</v>
      </c>
      <c r="L39" s="118">
        <f t="shared" si="11"/>
        <v>93891.06</v>
      </c>
      <c r="M39" s="118">
        <f t="shared" si="11"/>
        <v>84643.32</v>
      </c>
      <c r="N39" s="435">
        <f>SUM(B39:M39)</f>
        <v>1077813.7200000002</v>
      </c>
      <c r="O39" s="321"/>
    </row>
    <row r="40" spans="1:16">
      <c r="A40" s="322"/>
      <c r="B40" s="345"/>
      <c r="C40" s="345"/>
      <c r="D40" s="345"/>
      <c r="E40" s="323"/>
      <c r="F40" s="323"/>
      <c r="G40" s="323"/>
      <c r="H40" s="323"/>
      <c r="I40" s="323"/>
      <c r="J40" s="323"/>
      <c r="K40" s="345"/>
      <c r="L40" s="345"/>
      <c r="M40" s="345"/>
      <c r="N40" s="324"/>
      <c r="O40" s="321"/>
      <c r="P40" s="315"/>
    </row>
    <row r="41" spans="1:16" s="329" customFormat="1" ht="12.75">
      <c r="A41" s="325" t="s">
        <v>934</v>
      </c>
      <c r="B41" s="438">
        <f>B29+B39+B34</f>
        <v>168975</v>
      </c>
      <c r="C41" s="438">
        <f t="shared" ref="C41:L41" si="12">C29+C39+C34</f>
        <v>159342.52000000002</v>
      </c>
      <c r="D41" s="438">
        <f t="shared" si="12"/>
        <v>127771.04000000001</v>
      </c>
      <c r="E41" s="438">
        <f t="shared" si="12"/>
        <v>154702.97</v>
      </c>
      <c r="F41" s="438">
        <f t="shared" si="12"/>
        <v>198170.05</v>
      </c>
      <c r="G41" s="438">
        <f t="shared" si="12"/>
        <v>155273.07999999999</v>
      </c>
      <c r="H41" s="438">
        <f t="shared" si="12"/>
        <v>148360.39000000001</v>
      </c>
      <c r="I41" s="438">
        <f t="shared" si="12"/>
        <v>184092.11000000002</v>
      </c>
      <c r="J41" s="438">
        <f t="shared" si="12"/>
        <v>143539.38</v>
      </c>
      <c r="K41" s="438">
        <f t="shared" si="12"/>
        <v>158103.75</v>
      </c>
      <c r="L41" s="438">
        <f t="shared" si="12"/>
        <v>163623.1</v>
      </c>
      <c r="M41" s="438">
        <f>M29+M39+M34</f>
        <v>145141.14000000001</v>
      </c>
      <c r="N41" s="439">
        <f>SUM(C41:M41)</f>
        <v>1738119.5300000003</v>
      </c>
      <c r="O41" s="328"/>
    </row>
    <row r="42" spans="1:16">
      <c r="A42" s="317" t="s">
        <v>941</v>
      </c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20"/>
      <c r="O42" s="321"/>
      <c r="P42" s="315"/>
    </row>
    <row r="43" spans="1:16">
      <c r="A43" s="322" t="s">
        <v>920</v>
      </c>
      <c r="B43" s="345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45"/>
      <c r="N43" s="324"/>
      <c r="O43" s="321"/>
      <c r="P43" s="315"/>
    </row>
    <row r="44" spans="1:16" s="329" customFormat="1" ht="12.75">
      <c r="A44" s="325" t="s">
        <v>922</v>
      </c>
      <c r="B44" s="326">
        <f>B8</f>
        <v>43435</v>
      </c>
      <c r="C44" s="326">
        <f t="shared" ref="C44:M44" si="13">C8</f>
        <v>43466</v>
      </c>
      <c r="D44" s="326">
        <f t="shared" si="13"/>
        <v>43497</v>
      </c>
      <c r="E44" s="326">
        <f t="shared" si="13"/>
        <v>43525</v>
      </c>
      <c r="F44" s="326">
        <f t="shared" si="13"/>
        <v>43556</v>
      </c>
      <c r="G44" s="326">
        <f t="shared" si="13"/>
        <v>43586</v>
      </c>
      <c r="H44" s="326">
        <f t="shared" si="13"/>
        <v>43617</v>
      </c>
      <c r="I44" s="326">
        <f t="shared" si="13"/>
        <v>43647</v>
      </c>
      <c r="J44" s="326">
        <f t="shared" si="13"/>
        <v>43678</v>
      </c>
      <c r="K44" s="326">
        <f t="shared" si="13"/>
        <v>43709</v>
      </c>
      <c r="L44" s="326">
        <f t="shared" si="13"/>
        <v>43739</v>
      </c>
      <c r="M44" s="326">
        <f t="shared" si="13"/>
        <v>43770</v>
      </c>
      <c r="N44" s="327" t="s">
        <v>923</v>
      </c>
      <c r="O44" s="328"/>
    </row>
    <row r="45" spans="1:16">
      <c r="A45" s="322" t="s">
        <v>924</v>
      </c>
      <c r="B45" s="330">
        <v>1158.5999999999999</v>
      </c>
      <c r="C45" s="330">
        <v>1256.2300000000002</v>
      </c>
      <c r="D45" s="330">
        <v>1059.26</v>
      </c>
      <c r="E45" s="331">
        <v>1135.45</v>
      </c>
      <c r="F45" s="331">
        <v>1351.5000000000002</v>
      </c>
      <c r="G45" s="331">
        <v>1296.92</v>
      </c>
      <c r="H45" s="331">
        <v>1203.1399999999999</v>
      </c>
      <c r="I45" s="331">
        <v>1138.5499999999997</v>
      </c>
      <c r="J45" s="331">
        <v>1217.9099999999999</v>
      </c>
      <c r="K45" s="330">
        <v>1209.76</v>
      </c>
      <c r="L45" s="353">
        <v>1270.46</v>
      </c>
      <c r="M45" s="330">
        <v>1137.06</v>
      </c>
      <c r="N45" s="332">
        <f>SUM(B45:M45)</f>
        <v>14434.839999999998</v>
      </c>
      <c r="O45" s="321"/>
      <c r="P45" s="315"/>
    </row>
    <row r="46" spans="1:16" s="336" customFormat="1">
      <c r="A46" s="333" t="s">
        <v>926</v>
      </c>
      <c r="B46" s="346">
        <f>+B10</f>
        <v>157.38</v>
      </c>
      <c r="C46" s="346">
        <f t="shared" ref="C46:M46" si="14">+C10</f>
        <v>157.38</v>
      </c>
      <c r="D46" s="346">
        <f t="shared" si="14"/>
        <v>157.38</v>
      </c>
      <c r="E46" s="346">
        <f t="shared" si="14"/>
        <v>164.34</v>
      </c>
      <c r="F46" s="346">
        <f t="shared" si="14"/>
        <v>164.34</v>
      </c>
      <c r="G46" s="346">
        <f t="shared" si="14"/>
        <v>164.34</v>
      </c>
      <c r="H46" s="346">
        <f t="shared" si="14"/>
        <v>164.34</v>
      </c>
      <c r="I46" s="346">
        <f t="shared" si="14"/>
        <v>164.34</v>
      </c>
      <c r="J46" s="346">
        <f t="shared" si="14"/>
        <v>164.34</v>
      </c>
      <c r="K46" s="346">
        <f t="shared" si="14"/>
        <v>164.34</v>
      </c>
      <c r="L46" s="346">
        <f t="shared" si="14"/>
        <v>164.34</v>
      </c>
      <c r="M46" s="346">
        <f t="shared" si="14"/>
        <v>164.34</v>
      </c>
      <c r="N46" s="335"/>
      <c r="O46" s="321"/>
    </row>
    <row r="47" spans="1:16" s="336" customFormat="1">
      <c r="A47" s="333" t="s">
        <v>928</v>
      </c>
      <c r="B47" s="437">
        <f t="shared" ref="B47:M47" si="15">ROUND(B45*B46,2)</f>
        <v>182340.47</v>
      </c>
      <c r="C47" s="437">
        <f t="shared" si="15"/>
        <v>197705.48</v>
      </c>
      <c r="D47" s="437">
        <f t="shared" si="15"/>
        <v>166706.34</v>
      </c>
      <c r="E47" s="437">
        <f t="shared" si="15"/>
        <v>186599.85</v>
      </c>
      <c r="F47" s="437">
        <f t="shared" si="15"/>
        <v>222105.51</v>
      </c>
      <c r="G47" s="437">
        <f t="shared" si="15"/>
        <v>213135.83</v>
      </c>
      <c r="H47" s="437">
        <f t="shared" si="15"/>
        <v>197724.03</v>
      </c>
      <c r="I47" s="437">
        <f t="shared" si="15"/>
        <v>187109.31</v>
      </c>
      <c r="J47" s="437">
        <f t="shared" si="15"/>
        <v>200151.33</v>
      </c>
      <c r="K47" s="437">
        <f t="shared" si="15"/>
        <v>198811.96</v>
      </c>
      <c r="L47" s="437">
        <f t="shared" si="15"/>
        <v>208787.4</v>
      </c>
      <c r="M47" s="437">
        <f t="shared" si="15"/>
        <v>186864.44</v>
      </c>
      <c r="N47" s="435">
        <f>SUM(B47:M47)</f>
        <v>2348041.9500000002</v>
      </c>
      <c r="O47" s="321"/>
    </row>
    <row r="48" spans="1:16">
      <c r="A48" s="322"/>
      <c r="B48" s="340"/>
      <c r="C48" s="342"/>
      <c r="D48" s="342"/>
      <c r="E48" s="342"/>
      <c r="F48" s="341"/>
      <c r="G48" s="341"/>
      <c r="H48" s="341"/>
      <c r="I48" s="341"/>
      <c r="J48" s="341"/>
      <c r="K48" s="341"/>
      <c r="L48" s="342"/>
      <c r="M48" s="342"/>
      <c r="N48" s="343"/>
      <c r="O48" s="321"/>
      <c r="P48" s="315"/>
    </row>
    <row r="49" spans="1:17">
      <c r="A49" s="325" t="s">
        <v>931</v>
      </c>
      <c r="B49" s="345"/>
      <c r="C49" s="345"/>
      <c r="D49" s="345"/>
      <c r="E49" s="323"/>
      <c r="F49" s="323"/>
      <c r="G49" s="323"/>
      <c r="H49" s="323"/>
      <c r="I49" s="323"/>
      <c r="J49" s="323"/>
      <c r="K49" s="345"/>
      <c r="L49" s="345"/>
      <c r="M49" s="345"/>
      <c r="N49" s="324"/>
      <c r="O49" s="321"/>
      <c r="P49" s="347"/>
      <c r="Q49" s="315"/>
    </row>
    <row r="50" spans="1:17">
      <c r="A50" s="322" t="s">
        <v>924</v>
      </c>
      <c r="B50" s="330">
        <v>1272.98</v>
      </c>
      <c r="C50" s="330">
        <v>1386.46</v>
      </c>
      <c r="D50" s="330">
        <v>1078.82</v>
      </c>
      <c r="E50" s="331">
        <v>1193.05</v>
      </c>
      <c r="F50" s="331">
        <v>1398.12</v>
      </c>
      <c r="G50" s="331">
        <v>1361.99</v>
      </c>
      <c r="H50" s="331">
        <v>1253.1600000000001</v>
      </c>
      <c r="I50" s="331">
        <v>1573.02</v>
      </c>
      <c r="J50" s="331">
        <v>1303.8900000000001</v>
      </c>
      <c r="K50" s="330">
        <v>1286.96</v>
      </c>
      <c r="L50" s="330">
        <v>1418.22</v>
      </c>
      <c r="M50" s="330">
        <v>1191.8</v>
      </c>
      <c r="N50" s="332">
        <f>SUM(B50:M50)</f>
        <v>15718.47</v>
      </c>
      <c r="O50" s="321"/>
      <c r="P50" s="321"/>
      <c r="Q50" s="354"/>
    </row>
    <row r="51" spans="1:17" s="336" customFormat="1">
      <c r="A51" s="333" t="s">
        <v>926</v>
      </c>
      <c r="B51" s="346">
        <f>+B46</f>
        <v>157.38</v>
      </c>
      <c r="C51" s="346">
        <f>+C46</f>
        <v>157.38</v>
      </c>
      <c r="D51" s="346">
        <f t="shared" ref="D51:M51" si="16">+D46</f>
        <v>157.38</v>
      </c>
      <c r="E51" s="346">
        <f t="shared" si="16"/>
        <v>164.34</v>
      </c>
      <c r="F51" s="346">
        <f t="shared" si="16"/>
        <v>164.34</v>
      </c>
      <c r="G51" s="346">
        <f t="shared" si="16"/>
        <v>164.34</v>
      </c>
      <c r="H51" s="346">
        <f t="shared" si="16"/>
        <v>164.34</v>
      </c>
      <c r="I51" s="346">
        <f t="shared" si="16"/>
        <v>164.34</v>
      </c>
      <c r="J51" s="346">
        <f t="shared" si="16"/>
        <v>164.34</v>
      </c>
      <c r="K51" s="346">
        <f t="shared" si="16"/>
        <v>164.34</v>
      </c>
      <c r="L51" s="346">
        <f t="shared" si="16"/>
        <v>164.34</v>
      </c>
      <c r="M51" s="346">
        <f t="shared" si="16"/>
        <v>164.34</v>
      </c>
      <c r="N51" s="335"/>
      <c r="O51" s="321"/>
      <c r="P51" s="321"/>
    </row>
    <row r="52" spans="1:17" s="336" customFormat="1">
      <c r="A52" s="333" t="s">
        <v>928</v>
      </c>
      <c r="B52" s="118">
        <f>ROUND(B50*B51,2)</f>
        <v>200341.59</v>
      </c>
      <c r="C52" s="118">
        <f t="shared" ref="C52:M52" si="17">ROUND(C50*C51,2)</f>
        <v>218201.07</v>
      </c>
      <c r="D52" s="118">
        <f t="shared" si="17"/>
        <v>169784.69</v>
      </c>
      <c r="E52" s="437">
        <f t="shared" si="17"/>
        <v>196065.84</v>
      </c>
      <c r="F52" s="437">
        <f t="shared" si="17"/>
        <v>229767.04000000001</v>
      </c>
      <c r="G52" s="437">
        <f t="shared" si="17"/>
        <v>223829.44</v>
      </c>
      <c r="H52" s="437">
        <f t="shared" si="17"/>
        <v>205944.31</v>
      </c>
      <c r="I52" s="437">
        <f t="shared" si="17"/>
        <v>258510.11</v>
      </c>
      <c r="J52" s="437">
        <f t="shared" si="17"/>
        <v>214281.28</v>
      </c>
      <c r="K52" s="118">
        <f t="shared" si="17"/>
        <v>211499.01</v>
      </c>
      <c r="L52" s="118">
        <f t="shared" si="17"/>
        <v>233070.27</v>
      </c>
      <c r="M52" s="118">
        <f t="shared" si="17"/>
        <v>195860.41</v>
      </c>
      <c r="N52" s="435">
        <f>SUM(B52:M52)</f>
        <v>2557155.0600000005</v>
      </c>
      <c r="O52" s="321"/>
    </row>
    <row r="53" spans="1:17">
      <c r="A53" s="322"/>
      <c r="B53" s="340"/>
      <c r="C53" s="341"/>
      <c r="D53" s="341"/>
      <c r="E53" s="342"/>
      <c r="F53" s="342"/>
      <c r="G53" s="342"/>
      <c r="H53" s="342"/>
      <c r="I53" s="342"/>
      <c r="J53" s="342"/>
      <c r="K53" s="341"/>
      <c r="L53" s="341"/>
      <c r="M53" s="341"/>
      <c r="N53" s="343"/>
      <c r="O53" s="321"/>
      <c r="P53" s="315"/>
      <c r="Q53" s="315"/>
    </row>
    <row r="54" spans="1:17">
      <c r="A54" s="325" t="s">
        <v>933</v>
      </c>
      <c r="B54" s="345"/>
      <c r="C54" s="345"/>
      <c r="D54" s="345"/>
      <c r="E54" s="323"/>
      <c r="F54" s="323"/>
      <c r="G54" s="323"/>
      <c r="H54" s="323"/>
      <c r="I54" s="323"/>
      <c r="J54" s="323"/>
      <c r="K54" s="345"/>
      <c r="L54" s="345"/>
      <c r="M54" s="345"/>
      <c r="N54" s="324"/>
      <c r="O54" s="321"/>
      <c r="P54" s="347"/>
      <c r="Q54" s="315"/>
    </row>
    <row r="55" spans="1:17">
      <c r="A55" s="322" t="s">
        <v>924</v>
      </c>
      <c r="B55" s="330">
        <v>1714.38</v>
      </c>
      <c r="C55" s="330">
        <v>1928.41</v>
      </c>
      <c r="D55" s="330">
        <v>1656.65</v>
      </c>
      <c r="E55" s="331">
        <v>1923.07</v>
      </c>
      <c r="F55" s="331">
        <v>1838.04</v>
      </c>
      <c r="G55" s="331">
        <v>2189.29</v>
      </c>
      <c r="H55" s="331">
        <v>1837.55</v>
      </c>
      <c r="I55" s="331">
        <v>2002.57</v>
      </c>
      <c r="J55" s="331">
        <v>2097.98</v>
      </c>
      <c r="K55" s="330">
        <v>1947.84</v>
      </c>
      <c r="L55" s="330">
        <v>2181.4899999999998</v>
      </c>
      <c r="M55" s="330">
        <v>1945.87</v>
      </c>
      <c r="N55" s="332">
        <f>SUM(B55:M55)</f>
        <v>23263.139999999996</v>
      </c>
      <c r="O55" s="321"/>
      <c r="P55" s="321"/>
      <c r="Q55" s="354"/>
    </row>
    <row r="56" spans="1:17" s="336" customFormat="1">
      <c r="A56" s="333" t="s">
        <v>926</v>
      </c>
      <c r="B56" s="346">
        <f>+B46</f>
        <v>157.38</v>
      </c>
      <c r="C56" s="346">
        <f>+C46</f>
        <v>157.38</v>
      </c>
      <c r="D56" s="346">
        <f t="shared" ref="D56:M56" si="18">+D46</f>
        <v>157.38</v>
      </c>
      <c r="E56" s="346">
        <f t="shared" si="18"/>
        <v>164.34</v>
      </c>
      <c r="F56" s="346">
        <f t="shared" si="18"/>
        <v>164.34</v>
      </c>
      <c r="G56" s="346">
        <f t="shared" si="18"/>
        <v>164.34</v>
      </c>
      <c r="H56" s="346">
        <f t="shared" si="18"/>
        <v>164.34</v>
      </c>
      <c r="I56" s="346">
        <f t="shared" si="18"/>
        <v>164.34</v>
      </c>
      <c r="J56" s="346">
        <f t="shared" si="18"/>
        <v>164.34</v>
      </c>
      <c r="K56" s="346">
        <f t="shared" si="18"/>
        <v>164.34</v>
      </c>
      <c r="L56" s="346">
        <f t="shared" si="18"/>
        <v>164.34</v>
      </c>
      <c r="M56" s="346">
        <f t="shared" si="18"/>
        <v>164.34</v>
      </c>
      <c r="N56" s="335"/>
      <c r="O56" s="321"/>
      <c r="P56" s="321"/>
    </row>
    <row r="57" spans="1:17" s="336" customFormat="1">
      <c r="A57" s="333" t="s">
        <v>928</v>
      </c>
      <c r="B57" s="118">
        <f>ROUND(B55*B56,2)</f>
        <v>269809.12</v>
      </c>
      <c r="C57" s="118">
        <f t="shared" ref="C57:J57" si="19">ROUND(C55*C56,2)</f>
        <v>303493.17</v>
      </c>
      <c r="D57" s="118">
        <f t="shared" si="19"/>
        <v>260723.58</v>
      </c>
      <c r="E57" s="118">
        <f t="shared" si="19"/>
        <v>316037.32</v>
      </c>
      <c r="F57" s="118">
        <f t="shared" si="19"/>
        <v>302063.49</v>
      </c>
      <c r="G57" s="118">
        <f t="shared" si="19"/>
        <v>359787.92</v>
      </c>
      <c r="H57" s="118">
        <f t="shared" si="19"/>
        <v>301982.96999999997</v>
      </c>
      <c r="I57" s="118">
        <f t="shared" si="19"/>
        <v>329102.34999999998</v>
      </c>
      <c r="J57" s="118">
        <f t="shared" si="19"/>
        <v>344782.03</v>
      </c>
      <c r="K57" s="118">
        <f>ROUND(K55*K56,2)</f>
        <v>320108.03000000003</v>
      </c>
      <c r="L57" s="118">
        <f>ROUND(L55*L56,2)</f>
        <v>358506.07</v>
      </c>
      <c r="M57" s="118">
        <f>ROUND(M55*M56,2)</f>
        <v>319784.28000000003</v>
      </c>
      <c r="N57" s="435">
        <f>SUM(B57:M57)</f>
        <v>3786180.33</v>
      </c>
      <c r="O57" s="321"/>
      <c r="P57" s="355"/>
    </row>
    <row r="58" spans="1:17">
      <c r="A58" s="322"/>
      <c r="B58" s="345"/>
      <c r="C58" s="345"/>
      <c r="D58" s="345"/>
      <c r="E58" s="323"/>
      <c r="F58" s="323"/>
      <c r="G58" s="323"/>
      <c r="H58" s="323"/>
      <c r="I58" s="323"/>
      <c r="J58" s="323"/>
      <c r="K58" s="345"/>
      <c r="L58" s="345"/>
      <c r="M58" s="345"/>
      <c r="N58" s="324"/>
      <c r="O58" s="321"/>
      <c r="P58" s="315"/>
      <c r="Q58" s="315"/>
    </row>
    <row r="59" spans="1:17" s="329" customFormat="1" ht="12.75">
      <c r="A59" s="325" t="s">
        <v>934</v>
      </c>
      <c r="B59" s="438">
        <f>B47+B57+B52</f>
        <v>652491.17999999993</v>
      </c>
      <c r="C59" s="438">
        <f t="shared" ref="C59:L59" si="20">C47+C57+C52</f>
        <v>719399.72</v>
      </c>
      <c r="D59" s="438">
        <f t="shared" si="20"/>
        <v>597214.61</v>
      </c>
      <c r="E59" s="438">
        <f t="shared" si="20"/>
        <v>698703.01</v>
      </c>
      <c r="F59" s="438">
        <f t="shared" si="20"/>
        <v>753936.04</v>
      </c>
      <c r="G59" s="438">
        <f t="shared" si="20"/>
        <v>796753.19</v>
      </c>
      <c r="H59" s="438">
        <f t="shared" si="20"/>
        <v>705651.31</v>
      </c>
      <c r="I59" s="438">
        <f t="shared" si="20"/>
        <v>774721.77</v>
      </c>
      <c r="J59" s="438">
        <f t="shared" si="20"/>
        <v>759214.64</v>
      </c>
      <c r="K59" s="438">
        <f t="shared" si="20"/>
        <v>730419</v>
      </c>
      <c r="L59" s="438">
        <f t="shared" si="20"/>
        <v>800363.74</v>
      </c>
      <c r="M59" s="438">
        <f>M47+M57+M52</f>
        <v>702509.13</v>
      </c>
      <c r="N59" s="439">
        <f>SUM(C59:M59)</f>
        <v>8038886.1600000001</v>
      </c>
      <c r="O59" s="328"/>
    </row>
    <row r="60" spans="1:17">
      <c r="A60" s="356"/>
      <c r="B60" s="319"/>
      <c r="C60" s="319"/>
      <c r="D60" s="319"/>
      <c r="E60" s="319"/>
      <c r="F60" s="319"/>
      <c r="G60" s="319"/>
      <c r="H60" s="319"/>
      <c r="I60" s="319"/>
      <c r="J60" s="319"/>
      <c r="K60" s="319"/>
      <c r="L60" s="319"/>
      <c r="M60" s="319"/>
      <c r="N60" s="320"/>
      <c r="O60" s="321"/>
      <c r="P60" s="315"/>
      <c r="Q60" s="315"/>
    </row>
    <row r="61" spans="1:17">
      <c r="A61" s="322" t="s">
        <v>942</v>
      </c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4"/>
      <c r="O61" s="321"/>
      <c r="P61" s="315"/>
      <c r="Q61" s="315"/>
    </row>
    <row r="62" spans="1:17">
      <c r="A62" s="322" t="s">
        <v>924</v>
      </c>
      <c r="B62" s="330">
        <v>51.7</v>
      </c>
      <c r="C62" s="323">
        <v>98.94</v>
      </c>
      <c r="D62" s="323">
        <v>58.18</v>
      </c>
      <c r="E62" s="323">
        <v>75.36</v>
      </c>
      <c r="F62" s="345">
        <v>77.42</v>
      </c>
      <c r="G62" s="345">
        <v>70.34</v>
      </c>
      <c r="H62" s="345">
        <v>23.04</v>
      </c>
      <c r="I62" s="345">
        <v>79.44</v>
      </c>
      <c r="J62" s="331">
        <v>120.01</v>
      </c>
      <c r="K62" s="331">
        <v>57.3</v>
      </c>
      <c r="L62" s="331">
        <v>80.44</v>
      </c>
      <c r="M62" s="331">
        <v>45.93</v>
      </c>
      <c r="N62" s="332">
        <f>SUM(B62:M62)</f>
        <v>838.1</v>
      </c>
      <c r="O62" s="321"/>
      <c r="P62" s="315"/>
      <c r="Q62" s="315"/>
    </row>
    <row r="63" spans="1:17">
      <c r="A63" s="333" t="s">
        <v>926</v>
      </c>
      <c r="B63" s="357">
        <v>20</v>
      </c>
      <c r="C63" s="346">
        <v>20</v>
      </c>
      <c r="D63" s="346">
        <v>20</v>
      </c>
      <c r="E63" s="346">
        <v>20</v>
      </c>
      <c r="F63" s="346">
        <v>20</v>
      </c>
      <c r="G63" s="346">
        <v>20</v>
      </c>
      <c r="H63" s="346">
        <v>40</v>
      </c>
      <c r="I63" s="346">
        <v>40</v>
      </c>
      <c r="J63" s="346">
        <v>40</v>
      </c>
      <c r="K63" s="346">
        <v>40</v>
      </c>
      <c r="L63" s="346">
        <v>40</v>
      </c>
      <c r="M63" s="346">
        <v>40</v>
      </c>
      <c r="N63" s="324"/>
      <c r="O63" s="321"/>
      <c r="P63" s="315"/>
      <c r="Q63" s="315"/>
    </row>
    <row r="64" spans="1:17">
      <c r="A64" s="333" t="s">
        <v>928</v>
      </c>
      <c r="B64" s="118">
        <f>ROUND(B62*B63,2)</f>
        <v>1034</v>
      </c>
      <c r="C64" s="118">
        <f t="shared" ref="C64:I64" si="21">ROUND(C62*C63,2)</f>
        <v>1978.8</v>
      </c>
      <c r="D64" s="118">
        <f t="shared" si="21"/>
        <v>1163.5999999999999</v>
      </c>
      <c r="E64" s="118">
        <f t="shared" si="21"/>
        <v>1507.2</v>
      </c>
      <c r="F64" s="118">
        <f t="shared" si="21"/>
        <v>1548.4</v>
      </c>
      <c r="G64" s="118">
        <f t="shared" si="21"/>
        <v>1406.8</v>
      </c>
      <c r="H64" s="118">
        <f t="shared" si="21"/>
        <v>921.6</v>
      </c>
      <c r="I64" s="118">
        <f t="shared" si="21"/>
        <v>3177.6</v>
      </c>
      <c r="J64" s="118">
        <f>ROUND(J62*J63,2)</f>
        <v>4800.3999999999996</v>
      </c>
      <c r="K64" s="118">
        <f>ROUND(K62*K63,2)</f>
        <v>2292</v>
      </c>
      <c r="L64" s="118">
        <f>ROUND(L62*L63,2)</f>
        <v>3217.6</v>
      </c>
      <c r="M64" s="118">
        <f>ROUND(M62*M63,2)</f>
        <v>1837.2</v>
      </c>
      <c r="N64" s="435">
        <f>SUM(B64:M64)</f>
        <v>24885.200000000001</v>
      </c>
      <c r="O64" s="321"/>
      <c r="P64" s="315"/>
      <c r="Q64" s="315"/>
    </row>
    <row r="65" spans="1:19">
      <c r="A65" s="358"/>
      <c r="B65" s="359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60"/>
      <c r="O65" s="321"/>
      <c r="P65" s="315"/>
      <c r="Q65" s="315"/>
      <c r="R65" s="315"/>
      <c r="S65" s="315"/>
    </row>
    <row r="66" spans="1:19">
      <c r="A66" s="356"/>
      <c r="B66" s="319"/>
      <c r="C66" s="319"/>
      <c r="D66" s="319"/>
      <c r="E66" s="319"/>
      <c r="F66" s="319"/>
      <c r="G66" s="319"/>
      <c r="H66" s="319"/>
      <c r="I66" s="319"/>
      <c r="J66" s="319"/>
      <c r="K66" s="319"/>
      <c r="L66" s="319"/>
      <c r="M66" s="319"/>
      <c r="N66" s="320"/>
      <c r="O66" s="321"/>
      <c r="P66" s="315"/>
      <c r="Q66" s="315"/>
      <c r="R66" s="315"/>
      <c r="S66" s="315"/>
    </row>
    <row r="67" spans="1:19">
      <c r="A67" s="322" t="s">
        <v>943</v>
      </c>
      <c r="B67" s="323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323"/>
      <c r="N67" s="324"/>
      <c r="O67" s="321"/>
      <c r="P67" s="315"/>
      <c r="Q67" s="315"/>
      <c r="R67" s="315"/>
      <c r="S67" s="315"/>
    </row>
    <row r="68" spans="1:19">
      <c r="A68" s="322" t="s">
        <v>924</v>
      </c>
      <c r="B68" s="330">
        <v>19.36</v>
      </c>
      <c r="C68" s="323">
        <v>38.56</v>
      </c>
      <c r="D68" s="323">
        <v>8.68</v>
      </c>
      <c r="E68" s="323">
        <v>19.55</v>
      </c>
      <c r="F68" s="345">
        <v>28.21</v>
      </c>
      <c r="G68" s="345">
        <v>38.950000000000003</v>
      </c>
      <c r="H68" s="345">
        <v>0</v>
      </c>
      <c r="I68" s="323"/>
      <c r="J68" s="331"/>
      <c r="K68" s="331"/>
      <c r="L68" s="331"/>
      <c r="M68" s="331"/>
      <c r="N68" s="332">
        <f>SUM(B68:M68)</f>
        <v>153.31</v>
      </c>
      <c r="O68" s="321"/>
      <c r="P68" s="315"/>
      <c r="Q68" s="315"/>
      <c r="R68" s="315"/>
      <c r="S68" s="315"/>
    </row>
    <row r="69" spans="1:19">
      <c r="A69" s="333" t="s">
        <v>926</v>
      </c>
      <c r="B69" s="357">
        <v>54.6</v>
      </c>
      <c r="C69" s="346">
        <f>2297.33/38.56</f>
        <v>59.578060165975096</v>
      </c>
      <c r="D69" s="346">
        <v>58.7</v>
      </c>
      <c r="E69" s="346">
        <v>60.13</v>
      </c>
      <c r="F69" s="346">
        <v>58.797199999999997</v>
      </c>
      <c r="G69" s="346">
        <v>93.575900000000004</v>
      </c>
      <c r="H69" s="346">
        <v>58.7</v>
      </c>
      <c r="I69" s="346">
        <v>58.7</v>
      </c>
      <c r="J69" s="346">
        <v>58.7</v>
      </c>
      <c r="K69" s="346">
        <v>58.7</v>
      </c>
      <c r="L69" s="346">
        <v>58.7</v>
      </c>
      <c r="M69" s="346">
        <v>58.7</v>
      </c>
      <c r="N69" s="324"/>
      <c r="O69" s="321"/>
      <c r="P69" s="315"/>
      <c r="Q69" s="315"/>
      <c r="R69" s="315"/>
      <c r="S69" s="315"/>
    </row>
    <row r="70" spans="1:19">
      <c r="A70" s="333" t="s">
        <v>928</v>
      </c>
      <c r="B70" s="448">
        <f>ROUND(B68*B69,2)</f>
        <v>1057.06</v>
      </c>
      <c r="C70" s="449">
        <f t="shared" ref="C70:I70" si="22">ROUND(C68*C69,2)</f>
        <v>2297.33</v>
      </c>
      <c r="D70" s="449">
        <f t="shared" si="22"/>
        <v>509.52</v>
      </c>
      <c r="E70" s="449">
        <f t="shared" si="22"/>
        <v>1175.54</v>
      </c>
      <c r="F70" s="449">
        <f t="shared" si="22"/>
        <v>1658.67</v>
      </c>
      <c r="G70" s="449">
        <f t="shared" si="22"/>
        <v>3644.78</v>
      </c>
      <c r="H70" s="449">
        <f t="shared" si="22"/>
        <v>0</v>
      </c>
      <c r="I70" s="449">
        <f t="shared" si="22"/>
        <v>0</v>
      </c>
      <c r="J70" s="449">
        <f>ROUND(J68*J69,2)</f>
        <v>0</v>
      </c>
      <c r="K70" s="449">
        <f>ROUND(K68*K69,2)</f>
        <v>0</v>
      </c>
      <c r="L70" s="449">
        <f>ROUND(L68*L69,2)</f>
        <v>0</v>
      </c>
      <c r="M70" s="449">
        <f>ROUND(M68*M69,2)</f>
        <v>0</v>
      </c>
      <c r="N70" s="450">
        <f>SUM(B70:M70)</f>
        <v>10342.9</v>
      </c>
      <c r="O70" s="321"/>
      <c r="P70" s="315"/>
      <c r="Q70" s="315"/>
      <c r="R70" s="315"/>
      <c r="S70" s="315"/>
    </row>
    <row r="71" spans="1:19">
      <c r="A71" s="358"/>
      <c r="B71" s="359"/>
      <c r="C71" s="359"/>
      <c r="D71" s="359"/>
      <c r="E71" s="359"/>
      <c r="F71" s="359"/>
      <c r="G71" s="359"/>
      <c r="H71" s="359"/>
      <c r="I71" s="359"/>
      <c r="J71" s="359"/>
      <c r="K71" s="359"/>
      <c r="L71" s="359"/>
      <c r="M71" s="359"/>
      <c r="N71" s="360"/>
      <c r="O71" s="321"/>
      <c r="P71" s="315"/>
      <c r="Q71" s="315"/>
      <c r="R71" s="315"/>
      <c r="S71" s="315"/>
    </row>
    <row r="72" spans="1:19" s="336" customFormat="1">
      <c r="A72" s="361" t="s">
        <v>944</v>
      </c>
      <c r="B72" s="444">
        <f>+B23+B59</f>
        <v>1784837.1199999999</v>
      </c>
      <c r="C72" s="444">
        <f t="shared" ref="C72:M72" si="23">+C23+C59</f>
        <v>2011533.59</v>
      </c>
      <c r="D72" s="444">
        <f t="shared" si="23"/>
        <v>1611088.0499999998</v>
      </c>
      <c r="E72" s="444">
        <f t="shared" si="23"/>
        <v>1922587.36</v>
      </c>
      <c r="F72" s="444">
        <f t="shared" si="23"/>
        <v>2060092.29</v>
      </c>
      <c r="G72" s="444">
        <f t="shared" si="23"/>
        <v>2213145.4299999997</v>
      </c>
      <c r="H72" s="444">
        <f t="shared" si="23"/>
        <v>1944488.96</v>
      </c>
      <c r="I72" s="444">
        <f t="shared" si="23"/>
        <v>2140571.23</v>
      </c>
      <c r="J72" s="444">
        <f t="shared" si="23"/>
        <v>2110173.25</v>
      </c>
      <c r="K72" s="444">
        <f t="shared" si="23"/>
        <v>2034440.46</v>
      </c>
      <c r="L72" s="444">
        <f t="shared" si="23"/>
        <v>2132334.5099999998</v>
      </c>
      <c r="M72" s="444">
        <f t="shared" si="23"/>
        <v>1947215.3599999999</v>
      </c>
      <c r="N72" s="445">
        <f>SUM(B72:M72)</f>
        <v>23912507.609999999</v>
      </c>
      <c r="O72" s="321"/>
    </row>
    <row r="73" spans="1:19" s="336" customFormat="1">
      <c r="A73" s="361" t="s">
        <v>945</v>
      </c>
      <c r="B73" s="362">
        <f>-_xll.NGL(_xll.BSpec(40109,2180,"*","01"),B$7,"",$B$6,"Actual")</f>
        <v>0</v>
      </c>
      <c r="C73" s="362">
        <f>-_xll.NGL(_xll.BSpec(40109,2180,"*","01"),C$7,"",$C$6,"Actual")</f>
        <v>0</v>
      </c>
      <c r="D73" s="362">
        <f>-_xll.NGL(_xll.BSpec(40109,2180,"*","01"),D$7,"",$C$6,"Actual")</f>
        <v>0</v>
      </c>
      <c r="E73" s="362">
        <f>-_xll.NGL(_xll.BSpec(40109,2180,"*","01"),E$7,"",$C$6,"Actual")</f>
        <v>0</v>
      </c>
      <c r="F73" s="362">
        <f>-_xll.NGL(_xll.BSpec(40109,2180,"*","01"),F$7,"",$C$6,"Actual")</f>
        <v>0</v>
      </c>
      <c r="G73" s="362">
        <f>-_xll.NGL(_xll.BSpec(40109,2180,"*","01"),G$7,"",$C$6,"Actual")</f>
        <v>0</v>
      </c>
      <c r="H73" s="362">
        <f>-_xll.NGL(_xll.BSpec(40109,2180,"*","01"),H$7,"",$C$6,"Actual")</f>
        <v>0</v>
      </c>
      <c r="I73" s="362">
        <f>-_xll.NGL(_xll.BSpec(40109,2180,"*","01"),I$7,"",$C$6,"Actual")</f>
        <v>0</v>
      </c>
      <c r="J73" s="362">
        <f>-_xll.NGL(_xll.BSpec(40109,2180,"*","01"),J$7,"",$C$6,"Actual")</f>
        <v>0</v>
      </c>
      <c r="K73" s="362">
        <f>-_xll.NGL(_xll.BSpec(40109,2180,"*","01"),K$7,"",$C$6,"Actual")</f>
        <v>0</v>
      </c>
      <c r="L73" s="362">
        <f>-_xll.NGL(_xll.BSpec(40109,2180,"*","01"),L$7,"",$C$6,"Actual")</f>
        <v>0</v>
      </c>
      <c r="M73" s="362">
        <f>-_xll.NGL(_xll.BSpec(40109,2180,"*","01"),M$7,"",$C$6,"Actual")</f>
        <v>0</v>
      </c>
      <c r="N73" s="363">
        <f>SUM(B73:M73)</f>
        <v>0</v>
      </c>
      <c r="O73" s="321"/>
      <c r="P73" s="364"/>
    </row>
    <row r="74" spans="1:19" s="336" customFormat="1">
      <c r="A74" s="333" t="s">
        <v>946</v>
      </c>
      <c r="B74" s="365">
        <f>B72-B73</f>
        <v>1784837.1199999999</v>
      </c>
      <c r="C74" s="342">
        <f>C72-C73</f>
        <v>2011533.59</v>
      </c>
      <c r="D74" s="342">
        <f>D72-D73</f>
        <v>1611088.0499999998</v>
      </c>
      <c r="E74" s="342">
        <f t="shared" ref="E74:M74" si="24">E72-E73</f>
        <v>1922587.36</v>
      </c>
      <c r="F74" s="342">
        <f t="shared" si="24"/>
        <v>2060092.29</v>
      </c>
      <c r="G74" s="342">
        <f t="shared" si="24"/>
        <v>2213145.4299999997</v>
      </c>
      <c r="H74" s="342">
        <f t="shared" si="24"/>
        <v>1944488.96</v>
      </c>
      <c r="I74" s="342">
        <f t="shared" si="24"/>
        <v>2140571.23</v>
      </c>
      <c r="J74" s="342">
        <f t="shared" si="24"/>
        <v>2110173.25</v>
      </c>
      <c r="K74" s="342">
        <f t="shared" si="24"/>
        <v>2034440.46</v>
      </c>
      <c r="L74" s="342">
        <f t="shared" si="24"/>
        <v>2132334.5099999998</v>
      </c>
      <c r="M74" s="342">
        <f t="shared" si="24"/>
        <v>1947215.3599999999</v>
      </c>
      <c r="N74" s="446">
        <f>SUM(B74:M74)</f>
        <v>23912507.609999999</v>
      </c>
      <c r="O74" s="321"/>
      <c r="P74" s="364"/>
    </row>
    <row r="75" spans="1:19">
      <c r="A75" s="322"/>
      <c r="B75" s="323"/>
      <c r="C75" s="323"/>
      <c r="D75" s="323"/>
      <c r="E75" s="367"/>
      <c r="F75" s="323"/>
      <c r="G75" s="323"/>
      <c r="H75" s="323"/>
      <c r="I75" s="323"/>
      <c r="J75" s="362"/>
      <c r="K75" s="346"/>
      <c r="L75" s="346"/>
      <c r="M75" s="323"/>
      <c r="N75" s="446"/>
      <c r="O75" s="321"/>
      <c r="P75" s="364"/>
      <c r="Q75" s="315"/>
      <c r="R75" s="336"/>
      <c r="S75" s="336"/>
    </row>
    <row r="76" spans="1:19">
      <c r="A76" s="322"/>
      <c r="B76" s="323"/>
      <c r="C76" s="323"/>
      <c r="D76" s="323"/>
      <c r="E76" s="367"/>
      <c r="F76" s="323"/>
      <c r="G76" s="323"/>
      <c r="H76" s="323"/>
      <c r="I76" s="323"/>
      <c r="J76" s="362"/>
      <c r="K76" s="346"/>
      <c r="L76" s="346"/>
      <c r="M76" s="323"/>
      <c r="N76" s="446"/>
      <c r="O76" s="321"/>
      <c r="P76" s="364"/>
      <c r="Q76" s="315"/>
      <c r="R76" s="336"/>
      <c r="S76" s="336"/>
    </row>
    <row r="77" spans="1:19">
      <c r="A77" s="361" t="s">
        <v>947</v>
      </c>
      <c r="B77" s="368">
        <f>+B41</f>
        <v>168975</v>
      </c>
      <c r="C77" s="369">
        <f t="shared" ref="C77:M77" si="25">+C41</f>
        <v>159342.52000000002</v>
      </c>
      <c r="D77" s="369">
        <f t="shared" si="25"/>
        <v>127771.04000000001</v>
      </c>
      <c r="E77" s="369">
        <f t="shared" si="25"/>
        <v>154702.97</v>
      </c>
      <c r="F77" s="369">
        <f>+F41</f>
        <v>198170.05</v>
      </c>
      <c r="G77" s="369">
        <f t="shared" si="25"/>
        <v>155273.07999999999</v>
      </c>
      <c r="H77" s="369">
        <f t="shared" si="25"/>
        <v>148360.39000000001</v>
      </c>
      <c r="I77" s="369">
        <f t="shared" si="25"/>
        <v>184092.11000000002</v>
      </c>
      <c r="J77" s="369">
        <f t="shared" si="25"/>
        <v>143539.38</v>
      </c>
      <c r="K77" s="369">
        <f t="shared" si="25"/>
        <v>158103.75</v>
      </c>
      <c r="L77" s="369">
        <f t="shared" si="25"/>
        <v>163623.1</v>
      </c>
      <c r="M77" s="369">
        <f t="shared" si="25"/>
        <v>145141.14000000001</v>
      </c>
      <c r="N77" s="447">
        <f>SUM(B77:M77)</f>
        <v>1907094.5300000003</v>
      </c>
      <c r="O77" s="321"/>
      <c r="P77" s="364"/>
      <c r="Q77" s="315"/>
      <c r="R77" s="336"/>
      <c r="S77" s="336"/>
    </row>
    <row r="78" spans="1:19">
      <c r="A78" s="361" t="s">
        <v>945</v>
      </c>
      <c r="B78" s="362">
        <f>-_xll.NGL(_xll.BSpec(40109,2180,"*","02"),B$7,"",$B$6,"Actual")</f>
        <v>0</v>
      </c>
      <c r="C78" s="362">
        <f>-_xll.NGL(_xll.BSpec(40109,2180,"*","02"),C$7,"",$C$6,"Actual")</f>
        <v>0</v>
      </c>
      <c r="D78" s="362">
        <f>-_xll.NGL(_xll.BSpec(40109,2180,"*","02"),D$7,"",$C$6,"Actual")</f>
        <v>0</v>
      </c>
      <c r="E78" s="362">
        <f>-_xll.NGL(_xll.BSpec(40109,2180,"*","02"),E$7,"",$C$6,"Actual")</f>
        <v>0</v>
      </c>
      <c r="F78" s="362">
        <f>-_xll.NGL(_xll.BSpec(40109,2180,"*","02"),F$7,"",$C$6,"Actual")</f>
        <v>0</v>
      </c>
      <c r="G78" s="362">
        <f>-_xll.NGL(_xll.BSpec(40109,2180,"*","02"),G$7,"",$C$6,"Actual")</f>
        <v>0</v>
      </c>
      <c r="H78" s="362">
        <f>-_xll.NGL(_xll.BSpec(40109,2180,"*","02"),H$7,"",$C$6,"Actual")</f>
        <v>0</v>
      </c>
      <c r="I78" s="362">
        <f>-_xll.NGL(_xll.BSpec(40109,2180,"*","02"),I$7,"",$C$6,"Actual")</f>
        <v>0</v>
      </c>
      <c r="J78" s="362">
        <f>-_xll.NGL(_xll.BSpec(40109,2180,"*","02"),J$7,"",$C$6,"Actual")</f>
        <v>0</v>
      </c>
      <c r="K78" s="362">
        <f>-_xll.NGL(_xll.BSpec(40109,2180,"*","02"),K$7,"",$C$6,"Actual")</f>
        <v>0</v>
      </c>
      <c r="L78" s="362">
        <f>-_xll.NGL(_xll.BSpec(40109,2180,"*","02"),L$7,"",$C$6,"Actual")</f>
        <v>0</v>
      </c>
      <c r="M78" s="362">
        <f>-_xll.NGL(_xll.BSpec(40109,2180,"*","02"),M$7,"",$C$6,"Actual")</f>
        <v>0</v>
      </c>
      <c r="N78" s="447">
        <f>SUM(B78:M78)</f>
        <v>0</v>
      </c>
      <c r="O78" s="321"/>
      <c r="P78" s="364"/>
      <c r="Q78" s="315"/>
      <c r="R78" s="336"/>
      <c r="S78" s="336"/>
    </row>
    <row r="79" spans="1:19">
      <c r="A79" s="333" t="s">
        <v>946</v>
      </c>
      <c r="B79" s="365">
        <f>B77-B78</f>
        <v>168975</v>
      </c>
      <c r="C79" s="342">
        <f>C77-C78</f>
        <v>159342.52000000002</v>
      </c>
      <c r="D79" s="342">
        <f>D77-D78</f>
        <v>127771.04000000001</v>
      </c>
      <c r="E79" s="342">
        <f t="shared" ref="E79:M79" si="26">E77-E78</f>
        <v>154702.97</v>
      </c>
      <c r="F79" s="342">
        <f t="shared" si="26"/>
        <v>198170.05</v>
      </c>
      <c r="G79" s="342">
        <f t="shared" si="26"/>
        <v>155273.07999999999</v>
      </c>
      <c r="H79" s="342">
        <f t="shared" si="26"/>
        <v>148360.39000000001</v>
      </c>
      <c r="I79" s="342">
        <f t="shared" si="26"/>
        <v>184092.11000000002</v>
      </c>
      <c r="J79" s="342">
        <f t="shared" si="26"/>
        <v>143539.38</v>
      </c>
      <c r="K79" s="342">
        <f t="shared" si="26"/>
        <v>158103.75</v>
      </c>
      <c r="L79" s="342">
        <f t="shared" si="26"/>
        <v>163623.1</v>
      </c>
      <c r="M79" s="342">
        <f t="shared" si="26"/>
        <v>145141.14000000001</v>
      </c>
      <c r="N79" s="447">
        <f>SUM(B79:M79)</f>
        <v>1907094.5300000003</v>
      </c>
      <c r="O79" s="321"/>
      <c r="P79" s="364"/>
      <c r="Q79" s="315"/>
      <c r="R79" s="336"/>
      <c r="S79" s="336"/>
    </row>
    <row r="80" spans="1:19">
      <c r="A80" s="322"/>
      <c r="B80" s="323"/>
      <c r="C80" s="323"/>
      <c r="D80" s="323"/>
      <c r="E80" s="367"/>
      <c r="F80" s="323"/>
      <c r="G80" s="323"/>
      <c r="H80" s="323"/>
      <c r="I80" s="323"/>
      <c r="J80" s="362"/>
      <c r="K80" s="346"/>
      <c r="L80" s="346"/>
      <c r="M80" s="323"/>
      <c r="N80" s="446"/>
      <c r="O80" s="321"/>
      <c r="P80" s="364"/>
      <c r="Q80" s="315"/>
      <c r="R80" s="336"/>
      <c r="S80" s="336"/>
    </row>
    <row r="81" spans="1:19" s="370" customFormat="1">
      <c r="A81" s="361" t="s">
        <v>948</v>
      </c>
      <c r="B81" s="370">
        <f>+B64+B70</f>
        <v>2091.06</v>
      </c>
      <c r="C81" s="370">
        <f>+C64+C70</f>
        <v>4276.13</v>
      </c>
      <c r="D81" s="370">
        <f t="shared" ref="D81:M81" si="27">+D64+D70</f>
        <v>1673.12</v>
      </c>
      <c r="E81" s="370">
        <f t="shared" si="27"/>
        <v>2682.74</v>
      </c>
      <c r="F81" s="370">
        <f t="shared" si="27"/>
        <v>3207.07</v>
      </c>
      <c r="G81" s="370">
        <f t="shared" si="27"/>
        <v>5051.58</v>
      </c>
      <c r="H81" s="370">
        <f t="shared" si="27"/>
        <v>921.6</v>
      </c>
      <c r="I81" s="370">
        <f t="shared" si="27"/>
        <v>3177.6</v>
      </c>
      <c r="J81" s="370">
        <f t="shared" si="27"/>
        <v>4800.3999999999996</v>
      </c>
      <c r="K81" s="370">
        <f t="shared" si="27"/>
        <v>2292</v>
      </c>
      <c r="L81" s="370">
        <f t="shared" si="27"/>
        <v>3217.6</v>
      </c>
      <c r="M81" s="370">
        <f t="shared" si="27"/>
        <v>1837.2</v>
      </c>
      <c r="N81" s="447"/>
      <c r="O81" s="328"/>
      <c r="P81" s="364"/>
      <c r="R81" s="336"/>
      <c r="S81" s="336"/>
    </row>
    <row r="82" spans="1:19" s="336" customFormat="1">
      <c r="A82" s="361" t="s">
        <v>945</v>
      </c>
      <c r="B82" s="362">
        <f>-_xll.NGL(_xll.BSpec(40109,2180,"*","04"),B$7,"",$B$6,"Actual")</f>
        <v>0</v>
      </c>
      <c r="C82" s="362">
        <f>-_xll.NGL(_xll.BSpec(40109,2180,"*","04"),C$7,"",$C$6,"Actual")</f>
        <v>0</v>
      </c>
      <c r="D82" s="362">
        <f>-_xll.NGL(_xll.BSpec(40109,2180,"*","04"),D$7,"",$C$6,"Actual")</f>
        <v>0</v>
      </c>
      <c r="E82" s="362">
        <f>-_xll.NGL(_xll.BSpec(40109,2180,"*","04"),E$7,"",$C$6,"Actual")</f>
        <v>0</v>
      </c>
      <c r="F82" s="362">
        <f>-_xll.NGL(_xll.BSpec(40109,2180,"*","04"),F$7,"",$C$6,"Actual")</f>
        <v>0</v>
      </c>
      <c r="G82" s="362">
        <f>-_xll.NGL(_xll.BSpec(40109,2180,"*","04"),G$7,"",$C$6,"Actual")</f>
        <v>0</v>
      </c>
      <c r="H82" s="362">
        <f>-_xll.NGL(_xll.BSpec(40109,2180,"*","04"),H$7,"",$C$6,"Actual")</f>
        <v>0</v>
      </c>
      <c r="I82" s="362">
        <f>-_xll.NGL(_xll.BSpec(40109,2180,"*","04"),I$7,"",$C$6,"Actual")</f>
        <v>0</v>
      </c>
      <c r="J82" s="362">
        <f>-_xll.NGL(_xll.BSpec(40109,2180,"*","04"),J$7,"",$C$6,"Actual")</f>
        <v>0</v>
      </c>
      <c r="K82" s="362">
        <f>-_xll.NGL(_xll.BSpec(40109,2180,"*","04"),K$7,"",$C$6,"Actual")</f>
        <v>0</v>
      </c>
      <c r="L82" s="362">
        <f>-_xll.NGL(_xll.BSpec(40109,2180,"*","04"),L$7,"",$C$6,"Actual")</f>
        <v>0</v>
      </c>
      <c r="M82" s="362">
        <f>-_xll.NGL(_xll.BSpec(40109,2180,"*","04"),M$7,"",$C$6,"Actual")</f>
        <v>0</v>
      </c>
      <c r="N82" s="446"/>
      <c r="O82" s="371"/>
    </row>
    <row r="83" spans="1:19" s="336" customFormat="1">
      <c r="A83" s="333" t="s">
        <v>946</v>
      </c>
      <c r="B83" s="365">
        <f>B81-B82</f>
        <v>2091.06</v>
      </c>
      <c r="C83" s="342">
        <f>C81-C82</f>
        <v>4276.13</v>
      </c>
      <c r="D83" s="342">
        <f>D81-D82</f>
        <v>1673.12</v>
      </c>
      <c r="E83" s="342">
        <f t="shared" ref="E83:M83" si="28">E81-E82</f>
        <v>2682.74</v>
      </c>
      <c r="F83" s="342">
        <f t="shared" si="28"/>
        <v>3207.07</v>
      </c>
      <c r="G83" s="342">
        <f t="shared" si="28"/>
        <v>5051.58</v>
      </c>
      <c r="H83" s="342">
        <f t="shared" si="28"/>
        <v>921.6</v>
      </c>
      <c r="I83" s="342">
        <f t="shared" si="28"/>
        <v>3177.6</v>
      </c>
      <c r="J83" s="342">
        <f t="shared" si="28"/>
        <v>4800.3999999999996</v>
      </c>
      <c r="K83" s="342">
        <f t="shared" si="28"/>
        <v>2292</v>
      </c>
      <c r="L83" s="342">
        <f t="shared" si="28"/>
        <v>3217.6</v>
      </c>
      <c r="M83" s="342">
        <f t="shared" si="28"/>
        <v>1837.2</v>
      </c>
      <c r="N83" s="446"/>
      <c r="O83" s="321"/>
      <c r="P83" s="321"/>
    </row>
    <row r="84" spans="1:19" s="336" customFormat="1">
      <c r="A84" s="333"/>
      <c r="B84" s="365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446"/>
      <c r="O84" s="321"/>
      <c r="P84" s="321"/>
    </row>
    <row r="85" spans="1:19" s="336" customFormat="1">
      <c r="A85" s="361" t="s">
        <v>949</v>
      </c>
      <c r="B85" s="362">
        <f>B47+B29+B11</f>
        <v>410284.6</v>
      </c>
      <c r="C85" s="362">
        <f t="shared" ref="C85:M85" si="29">C47+C29+C11</f>
        <v>477304.14</v>
      </c>
      <c r="D85" s="362">
        <f t="shared" si="29"/>
        <v>374926.86</v>
      </c>
      <c r="E85" s="362">
        <f t="shared" si="29"/>
        <v>453170.11</v>
      </c>
      <c r="F85" s="362">
        <f t="shared" si="29"/>
        <v>499332.51</v>
      </c>
      <c r="G85" s="362">
        <f t="shared" si="29"/>
        <v>500477.58999999997</v>
      </c>
      <c r="H85" s="362">
        <f t="shared" si="29"/>
        <v>467805.86</v>
      </c>
      <c r="I85" s="362">
        <f t="shared" si="29"/>
        <v>467987.62</v>
      </c>
      <c r="J85" s="362">
        <f t="shared" si="29"/>
        <v>501487.44</v>
      </c>
      <c r="K85" s="362">
        <f t="shared" si="29"/>
        <v>485718.6</v>
      </c>
      <c r="L85" s="362">
        <f t="shared" si="29"/>
        <v>478464.69999999995</v>
      </c>
      <c r="M85" s="362">
        <f t="shared" si="29"/>
        <v>432910.22</v>
      </c>
      <c r="N85" s="447">
        <f>SUM(B85:M85)</f>
        <v>5549870.2499999991</v>
      </c>
      <c r="O85" s="321"/>
    </row>
    <row r="86" spans="1:19" s="336" customFormat="1">
      <c r="A86" s="361" t="s">
        <v>945</v>
      </c>
      <c r="B86" s="362">
        <f>_xll.NGL(_xll.BSpec(31005,2180,"*","**"),B$7,"",$B$6,"Actual")</f>
        <v>0</v>
      </c>
      <c r="C86" s="362">
        <f>_xll.NGL(_xll.BSpec(31005,2180,"*","**"),C$7,"",$C$6,"Actual")</f>
        <v>0</v>
      </c>
      <c r="D86" s="362">
        <f>_xll.NGL(_xll.BSpec(31005,2180,"*","**"),D$7,"",$C$6,"Actual")</f>
        <v>0</v>
      </c>
      <c r="E86" s="362">
        <f>_xll.NGL(_xll.BSpec(31005,2180,"*","**"),E$7,"",$C$6,"Actual")</f>
        <v>0</v>
      </c>
      <c r="F86" s="362">
        <f>_xll.NGL(_xll.BSpec(31005,2180,"*","**"),F$7,"",$C$6,"Actual")</f>
        <v>0</v>
      </c>
      <c r="G86" s="362">
        <f>_xll.NGL(_xll.BSpec(31005,2180,"*","**"),G$7,"",$C$6,"Actual")</f>
        <v>0</v>
      </c>
      <c r="H86" s="362">
        <f>_xll.NGL(_xll.BSpec(31005,2180,"*","**"),H$7,"",$C$6,"Actual")</f>
        <v>0</v>
      </c>
      <c r="I86" s="362">
        <f>_xll.NGL(_xll.BSpec(31005,2180,"*","**"),I$7,"",$C$6,"Actual")</f>
        <v>0</v>
      </c>
      <c r="J86" s="362">
        <f>_xll.NGL(_xll.BSpec(31005,2180,"*","**"),J$7,"",$C$6,"Actual")</f>
        <v>0</v>
      </c>
      <c r="K86" s="362">
        <f>_xll.NGL(_xll.BSpec(31005,2180,"*","**"),K$7,"",$C$6,"Actual")</f>
        <v>0</v>
      </c>
      <c r="L86" s="362">
        <f>_xll.NGL(_xll.BSpec(31005,2180,"*","**"),L$7,"",$C$6,"Actual")</f>
        <v>0</v>
      </c>
      <c r="M86" s="362">
        <f>_xll.NGL(_xll.BSpec(31005,2180,"*","**"),M$7,"",$C$6,"Actual")</f>
        <v>0</v>
      </c>
      <c r="N86" s="447">
        <f>SUM(B86:M86)</f>
        <v>0</v>
      </c>
      <c r="O86" s="321"/>
      <c r="P86" s="364"/>
    </row>
    <row r="87" spans="1:19" s="336" customFormat="1">
      <c r="A87" s="333" t="s">
        <v>946</v>
      </c>
      <c r="B87" s="365">
        <f>B85-B86</f>
        <v>410284.6</v>
      </c>
      <c r="C87" s="342">
        <f>C85-C86</f>
        <v>477304.14</v>
      </c>
      <c r="D87" s="342">
        <f>D85-D86</f>
        <v>374926.86</v>
      </c>
      <c r="E87" s="342">
        <f t="shared" ref="E87:M87" si="30">E85-E86</f>
        <v>453170.11</v>
      </c>
      <c r="F87" s="342">
        <f t="shared" si="30"/>
        <v>499332.51</v>
      </c>
      <c r="G87" s="342">
        <f t="shared" si="30"/>
        <v>500477.58999999997</v>
      </c>
      <c r="H87" s="342">
        <f t="shared" si="30"/>
        <v>467805.86</v>
      </c>
      <c r="I87" s="342">
        <f t="shared" si="30"/>
        <v>467987.62</v>
      </c>
      <c r="J87" s="342">
        <f t="shared" si="30"/>
        <v>501487.44</v>
      </c>
      <c r="K87" s="342">
        <f t="shared" si="30"/>
        <v>485718.6</v>
      </c>
      <c r="L87" s="342">
        <f t="shared" si="30"/>
        <v>478464.69999999995</v>
      </c>
      <c r="M87" s="342">
        <f t="shared" si="30"/>
        <v>432910.22</v>
      </c>
      <c r="N87" s="446">
        <f>SUM(B87:M87)</f>
        <v>5549870.2499999991</v>
      </c>
      <c r="O87" s="321"/>
      <c r="P87" s="364"/>
    </row>
    <row r="88" spans="1:19" s="336" customFormat="1">
      <c r="A88" s="333"/>
      <c r="B88" s="365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2"/>
      <c r="N88" s="446"/>
      <c r="O88" s="321"/>
      <c r="P88" s="321"/>
    </row>
    <row r="89" spans="1:19" s="336" customFormat="1">
      <c r="A89" s="333" t="s">
        <v>950</v>
      </c>
      <c r="B89" s="365">
        <f>+B74+B79+B83</f>
        <v>1955903.18</v>
      </c>
      <c r="C89" s="342">
        <f>+C74+C79+C83</f>
        <v>2175152.2400000002</v>
      </c>
      <c r="D89" s="342">
        <f>+D74+D79+D83</f>
        <v>1740532.21</v>
      </c>
      <c r="E89" s="342">
        <f t="shared" ref="E89:M89" si="31">+E74+E79+E83</f>
        <v>2079973.07</v>
      </c>
      <c r="F89" s="342">
        <f t="shared" si="31"/>
        <v>2261469.4099999997</v>
      </c>
      <c r="G89" s="342">
        <f t="shared" si="31"/>
        <v>2373470.09</v>
      </c>
      <c r="H89" s="342">
        <f t="shared" si="31"/>
        <v>2093770.9500000002</v>
      </c>
      <c r="I89" s="342">
        <f t="shared" si="31"/>
        <v>2327840.94</v>
      </c>
      <c r="J89" s="342">
        <f t="shared" si="31"/>
        <v>2258513.0299999998</v>
      </c>
      <c r="K89" s="342">
        <f t="shared" si="31"/>
        <v>2194836.21</v>
      </c>
      <c r="L89" s="342">
        <f t="shared" si="31"/>
        <v>2299175.21</v>
      </c>
      <c r="M89" s="342">
        <f t="shared" si="31"/>
        <v>2094193.7</v>
      </c>
      <c r="N89" s="366"/>
      <c r="O89" s="321"/>
      <c r="P89" s="321"/>
    </row>
    <row r="90" spans="1:19">
      <c r="A90" s="358"/>
      <c r="B90" s="359"/>
      <c r="C90" s="372"/>
      <c r="D90" s="359"/>
      <c r="E90" s="359"/>
      <c r="F90" s="359"/>
      <c r="G90" s="359"/>
      <c r="H90" s="359"/>
      <c r="I90" s="359"/>
      <c r="J90" s="359"/>
      <c r="K90" s="359"/>
      <c r="L90" s="359"/>
      <c r="M90" s="359"/>
      <c r="N90" s="360"/>
      <c r="O90" s="373"/>
      <c r="P90" s="321"/>
      <c r="Q90" s="315"/>
      <c r="R90" s="315"/>
      <c r="S90" s="315"/>
    </row>
    <row r="91" spans="1:19">
      <c r="A91" s="315"/>
      <c r="B91" s="374"/>
      <c r="C91" s="374"/>
      <c r="D91" s="374"/>
      <c r="E91" s="374"/>
      <c r="F91" s="374"/>
      <c r="G91" s="374"/>
      <c r="H91" s="374"/>
      <c r="I91" s="374"/>
      <c r="J91" s="374"/>
      <c r="K91" s="374"/>
      <c r="L91" s="374"/>
      <c r="M91" s="374"/>
      <c r="N91" s="315"/>
      <c r="O91" s="373"/>
      <c r="P91" s="315"/>
      <c r="Q91" s="315"/>
      <c r="R91" s="315"/>
      <c r="S91" s="315"/>
    </row>
    <row r="92" spans="1:19">
      <c r="A92" s="315"/>
      <c r="B92" s="375"/>
      <c r="C92" s="376"/>
      <c r="D92" s="376"/>
      <c r="E92" s="376"/>
      <c r="F92" s="376"/>
      <c r="G92" s="376"/>
      <c r="H92" s="376"/>
      <c r="I92" s="376"/>
      <c r="J92" s="376"/>
      <c r="K92" s="376"/>
      <c r="L92" s="376"/>
      <c r="M92" s="376"/>
      <c r="N92" s="315"/>
      <c r="O92" s="315"/>
      <c r="P92" s="315"/>
      <c r="Q92" s="315"/>
      <c r="R92" s="315"/>
      <c r="S92" s="315"/>
    </row>
    <row r="93" spans="1:19">
      <c r="A93" s="315"/>
      <c r="B93" s="315"/>
      <c r="C93" s="315"/>
      <c r="D93" s="315"/>
      <c r="E93" s="315"/>
      <c r="F93" s="336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</row>
    <row r="94" spans="1:19" hidden="1">
      <c r="A94" s="377">
        <v>40122</v>
      </c>
      <c r="B94" s="319"/>
      <c r="C94" s="319"/>
      <c r="D94" s="319"/>
      <c r="E94" s="319"/>
      <c r="F94" s="378"/>
      <c r="G94" s="319"/>
      <c r="H94" s="319"/>
      <c r="I94" s="319"/>
      <c r="J94" s="319"/>
      <c r="K94" s="319"/>
      <c r="L94" s="319"/>
      <c r="M94" s="319"/>
      <c r="N94" s="315"/>
      <c r="O94" s="315"/>
      <c r="P94" s="315"/>
      <c r="Q94" s="315"/>
      <c r="R94" s="315"/>
      <c r="S94" s="315"/>
    </row>
    <row r="95" spans="1:19" hidden="1">
      <c r="A95" s="322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15"/>
      <c r="O95" s="315"/>
      <c r="P95" s="315"/>
      <c r="Q95" s="315"/>
      <c r="R95" s="315"/>
      <c r="S95" s="315"/>
    </row>
    <row r="96" spans="1:19" hidden="1">
      <c r="A96" s="325" t="s">
        <v>951</v>
      </c>
      <c r="B96" s="323"/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15"/>
      <c r="O96" s="315"/>
      <c r="P96" s="315"/>
      <c r="Q96" s="315"/>
      <c r="R96" s="315"/>
      <c r="S96" s="315"/>
    </row>
    <row r="97" spans="1:15" hidden="1">
      <c r="A97" s="379" t="s">
        <v>924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15"/>
      <c r="O97" s="380" t="s">
        <v>951</v>
      </c>
    </row>
    <row r="98" spans="1:15" hidden="1">
      <c r="A98" s="379" t="s">
        <v>926</v>
      </c>
      <c r="B98" s="346">
        <v>30</v>
      </c>
      <c r="C98" s="346">
        <v>30</v>
      </c>
      <c r="D98" s="346">
        <v>30</v>
      </c>
      <c r="E98" s="346">
        <v>30</v>
      </c>
      <c r="F98" s="346">
        <v>30</v>
      </c>
      <c r="G98" s="346">
        <v>30</v>
      </c>
      <c r="H98" s="346">
        <v>30</v>
      </c>
      <c r="I98" s="346">
        <v>30</v>
      </c>
      <c r="J98" s="346">
        <v>30</v>
      </c>
      <c r="K98" s="346">
        <v>30</v>
      </c>
      <c r="L98" s="346">
        <v>30</v>
      </c>
      <c r="M98" s="346">
        <v>30</v>
      </c>
      <c r="N98" s="315"/>
      <c r="O98" s="315"/>
    </row>
    <row r="99" spans="1:15" hidden="1">
      <c r="A99" s="379" t="s">
        <v>928</v>
      </c>
      <c r="B99" s="339">
        <f>+B97*B98</f>
        <v>0</v>
      </c>
      <c r="C99" s="339">
        <f t="shared" ref="C99:K99" si="32">+C97*C98</f>
        <v>0</v>
      </c>
      <c r="D99" s="339">
        <f t="shared" si="32"/>
        <v>0</v>
      </c>
      <c r="E99" s="339">
        <f t="shared" si="32"/>
        <v>0</v>
      </c>
      <c r="F99" s="339">
        <f t="shared" si="32"/>
        <v>0</v>
      </c>
      <c r="G99" s="339">
        <f t="shared" si="32"/>
        <v>0</v>
      </c>
      <c r="H99" s="339">
        <f t="shared" si="32"/>
        <v>0</v>
      </c>
      <c r="I99" s="339">
        <f t="shared" si="32"/>
        <v>0</v>
      </c>
      <c r="J99" s="339">
        <f t="shared" si="32"/>
        <v>0</v>
      </c>
      <c r="K99" s="339">
        <f t="shared" si="32"/>
        <v>0</v>
      </c>
      <c r="L99" s="339">
        <f>+L97*L98</f>
        <v>0</v>
      </c>
      <c r="M99" s="339">
        <f>+M97*M98</f>
        <v>0</v>
      </c>
      <c r="N99" s="315"/>
      <c r="O99" s="315"/>
    </row>
    <row r="100" spans="1:15" hidden="1">
      <c r="A100" s="322"/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15"/>
      <c r="O100" s="315"/>
    </row>
    <row r="101" spans="1:15" hidden="1">
      <c r="A101" s="322"/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323"/>
      <c r="N101" s="315"/>
      <c r="O101" s="315"/>
    </row>
    <row r="102" spans="1:15" hidden="1">
      <c r="A102" s="381" t="s">
        <v>952</v>
      </c>
      <c r="B102" s="323"/>
      <c r="C102" s="323"/>
      <c r="D102" s="323"/>
      <c r="E102" s="323"/>
      <c r="F102" s="323"/>
      <c r="G102" s="323"/>
      <c r="H102" s="323"/>
      <c r="I102" s="323"/>
      <c r="J102" s="323"/>
      <c r="K102" s="323"/>
      <c r="L102" s="323"/>
      <c r="M102" s="323"/>
      <c r="N102" s="315"/>
      <c r="O102" s="315"/>
    </row>
    <row r="103" spans="1:15" hidden="1">
      <c r="A103" s="379" t="s">
        <v>924</v>
      </c>
      <c r="B103" s="330"/>
      <c r="C103" s="330"/>
      <c r="D103" s="341"/>
      <c r="E103" s="330"/>
      <c r="F103" s="330"/>
      <c r="G103" s="330"/>
      <c r="H103" s="330"/>
      <c r="I103" s="330"/>
      <c r="J103" s="330"/>
      <c r="K103" s="330"/>
      <c r="L103" s="330"/>
      <c r="M103" s="330"/>
      <c r="N103" s="315"/>
      <c r="O103" s="380" t="s">
        <v>953</v>
      </c>
    </row>
    <row r="104" spans="1:15" hidden="1">
      <c r="A104" s="379" t="s">
        <v>926</v>
      </c>
      <c r="B104" s="346">
        <v>75</v>
      </c>
      <c r="C104" s="346">
        <v>75</v>
      </c>
      <c r="D104" s="346">
        <v>75</v>
      </c>
      <c r="E104" s="346">
        <v>75</v>
      </c>
      <c r="F104" s="346">
        <v>75</v>
      </c>
      <c r="G104" s="346">
        <v>81.09</v>
      </c>
      <c r="H104" s="346">
        <v>75</v>
      </c>
      <c r="I104" s="346">
        <v>75</v>
      </c>
      <c r="J104" s="346">
        <v>75</v>
      </c>
      <c r="K104" s="346">
        <v>75</v>
      </c>
      <c r="L104" s="346">
        <v>75</v>
      </c>
      <c r="M104" s="346">
        <v>75</v>
      </c>
      <c r="N104" s="315"/>
      <c r="O104" s="315"/>
    </row>
    <row r="105" spans="1:15" hidden="1">
      <c r="A105" s="379" t="s">
        <v>928</v>
      </c>
      <c r="B105" s="339">
        <f t="shared" ref="B105:K105" si="33">+B103*B104</f>
        <v>0</v>
      </c>
      <c r="C105" s="339">
        <f t="shared" si="33"/>
        <v>0</v>
      </c>
      <c r="D105" s="339">
        <f t="shared" si="33"/>
        <v>0</v>
      </c>
      <c r="E105" s="339">
        <f t="shared" si="33"/>
        <v>0</v>
      </c>
      <c r="F105" s="339">
        <f t="shared" si="33"/>
        <v>0</v>
      </c>
      <c r="G105" s="339">
        <f t="shared" si="33"/>
        <v>0</v>
      </c>
      <c r="H105" s="339">
        <f t="shared" si="33"/>
        <v>0</v>
      </c>
      <c r="I105" s="339">
        <f t="shared" si="33"/>
        <v>0</v>
      </c>
      <c r="J105" s="339">
        <f t="shared" si="33"/>
        <v>0</v>
      </c>
      <c r="K105" s="339">
        <f t="shared" si="33"/>
        <v>0</v>
      </c>
      <c r="L105" s="339">
        <f>+L103*L104</f>
        <v>0</v>
      </c>
      <c r="M105" s="339">
        <f>+M103*M104</f>
        <v>0</v>
      </c>
      <c r="N105" s="315"/>
      <c r="O105" s="315"/>
    </row>
    <row r="106" spans="1:15" hidden="1">
      <c r="A106" s="322"/>
      <c r="B106" s="323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3"/>
      <c r="N106" s="315"/>
      <c r="O106" s="380"/>
    </row>
    <row r="107" spans="1:15" hidden="1">
      <c r="A107" s="322"/>
      <c r="B107" s="323"/>
      <c r="C107" s="323"/>
      <c r="D107" s="323"/>
      <c r="E107" s="323"/>
      <c r="F107" s="323"/>
      <c r="G107" s="323"/>
      <c r="H107" s="323"/>
      <c r="I107" s="323"/>
      <c r="J107" s="323"/>
      <c r="K107" s="323"/>
      <c r="L107" s="323"/>
      <c r="M107" s="323"/>
      <c r="N107" s="315"/>
      <c r="O107" s="315"/>
    </row>
    <row r="108" spans="1:15" hidden="1">
      <c r="A108" s="381" t="s">
        <v>954</v>
      </c>
      <c r="B108" s="323"/>
      <c r="C108" s="323"/>
      <c r="D108" s="323"/>
      <c r="E108" s="323"/>
      <c r="F108" s="323"/>
      <c r="G108" s="323"/>
      <c r="H108" s="323"/>
      <c r="I108" s="323"/>
      <c r="J108" s="323"/>
      <c r="K108" s="323"/>
      <c r="L108" s="323"/>
      <c r="M108" s="323"/>
      <c r="N108" s="315"/>
      <c r="O108" s="315"/>
    </row>
    <row r="109" spans="1:15" hidden="1">
      <c r="A109" s="379" t="s">
        <v>924</v>
      </c>
      <c r="B109" s="330"/>
      <c r="C109" s="330"/>
      <c r="D109" s="341"/>
      <c r="E109" s="330"/>
      <c r="F109" s="330"/>
      <c r="G109" s="330"/>
      <c r="H109" s="330"/>
      <c r="I109" s="330"/>
      <c r="J109" s="330"/>
      <c r="K109" s="330"/>
      <c r="L109" s="330"/>
      <c r="M109" s="330"/>
      <c r="N109" s="315"/>
      <c r="O109" s="380" t="s">
        <v>953</v>
      </c>
    </row>
    <row r="110" spans="1:15" hidden="1">
      <c r="A110" s="379" t="s">
        <v>926</v>
      </c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15"/>
      <c r="O110" s="315"/>
    </row>
    <row r="111" spans="1:15" hidden="1">
      <c r="A111" s="379" t="s">
        <v>928</v>
      </c>
      <c r="B111" s="339">
        <f t="shared" ref="B111:M111" si="34">ROUND(B109*B110,2)</f>
        <v>0</v>
      </c>
      <c r="C111" s="339">
        <f t="shared" si="34"/>
        <v>0</v>
      </c>
      <c r="D111" s="339">
        <f t="shared" si="34"/>
        <v>0</v>
      </c>
      <c r="E111" s="339">
        <f t="shared" si="34"/>
        <v>0</v>
      </c>
      <c r="F111" s="339">
        <f t="shared" si="34"/>
        <v>0</v>
      </c>
      <c r="G111" s="339">
        <f t="shared" si="34"/>
        <v>0</v>
      </c>
      <c r="H111" s="339">
        <f t="shared" si="34"/>
        <v>0</v>
      </c>
      <c r="I111" s="339">
        <f t="shared" si="34"/>
        <v>0</v>
      </c>
      <c r="J111" s="339">
        <f t="shared" si="34"/>
        <v>0</v>
      </c>
      <c r="K111" s="339">
        <f t="shared" si="34"/>
        <v>0</v>
      </c>
      <c r="L111" s="339">
        <f t="shared" si="34"/>
        <v>0</v>
      </c>
      <c r="M111" s="339">
        <f t="shared" si="34"/>
        <v>0</v>
      </c>
      <c r="N111" s="315"/>
      <c r="O111" s="315"/>
    </row>
    <row r="112" spans="1:15" hidden="1">
      <c r="A112" s="322"/>
      <c r="B112" s="32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3"/>
      <c r="N112" s="315"/>
      <c r="O112" s="380"/>
    </row>
    <row r="113" spans="1:15" hidden="1">
      <c r="A113" s="381" t="s">
        <v>955</v>
      </c>
      <c r="B113" s="323"/>
      <c r="C113" s="323"/>
      <c r="D113" s="323"/>
      <c r="E113" s="323"/>
      <c r="F113" s="323"/>
      <c r="G113" s="323"/>
      <c r="H113" s="323"/>
      <c r="I113" s="323"/>
      <c r="J113" s="323"/>
      <c r="K113" s="323"/>
      <c r="L113" s="323"/>
      <c r="M113" s="323"/>
      <c r="N113" s="315"/>
      <c r="O113" s="315"/>
    </row>
    <row r="114" spans="1:15" hidden="1">
      <c r="A114" s="379" t="s">
        <v>924</v>
      </c>
      <c r="B114" s="330"/>
      <c r="C114" s="330"/>
      <c r="D114" s="341"/>
      <c r="E114" s="330"/>
      <c r="F114" s="330"/>
      <c r="G114" s="330"/>
      <c r="H114" s="330"/>
      <c r="I114" s="330"/>
      <c r="J114" s="330"/>
      <c r="K114" s="330"/>
      <c r="L114" s="330"/>
      <c r="M114" s="330"/>
      <c r="N114" s="315"/>
      <c r="O114" s="380" t="s">
        <v>953</v>
      </c>
    </row>
    <row r="115" spans="1:15" hidden="1">
      <c r="A115" s="379" t="s">
        <v>926</v>
      </c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15"/>
      <c r="O115" s="315"/>
    </row>
    <row r="116" spans="1:15" hidden="1">
      <c r="A116" s="379" t="s">
        <v>928</v>
      </c>
      <c r="B116" s="339">
        <f t="shared" ref="B116:K116" si="35">+B114*B115</f>
        <v>0</v>
      </c>
      <c r="C116" s="339">
        <f t="shared" si="35"/>
        <v>0</v>
      </c>
      <c r="D116" s="339">
        <f t="shared" si="35"/>
        <v>0</v>
      </c>
      <c r="E116" s="339">
        <f t="shared" si="35"/>
        <v>0</v>
      </c>
      <c r="F116" s="339">
        <f t="shared" si="35"/>
        <v>0</v>
      </c>
      <c r="G116" s="339">
        <f t="shared" si="35"/>
        <v>0</v>
      </c>
      <c r="H116" s="339">
        <f t="shared" si="35"/>
        <v>0</v>
      </c>
      <c r="I116" s="339">
        <f t="shared" si="35"/>
        <v>0</v>
      </c>
      <c r="J116" s="339">
        <f t="shared" si="35"/>
        <v>0</v>
      </c>
      <c r="K116" s="339">
        <f t="shared" si="35"/>
        <v>0</v>
      </c>
      <c r="L116" s="339">
        <f>+L114*L115</f>
        <v>0</v>
      </c>
      <c r="M116" s="339">
        <f>+M114*M115</f>
        <v>0</v>
      </c>
      <c r="N116" s="315"/>
      <c r="O116" s="315"/>
    </row>
    <row r="117" spans="1:15" hidden="1">
      <c r="A117" s="322"/>
      <c r="B117" s="323"/>
      <c r="C117" s="323"/>
      <c r="D117" s="323"/>
      <c r="E117" s="323"/>
      <c r="F117" s="323"/>
      <c r="G117" s="323"/>
      <c r="H117" s="323"/>
      <c r="I117" s="323"/>
      <c r="J117" s="323"/>
      <c r="K117" s="323"/>
      <c r="L117" s="323"/>
      <c r="M117" s="323"/>
      <c r="N117" s="315"/>
      <c r="O117" s="380"/>
    </row>
    <row r="118" spans="1:15" hidden="1">
      <c r="A118" s="322"/>
      <c r="B118" s="323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3"/>
      <c r="N118" s="315"/>
      <c r="O118" s="315"/>
    </row>
    <row r="119" spans="1:15" hidden="1">
      <c r="A119" s="361" t="s">
        <v>956</v>
      </c>
      <c r="B119" s="369">
        <f>+B99+B105+B111+B116</f>
        <v>0</v>
      </c>
      <c r="C119" s="369">
        <f t="shared" ref="C119:L119" si="36">+C99+C105+C111+C116</f>
        <v>0</v>
      </c>
      <c r="D119" s="369">
        <f t="shared" si="36"/>
        <v>0</v>
      </c>
      <c r="E119" s="369">
        <f t="shared" si="36"/>
        <v>0</v>
      </c>
      <c r="F119" s="369">
        <f t="shared" si="36"/>
        <v>0</v>
      </c>
      <c r="G119" s="369">
        <f t="shared" si="36"/>
        <v>0</v>
      </c>
      <c r="H119" s="369">
        <f t="shared" si="36"/>
        <v>0</v>
      </c>
      <c r="I119" s="369">
        <f t="shared" si="36"/>
        <v>0</v>
      </c>
      <c r="J119" s="369">
        <f t="shared" si="36"/>
        <v>0</v>
      </c>
      <c r="K119" s="369">
        <f t="shared" si="36"/>
        <v>0</v>
      </c>
      <c r="L119" s="369">
        <f t="shared" si="36"/>
        <v>0</v>
      </c>
      <c r="M119" s="369">
        <f>+M99+M105+M111+M116</f>
        <v>0</v>
      </c>
      <c r="N119" s="315"/>
      <c r="O119" s="315"/>
    </row>
    <row r="120" spans="1:15" hidden="1">
      <c r="A120" s="361" t="s">
        <v>945</v>
      </c>
      <c r="B120" s="362"/>
      <c r="C120" s="362"/>
      <c r="D120" s="362"/>
      <c r="E120" s="362"/>
      <c r="F120" s="362"/>
      <c r="G120" s="362"/>
      <c r="H120" s="362"/>
      <c r="I120" s="362"/>
      <c r="J120" s="362"/>
      <c r="K120" s="362"/>
      <c r="L120" s="362"/>
      <c r="M120" s="362"/>
      <c r="N120" s="315"/>
      <c r="O120" s="315"/>
    </row>
    <row r="121" spans="1:15" hidden="1">
      <c r="A121" s="333" t="s">
        <v>946</v>
      </c>
      <c r="B121" s="346">
        <f>+B120-B119</f>
        <v>0</v>
      </c>
      <c r="C121" s="346">
        <f t="shared" ref="C121:M121" si="37">+C120-C119</f>
        <v>0</v>
      </c>
      <c r="D121" s="346">
        <f t="shared" si="37"/>
        <v>0</v>
      </c>
      <c r="E121" s="346">
        <f t="shared" si="37"/>
        <v>0</v>
      </c>
      <c r="F121" s="346">
        <f t="shared" si="37"/>
        <v>0</v>
      </c>
      <c r="G121" s="346">
        <f t="shared" si="37"/>
        <v>0</v>
      </c>
      <c r="H121" s="346">
        <f t="shared" si="37"/>
        <v>0</v>
      </c>
      <c r="I121" s="346">
        <f t="shared" si="37"/>
        <v>0</v>
      </c>
      <c r="J121" s="346">
        <f t="shared" si="37"/>
        <v>0</v>
      </c>
      <c r="K121" s="346">
        <f t="shared" si="37"/>
        <v>0</v>
      </c>
      <c r="L121" s="346">
        <f t="shared" si="37"/>
        <v>0</v>
      </c>
      <c r="M121" s="346">
        <f t="shared" si="37"/>
        <v>0</v>
      </c>
      <c r="N121" s="315"/>
      <c r="O121" s="315"/>
    </row>
    <row r="122" spans="1:15" hidden="1">
      <c r="A122" s="358"/>
      <c r="B122" s="359"/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15"/>
      <c r="O122" s="315"/>
    </row>
    <row r="123" spans="1:15" hidden="1">
      <c r="A123" s="315"/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</row>
    <row r="124" spans="1:15" hidden="1">
      <c r="A124" s="315"/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5"/>
    </row>
    <row r="125" spans="1:15" hidden="1">
      <c r="A125" s="315"/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</row>
    <row r="126" spans="1:15" hidden="1">
      <c r="A126" s="315"/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</row>
    <row r="127" spans="1:15">
      <c r="A127" s="315"/>
      <c r="B127" s="315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</row>
    <row r="128" spans="1:15">
      <c r="E128" s="321"/>
      <c r="F128" s="468" t="s">
        <v>925</v>
      </c>
      <c r="G128" s="468"/>
    </row>
    <row r="129" spans="5:9">
      <c r="E129" s="336"/>
      <c r="F129" s="337" t="s">
        <v>927</v>
      </c>
      <c r="G129" s="338">
        <f>N14+N19</f>
        <v>75044.530000000013</v>
      </c>
      <c r="H129" s="336"/>
      <c r="I129" s="336"/>
    </row>
    <row r="130" spans="5:9">
      <c r="E130" s="336"/>
      <c r="F130" s="337" t="s">
        <v>929</v>
      </c>
      <c r="G130" s="338">
        <f>N9</f>
        <v>18500.490000000002</v>
      </c>
      <c r="H130" s="336"/>
      <c r="I130" s="336"/>
    </row>
    <row r="131" spans="5:9">
      <c r="E131" s="315"/>
      <c r="F131" s="344" t="s">
        <v>930</v>
      </c>
      <c r="G131" s="338">
        <f>N32</f>
        <v>5726.24</v>
      </c>
    </row>
    <row r="132" spans="5:9">
      <c r="E132" s="315"/>
      <c r="F132" s="344" t="s">
        <v>932</v>
      </c>
      <c r="G132" s="338">
        <f>F144+G144</f>
        <v>1402.1599999999999</v>
      </c>
    </row>
    <row r="133" spans="5:9">
      <c r="E133" s="315"/>
      <c r="F133" s="315"/>
      <c r="G133" s="315"/>
    </row>
    <row r="134" spans="5:9">
      <c r="E134" s="336"/>
      <c r="F134" s="336"/>
      <c r="G134" s="336"/>
      <c r="H134" s="336"/>
      <c r="I134" s="336"/>
    </row>
    <row r="135" spans="5:9">
      <c r="E135" s="321"/>
      <c r="F135" s="336"/>
      <c r="G135" s="336"/>
      <c r="H135" s="336"/>
      <c r="I135" s="336"/>
    </row>
    <row r="136" spans="5:9">
      <c r="E136" s="321"/>
      <c r="F136" s="347"/>
      <c r="G136" s="315"/>
      <c r="H136" s="315"/>
      <c r="I136" s="315"/>
    </row>
    <row r="137" spans="5:9">
      <c r="E137" s="321"/>
      <c r="F137" s="347"/>
      <c r="G137" s="315"/>
      <c r="H137" s="315"/>
      <c r="I137" s="315"/>
    </row>
    <row r="138" spans="5:9">
      <c r="E138" s="321"/>
      <c r="F138" s="321"/>
      <c r="G138" s="348"/>
      <c r="H138" s="315"/>
      <c r="I138" s="315"/>
    </row>
    <row r="139" spans="5:9">
      <c r="E139" s="321"/>
      <c r="F139" s="321"/>
      <c r="G139" s="336"/>
      <c r="H139" s="336"/>
      <c r="I139" s="336"/>
    </row>
    <row r="140" spans="5:9">
      <c r="E140" s="321"/>
      <c r="F140" s="336"/>
      <c r="G140" s="336"/>
      <c r="H140" s="336"/>
      <c r="I140" s="336"/>
    </row>
    <row r="141" spans="5:9" ht="15.75" thickBot="1">
      <c r="E141" s="321"/>
      <c r="F141" s="336"/>
      <c r="G141" s="336"/>
      <c r="H141" s="336"/>
      <c r="I141" s="336"/>
    </row>
    <row r="142" spans="5:9">
      <c r="E142" s="329"/>
      <c r="F142" s="349" t="s">
        <v>935</v>
      </c>
      <c r="G142" s="349" t="s">
        <v>936</v>
      </c>
      <c r="H142" s="350" t="s">
        <v>936</v>
      </c>
      <c r="I142" s="349" t="s">
        <v>937</v>
      </c>
    </row>
    <row r="143" spans="5:9" ht="15.75" thickBot="1">
      <c r="E143" s="321"/>
      <c r="F143" s="351">
        <v>2180</v>
      </c>
      <c r="G143" s="351" t="s">
        <v>914</v>
      </c>
      <c r="H143" s="352" t="s">
        <v>939</v>
      </c>
      <c r="I143" s="351" t="s">
        <v>940</v>
      </c>
    </row>
    <row r="144" spans="5:9">
      <c r="E144" s="321"/>
      <c r="F144" s="347">
        <f>+N27-G144-I144</f>
        <v>611.9</v>
      </c>
      <c r="G144" s="315">
        <v>790.26</v>
      </c>
      <c r="H144" s="315">
        <v>0</v>
      </c>
      <c r="I144" s="347">
        <v>312.38</v>
      </c>
    </row>
    <row r="145" spans="5:9">
      <c r="E145" s="328"/>
      <c r="F145" s="315"/>
      <c r="G145" s="315"/>
      <c r="H145" s="315"/>
      <c r="I145" s="315"/>
    </row>
  </sheetData>
  <mergeCells count="9">
    <mergeCell ref="A1:M1"/>
    <mergeCell ref="A2:M2"/>
    <mergeCell ref="A4:M4"/>
    <mergeCell ref="F128:G128"/>
    <mergeCell ref="O1:S1"/>
    <mergeCell ref="O2:S2"/>
    <mergeCell ref="O3:S3"/>
    <mergeCell ref="O4:S4"/>
    <mergeCell ref="O5:S5"/>
  </mergeCells>
  <pageMargins left="0.75" right="0.75" top="1" bottom="1" header="0.5" footer="0.5"/>
  <pageSetup scale="50" fitToHeight="3" orientation="landscape" r:id="rId1"/>
  <headerFooter alignWithMargins="0"/>
  <rowBreaks count="1" manualBreakCount="1">
    <brk id="59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U434"/>
  <sheetViews>
    <sheetView view="pageBreakPreview" zoomScaleNormal="100" zoomScaleSheetLayoutView="100" workbookViewId="0">
      <pane xSplit="5" ySplit="6" topLeftCell="F409" activePane="bottomRight" state="frozen"/>
      <selection activeCell="A44" sqref="A44:A91"/>
      <selection pane="topRight" activeCell="A44" sqref="A44:A91"/>
      <selection pane="bottomLeft" activeCell="A44" sqref="A44:A91"/>
      <selection pane="bottomRight" activeCell="A44" sqref="A44:A91"/>
    </sheetView>
  </sheetViews>
  <sheetFormatPr defaultRowHeight="12.75"/>
  <cols>
    <col min="1" max="1" width="10.85546875" style="231" customWidth="1"/>
    <col min="2" max="2" width="24.42578125" style="229" customWidth="1"/>
    <col min="3" max="3" width="21" style="229" customWidth="1"/>
    <col min="4" max="4" width="15.140625" style="229" hidden="1" customWidth="1"/>
    <col min="5" max="5" width="10" style="230" hidden="1" customWidth="1"/>
    <col min="6" max="6" width="9" style="231" bestFit="1" customWidth="1"/>
    <col min="7" max="7" width="9" style="229" bestFit="1" customWidth="1"/>
    <col min="8" max="8" width="4.42578125" style="229" hidden="1" customWidth="1"/>
    <col min="9" max="9" width="12.42578125" style="229" hidden="1" customWidth="1"/>
    <col min="10" max="10" width="13.42578125" style="229" hidden="1" customWidth="1"/>
    <col min="11" max="11" width="12.42578125" style="229" hidden="1" customWidth="1"/>
    <col min="12" max="13" width="13.85546875" style="229" hidden="1" customWidth="1"/>
    <col min="14" max="20" width="12.42578125" style="229" hidden="1" customWidth="1"/>
    <col min="21" max="21" width="2.140625" style="229" hidden="1" customWidth="1"/>
    <col min="22" max="22" width="12" style="408" customWidth="1"/>
    <col min="23" max="23" width="5.7109375" style="231" hidden="1" customWidth="1"/>
    <col min="24" max="24" width="9.7109375" style="420" customWidth="1"/>
    <col min="25" max="25" width="9.7109375" style="421" customWidth="1"/>
    <col min="26" max="35" width="9.7109375" style="420" customWidth="1"/>
    <col min="36" max="36" width="11" style="420" bestFit="1" customWidth="1"/>
    <col min="37" max="41" width="9.140625" style="231"/>
    <col min="42" max="42" width="10.5703125" style="231" bestFit="1" customWidth="1"/>
    <col min="43" max="45" width="9.140625" style="231"/>
    <col min="46" max="46" width="10.5703125" style="231" bestFit="1" customWidth="1"/>
    <col min="47" max="16384" width="9.140625" style="231"/>
  </cols>
  <sheetData>
    <row r="1" spans="1:36">
      <c r="A1" s="228" t="s">
        <v>407</v>
      </c>
      <c r="C1" s="228"/>
      <c r="D1" s="228"/>
    </row>
    <row r="2" spans="1:36">
      <c r="A2" s="228" t="s">
        <v>138</v>
      </c>
      <c r="B2" s="231"/>
      <c r="C2" s="228"/>
      <c r="D2" s="228"/>
      <c r="F2" s="229"/>
      <c r="I2" s="232"/>
      <c r="J2" s="232"/>
      <c r="K2" s="286"/>
      <c r="L2" s="286"/>
      <c r="T2" s="232"/>
      <c r="U2" s="232"/>
      <c r="W2" s="232"/>
    </row>
    <row r="3" spans="1:36">
      <c r="A3" s="228" t="s">
        <v>408</v>
      </c>
      <c r="B3" s="231"/>
      <c r="C3" s="228"/>
      <c r="D3" s="228"/>
      <c r="F3" s="229"/>
      <c r="I3" s="232"/>
      <c r="T3" s="232"/>
      <c r="U3" s="232"/>
      <c r="W3" s="232"/>
    </row>
    <row r="4" spans="1:36">
      <c r="A4" s="228" t="s">
        <v>409</v>
      </c>
      <c r="B4" s="231"/>
      <c r="C4" s="295">
        <v>2</v>
      </c>
      <c r="D4" s="295">
        <v>3</v>
      </c>
      <c r="E4" s="296">
        <v>4</v>
      </c>
      <c r="F4" s="295">
        <v>5</v>
      </c>
      <c r="G4" s="295">
        <v>6</v>
      </c>
      <c r="H4" s="295">
        <v>7</v>
      </c>
      <c r="I4" s="295">
        <v>8</v>
      </c>
      <c r="J4" s="296">
        <v>9</v>
      </c>
      <c r="K4" s="295">
        <v>10</v>
      </c>
      <c r="L4" s="295">
        <v>11</v>
      </c>
      <c r="M4" s="295">
        <v>12</v>
      </c>
      <c r="N4" s="295">
        <v>13</v>
      </c>
      <c r="O4" s="296">
        <v>14</v>
      </c>
      <c r="P4" s="295">
        <v>15</v>
      </c>
      <c r="Q4" s="295">
        <v>16</v>
      </c>
      <c r="R4" s="295">
        <v>17</v>
      </c>
      <c r="S4" s="295">
        <v>18</v>
      </c>
      <c r="T4" s="296">
        <v>19</v>
      </c>
      <c r="U4" s="295">
        <v>20</v>
      </c>
      <c r="V4" s="409">
        <v>21</v>
      </c>
      <c r="W4" s="295">
        <v>22</v>
      </c>
      <c r="X4" s="409">
        <v>23</v>
      </c>
      <c r="Y4" s="422">
        <v>24</v>
      </c>
      <c r="Z4" s="409">
        <v>25</v>
      </c>
      <c r="AA4" s="409">
        <v>26</v>
      </c>
      <c r="AB4" s="409">
        <v>27</v>
      </c>
      <c r="AC4" s="409">
        <v>28</v>
      </c>
      <c r="AD4" s="422">
        <v>29</v>
      </c>
      <c r="AE4" s="409">
        <v>30</v>
      </c>
      <c r="AF4" s="409">
        <v>31</v>
      </c>
      <c r="AG4" s="409">
        <v>32</v>
      </c>
      <c r="AH4" s="409">
        <v>33</v>
      </c>
      <c r="AI4" s="422">
        <v>34</v>
      </c>
      <c r="AJ4" s="409">
        <v>35</v>
      </c>
    </row>
    <row r="5" spans="1:36" ht="14.25" customHeight="1">
      <c r="C5" s="234"/>
      <c r="D5" s="234"/>
      <c r="F5" s="235"/>
      <c r="G5" s="235"/>
      <c r="I5" s="471" t="s">
        <v>139</v>
      </c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230"/>
      <c r="V5" s="410"/>
      <c r="X5" s="472" t="s">
        <v>140</v>
      </c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</row>
    <row r="6" spans="1:36" ht="37.5" customHeight="1">
      <c r="B6" s="236" t="s">
        <v>111</v>
      </c>
      <c r="C6" s="234" t="s">
        <v>141</v>
      </c>
      <c r="D6" s="234" t="s">
        <v>114</v>
      </c>
      <c r="E6" s="234" t="s">
        <v>410</v>
      </c>
      <c r="F6" s="234" t="s">
        <v>411</v>
      </c>
      <c r="G6" s="234" t="s">
        <v>412</v>
      </c>
      <c r="H6" s="234"/>
      <c r="I6" s="237">
        <v>43435</v>
      </c>
      <c r="J6" s="237">
        <v>43466</v>
      </c>
      <c r="K6" s="237">
        <v>43497</v>
      </c>
      <c r="L6" s="237">
        <v>43525</v>
      </c>
      <c r="M6" s="237">
        <v>43556</v>
      </c>
      <c r="N6" s="237">
        <v>43586</v>
      </c>
      <c r="O6" s="237">
        <v>43617</v>
      </c>
      <c r="P6" s="237">
        <v>43647</v>
      </c>
      <c r="Q6" s="237">
        <v>43678</v>
      </c>
      <c r="R6" s="237">
        <v>43709</v>
      </c>
      <c r="S6" s="237">
        <v>43739</v>
      </c>
      <c r="T6" s="237">
        <v>43770</v>
      </c>
      <c r="U6" s="237"/>
      <c r="V6" s="411" t="s">
        <v>413</v>
      </c>
      <c r="W6" s="234"/>
      <c r="X6" s="428">
        <f t="shared" ref="X6:AI6" si="0">+I6</f>
        <v>43435</v>
      </c>
      <c r="Y6" s="428">
        <f t="shared" si="0"/>
        <v>43466</v>
      </c>
      <c r="Z6" s="428">
        <f t="shared" si="0"/>
        <v>43497</v>
      </c>
      <c r="AA6" s="428">
        <f t="shared" si="0"/>
        <v>43525</v>
      </c>
      <c r="AB6" s="428">
        <f t="shared" si="0"/>
        <v>43556</v>
      </c>
      <c r="AC6" s="428">
        <f t="shared" si="0"/>
        <v>43586</v>
      </c>
      <c r="AD6" s="428">
        <f t="shared" si="0"/>
        <v>43617</v>
      </c>
      <c r="AE6" s="428">
        <f t="shared" si="0"/>
        <v>43647</v>
      </c>
      <c r="AF6" s="428">
        <f t="shared" si="0"/>
        <v>43678</v>
      </c>
      <c r="AG6" s="428">
        <f t="shared" si="0"/>
        <v>43709</v>
      </c>
      <c r="AH6" s="428">
        <f t="shared" si="0"/>
        <v>43739</v>
      </c>
      <c r="AI6" s="428">
        <f t="shared" si="0"/>
        <v>43770</v>
      </c>
      <c r="AJ6" s="429" t="s">
        <v>1081</v>
      </c>
    </row>
    <row r="7" spans="1:36">
      <c r="F7" s="229"/>
      <c r="W7" s="229"/>
    </row>
    <row r="8" spans="1:36">
      <c r="B8" s="238" t="s">
        <v>414</v>
      </c>
      <c r="C8" s="239"/>
      <c r="D8" s="239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412"/>
      <c r="W8" s="240"/>
    </row>
    <row r="9" spans="1:36">
      <c r="B9" s="238"/>
      <c r="C9" s="239"/>
      <c r="D9" s="239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412"/>
      <c r="W9" s="240"/>
    </row>
    <row r="10" spans="1:36">
      <c r="A10" s="241" t="s">
        <v>415</v>
      </c>
      <c r="B10" s="242" t="s">
        <v>142</v>
      </c>
      <c r="C10" s="239"/>
      <c r="D10" s="239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412"/>
      <c r="W10" s="240"/>
    </row>
    <row r="11" spans="1:36">
      <c r="A11" s="231" t="str">
        <f>$A$3&amp;"Residential"&amp;B11</f>
        <v>PIERCE UTCResidentialRL020.0G1W001</v>
      </c>
      <c r="B11" s="243" t="s">
        <v>177</v>
      </c>
      <c r="C11" s="243" t="s">
        <v>178</v>
      </c>
      <c r="D11" s="243" t="s">
        <v>416</v>
      </c>
      <c r="E11" s="230">
        <v>32000</v>
      </c>
      <c r="F11" s="244">
        <v>13.7</v>
      </c>
      <c r="G11" s="244">
        <v>13.95</v>
      </c>
      <c r="H11" s="244"/>
      <c r="I11" s="244">
        <v>138</v>
      </c>
      <c r="J11" s="244">
        <v>178.10000000000002</v>
      </c>
      <c r="K11" s="244">
        <v>178.85000000000002</v>
      </c>
      <c r="L11" s="244">
        <v>166.65</v>
      </c>
      <c r="M11" s="244">
        <v>167.4</v>
      </c>
      <c r="N11" s="244">
        <v>167.4</v>
      </c>
      <c r="O11" s="244">
        <v>158.68</v>
      </c>
      <c r="P11" s="244">
        <v>118.38</v>
      </c>
      <c r="Q11" s="244">
        <v>111.6</v>
      </c>
      <c r="R11" s="244">
        <v>120.89999999999999</v>
      </c>
      <c r="S11" s="244">
        <v>97.65</v>
      </c>
      <c r="T11" s="244">
        <v>97.65</v>
      </c>
      <c r="U11" s="244"/>
      <c r="V11" s="408">
        <f>SUM(I11:T11)</f>
        <v>1701.2600000000002</v>
      </c>
      <c r="W11" s="245"/>
      <c r="X11" s="421">
        <f t="shared" ref="X11:Z42" si="1">IFERROR(I11/$F11,0)</f>
        <v>10.072992700729927</v>
      </c>
      <c r="Y11" s="421">
        <f>IFERROR(J11/$F11,0)</f>
        <v>13.000000000000002</v>
      </c>
      <c r="Z11" s="421">
        <f t="shared" si="1"/>
        <v>13.054744525547447</v>
      </c>
      <c r="AA11" s="421">
        <f t="shared" ref="AA11:AI39" si="2">IFERROR(L11/$G11,0)</f>
        <v>11.946236559139786</v>
      </c>
      <c r="AB11" s="421">
        <f t="shared" si="2"/>
        <v>12.000000000000002</v>
      </c>
      <c r="AC11" s="421">
        <f t="shared" si="2"/>
        <v>12.000000000000002</v>
      </c>
      <c r="AD11" s="421">
        <f t="shared" si="2"/>
        <v>11.374910394265234</v>
      </c>
      <c r="AE11" s="421">
        <f t="shared" si="2"/>
        <v>8.4860215053763444</v>
      </c>
      <c r="AF11" s="421">
        <f t="shared" si="2"/>
        <v>8</v>
      </c>
      <c r="AG11" s="421">
        <f>IFERROR(R11/$G11,0)</f>
        <v>8.6666666666666661</v>
      </c>
      <c r="AH11" s="421">
        <f t="shared" si="2"/>
        <v>7.0000000000000009</v>
      </c>
      <c r="AI11" s="421">
        <f t="shared" si="2"/>
        <v>7.0000000000000009</v>
      </c>
      <c r="AJ11" s="408">
        <f>SUM(X11:AI11)</f>
        <v>122.60157235172541</v>
      </c>
    </row>
    <row r="12" spans="1:36">
      <c r="A12" s="231" t="str">
        <f t="shared" ref="A12:A75" si="3">$A$3&amp;"Residential"&amp;B12</f>
        <v>PIERCE UTCResidentialRL020.0G1W001NOREC</v>
      </c>
      <c r="B12" s="243" t="s">
        <v>179</v>
      </c>
      <c r="C12" s="243" t="s">
        <v>180</v>
      </c>
      <c r="D12" s="243" t="s">
        <v>416</v>
      </c>
      <c r="E12" s="230">
        <v>32000</v>
      </c>
      <c r="F12" s="244">
        <v>14.7</v>
      </c>
      <c r="G12" s="244">
        <v>14.95</v>
      </c>
      <c r="H12" s="244"/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/>
      <c r="V12" s="408">
        <f t="shared" ref="V12:V75" si="4">SUM(I12:T12)</f>
        <v>0</v>
      </c>
      <c r="W12" s="245"/>
      <c r="X12" s="421">
        <f t="shared" si="1"/>
        <v>0</v>
      </c>
      <c r="Y12" s="421">
        <f t="shared" si="1"/>
        <v>0</v>
      </c>
      <c r="Z12" s="421">
        <f t="shared" si="1"/>
        <v>0</v>
      </c>
      <c r="AA12" s="421">
        <f t="shared" si="2"/>
        <v>0</v>
      </c>
      <c r="AB12" s="421">
        <f t="shared" si="2"/>
        <v>0</v>
      </c>
      <c r="AC12" s="421">
        <f t="shared" si="2"/>
        <v>0</v>
      </c>
      <c r="AD12" s="421">
        <f t="shared" si="2"/>
        <v>0</v>
      </c>
      <c r="AE12" s="421">
        <f t="shared" si="2"/>
        <v>0</v>
      </c>
      <c r="AF12" s="421">
        <f t="shared" si="2"/>
        <v>0</v>
      </c>
      <c r="AG12" s="421">
        <f t="shared" si="2"/>
        <v>0</v>
      </c>
      <c r="AH12" s="421">
        <f t="shared" si="2"/>
        <v>0</v>
      </c>
      <c r="AI12" s="421">
        <f t="shared" si="2"/>
        <v>0</v>
      </c>
      <c r="AJ12" s="408">
        <f t="shared" ref="AJ12:AJ75" si="5">SUM(X12:AI12)</f>
        <v>0</v>
      </c>
    </row>
    <row r="13" spans="1:36">
      <c r="A13" s="231" t="str">
        <f t="shared" si="3"/>
        <v>PIERCE UTCResidentialRL032.0G1M001NOREC</v>
      </c>
      <c r="B13" s="243" t="s">
        <v>181</v>
      </c>
      <c r="C13" s="243" t="s">
        <v>182</v>
      </c>
      <c r="D13" s="243" t="s">
        <v>416</v>
      </c>
      <c r="E13" s="230">
        <v>32000</v>
      </c>
      <c r="F13" s="244">
        <v>8.4700000000000006</v>
      </c>
      <c r="G13" s="244">
        <v>8.57</v>
      </c>
      <c r="H13" s="244"/>
      <c r="I13" s="244">
        <v>17.04</v>
      </c>
      <c r="J13" s="244">
        <v>16.940000000000001</v>
      </c>
      <c r="K13" s="244">
        <v>16.990000000000002</v>
      </c>
      <c r="L13" s="244">
        <v>17.09</v>
      </c>
      <c r="M13" s="244">
        <v>17.14</v>
      </c>
      <c r="N13" s="244">
        <v>17.14</v>
      </c>
      <c r="O13" s="244">
        <v>17.14</v>
      </c>
      <c r="P13" s="244">
        <v>17.14</v>
      </c>
      <c r="Q13" s="244">
        <v>17.14</v>
      </c>
      <c r="R13" s="244">
        <v>17.14</v>
      </c>
      <c r="S13" s="244">
        <v>8.57</v>
      </c>
      <c r="T13" s="244">
        <v>8.57</v>
      </c>
      <c r="U13" s="244"/>
      <c r="V13" s="408">
        <f t="shared" si="4"/>
        <v>188.03999999999996</v>
      </c>
      <c r="W13" s="245"/>
      <c r="X13" s="421">
        <f t="shared" si="1"/>
        <v>2.0118063754427387</v>
      </c>
      <c r="Y13" s="421">
        <f t="shared" si="1"/>
        <v>2</v>
      </c>
      <c r="Z13" s="421">
        <f t="shared" si="1"/>
        <v>2.0059031877213696</v>
      </c>
      <c r="AA13" s="421">
        <f t="shared" si="2"/>
        <v>1.9941656942823802</v>
      </c>
      <c r="AB13" s="421">
        <f t="shared" si="2"/>
        <v>2</v>
      </c>
      <c r="AC13" s="421">
        <f t="shared" si="2"/>
        <v>2</v>
      </c>
      <c r="AD13" s="421">
        <f t="shared" si="2"/>
        <v>2</v>
      </c>
      <c r="AE13" s="421">
        <f t="shared" si="2"/>
        <v>2</v>
      </c>
      <c r="AF13" s="421">
        <f t="shared" si="2"/>
        <v>2</v>
      </c>
      <c r="AG13" s="421">
        <f t="shared" si="2"/>
        <v>2</v>
      </c>
      <c r="AH13" s="421">
        <f t="shared" si="2"/>
        <v>1</v>
      </c>
      <c r="AI13" s="421">
        <f t="shared" si="2"/>
        <v>1</v>
      </c>
      <c r="AJ13" s="408">
        <f t="shared" si="5"/>
        <v>22.011875257446487</v>
      </c>
    </row>
    <row r="14" spans="1:36">
      <c r="A14" s="231" t="str">
        <f t="shared" si="3"/>
        <v>PIERCE UTCResidentialRL032.0G1M001WREC</v>
      </c>
      <c r="B14" s="243" t="s">
        <v>183</v>
      </c>
      <c r="C14" s="243" t="s">
        <v>184</v>
      </c>
      <c r="D14" s="243" t="s">
        <v>416</v>
      </c>
      <c r="E14" s="230">
        <v>32000</v>
      </c>
      <c r="F14" s="244">
        <v>7.47</v>
      </c>
      <c r="G14" s="244">
        <v>7.57</v>
      </c>
      <c r="H14" s="244"/>
      <c r="I14" s="244">
        <v>420.41999999999996</v>
      </c>
      <c r="J14" s="244">
        <v>478.07999999999993</v>
      </c>
      <c r="K14" s="244">
        <v>487.35</v>
      </c>
      <c r="L14" s="244">
        <v>467.64</v>
      </c>
      <c r="M14" s="244">
        <v>465.55500000000001</v>
      </c>
      <c r="N14" s="244">
        <v>465.55500000000001</v>
      </c>
      <c r="O14" s="244">
        <v>461.77</v>
      </c>
      <c r="P14" s="244">
        <v>439.06</v>
      </c>
      <c r="Q14" s="244">
        <v>401.21000000000004</v>
      </c>
      <c r="R14" s="244">
        <v>333.08000000000004</v>
      </c>
      <c r="S14" s="244">
        <v>355.78999999999996</v>
      </c>
      <c r="T14" s="244">
        <v>355.78999999999996</v>
      </c>
      <c r="U14" s="244"/>
      <c r="V14" s="408">
        <f t="shared" si="4"/>
        <v>5131.2999999999993</v>
      </c>
      <c r="W14" s="245"/>
      <c r="X14" s="421">
        <f t="shared" si="1"/>
        <v>56.281124497991968</v>
      </c>
      <c r="Y14" s="421">
        <f t="shared" si="1"/>
        <v>63.999999999999993</v>
      </c>
      <c r="Z14" s="421">
        <f t="shared" si="1"/>
        <v>65.240963855421697</v>
      </c>
      <c r="AA14" s="421">
        <f t="shared" si="2"/>
        <v>61.775429326287977</v>
      </c>
      <c r="AB14" s="421">
        <f t="shared" si="2"/>
        <v>61.5</v>
      </c>
      <c r="AC14" s="421">
        <f t="shared" si="2"/>
        <v>61.5</v>
      </c>
      <c r="AD14" s="421">
        <f t="shared" si="2"/>
        <v>60.999999999999993</v>
      </c>
      <c r="AE14" s="421">
        <f t="shared" si="2"/>
        <v>58</v>
      </c>
      <c r="AF14" s="421">
        <f t="shared" si="2"/>
        <v>53</v>
      </c>
      <c r="AG14" s="421">
        <f t="shared" si="2"/>
        <v>44.000000000000007</v>
      </c>
      <c r="AH14" s="421">
        <f t="shared" si="2"/>
        <v>46.999999999999993</v>
      </c>
      <c r="AI14" s="421">
        <f t="shared" si="2"/>
        <v>46.999999999999993</v>
      </c>
      <c r="AJ14" s="408">
        <f t="shared" si="5"/>
        <v>680.29751767970163</v>
      </c>
    </row>
    <row r="15" spans="1:36">
      <c r="A15" s="231" t="str">
        <f t="shared" si="3"/>
        <v>PIERCE UTCResidentialRL032.0G1W001NOREC</v>
      </c>
      <c r="B15" s="243" t="s">
        <v>185</v>
      </c>
      <c r="C15" s="243" t="s">
        <v>186</v>
      </c>
      <c r="D15" s="243" t="s">
        <v>416</v>
      </c>
      <c r="E15" s="230">
        <v>32000</v>
      </c>
      <c r="F15" s="244">
        <v>19.5</v>
      </c>
      <c r="G15" s="244">
        <v>19.93</v>
      </c>
      <c r="H15" s="244"/>
      <c r="I15" s="244">
        <v>2050.9300000000003</v>
      </c>
      <c r="J15" s="244">
        <v>1658.13</v>
      </c>
      <c r="K15" s="244">
        <v>1654.83</v>
      </c>
      <c r="L15" s="244">
        <v>1672.8899999999999</v>
      </c>
      <c r="M15" s="244">
        <v>1632.0450000000001</v>
      </c>
      <c r="N15" s="244">
        <v>1545.105</v>
      </c>
      <c r="O15" s="244">
        <v>1591.355</v>
      </c>
      <c r="P15" s="244">
        <v>1488.375</v>
      </c>
      <c r="Q15" s="244">
        <v>1477.03</v>
      </c>
      <c r="R15" s="244">
        <v>1397.9499999999998</v>
      </c>
      <c r="S15" s="244">
        <v>1395.1</v>
      </c>
      <c r="T15" s="244">
        <v>1395.1</v>
      </c>
      <c r="U15" s="244"/>
      <c r="V15" s="408">
        <f t="shared" si="4"/>
        <v>18958.839999999997</v>
      </c>
      <c r="W15" s="245"/>
      <c r="X15" s="421">
        <f t="shared" si="1"/>
        <v>105.17589743589745</v>
      </c>
      <c r="Y15" s="421">
        <f t="shared" si="1"/>
        <v>85.032307692307697</v>
      </c>
      <c r="Z15" s="421">
        <f t="shared" si="1"/>
        <v>84.863076923076918</v>
      </c>
      <c r="AA15" s="421">
        <f t="shared" si="2"/>
        <v>83.938283993978928</v>
      </c>
      <c r="AB15" s="421">
        <f t="shared" si="2"/>
        <v>81.888861013547427</v>
      </c>
      <c r="AC15" s="421">
        <f t="shared" si="2"/>
        <v>77.526593075765177</v>
      </c>
      <c r="AD15" s="421">
        <f t="shared" si="2"/>
        <v>79.84721525338685</v>
      </c>
      <c r="AE15" s="421">
        <f t="shared" si="2"/>
        <v>74.680130456598093</v>
      </c>
      <c r="AF15" s="421">
        <f t="shared" si="2"/>
        <v>74.110888108379328</v>
      </c>
      <c r="AG15" s="421">
        <f t="shared" si="2"/>
        <v>70.143000501756134</v>
      </c>
      <c r="AH15" s="421">
        <f t="shared" si="2"/>
        <v>70</v>
      </c>
      <c r="AI15" s="421">
        <f t="shared" si="2"/>
        <v>70</v>
      </c>
      <c r="AJ15" s="408">
        <f t="shared" si="5"/>
        <v>957.20625445469398</v>
      </c>
    </row>
    <row r="16" spans="1:36">
      <c r="A16" s="231" t="str">
        <f t="shared" si="3"/>
        <v>PIERCE UTCResidentialRL032.0G1W001WREC</v>
      </c>
      <c r="B16" s="243" t="s">
        <v>187</v>
      </c>
      <c r="C16" s="243" t="s">
        <v>188</v>
      </c>
      <c r="D16" s="243" t="s">
        <v>416</v>
      </c>
      <c r="E16" s="230">
        <v>32000</v>
      </c>
      <c r="F16" s="244">
        <v>18.5</v>
      </c>
      <c r="G16" s="244">
        <v>18.93</v>
      </c>
      <c r="H16" s="244"/>
      <c r="I16" s="244">
        <v>15119.055</v>
      </c>
      <c r="J16" s="244">
        <v>25163.824999999997</v>
      </c>
      <c r="K16" s="244">
        <v>25042.57</v>
      </c>
      <c r="L16" s="244">
        <v>25029.014999999996</v>
      </c>
      <c r="M16" s="244">
        <v>24816.379999999997</v>
      </c>
      <c r="N16" s="244">
        <v>24571.11</v>
      </c>
      <c r="O16" s="244">
        <v>24093.91</v>
      </c>
      <c r="P16" s="244">
        <v>22458.544999999998</v>
      </c>
      <c r="Q16" s="244">
        <v>11826.519999999997</v>
      </c>
      <c r="R16" s="244">
        <v>3632.1149999999998</v>
      </c>
      <c r="S16" s="244">
        <v>3531.3249999999998</v>
      </c>
      <c r="T16" s="244">
        <v>3459.9799999999996</v>
      </c>
      <c r="U16" s="244"/>
      <c r="V16" s="408">
        <f t="shared" si="4"/>
        <v>208744.35000000003</v>
      </c>
      <c r="W16" s="245"/>
      <c r="X16" s="421">
        <f t="shared" si="1"/>
        <v>817.24621621621623</v>
      </c>
      <c r="Y16" s="421">
        <f t="shared" si="1"/>
        <v>1360.2067567567567</v>
      </c>
      <c r="Z16" s="421">
        <f t="shared" si="1"/>
        <v>1353.6524324324323</v>
      </c>
      <c r="AA16" s="421">
        <f t="shared" si="2"/>
        <v>1322.1877971473848</v>
      </c>
      <c r="AB16" s="421">
        <f t="shared" si="2"/>
        <v>1310.9550977284732</v>
      </c>
      <c r="AC16" s="421">
        <f t="shared" si="2"/>
        <v>1297.9984152139461</v>
      </c>
      <c r="AD16" s="421">
        <f t="shared" si="2"/>
        <v>1272.7897517168515</v>
      </c>
      <c r="AE16" s="421">
        <f t="shared" si="2"/>
        <v>1186.3996302165874</v>
      </c>
      <c r="AF16" s="421">
        <f t="shared" si="2"/>
        <v>624.75013206550432</v>
      </c>
      <c r="AG16" s="421">
        <f t="shared" si="2"/>
        <v>191.87083993660855</v>
      </c>
      <c r="AH16" s="421">
        <f t="shared" si="2"/>
        <v>186.54648705758055</v>
      </c>
      <c r="AI16" s="421">
        <f t="shared" si="2"/>
        <v>182.77760169043844</v>
      </c>
      <c r="AJ16" s="408">
        <f t="shared" si="5"/>
        <v>11107.38115817878</v>
      </c>
    </row>
    <row r="17" spans="1:36">
      <c r="A17" s="231" t="str">
        <f t="shared" si="3"/>
        <v>PIERCE UTCResidentialRL032.0G1W001WRECSPCL</v>
      </c>
      <c r="B17" s="243" t="s">
        <v>417</v>
      </c>
      <c r="C17" s="243" t="s">
        <v>418</v>
      </c>
      <c r="D17" s="243" t="s">
        <v>416</v>
      </c>
      <c r="E17" s="230">
        <v>32000</v>
      </c>
      <c r="F17" s="244">
        <v>0</v>
      </c>
      <c r="G17" s="244">
        <v>0</v>
      </c>
      <c r="H17" s="244"/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/>
      <c r="V17" s="408">
        <f t="shared" si="4"/>
        <v>0</v>
      </c>
      <c r="W17" s="245"/>
      <c r="X17" s="421">
        <f t="shared" si="1"/>
        <v>0</v>
      </c>
      <c r="Y17" s="421">
        <f t="shared" si="1"/>
        <v>0</v>
      </c>
      <c r="Z17" s="421">
        <f t="shared" si="1"/>
        <v>0</v>
      </c>
      <c r="AA17" s="421">
        <f t="shared" si="2"/>
        <v>0</v>
      </c>
      <c r="AB17" s="421">
        <f t="shared" si="2"/>
        <v>0</v>
      </c>
      <c r="AC17" s="421">
        <f t="shared" si="2"/>
        <v>0</v>
      </c>
      <c r="AD17" s="421">
        <f t="shared" si="2"/>
        <v>0</v>
      </c>
      <c r="AE17" s="421">
        <f t="shared" si="2"/>
        <v>0</v>
      </c>
      <c r="AF17" s="421">
        <f t="shared" si="2"/>
        <v>0</v>
      </c>
      <c r="AG17" s="421">
        <f t="shared" si="2"/>
        <v>0</v>
      </c>
      <c r="AH17" s="421">
        <f t="shared" si="2"/>
        <v>0</v>
      </c>
      <c r="AI17" s="421">
        <f t="shared" si="2"/>
        <v>0</v>
      </c>
      <c r="AJ17" s="408">
        <f t="shared" si="5"/>
        <v>0</v>
      </c>
    </row>
    <row r="18" spans="1:36">
      <c r="A18" s="231" t="str">
        <f t="shared" si="3"/>
        <v>PIERCE UTCResidentialRL032.0G1W002WRECSPCL</v>
      </c>
      <c r="B18" s="243" t="s">
        <v>419</v>
      </c>
      <c r="C18" s="243" t="s">
        <v>420</v>
      </c>
      <c r="D18" s="243" t="s">
        <v>416</v>
      </c>
      <c r="E18" s="230">
        <v>32000</v>
      </c>
      <c r="F18" s="244">
        <v>0</v>
      </c>
      <c r="G18" s="244">
        <v>0</v>
      </c>
      <c r="H18" s="244"/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/>
      <c r="V18" s="408">
        <f t="shared" si="4"/>
        <v>0</v>
      </c>
      <c r="W18" s="245"/>
      <c r="X18" s="421">
        <f t="shared" si="1"/>
        <v>0</v>
      </c>
      <c r="Y18" s="421">
        <f t="shared" si="1"/>
        <v>0</v>
      </c>
      <c r="Z18" s="421">
        <f t="shared" si="1"/>
        <v>0</v>
      </c>
      <c r="AA18" s="421">
        <f t="shared" si="2"/>
        <v>0</v>
      </c>
      <c r="AB18" s="421">
        <f t="shared" si="2"/>
        <v>0</v>
      </c>
      <c r="AC18" s="421">
        <f t="shared" si="2"/>
        <v>0</v>
      </c>
      <c r="AD18" s="421">
        <f t="shared" si="2"/>
        <v>0</v>
      </c>
      <c r="AE18" s="421">
        <f t="shared" si="2"/>
        <v>0</v>
      </c>
      <c r="AF18" s="421">
        <f t="shared" si="2"/>
        <v>0</v>
      </c>
      <c r="AG18" s="421">
        <f t="shared" si="2"/>
        <v>0</v>
      </c>
      <c r="AH18" s="421">
        <f t="shared" si="2"/>
        <v>0</v>
      </c>
      <c r="AI18" s="421">
        <f t="shared" si="2"/>
        <v>0</v>
      </c>
      <c r="AJ18" s="408">
        <f t="shared" si="5"/>
        <v>0</v>
      </c>
    </row>
    <row r="19" spans="1:36">
      <c r="A19" s="231" t="str">
        <f t="shared" si="3"/>
        <v>PIERCE UTCResidentialRL032.0G1W002NOREC</v>
      </c>
      <c r="B19" s="243" t="s">
        <v>189</v>
      </c>
      <c r="C19" s="243" t="s">
        <v>190</v>
      </c>
      <c r="D19" s="243" t="s">
        <v>416</v>
      </c>
      <c r="E19" s="230">
        <v>32000</v>
      </c>
      <c r="F19" s="244">
        <v>29.26</v>
      </c>
      <c r="G19" s="244">
        <v>29.91</v>
      </c>
      <c r="H19" s="244"/>
      <c r="I19" s="244">
        <v>26.58499999999998</v>
      </c>
      <c r="J19" s="244">
        <v>778.93999999999994</v>
      </c>
      <c r="K19" s="244">
        <v>764.66</v>
      </c>
      <c r="L19" s="244">
        <v>773.76</v>
      </c>
      <c r="M19" s="244">
        <v>747.75</v>
      </c>
      <c r="N19" s="244">
        <v>747.75</v>
      </c>
      <c r="O19" s="244">
        <v>747.75</v>
      </c>
      <c r="P19" s="244">
        <v>717.83999999999992</v>
      </c>
      <c r="Q19" s="244">
        <v>717.83999999999992</v>
      </c>
      <c r="R19" s="244">
        <v>717.83999999999992</v>
      </c>
      <c r="S19" s="244">
        <v>717.83999999999992</v>
      </c>
      <c r="T19" s="244">
        <v>661.34500000000003</v>
      </c>
      <c r="U19" s="244"/>
      <c r="V19" s="408">
        <f t="shared" si="4"/>
        <v>8119.9000000000005</v>
      </c>
      <c r="W19" s="245"/>
      <c r="X19" s="421">
        <f t="shared" si="1"/>
        <v>0.90857826384142104</v>
      </c>
      <c r="Y19" s="421">
        <f t="shared" si="1"/>
        <v>26.621326042378669</v>
      </c>
      <c r="Z19" s="421">
        <f t="shared" si="1"/>
        <v>26.133287764866711</v>
      </c>
      <c r="AA19" s="421">
        <f t="shared" si="2"/>
        <v>25.869608826479439</v>
      </c>
      <c r="AB19" s="421">
        <f t="shared" si="2"/>
        <v>25</v>
      </c>
      <c r="AC19" s="421">
        <f t="shared" si="2"/>
        <v>25</v>
      </c>
      <c r="AD19" s="421">
        <f t="shared" si="2"/>
        <v>25</v>
      </c>
      <c r="AE19" s="421">
        <f t="shared" si="2"/>
        <v>23.999999999999996</v>
      </c>
      <c r="AF19" s="421">
        <f t="shared" si="2"/>
        <v>23.999999999999996</v>
      </c>
      <c r="AG19" s="421">
        <f t="shared" si="2"/>
        <v>23.999999999999996</v>
      </c>
      <c r="AH19" s="421">
        <f t="shared" si="2"/>
        <v>23.999999999999996</v>
      </c>
      <c r="AI19" s="421">
        <f t="shared" si="2"/>
        <v>22.11116683383484</v>
      </c>
      <c r="AJ19" s="408">
        <f t="shared" si="5"/>
        <v>272.64396773140106</v>
      </c>
    </row>
    <row r="20" spans="1:36">
      <c r="A20" s="231" t="str">
        <f t="shared" si="3"/>
        <v>PIERCE UTCResidentialRL032.0G1W002WREC</v>
      </c>
      <c r="B20" s="243" t="s">
        <v>191</v>
      </c>
      <c r="C20" s="243" t="s">
        <v>192</v>
      </c>
      <c r="D20" s="243" t="s">
        <v>416</v>
      </c>
      <c r="E20" s="230">
        <v>32000</v>
      </c>
      <c r="F20" s="244">
        <v>27.26</v>
      </c>
      <c r="G20" s="244">
        <v>27.91</v>
      </c>
      <c r="H20" s="244"/>
      <c r="I20" s="244">
        <v>5772.59</v>
      </c>
      <c r="J20" s="244">
        <v>6129.74</v>
      </c>
      <c r="K20" s="244">
        <v>6125.77</v>
      </c>
      <c r="L20" s="244">
        <v>6211.7000000000007</v>
      </c>
      <c r="M20" s="244">
        <v>6137.0999999999995</v>
      </c>
      <c r="N20" s="244">
        <v>6124.6900000000005</v>
      </c>
      <c r="O20" s="244">
        <v>6028.57</v>
      </c>
      <c r="P20" s="244">
        <v>5715.35</v>
      </c>
      <c r="Q20" s="244">
        <v>5400.585</v>
      </c>
      <c r="R20" s="244">
        <v>5264.13</v>
      </c>
      <c r="S20" s="244">
        <v>5240.875</v>
      </c>
      <c r="T20" s="244">
        <v>5191.26</v>
      </c>
      <c r="U20" s="244"/>
      <c r="V20" s="408">
        <f t="shared" si="4"/>
        <v>69342.359999999986</v>
      </c>
      <c r="W20" s="245"/>
      <c r="X20" s="421">
        <f t="shared" si="1"/>
        <v>211.76045487894351</v>
      </c>
      <c r="Y20" s="421">
        <f t="shared" si="1"/>
        <v>224.86206896551721</v>
      </c>
      <c r="Z20" s="421">
        <f t="shared" si="1"/>
        <v>224.71643433602347</v>
      </c>
      <c r="AA20" s="421">
        <f t="shared" si="2"/>
        <v>222.5618058043712</v>
      </c>
      <c r="AB20" s="421">
        <f t="shared" si="2"/>
        <v>219.88892869939087</v>
      </c>
      <c r="AC20" s="421">
        <f t="shared" si="2"/>
        <v>219.44428520243642</v>
      </c>
      <c r="AD20" s="421">
        <f t="shared" si="2"/>
        <v>216.00035829451809</v>
      </c>
      <c r="AE20" s="421">
        <f t="shared" si="2"/>
        <v>204.7778573987818</v>
      </c>
      <c r="AF20" s="421">
        <f t="shared" si="2"/>
        <v>193.5</v>
      </c>
      <c r="AG20" s="421">
        <f t="shared" si="2"/>
        <v>188.61089215335005</v>
      </c>
      <c r="AH20" s="421">
        <f t="shared" si="2"/>
        <v>187.77767825152276</v>
      </c>
      <c r="AI20" s="421">
        <f t="shared" si="2"/>
        <v>186</v>
      </c>
      <c r="AJ20" s="408">
        <f t="shared" si="5"/>
        <v>2499.9007639848555</v>
      </c>
    </row>
    <row r="21" spans="1:36">
      <c r="A21" s="231" t="str">
        <f t="shared" si="3"/>
        <v>PIERCE UTCResidentialRL032.0G1W003NOREC</v>
      </c>
      <c r="B21" s="243" t="s">
        <v>193</v>
      </c>
      <c r="C21" s="243" t="s">
        <v>194</v>
      </c>
      <c r="D21" s="243" t="s">
        <v>416</v>
      </c>
      <c r="E21" s="230">
        <v>32000</v>
      </c>
      <c r="F21" s="244">
        <v>39.67</v>
      </c>
      <c r="G21" s="244">
        <v>40.65</v>
      </c>
      <c r="H21" s="244"/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/>
      <c r="V21" s="408">
        <f t="shared" si="4"/>
        <v>0</v>
      </c>
      <c r="W21" s="245"/>
      <c r="X21" s="421">
        <f t="shared" si="1"/>
        <v>0</v>
      </c>
      <c r="Y21" s="421">
        <f t="shared" si="1"/>
        <v>0</v>
      </c>
      <c r="Z21" s="421">
        <f t="shared" si="1"/>
        <v>0</v>
      </c>
      <c r="AA21" s="421">
        <f t="shared" si="2"/>
        <v>0</v>
      </c>
      <c r="AB21" s="421">
        <f t="shared" si="2"/>
        <v>0</v>
      </c>
      <c r="AC21" s="421">
        <f t="shared" si="2"/>
        <v>0</v>
      </c>
      <c r="AD21" s="421">
        <f t="shared" si="2"/>
        <v>0</v>
      </c>
      <c r="AE21" s="421">
        <f t="shared" si="2"/>
        <v>0</v>
      </c>
      <c r="AF21" s="421">
        <f t="shared" si="2"/>
        <v>0</v>
      </c>
      <c r="AG21" s="421">
        <f t="shared" si="2"/>
        <v>0</v>
      </c>
      <c r="AH21" s="421">
        <f t="shared" si="2"/>
        <v>0</v>
      </c>
      <c r="AI21" s="421">
        <f t="shared" si="2"/>
        <v>0</v>
      </c>
      <c r="AJ21" s="408">
        <f t="shared" si="5"/>
        <v>0</v>
      </c>
    </row>
    <row r="22" spans="1:36">
      <c r="A22" s="231" t="str">
        <f t="shared" si="3"/>
        <v>PIERCE UTCResidentialRL032.0G1W003WREC</v>
      </c>
      <c r="B22" s="243" t="s">
        <v>195</v>
      </c>
      <c r="C22" s="243" t="s">
        <v>196</v>
      </c>
      <c r="D22" s="243" t="s">
        <v>416</v>
      </c>
      <c r="E22" s="230">
        <v>32000</v>
      </c>
      <c r="F22" s="244">
        <v>36.67</v>
      </c>
      <c r="G22" s="244">
        <v>37.65</v>
      </c>
      <c r="H22" s="244"/>
      <c r="I22" s="244">
        <v>314.63</v>
      </c>
      <c r="J22" s="244">
        <v>330.03000000000003</v>
      </c>
      <c r="K22" s="244">
        <v>332.97</v>
      </c>
      <c r="L22" s="244">
        <v>335.91</v>
      </c>
      <c r="M22" s="244">
        <v>301.2</v>
      </c>
      <c r="N22" s="244">
        <v>301.2</v>
      </c>
      <c r="O22" s="244">
        <v>301.2</v>
      </c>
      <c r="P22" s="244">
        <v>301.2</v>
      </c>
      <c r="Q22" s="244">
        <v>301.2</v>
      </c>
      <c r="R22" s="244">
        <v>301.2</v>
      </c>
      <c r="S22" s="244">
        <v>301.2</v>
      </c>
      <c r="T22" s="244">
        <v>301.2</v>
      </c>
      <c r="U22" s="244"/>
      <c r="V22" s="408">
        <f t="shared" si="4"/>
        <v>3723.1399999999994</v>
      </c>
      <c r="W22" s="245"/>
      <c r="X22" s="421">
        <f t="shared" si="1"/>
        <v>8.5800381783474222</v>
      </c>
      <c r="Y22" s="421">
        <f t="shared" si="1"/>
        <v>9</v>
      </c>
      <c r="Z22" s="421">
        <f t="shared" si="1"/>
        <v>9.0801745295882199</v>
      </c>
      <c r="AA22" s="421">
        <f t="shared" si="2"/>
        <v>8.9219123505976103</v>
      </c>
      <c r="AB22" s="421">
        <f t="shared" si="2"/>
        <v>8</v>
      </c>
      <c r="AC22" s="421">
        <f t="shared" si="2"/>
        <v>8</v>
      </c>
      <c r="AD22" s="421">
        <f t="shared" si="2"/>
        <v>8</v>
      </c>
      <c r="AE22" s="421">
        <f t="shared" si="2"/>
        <v>8</v>
      </c>
      <c r="AF22" s="421">
        <f t="shared" si="2"/>
        <v>8</v>
      </c>
      <c r="AG22" s="421">
        <f t="shared" si="2"/>
        <v>8</v>
      </c>
      <c r="AH22" s="421">
        <f t="shared" si="2"/>
        <v>8</v>
      </c>
      <c r="AI22" s="421">
        <f t="shared" si="2"/>
        <v>8</v>
      </c>
      <c r="AJ22" s="408">
        <f t="shared" si="5"/>
        <v>99.582125058533251</v>
      </c>
    </row>
    <row r="23" spans="1:36">
      <c r="A23" s="231" t="str">
        <f t="shared" si="3"/>
        <v>PIERCE UTCResidentialRL032.0G1W004NOREC</v>
      </c>
      <c r="B23" s="243" t="s">
        <v>197</v>
      </c>
      <c r="C23" s="243" t="s">
        <v>198</v>
      </c>
      <c r="D23" s="243" t="s">
        <v>416</v>
      </c>
      <c r="E23" s="230">
        <v>32000</v>
      </c>
      <c r="F23" s="244">
        <v>49.56</v>
      </c>
      <c r="G23" s="244">
        <v>50.79</v>
      </c>
      <c r="H23" s="244"/>
      <c r="I23" s="244">
        <v>49.56</v>
      </c>
      <c r="J23" s="244">
        <v>49.56</v>
      </c>
      <c r="K23" s="244">
        <v>50.174999999999997</v>
      </c>
      <c r="L23" s="244">
        <v>50.174999999999997</v>
      </c>
      <c r="M23" s="244">
        <v>50.79</v>
      </c>
      <c r="N23" s="244">
        <v>50.79</v>
      </c>
      <c r="O23" s="244">
        <v>50.79</v>
      </c>
      <c r="P23" s="244">
        <v>50.79</v>
      </c>
      <c r="Q23" s="244">
        <v>50.79</v>
      </c>
      <c r="R23" s="244">
        <v>50.79</v>
      </c>
      <c r="S23" s="244">
        <v>50.79</v>
      </c>
      <c r="T23" s="244">
        <v>50.79</v>
      </c>
      <c r="U23" s="244"/>
      <c r="V23" s="408">
        <f t="shared" si="4"/>
        <v>605.79000000000008</v>
      </c>
      <c r="W23" s="245"/>
      <c r="X23" s="421">
        <f t="shared" si="1"/>
        <v>1</v>
      </c>
      <c r="Y23" s="421">
        <f t="shared" si="1"/>
        <v>1</v>
      </c>
      <c r="Z23" s="421">
        <f t="shared" si="1"/>
        <v>1.0124092009685228</v>
      </c>
      <c r="AA23" s="421">
        <f t="shared" si="2"/>
        <v>0.98789131718842282</v>
      </c>
      <c r="AB23" s="421">
        <f t="shared" si="2"/>
        <v>1</v>
      </c>
      <c r="AC23" s="421">
        <f t="shared" si="2"/>
        <v>1</v>
      </c>
      <c r="AD23" s="421">
        <f t="shared" si="2"/>
        <v>1</v>
      </c>
      <c r="AE23" s="421">
        <f t="shared" si="2"/>
        <v>1</v>
      </c>
      <c r="AF23" s="421">
        <f t="shared" si="2"/>
        <v>1</v>
      </c>
      <c r="AG23" s="421">
        <f t="shared" si="2"/>
        <v>1</v>
      </c>
      <c r="AH23" s="421">
        <f t="shared" si="2"/>
        <v>1</v>
      </c>
      <c r="AI23" s="421">
        <f t="shared" si="2"/>
        <v>1</v>
      </c>
      <c r="AJ23" s="408">
        <f t="shared" si="5"/>
        <v>12.000300518156944</v>
      </c>
    </row>
    <row r="24" spans="1:36">
      <c r="A24" s="231" t="str">
        <f t="shared" si="3"/>
        <v>PIERCE UTCResidentialRL032.0G1W004WREC</v>
      </c>
      <c r="B24" s="243" t="s">
        <v>199</v>
      </c>
      <c r="C24" s="243" t="s">
        <v>200</v>
      </c>
      <c r="D24" s="243" t="s">
        <v>416</v>
      </c>
      <c r="E24" s="230">
        <v>32000</v>
      </c>
      <c r="F24" s="244">
        <v>45.56</v>
      </c>
      <c r="G24" s="244">
        <v>46.79</v>
      </c>
      <c r="H24" s="244"/>
      <c r="I24" s="244">
        <v>45.56</v>
      </c>
      <c r="J24" s="244">
        <v>45.56</v>
      </c>
      <c r="K24" s="244">
        <v>46.174999999999997</v>
      </c>
      <c r="L24" s="244">
        <v>46.174999999999997</v>
      </c>
      <c r="M24" s="244">
        <v>93.58</v>
      </c>
      <c r="N24" s="244">
        <v>93.58</v>
      </c>
      <c r="O24" s="244">
        <v>93.58</v>
      </c>
      <c r="P24" s="244">
        <v>93.58</v>
      </c>
      <c r="Q24" s="244">
        <v>93.58</v>
      </c>
      <c r="R24" s="244">
        <v>93.58</v>
      </c>
      <c r="S24" s="244">
        <v>93.58</v>
      </c>
      <c r="T24" s="244">
        <v>93.58</v>
      </c>
      <c r="U24" s="244"/>
      <c r="V24" s="408">
        <f t="shared" si="4"/>
        <v>932.11000000000013</v>
      </c>
      <c r="W24" s="245"/>
      <c r="X24" s="421">
        <f t="shared" si="1"/>
        <v>1</v>
      </c>
      <c r="Y24" s="421">
        <f t="shared" si="1"/>
        <v>1</v>
      </c>
      <c r="Z24" s="421">
        <f t="shared" si="1"/>
        <v>1.0134986830553117</v>
      </c>
      <c r="AA24" s="421">
        <f t="shared" si="2"/>
        <v>0.98685616584740321</v>
      </c>
      <c r="AB24" s="421">
        <f t="shared" si="2"/>
        <v>2</v>
      </c>
      <c r="AC24" s="421">
        <f t="shared" si="2"/>
        <v>2</v>
      </c>
      <c r="AD24" s="421">
        <f t="shared" si="2"/>
        <v>2</v>
      </c>
      <c r="AE24" s="421">
        <f t="shared" si="2"/>
        <v>2</v>
      </c>
      <c r="AF24" s="421">
        <f t="shared" si="2"/>
        <v>2</v>
      </c>
      <c r="AG24" s="421">
        <f t="shared" si="2"/>
        <v>2</v>
      </c>
      <c r="AH24" s="421">
        <f t="shared" si="2"/>
        <v>2</v>
      </c>
      <c r="AI24" s="421">
        <f t="shared" si="2"/>
        <v>2</v>
      </c>
      <c r="AJ24" s="408">
        <f t="shared" si="5"/>
        <v>20.000354848902717</v>
      </c>
    </row>
    <row r="25" spans="1:36">
      <c r="A25" s="231" t="str">
        <f t="shared" si="3"/>
        <v>PIERCE UTCResidentialSL032.0G1W001WREC</v>
      </c>
      <c r="B25" s="243" t="s">
        <v>421</v>
      </c>
      <c r="C25" s="243" t="s">
        <v>188</v>
      </c>
      <c r="D25" s="243" t="s">
        <v>416</v>
      </c>
      <c r="E25" s="230">
        <v>32000</v>
      </c>
      <c r="F25" s="244">
        <v>0</v>
      </c>
      <c r="G25" s="244">
        <v>0</v>
      </c>
      <c r="H25" s="244"/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/>
      <c r="V25" s="408">
        <f t="shared" si="4"/>
        <v>0</v>
      </c>
      <c r="W25" s="245"/>
      <c r="X25" s="421">
        <f t="shared" si="1"/>
        <v>0</v>
      </c>
      <c r="Y25" s="421">
        <f t="shared" si="1"/>
        <v>0</v>
      </c>
      <c r="Z25" s="421">
        <f t="shared" si="1"/>
        <v>0</v>
      </c>
      <c r="AA25" s="421">
        <f t="shared" si="2"/>
        <v>0</v>
      </c>
      <c r="AB25" s="421">
        <f t="shared" si="2"/>
        <v>0</v>
      </c>
      <c r="AC25" s="421">
        <f t="shared" si="2"/>
        <v>0</v>
      </c>
      <c r="AD25" s="421">
        <f t="shared" si="2"/>
        <v>0</v>
      </c>
      <c r="AE25" s="421">
        <f t="shared" si="2"/>
        <v>0</v>
      </c>
      <c r="AF25" s="421">
        <f t="shared" si="2"/>
        <v>0</v>
      </c>
      <c r="AG25" s="421">
        <f t="shared" si="2"/>
        <v>0</v>
      </c>
      <c r="AH25" s="421">
        <f t="shared" si="2"/>
        <v>0</v>
      </c>
      <c r="AI25" s="421">
        <f t="shared" si="2"/>
        <v>0</v>
      </c>
      <c r="AJ25" s="408">
        <f t="shared" si="5"/>
        <v>0</v>
      </c>
    </row>
    <row r="26" spans="1:36">
      <c r="A26" s="231" t="str">
        <f t="shared" si="3"/>
        <v>PIERCE UTCResidentialSL035.0G1M001WREC</v>
      </c>
      <c r="B26" s="243" t="s">
        <v>201</v>
      </c>
      <c r="C26" s="243" t="s">
        <v>202</v>
      </c>
      <c r="D26" s="243" t="s">
        <v>416</v>
      </c>
      <c r="E26" s="230">
        <v>32000</v>
      </c>
      <c r="F26" s="244">
        <v>9.26</v>
      </c>
      <c r="G26" s="244">
        <v>9.3699999999999992</v>
      </c>
      <c r="H26" s="244"/>
      <c r="I26" s="244">
        <v>372.71000000000004</v>
      </c>
      <c r="J26" s="244">
        <v>287.05999999999995</v>
      </c>
      <c r="K26" s="244">
        <v>292.89999999999998</v>
      </c>
      <c r="L26" s="244">
        <v>294.22000000000003</v>
      </c>
      <c r="M26" s="244">
        <v>313.89499999999998</v>
      </c>
      <c r="N26" s="244">
        <v>330.55500000000001</v>
      </c>
      <c r="O26" s="244">
        <v>396.14499999999998</v>
      </c>
      <c r="P26" s="244">
        <v>434.80500000000001</v>
      </c>
      <c r="Q26" s="244">
        <v>509.05</v>
      </c>
      <c r="R26" s="244">
        <v>547.43000000000006</v>
      </c>
      <c r="S26" s="244">
        <v>534.09</v>
      </c>
      <c r="T26" s="244">
        <v>543.46</v>
      </c>
      <c r="U26" s="244"/>
      <c r="V26" s="408">
        <f t="shared" si="4"/>
        <v>4856.32</v>
      </c>
      <c r="W26" s="245"/>
      <c r="X26" s="421">
        <f t="shared" si="1"/>
        <v>40.249460043196549</v>
      </c>
      <c r="Y26" s="421">
        <f t="shared" si="1"/>
        <v>30.999999999999996</v>
      </c>
      <c r="Z26" s="421">
        <f t="shared" si="1"/>
        <v>31.630669546436284</v>
      </c>
      <c r="AA26" s="421">
        <f t="shared" si="2"/>
        <v>31.400213447171829</v>
      </c>
      <c r="AB26" s="421">
        <f t="shared" si="2"/>
        <v>33.5</v>
      </c>
      <c r="AC26" s="421">
        <f t="shared" si="2"/>
        <v>35.278014941302033</v>
      </c>
      <c r="AD26" s="421">
        <f t="shared" si="2"/>
        <v>42.278014941302033</v>
      </c>
      <c r="AE26" s="421">
        <f t="shared" si="2"/>
        <v>46.403948772678767</v>
      </c>
      <c r="AF26" s="421">
        <f t="shared" si="2"/>
        <v>54.32764140875134</v>
      </c>
      <c r="AG26" s="421">
        <f t="shared" si="2"/>
        <v>58.42369263607258</v>
      </c>
      <c r="AH26" s="421">
        <f t="shared" si="2"/>
        <v>57.000000000000007</v>
      </c>
      <c r="AI26" s="421">
        <f t="shared" si="2"/>
        <v>58.000000000000007</v>
      </c>
      <c r="AJ26" s="408">
        <f t="shared" si="5"/>
        <v>519.49165573691141</v>
      </c>
    </row>
    <row r="27" spans="1:36">
      <c r="A27" s="231" t="str">
        <f t="shared" si="3"/>
        <v>PIERCE UTCResidentialSL035.0GEO001WREC</v>
      </c>
      <c r="B27" s="243" t="s">
        <v>203</v>
      </c>
      <c r="C27" s="243" t="s">
        <v>204</v>
      </c>
      <c r="D27" s="243" t="s">
        <v>416</v>
      </c>
      <c r="E27" s="230">
        <v>32000</v>
      </c>
      <c r="F27" s="244">
        <v>12.55</v>
      </c>
      <c r="G27" s="244">
        <v>12.78</v>
      </c>
      <c r="H27" s="244"/>
      <c r="I27" s="244">
        <v>3336.5099999999998</v>
      </c>
      <c r="J27" s="244">
        <v>2314.8250000000003</v>
      </c>
      <c r="K27" s="244">
        <v>2477.59</v>
      </c>
      <c r="L27" s="244">
        <v>2716.2449999999994</v>
      </c>
      <c r="M27" s="244">
        <v>2853.57</v>
      </c>
      <c r="N27" s="244">
        <v>3071.03</v>
      </c>
      <c r="O27" s="244">
        <v>3239.8</v>
      </c>
      <c r="P27" s="244">
        <v>3680</v>
      </c>
      <c r="Q27" s="244">
        <v>3850.3249999999998</v>
      </c>
      <c r="R27" s="244">
        <v>4003.0600000000004</v>
      </c>
      <c r="S27" s="244">
        <v>4129.9549999999999</v>
      </c>
      <c r="T27" s="244">
        <v>4145.8999999999996</v>
      </c>
      <c r="U27" s="244"/>
      <c r="V27" s="408">
        <f t="shared" si="4"/>
        <v>39818.810000000005</v>
      </c>
      <c r="W27" s="245"/>
      <c r="X27" s="421">
        <f t="shared" si="1"/>
        <v>265.85737051792825</v>
      </c>
      <c r="Y27" s="421">
        <f t="shared" si="1"/>
        <v>184.44820717131475</v>
      </c>
      <c r="Z27" s="421">
        <f t="shared" si="1"/>
        <v>197.4175298804781</v>
      </c>
      <c r="AA27" s="421">
        <f t="shared" si="2"/>
        <v>212.53873239436615</v>
      </c>
      <c r="AB27" s="421">
        <f t="shared" si="2"/>
        <v>223.28403755868547</v>
      </c>
      <c r="AC27" s="421">
        <f t="shared" si="2"/>
        <v>240.29968701095464</v>
      </c>
      <c r="AD27" s="421">
        <f t="shared" si="2"/>
        <v>253.50547730829425</v>
      </c>
      <c r="AE27" s="421">
        <f t="shared" si="2"/>
        <v>287.94992175273865</v>
      </c>
      <c r="AF27" s="421">
        <f t="shared" si="2"/>
        <v>301.27738654147106</v>
      </c>
      <c r="AG27" s="421">
        <f t="shared" si="2"/>
        <v>313.22848200312995</v>
      </c>
      <c r="AH27" s="421">
        <f t="shared" si="2"/>
        <v>323.15766823161192</v>
      </c>
      <c r="AI27" s="421">
        <f t="shared" si="2"/>
        <v>324.40532081377148</v>
      </c>
      <c r="AJ27" s="408">
        <f t="shared" si="5"/>
        <v>3127.3698211847445</v>
      </c>
    </row>
    <row r="28" spans="1:36">
      <c r="A28" s="231" t="str">
        <f t="shared" si="3"/>
        <v>PIERCE UTCResidentialSL035.0G1W001WREC</v>
      </c>
      <c r="B28" s="243" t="s">
        <v>205</v>
      </c>
      <c r="C28" s="243" t="s">
        <v>206</v>
      </c>
      <c r="D28" s="243" t="s">
        <v>416</v>
      </c>
      <c r="E28" s="230">
        <v>32000</v>
      </c>
      <c r="F28" s="244">
        <v>18.739999999999998</v>
      </c>
      <c r="G28" s="244">
        <v>19.21</v>
      </c>
      <c r="H28" s="244"/>
      <c r="I28" s="244">
        <v>31673.260000000002</v>
      </c>
      <c r="J28" s="244">
        <v>19645.54</v>
      </c>
      <c r="K28" s="244">
        <v>20436.265000000003</v>
      </c>
      <c r="L28" s="244">
        <v>21405.359999999997</v>
      </c>
      <c r="M28" s="244">
        <v>22802.654999999999</v>
      </c>
      <c r="N28" s="244">
        <v>24179.075000000001</v>
      </c>
      <c r="O28" s="244">
        <v>26756.560000000001</v>
      </c>
      <c r="P28" s="244">
        <v>26820.11</v>
      </c>
      <c r="Q28" s="244">
        <v>37030.549999999996</v>
      </c>
      <c r="R28" s="244">
        <v>46016.46</v>
      </c>
      <c r="S28" s="244">
        <v>45628.62</v>
      </c>
      <c r="T28" s="244">
        <v>46335.514999999999</v>
      </c>
      <c r="U28" s="244"/>
      <c r="V28" s="408">
        <f t="shared" si="4"/>
        <v>368729.97000000003</v>
      </c>
      <c r="W28" s="245"/>
      <c r="X28" s="421">
        <f t="shared" si="1"/>
        <v>1690.1419423692639</v>
      </c>
      <c r="Y28" s="421">
        <f t="shared" si="1"/>
        <v>1048.3212379935967</v>
      </c>
      <c r="Z28" s="421">
        <f t="shared" si="1"/>
        <v>1090.5157417289224</v>
      </c>
      <c r="AA28" s="421">
        <f t="shared" si="2"/>
        <v>1114.2821447162935</v>
      </c>
      <c r="AB28" s="421">
        <f t="shared" si="2"/>
        <v>1187.0200416449766</v>
      </c>
      <c r="AC28" s="421">
        <f t="shared" si="2"/>
        <v>1258.6712649661633</v>
      </c>
      <c r="AD28" s="421">
        <f t="shared" si="2"/>
        <v>1392.8453930244664</v>
      </c>
      <c r="AE28" s="421">
        <f t="shared" si="2"/>
        <v>1396.1535658511191</v>
      </c>
      <c r="AF28" s="421">
        <f t="shared" si="2"/>
        <v>1927.6704841228523</v>
      </c>
      <c r="AG28" s="421">
        <f t="shared" si="2"/>
        <v>2395.4429984383132</v>
      </c>
      <c r="AH28" s="421">
        <f t="shared" si="2"/>
        <v>2375.2535137948985</v>
      </c>
      <c r="AI28" s="421">
        <f t="shared" si="2"/>
        <v>2412.0517959396147</v>
      </c>
      <c r="AJ28" s="408">
        <f t="shared" si="5"/>
        <v>19288.370124590481</v>
      </c>
    </row>
    <row r="29" spans="1:36">
      <c r="A29" s="231" t="str">
        <f t="shared" si="3"/>
        <v>PIERCE UTCResidentialSL035.0G1W002WREC</v>
      </c>
      <c r="B29" s="243" t="s">
        <v>207</v>
      </c>
      <c r="C29" s="243" t="s">
        <v>208</v>
      </c>
      <c r="D29" s="243" t="s">
        <v>416</v>
      </c>
      <c r="E29" s="230">
        <v>32000</v>
      </c>
      <c r="F29" s="244">
        <v>37.479999999999997</v>
      </c>
      <c r="G29" s="244">
        <v>38.42</v>
      </c>
      <c r="H29" s="244"/>
      <c r="I29" s="244">
        <v>114.32</v>
      </c>
      <c r="J29" s="244">
        <v>112.44</v>
      </c>
      <c r="K29" s="244">
        <v>112.91</v>
      </c>
      <c r="L29" s="244">
        <v>114.79</v>
      </c>
      <c r="M29" s="244">
        <v>115.26</v>
      </c>
      <c r="N29" s="244">
        <v>115.26</v>
      </c>
      <c r="O29" s="244">
        <v>115.26</v>
      </c>
      <c r="P29" s="244">
        <v>192.10000000000002</v>
      </c>
      <c r="Q29" s="244">
        <v>115.26</v>
      </c>
      <c r="R29" s="244">
        <v>123.80000000000001</v>
      </c>
      <c r="S29" s="244">
        <v>192.10000000000002</v>
      </c>
      <c r="T29" s="244">
        <v>115.26</v>
      </c>
      <c r="U29" s="244"/>
      <c r="V29" s="408">
        <f t="shared" si="4"/>
        <v>1538.76</v>
      </c>
      <c r="W29" s="245"/>
      <c r="X29" s="421">
        <f t="shared" si="1"/>
        <v>3.0501600853788688</v>
      </c>
      <c r="Y29" s="421">
        <f t="shared" si="1"/>
        <v>3</v>
      </c>
      <c r="Z29" s="421">
        <f t="shared" si="1"/>
        <v>3.0125400213447175</v>
      </c>
      <c r="AA29" s="421">
        <f t="shared" si="2"/>
        <v>2.9877667881311818</v>
      </c>
      <c r="AB29" s="421">
        <f t="shared" si="2"/>
        <v>3</v>
      </c>
      <c r="AC29" s="421">
        <f t="shared" si="2"/>
        <v>3</v>
      </c>
      <c r="AD29" s="421">
        <f t="shared" si="2"/>
        <v>3</v>
      </c>
      <c r="AE29" s="421">
        <f t="shared" si="2"/>
        <v>5</v>
      </c>
      <c r="AF29" s="421">
        <f t="shared" si="2"/>
        <v>3</v>
      </c>
      <c r="AG29" s="421">
        <f t="shared" si="2"/>
        <v>3.222280062467465</v>
      </c>
      <c r="AH29" s="421">
        <f t="shared" si="2"/>
        <v>5</v>
      </c>
      <c r="AI29" s="421">
        <f t="shared" si="2"/>
        <v>3</v>
      </c>
      <c r="AJ29" s="408">
        <f t="shared" si="5"/>
        <v>40.272746957322234</v>
      </c>
    </row>
    <row r="30" spans="1:36">
      <c r="A30" s="231" t="str">
        <f t="shared" si="3"/>
        <v>PIERCE UTCResidentialSL065.0G1M001NOREC</v>
      </c>
      <c r="B30" s="243" t="s">
        <v>209</v>
      </c>
      <c r="C30" s="243" t="s">
        <v>210</v>
      </c>
      <c r="D30" s="243" t="s">
        <v>416</v>
      </c>
      <c r="E30" s="230">
        <v>32000</v>
      </c>
      <c r="F30" s="244">
        <v>11.28</v>
      </c>
      <c r="G30" s="244">
        <v>11.42</v>
      </c>
      <c r="H30" s="244"/>
      <c r="I30" s="244">
        <v>220.73</v>
      </c>
      <c r="J30" s="244">
        <v>270.71999999999997</v>
      </c>
      <c r="K30" s="244">
        <v>266.13</v>
      </c>
      <c r="L30" s="244">
        <v>267.39</v>
      </c>
      <c r="M30" s="244">
        <v>285.5</v>
      </c>
      <c r="N30" s="244">
        <v>274.08</v>
      </c>
      <c r="O30" s="244">
        <v>285.5</v>
      </c>
      <c r="P30" s="244">
        <v>262.65999999999997</v>
      </c>
      <c r="Q30" s="244">
        <v>262.65999999999997</v>
      </c>
      <c r="R30" s="244">
        <v>251.24</v>
      </c>
      <c r="S30" s="244">
        <v>239.82</v>
      </c>
      <c r="T30" s="244">
        <v>222.69</v>
      </c>
      <c r="U30" s="244"/>
      <c r="V30" s="408">
        <f t="shared" si="4"/>
        <v>3109.12</v>
      </c>
      <c r="W30" s="245"/>
      <c r="X30" s="421">
        <f t="shared" si="1"/>
        <v>19.568262411347519</v>
      </c>
      <c r="Y30" s="421">
        <f t="shared" si="1"/>
        <v>24</v>
      </c>
      <c r="Z30" s="421">
        <f t="shared" si="1"/>
        <v>23.593085106382979</v>
      </c>
      <c r="AA30" s="421">
        <f t="shared" si="2"/>
        <v>23.414185639229419</v>
      </c>
      <c r="AB30" s="421">
        <f t="shared" si="2"/>
        <v>25</v>
      </c>
      <c r="AC30" s="421">
        <f t="shared" si="2"/>
        <v>24</v>
      </c>
      <c r="AD30" s="421">
        <f t="shared" si="2"/>
        <v>25</v>
      </c>
      <c r="AE30" s="421">
        <f t="shared" si="2"/>
        <v>22.999999999999996</v>
      </c>
      <c r="AF30" s="421">
        <f t="shared" si="2"/>
        <v>22.999999999999996</v>
      </c>
      <c r="AG30" s="421">
        <f t="shared" si="2"/>
        <v>22</v>
      </c>
      <c r="AH30" s="421">
        <f t="shared" si="2"/>
        <v>21</v>
      </c>
      <c r="AI30" s="421">
        <f t="shared" si="2"/>
        <v>19.5</v>
      </c>
      <c r="AJ30" s="408">
        <f t="shared" si="5"/>
        <v>273.07553315695992</v>
      </c>
    </row>
    <row r="31" spans="1:36">
      <c r="A31" s="231" t="str">
        <f t="shared" si="3"/>
        <v>PIERCE UTCResidentialSL065.0G1M001WREC</v>
      </c>
      <c r="B31" s="243" t="s">
        <v>211</v>
      </c>
      <c r="C31" s="243" t="s">
        <v>212</v>
      </c>
      <c r="D31" s="243" t="s">
        <v>416</v>
      </c>
      <c r="E31" s="230">
        <v>32000</v>
      </c>
      <c r="F31" s="244">
        <v>9.2799999999999994</v>
      </c>
      <c r="G31" s="244">
        <v>9.42</v>
      </c>
      <c r="H31" s="244"/>
      <c r="I31" s="244">
        <v>17203.404999999999</v>
      </c>
      <c r="J31" s="244">
        <v>17443.46</v>
      </c>
      <c r="K31" s="244">
        <v>17432.924999999999</v>
      </c>
      <c r="L31" s="244">
        <v>17526.219999999998</v>
      </c>
      <c r="M31" s="244">
        <v>18167.775000000001</v>
      </c>
      <c r="N31" s="244">
        <v>17500.120000000003</v>
      </c>
      <c r="O31" s="244">
        <v>17482.725000000002</v>
      </c>
      <c r="P31" s="244">
        <v>17097.170000000002</v>
      </c>
      <c r="Q31" s="244">
        <v>17276.28</v>
      </c>
      <c r="R31" s="244">
        <v>17109.86</v>
      </c>
      <c r="S31" s="244">
        <v>16969.974999999999</v>
      </c>
      <c r="T31" s="244">
        <v>16866.355</v>
      </c>
      <c r="U31" s="244"/>
      <c r="V31" s="408">
        <f t="shared" si="4"/>
        <v>208076.27000000002</v>
      </c>
      <c r="W31" s="245"/>
      <c r="X31" s="421">
        <f t="shared" si="1"/>
        <v>1853.8151939655172</v>
      </c>
      <c r="Y31" s="421">
        <f t="shared" si="1"/>
        <v>1879.6831896551726</v>
      </c>
      <c r="Z31" s="421">
        <f t="shared" si="1"/>
        <v>1878.547952586207</v>
      </c>
      <c r="AA31" s="421">
        <f t="shared" si="2"/>
        <v>1860.5329087048831</v>
      </c>
      <c r="AB31" s="421">
        <f t="shared" si="2"/>
        <v>1928.6385350318474</v>
      </c>
      <c r="AC31" s="421">
        <f t="shared" si="2"/>
        <v>1857.7622080679409</v>
      </c>
      <c r="AD31" s="421">
        <f t="shared" si="2"/>
        <v>1855.9156050955417</v>
      </c>
      <c r="AE31" s="421">
        <f t="shared" si="2"/>
        <v>1814.9861995753718</v>
      </c>
      <c r="AF31" s="421">
        <f t="shared" si="2"/>
        <v>1834</v>
      </c>
      <c r="AG31" s="421">
        <f t="shared" si="2"/>
        <v>1816.3333333333335</v>
      </c>
      <c r="AH31" s="421">
        <f t="shared" si="2"/>
        <v>1801.4835456475582</v>
      </c>
      <c r="AI31" s="421">
        <f t="shared" si="2"/>
        <v>1790.4835456475585</v>
      </c>
      <c r="AJ31" s="408">
        <f t="shared" si="5"/>
        <v>22172.182217310932</v>
      </c>
    </row>
    <row r="32" spans="1:36">
      <c r="A32" s="231" t="str">
        <f t="shared" si="3"/>
        <v>PIERCE UTCResidentialSL065.0G1W001NOREC</v>
      </c>
      <c r="B32" s="243" t="s">
        <v>213</v>
      </c>
      <c r="C32" s="243" t="s">
        <v>214</v>
      </c>
      <c r="D32" s="243" t="s">
        <v>416</v>
      </c>
      <c r="E32" s="230">
        <v>32000</v>
      </c>
      <c r="F32" s="244">
        <v>27.99</v>
      </c>
      <c r="G32" s="244">
        <v>28.59</v>
      </c>
      <c r="H32" s="244"/>
      <c r="I32" s="244">
        <v>9309.2150000000001</v>
      </c>
      <c r="J32" s="244">
        <v>9528.3850000000002</v>
      </c>
      <c r="K32" s="244">
        <v>9486.0399999999991</v>
      </c>
      <c r="L32" s="244">
        <v>9358.8700000000008</v>
      </c>
      <c r="M32" s="244">
        <v>9146.0249999999996</v>
      </c>
      <c r="N32" s="244">
        <v>9205.98</v>
      </c>
      <c r="O32" s="244">
        <v>9155.7849999999999</v>
      </c>
      <c r="P32" s="244">
        <v>9120.85</v>
      </c>
      <c r="Q32" s="244">
        <v>9182.1550000000007</v>
      </c>
      <c r="R32" s="244">
        <v>8977.26</v>
      </c>
      <c r="S32" s="244">
        <v>8909.2250000000004</v>
      </c>
      <c r="T32" s="244">
        <v>9006.1299999999992</v>
      </c>
      <c r="U32" s="244"/>
      <c r="V32" s="408">
        <f t="shared" si="4"/>
        <v>110385.92000000001</v>
      </c>
      <c r="W32" s="245"/>
      <c r="X32" s="421">
        <f t="shared" si="1"/>
        <v>332.5907466952483</v>
      </c>
      <c r="Y32" s="421">
        <f t="shared" si="1"/>
        <v>340.42104322972494</v>
      </c>
      <c r="Z32" s="421">
        <f t="shared" si="1"/>
        <v>338.90818149339049</v>
      </c>
      <c r="AA32" s="421">
        <f t="shared" si="2"/>
        <v>327.34767401189231</v>
      </c>
      <c r="AB32" s="421">
        <f t="shared" si="2"/>
        <v>319.90293809024132</v>
      </c>
      <c r="AC32" s="421">
        <f t="shared" si="2"/>
        <v>322</v>
      </c>
      <c r="AD32" s="421">
        <f t="shared" si="2"/>
        <v>320.24431619447358</v>
      </c>
      <c r="AE32" s="421">
        <f t="shared" si="2"/>
        <v>319.02238544945789</v>
      </c>
      <c r="AF32" s="421">
        <f t="shared" si="2"/>
        <v>321.16666666666669</v>
      </c>
      <c r="AG32" s="421">
        <f t="shared" si="2"/>
        <v>314</v>
      </c>
      <c r="AH32" s="421">
        <f t="shared" si="2"/>
        <v>311.62032179083599</v>
      </c>
      <c r="AI32" s="421">
        <f t="shared" si="2"/>
        <v>315.00979363413779</v>
      </c>
      <c r="AJ32" s="408">
        <f t="shared" si="5"/>
        <v>3882.234067256069</v>
      </c>
    </row>
    <row r="33" spans="1:36">
      <c r="A33" s="231" t="str">
        <f t="shared" si="3"/>
        <v>PIERCE UTCResidentialSL065.0G1W001WREC</v>
      </c>
      <c r="B33" s="243" t="s">
        <v>215</v>
      </c>
      <c r="C33" s="243" t="s">
        <v>216</v>
      </c>
      <c r="D33" s="243" t="s">
        <v>416</v>
      </c>
      <c r="E33" s="230">
        <v>32000</v>
      </c>
      <c r="F33" s="244">
        <v>25.99</v>
      </c>
      <c r="G33" s="244">
        <v>26.59</v>
      </c>
      <c r="H33" s="244"/>
      <c r="I33" s="244">
        <v>699034.16000000015</v>
      </c>
      <c r="J33" s="244">
        <v>683140.37000000011</v>
      </c>
      <c r="K33" s="244">
        <v>686530.51</v>
      </c>
      <c r="L33" s="244">
        <v>696757.245</v>
      </c>
      <c r="M33" s="244">
        <v>700418.57000000007</v>
      </c>
      <c r="N33" s="244">
        <v>704434.01500000013</v>
      </c>
      <c r="O33" s="244">
        <v>705368.57499999995</v>
      </c>
      <c r="P33" s="244">
        <v>707536.09499999997</v>
      </c>
      <c r="Q33" s="244">
        <v>709475.01500000001</v>
      </c>
      <c r="R33" s="244">
        <v>710165.47499999998</v>
      </c>
      <c r="S33" s="244">
        <v>710349.59499999997</v>
      </c>
      <c r="T33" s="244">
        <v>710597.18500000006</v>
      </c>
      <c r="U33" s="244"/>
      <c r="V33" s="408">
        <f t="shared" si="4"/>
        <v>8423806.8099999987</v>
      </c>
      <c r="W33" s="245"/>
      <c r="X33" s="421">
        <f t="shared" si="1"/>
        <v>26896.273951519823</v>
      </c>
      <c r="Y33" s="421">
        <f t="shared" si="1"/>
        <v>26284.739130434788</v>
      </c>
      <c r="Z33" s="421">
        <f t="shared" si="1"/>
        <v>26415.179299730669</v>
      </c>
      <c r="AA33" s="421">
        <f t="shared" si="2"/>
        <v>26203.732418202333</v>
      </c>
      <c r="AB33" s="421">
        <f t="shared" si="2"/>
        <v>26341.427980443779</v>
      </c>
      <c r="AC33" s="421">
        <f t="shared" si="2"/>
        <v>26492.441331327573</v>
      </c>
      <c r="AD33" s="421">
        <f t="shared" si="2"/>
        <v>26527.588379089881</v>
      </c>
      <c r="AE33" s="421">
        <f t="shared" si="2"/>
        <v>26609.10473862354</v>
      </c>
      <c r="AF33" s="421">
        <f t="shared" si="2"/>
        <v>26682.023881158329</v>
      </c>
      <c r="AG33" s="421">
        <f t="shared" si="2"/>
        <v>26707.990786009777</v>
      </c>
      <c r="AH33" s="421">
        <f t="shared" si="2"/>
        <v>26714.915193681834</v>
      </c>
      <c r="AI33" s="421">
        <f t="shared" si="2"/>
        <v>26724.226588943213</v>
      </c>
      <c r="AJ33" s="408">
        <f t="shared" si="5"/>
        <v>318599.64367916551</v>
      </c>
    </row>
    <row r="34" spans="1:36" s="229" customFormat="1">
      <c r="A34" s="231" t="str">
        <f t="shared" si="3"/>
        <v>PIERCE UTCResidentialSL065.0GEO001</v>
      </c>
      <c r="B34" s="243" t="s">
        <v>422</v>
      </c>
      <c r="C34" s="243" t="s">
        <v>423</v>
      </c>
      <c r="D34" s="243" t="s">
        <v>416</v>
      </c>
      <c r="E34" s="230">
        <v>32000</v>
      </c>
      <c r="F34" s="244">
        <v>0</v>
      </c>
      <c r="G34" s="244">
        <v>0</v>
      </c>
      <c r="H34" s="244"/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/>
      <c r="V34" s="408">
        <f t="shared" si="4"/>
        <v>0</v>
      </c>
      <c r="W34" s="245"/>
      <c r="X34" s="421">
        <f t="shared" si="1"/>
        <v>0</v>
      </c>
      <c r="Y34" s="421">
        <f t="shared" si="1"/>
        <v>0</v>
      </c>
      <c r="Z34" s="421">
        <f t="shared" si="1"/>
        <v>0</v>
      </c>
      <c r="AA34" s="421">
        <f t="shared" si="2"/>
        <v>0</v>
      </c>
      <c r="AB34" s="421">
        <f t="shared" si="2"/>
        <v>0</v>
      </c>
      <c r="AC34" s="421">
        <f t="shared" si="2"/>
        <v>0</v>
      </c>
      <c r="AD34" s="421">
        <f t="shared" si="2"/>
        <v>0</v>
      </c>
      <c r="AE34" s="421">
        <f t="shared" si="2"/>
        <v>0</v>
      </c>
      <c r="AF34" s="421">
        <f t="shared" si="2"/>
        <v>0</v>
      </c>
      <c r="AG34" s="421">
        <f t="shared" si="2"/>
        <v>0</v>
      </c>
      <c r="AH34" s="421">
        <f t="shared" si="2"/>
        <v>0</v>
      </c>
      <c r="AI34" s="421">
        <f t="shared" si="2"/>
        <v>0</v>
      </c>
      <c r="AJ34" s="408">
        <f t="shared" si="5"/>
        <v>0</v>
      </c>
    </row>
    <row r="35" spans="1:36">
      <c r="A35" s="231" t="str">
        <f t="shared" si="3"/>
        <v>PIERCE UTCResidentialSL065.0GEO001NOREC</v>
      </c>
      <c r="B35" s="243" t="s">
        <v>217</v>
      </c>
      <c r="C35" s="243" t="s">
        <v>218</v>
      </c>
      <c r="D35" s="243" t="s">
        <v>416</v>
      </c>
      <c r="E35" s="230">
        <v>32000</v>
      </c>
      <c r="F35" s="244">
        <v>18.28</v>
      </c>
      <c r="G35" s="244">
        <v>18.579999999999998</v>
      </c>
      <c r="H35" s="244"/>
      <c r="I35" s="244">
        <v>3040.81</v>
      </c>
      <c r="J35" s="244">
        <v>3243.7849999999994</v>
      </c>
      <c r="K35" s="244">
        <v>3209.3</v>
      </c>
      <c r="L35" s="244">
        <v>3156.8249999999998</v>
      </c>
      <c r="M35" s="244">
        <v>3078.7049999999999</v>
      </c>
      <c r="N35" s="244">
        <v>3069.415</v>
      </c>
      <c r="O35" s="244">
        <v>3004.3900000000003</v>
      </c>
      <c r="P35" s="244">
        <v>2995.0950000000003</v>
      </c>
      <c r="Q35" s="244">
        <v>2939.3550000000005</v>
      </c>
      <c r="R35" s="244">
        <v>2870.61</v>
      </c>
      <c r="S35" s="244">
        <v>2832.52</v>
      </c>
      <c r="T35" s="244">
        <v>2810.2200000000003</v>
      </c>
      <c r="U35" s="244"/>
      <c r="V35" s="408">
        <f t="shared" si="4"/>
        <v>36251.03</v>
      </c>
      <c r="W35" s="245"/>
      <c r="X35" s="421">
        <f t="shared" si="1"/>
        <v>166.34628008752733</v>
      </c>
      <c r="Y35" s="421">
        <f t="shared" si="1"/>
        <v>177.44994529540477</v>
      </c>
      <c r="Z35" s="421">
        <f t="shared" si="1"/>
        <v>175.56345733041576</v>
      </c>
      <c r="AA35" s="421">
        <f t="shared" si="2"/>
        <v>169.90446716899893</v>
      </c>
      <c r="AB35" s="421">
        <f t="shared" si="2"/>
        <v>165.69994617868676</v>
      </c>
      <c r="AC35" s="421">
        <f t="shared" si="2"/>
        <v>165.19994617868679</v>
      </c>
      <c r="AD35" s="421">
        <f t="shared" si="2"/>
        <v>161.70021528525299</v>
      </c>
      <c r="AE35" s="421">
        <f t="shared" si="2"/>
        <v>161.19994617868679</v>
      </c>
      <c r="AF35" s="421">
        <f t="shared" si="2"/>
        <v>158.19994617868679</v>
      </c>
      <c r="AG35" s="421">
        <f t="shared" si="2"/>
        <v>154.50000000000003</v>
      </c>
      <c r="AH35" s="421">
        <f t="shared" si="2"/>
        <v>152.44994617868679</v>
      </c>
      <c r="AI35" s="421">
        <f t="shared" si="2"/>
        <v>151.24973089343382</v>
      </c>
      <c r="AJ35" s="408">
        <f t="shared" si="5"/>
        <v>1959.4638269544675</v>
      </c>
    </row>
    <row r="36" spans="1:36" s="229" customFormat="1">
      <c r="A36" s="231" t="str">
        <f t="shared" si="3"/>
        <v>PIERCE UTCResidentialSL065.0GEO001WREC</v>
      </c>
      <c r="B36" s="243" t="s">
        <v>219</v>
      </c>
      <c r="C36" s="243" t="s">
        <v>220</v>
      </c>
      <c r="D36" s="243" t="s">
        <v>416</v>
      </c>
      <c r="E36" s="230">
        <v>32000</v>
      </c>
      <c r="F36" s="244">
        <v>16.28</v>
      </c>
      <c r="G36" s="244">
        <v>16.579999999999998</v>
      </c>
      <c r="H36" s="244"/>
      <c r="I36" s="244">
        <v>191360.54</v>
      </c>
      <c r="J36" s="244">
        <v>191657.685</v>
      </c>
      <c r="K36" s="244">
        <v>191480.68499999997</v>
      </c>
      <c r="L36" s="244">
        <v>193318.91000000003</v>
      </c>
      <c r="M36" s="244">
        <v>196411.15000000002</v>
      </c>
      <c r="N36" s="244">
        <v>194715.82</v>
      </c>
      <c r="O36" s="244">
        <v>193860.785</v>
      </c>
      <c r="P36" s="244">
        <v>192630.69</v>
      </c>
      <c r="Q36" s="244">
        <v>191797.80499999999</v>
      </c>
      <c r="R36" s="244">
        <v>191495.27500000002</v>
      </c>
      <c r="S36" s="244">
        <v>191469.44999999998</v>
      </c>
      <c r="T36" s="244">
        <v>190825.45500000002</v>
      </c>
      <c r="U36" s="244"/>
      <c r="V36" s="408">
        <f t="shared" si="4"/>
        <v>2311024.25</v>
      </c>
      <c r="W36" s="245"/>
      <c r="X36" s="421">
        <f t="shared" si="1"/>
        <v>11754.332923832924</v>
      </c>
      <c r="Y36" s="421">
        <f t="shared" si="1"/>
        <v>11772.585073710074</v>
      </c>
      <c r="Z36" s="421">
        <f t="shared" si="1"/>
        <v>11761.712837837835</v>
      </c>
      <c r="AA36" s="421">
        <f t="shared" si="2"/>
        <v>11659.765379975877</v>
      </c>
      <c r="AB36" s="421">
        <f t="shared" si="2"/>
        <v>11846.269601930038</v>
      </c>
      <c r="AC36" s="421">
        <f t="shared" si="2"/>
        <v>11744.018094089266</v>
      </c>
      <c r="AD36" s="421">
        <f t="shared" si="2"/>
        <v>11692.44782870929</v>
      </c>
      <c r="AE36" s="421">
        <f t="shared" si="2"/>
        <v>11618.256332931243</v>
      </c>
      <c r="AF36" s="421">
        <f t="shared" si="2"/>
        <v>11568.022014475273</v>
      </c>
      <c r="AG36" s="421">
        <f t="shared" si="2"/>
        <v>11549.775331724972</v>
      </c>
      <c r="AH36" s="421">
        <f t="shared" si="2"/>
        <v>11548.217732207479</v>
      </c>
      <c r="AI36" s="421">
        <f t="shared" si="2"/>
        <v>11509.376055488543</v>
      </c>
      <c r="AJ36" s="408">
        <f t="shared" si="5"/>
        <v>140024.77920691279</v>
      </c>
    </row>
    <row r="37" spans="1:36">
      <c r="A37" s="231" t="str">
        <f t="shared" si="3"/>
        <v>PIERCE UTCResidentialSL095.0G1M001NOREC</v>
      </c>
      <c r="B37" s="243" t="s">
        <v>221</v>
      </c>
      <c r="C37" s="243" t="s">
        <v>222</v>
      </c>
      <c r="D37" s="243" t="s">
        <v>416</v>
      </c>
      <c r="E37" s="230">
        <v>32000</v>
      </c>
      <c r="F37" s="244">
        <v>15.72</v>
      </c>
      <c r="G37" s="244">
        <v>15.92</v>
      </c>
      <c r="H37" s="244"/>
      <c r="I37" s="244">
        <v>31.64</v>
      </c>
      <c r="J37" s="244">
        <v>31.44</v>
      </c>
      <c r="K37" s="244">
        <v>31.54</v>
      </c>
      <c r="L37" s="244">
        <v>31.740000000000002</v>
      </c>
      <c r="M37" s="244">
        <v>31.84</v>
      </c>
      <c r="N37" s="244">
        <v>31.84</v>
      </c>
      <c r="O37" s="244">
        <v>47.76</v>
      </c>
      <c r="P37" s="244">
        <v>47.76</v>
      </c>
      <c r="Q37" s="244">
        <v>47.76</v>
      </c>
      <c r="R37" s="244">
        <v>47.76</v>
      </c>
      <c r="S37" s="244">
        <v>47.76</v>
      </c>
      <c r="T37" s="244">
        <v>47.76</v>
      </c>
      <c r="U37" s="244"/>
      <c r="V37" s="408">
        <f t="shared" si="4"/>
        <v>476.59999999999997</v>
      </c>
      <c r="W37" s="245"/>
      <c r="X37" s="421">
        <f t="shared" si="1"/>
        <v>2.0127226463104324</v>
      </c>
      <c r="Y37" s="421">
        <f t="shared" si="1"/>
        <v>2</v>
      </c>
      <c r="Z37" s="421">
        <f t="shared" si="1"/>
        <v>2.006361323155216</v>
      </c>
      <c r="AA37" s="421">
        <f t="shared" si="2"/>
        <v>1.9937185929648242</v>
      </c>
      <c r="AB37" s="421">
        <f t="shared" si="2"/>
        <v>2</v>
      </c>
      <c r="AC37" s="421">
        <f t="shared" si="2"/>
        <v>2</v>
      </c>
      <c r="AD37" s="421">
        <f t="shared" si="2"/>
        <v>3</v>
      </c>
      <c r="AE37" s="421">
        <f t="shared" si="2"/>
        <v>3</v>
      </c>
      <c r="AF37" s="421">
        <f t="shared" si="2"/>
        <v>3</v>
      </c>
      <c r="AG37" s="421">
        <f t="shared" si="2"/>
        <v>3</v>
      </c>
      <c r="AH37" s="421">
        <f t="shared" si="2"/>
        <v>3</v>
      </c>
      <c r="AI37" s="421">
        <f t="shared" si="2"/>
        <v>3</v>
      </c>
      <c r="AJ37" s="408">
        <f t="shared" si="5"/>
        <v>30.012802562430473</v>
      </c>
    </row>
    <row r="38" spans="1:36">
      <c r="A38" s="231" t="str">
        <f t="shared" si="3"/>
        <v>PIERCE UTCResidentialSL095.0G1M001WREC</v>
      </c>
      <c r="B38" s="243" t="s">
        <v>223</v>
      </c>
      <c r="C38" s="243" t="s">
        <v>224</v>
      </c>
      <c r="D38" s="243" t="s">
        <v>416</v>
      </c>
      <c r="E38" s="230">
        <v>32000</v>
      </c>
      <c r="F38" s="244">
        <v>12.72</v>
      </c>
      <c r="G38" s="244">
        <v>12.92</v>
      </c>
      <c r="H38" s="244"/>
      <c r="I38" s="244">
        <v>2346.165</v>
      </c>
      <c r="J38" s="244">
        <v>2256.855</v>
      </c>
      <c r="K38" s="244">
        <v>2306.46</v>
      </c>
      <c r="L38" s="244">
        <v>2322.06</v>
      </c>
      <c r="M38" s="244">
        <v>2370.8199999999997</v>
      </c>
      <c r="N38" s="244">
        <v>2344.9799999999996</v>
      </c>
      <c r="O38" s="244">
        <v>2428.96</v>
      </c>
      <c r="P38" s="244">
        <v>2344.98</v>
      </c>
      <c r="Q38" s="244">
        <v>2310.15</v>
      </c>
      <c r="R38" s="244">
        <v>2312.6800000000003</v>
      </c>
      <c r="S38" s="244">
        <v>2332.06</v>
      </c>
      <c r="T38" s="244">
        <v>2319.14</v>
      </c>
      <c r="U38" s="244"/>
      <c r="V38" s="408">
        <f t="shared" si="4"/>
        <v>27995.31</v>
      </c>
      <c r="W38" s="245"/>
      <c r="X38" s="421">
        <f t="shared" si="1"/>
        <v>184.44693396226413</v>
      </c>
      <c r="Y38" s="421">
        <f t="shared" si="1"/>
        <v>177.42570754716979</v>
      </c>
      <c r="Z38" s="421">
        <f t="shared" si="1"/>
        <v>181.3254716981132</v>
      </c>
      <c r="AA38" s="421">
        <f t="shared" si="2"/>
        <v>179.72600619195046</v>
      </c>
      <c r="AB38" s="421">
        <f t="shared" si="2"/>
        <v>183.49999999999997</v>
      </c>
      <c r="AC38" s="421">
        <f t="shared" si="2"/>
        <v>181.49999999999997</v>
      </c>
      <c r="AD38" s="421">
        <f t="shared" si="2"/>
        <v>188</v>
      </c>
      <c r="AE38" s="421">
        <f t="shared" si="2"/>
        <v>181.5</v>
      </c>
      <c r="AF38" s="421">
        <f t="shared" si="2"/>
        <v>178.80417956656348</v>
      </c>
      <c r="AG38" s="421">
        <f t="shared" si="2"/>
        <v>179.00000000000003</v>
      </c>
      <c r="AH38" s="421">
        <f t="shared" si="2"/>
        <v>180.5</v>
      </c>
      <c r="AI38" s="421">
        <f t="shared" si="2"/>
        <v>179.5</v>
      </c>
      <c r="AJ38" s="408">
        <f t="shared" si="5"/>
        <v>2175.2282989660612</v>
      </c>
    </row>
    <row r="39" spans="1:36">
      <c r="A39" s="231" t="str">
        <f t="shared" si="3"/>
        <v>PIERCE UTCResidentialSL095.0G1W001NOREC</v>
      </c>
      <c r="B39" s="243" t="s">
        <v>225</v>
      </c>
      <c r="C39" s="243" t="s">
        <v>226</v>
      </c>
      <c r="D39" s="243" t="s">
        <v>416</v>
      </c>
      <c r="E39" s="230">
        <v>32000</v>
      </c>
      <c r="F39" s="244">
        <v>37.380000000000003</v>
      </c>
      <c r="G39" s="244">
        <v>38.24</v>
      </c>
      <c r="H39" s="244"/>
      <c r="I39" s="244">
        <v>3194.7799999999997</v>
      </c>
      <c r="J39" s="244">
        <v>3347.5899999999997</v>
      </c>
      <c r="K39" s="244">
        <v>3330.33</v>
      </c>
      <c r="L39" s="244">
        <v>3300.87</v>
      </c>
      <c r="M39" s="244">
        <v>3367.24</v>
      </c>
      <c r="N39" s="244">
        <v>3353.4249999999997</v>
      </c>
      <c r="O39" s="244">
        <v>3272.7049999999999</v>
      </c>
      <c r="P39" s="244">
        <v>3152.68</v>
      </c>
      <c r="Q39" s="244">
        <v>3234.4650000000001</v>
      </c>
      <c r="R39" s="244">
        <v>3234.4650000000001</v>
      </c>
      <c r="S39" s="244">
        <v>3241.43</v>
      </c>
      <c r="T39" s="244">
        <v>3694.3999999999996</v>
      </c>
      <c r="U39" s="244"/>
      <c r="V39" s="408">
        <f t="shared" si="4"/>
        <v>39724.379999999997</v>
      </c>
      <c r="W39" s="245"/>
      <c r="X39" s="421">
        <f t="shared" si="1"/>
        <v>85.467629748528609</v>
      </c>
      <c r="Y39" s="421">
        <f t="shared" si="1"/>
        <v>89.555644729802012</v>
      </c>
      <c r="Z39" s="421">
        <f t="shared" si="1"/>
        <v>89.093900481540928</v>
      </c>
      <c r="AA39" s="421">
        <f t="shared" si="2"/>
        <v>86.319822175732213</v>
      </c>
      <c r="AB39" s="421">
        <f t="shared" si="2"/>
        <v>88.055439330543919</v>
      </c>
      <c r="AC39" s="421">
        <f t="shared" si="2"/>
        <v>87.694168410041826</v>
      </c>
      <c r="AD39" s="421">
        <f t="shared" ref="AD39:AI70" si="6">IFERROR(O39/$G39,0)</f>
        <v>85.583289748953973</v>
      </c>
      <c r="AE39" s="421">
        <f t="shared" si="6"/>
        <v>82.444560669456052</v>
      </c>
      <c r="AF39" s="421">
        <f t="shared" si="6"/>
        <v>84.583289748953973</v>
      </c>
      <c r="AG39" s="421">
        <f t="shared" si="6"/>
        <v>84.583289748953973</v>
      </c>
      <c r="AH39" s="421">
        <f t="shared" si="6"/>
        <v>84.76542887029288</v>
      </c>
      <c r="AI39" s="421">
        <f t="shared" si="6"/>
        <v>96.610878661087852</v>
      </c>
      <c r="AJ39" s="408">
        <f t="shared" si="5"/>
        <v>1044.7573423238882</v>
      </c>
    </row>
    <row r="40" spans="1:36">
      <c r="A40" s="231" t="str">
        <f t="shared" si="3"/>
        <v>PIERCE UTCResidentialSL095.0G1W001WREC</v>
      </c>
      <c r="B40" s="243" t="s">
        <v>227</v>
      </c>
      <c r="C40" s="243" t="s">
        <v>228</v>
      </c>
      <c r="D40" s="243" t="s">
        <v>416</v>
      </c>
      <c r="E40" s="230">
        <v>32000</v>
      </c>
      <c r="F40" s="244">
        <v>34.380000000000003</v>
      </c>
      <c r="G40" s="244">
        <v>35.24</v>
      </c>
      <c r="H40" s="244"/>
      <c r="I40" s="244">
        <v>257781.11000000002</v>
      </c>
      <c r="J40" s="244">
        <v>245859.70999999996</v>
      </c>
      <c r="K40" s="244">
        <v>246966.00499999998</v>
      </c>
      <c r="L40" s="244">
        <v>253707.95000000004</v>
      </c>
      <c r="M40" s="244">
        <v>257669.49500000002</v>
      </c>
      <c r="N40" s="244">
        <v>260227.345</v>
      </c>
      <c r="O40" s="244">
        <v>260406.80500000002</v>
      </c>
      <c r="P40" s="244">
        <v>262623.40500000003</v>
      </c>
      <c r="Q40" s="244">
        <v>265009.505</v>
      </c>
      <c r="R40" s="244">
        <v>267843.60500000004</v>
      </c>
      <c r="S40" s="244">
        <v>268386.11</v>
      </c>
      <c r="T40" s="244">
        <v>268667.26500000001</v>
      </c>
      <c r="U40" s="244"/>
      <c r="V40" s="408">
        <f t="shared" si="4"/>
        <v>3115148.31</v>
      </c>
      <c r="W40" s="245"/>
      <c r="X40" s="421">
        <f t="shared" si="1"/>
        <v>7497.9962187318206</v>
      </c>
      <c r="Y40" s="421">
        <f t="shared" si="1"/>
        <v>7151.2422920302488</v>
      </c>
      <c r="Z40" s="421">
        <f t="shared" si="1"/>
        <v>7183.4207388016275</v>
      </c>
      <c r="AA40" s="421">
        <f t="shared" ref="AA40:AI71" si="7">IFERROR(L40/$G40,0)</f>
        <v>7199.431044267878</v>
      </c>
      <c r="AB40" s="421">
        <f t="shared" si="7"/>
        <v>7311.8471906923951</v>
      </c>
      <c r="AC40" s="421">
        <f t="shared" si="7"/>
        <v>7384.4309023836549</v>
      </c>
      <c r="AD40" s="421">
        <f t="shared" si="6"/>
        <v>7389.5234108967088</v>
      </c>
      <c r="AE40" s="421">
        <f t="shared" si="6"/>
        <v>7452.4235244040865</v>
      </c>
      <c r="AF40" s="421">
        <f t="shared" si="6"/>
        <v>7520.133513053348</v>
      </c>
      <c r="AG40" s="421">
        <f t="shared" si="6"/>
        <v>7600.5563280363231</v>
      </c>
      <c r="AH40" s="421">
        <f t="shared" si="6"/>
        <v>7615.9509080590233</v>
      </c>
      <c r="AI40" s="421">
        <f t="shared" si="6"/>
        <v>7623.9291997729852</v>
      </c>
      <c r="AJ40" s="408">
        <f t="shared" si="5"/>
        <v>88930.885271130115</v>
      </c>
    </row>
    <row r="41" spans="1:36">
      <c r="A41" s="231" t="str">
        <f t="shared" si="3"/>
        <v>PIERCE UTCResidentialSL095.0GEO001</v>
      </c>
      <c r="B41" s="243" t="s">
        <v>229</v>
      </c>
      <c r="C41" s="243" t="s">
        <v>230</v>
      </c>
      <c r="D41" s="243" t="s">
        <v>416</v>
      </c>
      <c r="E41" s="230">
        <v>32000</v>
      </c>
      <c r="F41" s="244">
        <v>0</v>
      </c>
      <c r="G41" s="244">
        <v>0</v>
      </c>
      <c r="H41" s="244"/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/>
      <c r="V41" s="408">
        <f t="shared" si="4"/>
        <v>0</v>
      </c>
      <c r="W41" s="245"/>
      <c r="X41" s="421">
        <f t="shared" si="1"/>
        <v>0</v>
      </c>
      <c r="Y41" s="421">
        <f t="shared" si="1"/>
        <v>0</v>
      </c>
      <c r="Z41" s="421">
        <f t="shared" si="1"/>
        <v>0</v>
      </c>
      <c r="AA41" s="421">
        <f t="shared" si="7"/>
        <v>0</v>
      </c>
      <c r="AB41" s="421">
        <f t="shared" si="7"/>
        <v>0</v>
      </c>
      <c r="AC41" s="421">
        <f t="shared" si="7"/>
        <v>0</v>
      </c>
      <c r="AD41" s="421">
        <f t="shared" si="6"/>
        <v>0</v>
      </c>
      <c r="AE41" s="421">
        <f t="shared" si="6"/>
        <v>0</v>
      </c>
      <c r="AF41" s="421">
        <f t="shared" si="6"/>
        <v>0</v>
      </c>
      <c r="AG41" s="421">
        <f t="shared" si="6"/>
        <v>0</v>
      </c>
      <c r="AH41" s="421">
        <f t="shared" si="6"/>
        <v>0</v>
      </c>
      <c r="AI41" s="421">
        <f t="shared" si="6"/>
        <v>0</v>
      </c>
      <c r="AJ41" s="408">
        <f t="shared" si="5"/>
        <v>0</v>
      </c>
    </row>
    <row r="42" spans="1:36">
      <c r="A42" s="231" t="str">
        <f t="shared" si="3"/>
        <v>PIERCE UTCResidentialSL095.0GEO001NOREC</v>
      </c>
      <c r="B42" s="243" t="s">
        <v>231</v>
      </c>
      <c r="C42" s="243" t="s">
        <v>232</v>
      </c>
      <c r="D42" s="243" t="s">
        <v>416</v>
      </c>
      <c r="E42" s="230">
        <v>32000</v>
      </c>
      <c r="F42" s="244">
        <v>24.33</v>
      </c>
      <c r="G42" s="244">
        <v>24.76</v>
      </c>
      <c r="H42" s="244"/>
      <c r="I42" s="244">
        <v>203.30500000000001</v>
      </c>
      <c r="J42" s="244">
        <v>249.38499999999999</v>
      </c>
      <c r="K42" s="244">
        <v>243.73</v>
      </c>
      <c r="L42" s="244">
        <v>247.17000000000002</v>
      </c>
      <c r="M42" s="244">
        <v>247.60000000000002</v>
      </c>
      <c r="N42" s="244">
        <v>235.22000000000003</v>
      </c>
      <c r="O42" s="244">
        <v>222.84</v>
      </c>
      <c r="P42" s="244">
        <v>242.65</v>
      </c>
      <c r="Q42" s="244">
        <v>216.65</v>
      </c>
      <c r="R42" s="244">
        <v>204.26999999999998</v>
      </c>
      <c r="S42" s="244">
        <v>198.07999999999998</v>
      </c>
      <c r="T42" s="244">
        <v>173.32</v>
      </c>
      <c r="U42" s="244"/>
      <c r="V42" s="408">
        <f t="shared" si="4"/>
        <v>2684.2200000000003</v>
      </c>
      <c r="W42" s="245"/>
      <c r="X42" s="421">
        <f t="shared" si="1"/>
        <v>8.356144677353063</v>
      </c>
      <c r="Y42" s="421">
        <f t="shared" si="1"/>
        <v>10.25010275380189</v>
      </c>
      <c r="Z42" s="421">
        <f t="shared" si="1"/>
        <v>10.017673653925195</v>
      </c>
      <c r="AA42" s="421">
        <f t="shared" si="7"/>
        <v>9.9826332794830375</v>
      </c>
      <c r="AB42" s="421">
        <f t="shared" si="7"/>
        <v>10</v>
      </c>
      <c r="AC42" s="421">
        <f t="shared" si="7"/>
        <v>9.5</v>
      </c>
      <c r="AD42" s="421">
        <f t="shared" si="6"/>
        <v>9</v>
      </c>
      <c r="AE42" s="421">
        <f t="shared" si="6"/>
        <v>9.8000807754442647</v>
      </c>
      <c r="AF42" s="421">
        <f t="shared" si="6"/>
        <v>8.75</v>
      </c>
      <c r="AG42" s="421">
        <f t="shared" si="6"/>
        <v>8.2499999999999982</v>
      </c>
      <c r="AH42" s="421">
        <f t="shared" si="6"/>
        <v>7.9999999999999991</v>
      </c>
      <c r="AI42" s="421">
        <f t="shared" si="6"/>
        <v>6.9999999999999991</v>
      </c>
      <c r="AJ42" s="408">
        <f t="shared" si="5"/>
        <v>108.90663514000744</v>
      </c>
    </row>
    <row r="43" spans="1:36">
      <c r="A43" s="231" t="str">
        <f t="shared" si="3"/>
        <v>PIERCE UTCResidentialSL095.0GEO001WREC</v>
      </c>
      <c r="B43" s="243" t="s">
        <v>233</v>
      </c>
      <c r="C43" s="243" t="s">
        <v>234</v>
      </c>
      <c r="D43" s="243" t="s">
        <v>416</v>
      </c>
      <c r="E43" s="230">
        <v>32000</v>
      </c>
      <c r="F43" s="244">
        <v>21.33</v>
      </c>
      <c r="G43" s="244">
        <v>21.76</v>
      </c>
      <c r="H43" s="244"/>
      <c r="I43" s="244">
        <v>33826.684999999998</v>
      </c>
      <c r="J43" s="244">
        <v>33126.210000000006</v>
      </c>
      <c r="K43" s="244">
        <v>33412.74</v>
      </c>
      <c r="L43" s="244">
        <v>34081.625</v>
      </c>
      <c r="M43" s="244">
        <v>34090.514999999999</v>
      </c>
      <c r="N43" s="244">
        <v>33841.240000000013</v>
      </c>
      <c r="O43" s="244">
        <v>34819.51</v>
      </c>
      <c r="P43" s="244">
        <v>34033.974999999999</v>
      </c>
      <c r="Q43" s="244">
        <v>34269.19</v>
      </c>
      <c r="R43" s="244">
        <v>34308.660000000003</v>
      </c>
      <c r="S43" s="244">
        <v>35033.800000000003</v>
      </c>
      <c r="T43" s="244">
        <v>34802.36</v>
      </c>
      <c r="U43" s="244"/>
      <c r="V43" s="408">
        <f t="shared" si="4"/>
        <v>409646.51000000007</v>
      </c>
      <c r="W43" s="245"/>
      <c r="X43" s="421">
        <f t="shared" ref="X43:Z74" si="8">IFERROR(I43/$F43,0)</f>
        <v>1585.8736521331459</v>
      </c>
      <c r="Y43" s="421">
        <f t="shared" si="8"/>
        <v>1553.0337552742619</v>
      </c>
      <c r="Z43" s="421">
        <f t="shared" si="8"/>
        <v>1566.4669479606189</v>
      </c>
      <c r="AA43" s="421">
        <f t="shared" si="7"/>
        <v>1566.2511488970588</v>
      </c>
      <c r="AB43" s="421">
        <f t="shared" si="7"/>
        <v>1566.6596966911764</v>
      </c>
      <c r="AC43" s="421">
        <f t="shared" si="7"/>
        <v>1555.2040441176475</v>
      </c>
      <c r="AD43" s="421">
        <f t="shared" si="6"/>
        <v>1600.1613051470588</v>
      </c>
      <c r="AE43" s="421">
        <f t="shared" si="6"/>
        <v>1564.061351102941</v>
      </c>
      <c r="AF43" s="421">
        <f t="shared" si="6"/>
        <v>1574.8708639705883</v>
      </c>
      <c r="AG43" s="421">
        <f t="shared" si="6"/>
        <v>1576.6847426470588</v>
      </c>
      <c r="AH43" s="421">
        <f t="shared" si="6"/>
        <v>1610.0091911764705</v>
      </c>
      <c r="AI43" s="421">
        <f t="shared" si="6"/>
        <v>1599.3731617647059</v>
      </c>
      <c r="AJ43" s="408">
        <f t="shared" si="5"/>
        <v>18918.649860882735</v>
      </c>
    </row>
    <row r="44" spans="1:36">
      <c r="A44" s="231" t="str">
        <f t="shared" si="3"/>
        <v>PIERCE UTCResidentialBULKY-RES</v>
      </c>
      <c r="B44" s="243" t="s">
        <v>235</v>
      </c>
      <c r="C44" s="243" t="s">
        <v>236</v>
      </c>
      <c r="D44" s="243" t="s">
        <v>424</v>
      </c>
      <c r="E44" s="230">
        <v>32001</v>
      </c>
      <c r="F44" s="244">
        <v>31.67</v>
      </c>
      <c r="G44" s="244">
        <v>32.04</v>
      </c>
      <c r="H44" s="244"/>
      <c r="I44" s="244">
        <v>1551.87</v>
      </c>
      <c r="J44" s="244">
        <v>1700.9099999999999</v>
      </c>
      <c r="K44" s="244">
        <v>1132.6599999999999</v>
      </c>
      <c r="L44" s="244">
        <v>2320.31</v>
      </c>
      <c r="M44" s="244">
        <v>2016.93</v>
      </c>
      <c r="N44" s="244">
        <v>2113.2000000000003</v>
      </c>
      <c r="O44" s="244">
        <v>1561.9</v>
      </c>
      <c r="P44" s="244">
        <v>1963.51</v>
      </c>
      <c r="Q44" s="244">
        <v>3527.9899999999993</v>
      </c>
      <c r="R44" s="244">
        <v>1238.95</v>
      </c>
      <c r="S44" s="244">
        <v>2729.59</v>
      </c>
      <c r="T44" s="244">
        <v>1393.74</v>
      </c>
      <c r="U44" s="244"/>
      <c r="V44" s="408">
        <f t="shared" si="4"/>
        <v>23251.56</v>
      </c>
      <c r="W44" s="245"/>
      <c r="X44" s="421">
        <f t="shared" si="8"/>
        <v>49.001263024944734</v>
      </c>
      <c r="Y44" s="421">
        <f t="shared" si="8"/>
        <v>53.707293969055883</v>
      </c>
      <c r="Z44" s="421">
        <f t="shared" si="8"/>
        <v>35.76444584780549</v>
      </c>
      <c r="AA44" s="421">
        <f t="shared" si="7"/>
        <v>72.41916354556804</v>
      </c>
      <c r="AB44" s="421">
        <f t="shared" si="7"/>
        <v>62.950374531835209</v>
      </c>
      <c r="AC44" s="421">
        <f t="shared" si="7"/>
        <v>65.955056179775298</v>
      </c>
      <c r="AD44" s="421">
        <f t="shared" si="6"/>
        <v>48.748439450686647</v>
      </c>
      <c r="AE44" s="421">
        <f t="shared" si="6"/>
        <v>61.283083645443199</v>
      </c>
      <c r="AF44" s="421">
        <f t="shared" si="6"/>
        <v>110.11204744069911</v>
      </c>
      <c r="AG44" s="421">
        <f t="shared" si="6"/>
        <v>38.668851435705371</v>
      </c>
      <c r="AH44" s="421">
        <f t="shared" si="6"/>
        <v>85.193196004993766</v>
      </c>
      <c r="AI44" s="421">
        <f t="shared" si="6"/>
        <v>43.5</v>
      </c>
      <c r="AJ44" s="408">
        <f t="shared" si="5"/>
        <v>727.30321507651274</v>
      </c>
    </row>
    <row r="45" spans="1:36">
      <c r="A45" s="231" t="str">
        <f t="shared" si="3"/>
        <v>PIERCE UTCResidentialEXTRA-RES</v>
      </c>
      <c r="B45" s="243" t="s">
        <v>237</v>
      </c>
      <c r="C45" s="243" t="s">
        <v>238</v>
      </c>
      <c r="D45" s="243" t="s">
        <v>424</v>
      </c>
      <c r="E45" s="230">
        <v>32001</v>
      </c>
      <c r="F45" s="244">
        <v>4.29</v>
      </c>
      <c r="G45" s="244">
        <v>4.3899999999999997</v>
      </c>
      <c r="H45" s="244"/>
      <c r="I45" s="244">
        <v>13515.42</v>
      </c>
      <c r="J45" s="244">
        <v>17052.75</v>
      </c>
      <c r="K45" s="244">
        <v>8215.3499999999985</v>
      </c>
      <c r="L45" s="244">
        <v>9481.08</v>
      </c>
      <c r="M45" s="244">
        <v>9599.61</v>
      </c>
      <c r="N45" s="244">
        <v>9936.57</v>
      </c>
      <c r="O45" s="244">
        <v>10141.449999999999</v>
      </c>
      <c r="P45" s="244">
        <v>13902.65</v>
      </c>
      <c r="Q45" s="244">
        <v>9425.5099999999984</v>
      </c>
      <c r="R45" s="244">
        <v>9734.2799999999988</v>
      </c>
      <c r="S45" s="244">
        <v>8240.0300000000007</v>
      </c>
      <c r="T45" s="244">
        <v>7493.73</v>
      </c>
      <c r="U45" s="244"/>
      <c r="V45" s="408">
        <f t="shared" si="4"/>
        <v>126738.42999999998</v>
      </c>
      <c r="W45" s="245"/>
      <c r="X45" s="421">
        <f t="shared" si="8"/>
        <v>3150.4475524475524</v>
      </c>
      <c r="Y45" s="421">
        <f t="shared" si="8"/>
        <v>3975</v>
      </c>
      <c r="Z45" s="421">
        <f t="shared" si="8"/>
        <v>1914.9999999999995</v>
      </c>
      <c r="AA45" s="421">
        <f t="shared" si="7"/>
        <v>2159.6993166287016</v>
      </c>
      <c r="AB45" s="421">
        <f t="shared" si="7"/>
        <v>2186.699316628702</v>
      </c>
      <c r="AC45" s="421">
        <f t="shared" si="7"/>
        <v>2263.4555808656037</v>
      </c>
      <c r="AD45" s="421">
        <f t="shared" si="6"/>
        <v>2310.125284738041</v>
      </c>
      <c r="AE45" s="421">
        <f t="shared" si="6"/>
        <v>3166.8906605922552</v>
      </c>
      <c r="AF45" s="421">
        <f t="shared" si="6"/>
        <v>2147.0410022779042</v>
      </c>
      <c r="AG45" s="421">
        <f t="shared" si="6"/>
        <v>2217.3758542141227</v>
      </c>
      <c r="AH45" s="421">
        <f t="shared" si="6"/>
        <v>1877.0000000000002</v>
      </c>
      <c r="AI45" s="421">
        <f t="shared" si="6"/>
        <v>1707</v>
      </c>
      <c r="AJ45" s="408">
        <f t="shared" si="5"/>
        <v>29075.734568392883</v>
      </c>
    </row>
    <row r="46" spans="1:36">
      <c r="A46" s="231" t="str">
        <f t="shared" si="3"/>
        <v>PIERCE UTCResidentialEXTRAGRAD1-RES</v>
      </c>
      <c r="B46" s="243" t="s">
        <v>425</v>
      </c>
      <c r="C46" s="243" t="s">
        <v>426</v>
      </c>
      <c r="D46" s="243" t="s">
        <v>424</v>
      </c>
      <c r="E46" s="230">
        <v>32001</v>
      </c>
      <c r="F46" s="244">
        <v>0</v>
      </c>
      <c r="G46" s="244">
        <v>0</v>
      </c>
      <c r="H46" s="244"/>
      <c r="I46" s="244">
        <v>0</v>
      </c>
      <c r="J46" s="244">
        <v>0</v>
      </c>
      <c r="K46" s="244">
        <v>0</v>
      </c>
      <c r="L46" s="244">
        <v>0</v>
      </c>
      <c r="M46" s="244">
        <v>26.91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/>
      <c r="V46" s="408">
        <f t="shared" si="4"/>
        <v>26.91</v>
      </c>
      <c r="W46" s="245"/>
      <c r="X46" s="421">
        <f t="shared" si="8"/>
        <v>0</v>
      </c>
      <c r="Y46" s="421">
        <f t="shared" si="8"/>
        <v>0</v>
      </c>
      <c r="Z46" s="421">
        <f t="shared" si="8"/>
        <v>0</v>
      </c>
      <c r="AA46" s="421">
        <f t="shared" si="7"/>
        <v>0</v>
      </c>
      <c r="AB46" s="421">
        <f t="shared" si="7"/>
        <v>0</v>
      </c>
      <c r="AC46" s="421">
        <f t="shared" si="7"/>
        <v>0</v>
      </c>
      <c r="AD46" s="421">
        <f t="shared" si="6"/>
        <v>0</v>
      </c>
      <c r="AE46" s="421">
        <f t="shared" si="6"/>
        <v>0</v>
      </c>
      <c r="AF46" s="421">
        <f t="shared" si="6"/>
        <v>0</v>
      </c>
      <c r="AG46" s="421">
        <f t="shared" si="6"/>
        <v>0</v>
      </c>
      <c r="AH46" s="421">
        <f t="shared" si="6"/>
        <v>0</v>
      </c>
      <c r="AI46" s="421">
        <f t="shared" si="6"/>
        <v>0</v>
      </c>
      <c r="AJ46" s="408">
        <f t="shared" si="5"/>
        <v>0</v>
      </c>
    </row>
    <row r="47" spans="1:36">
      <c r="A47" s="231" t="str">
        <f t="shared" si="3"/>
        <v>PIERCE UTCResidentialEXTRAGRAD2-RES</v>
      </c>
      <c r="B47" s="243" t="s">
        <v>427</v>
      </c>
      <c r="C47" s="243" t="s">
        <v>426</v>
      </c>
      <c r="D47" s="243" t="s">
        <v>424</v>
      </c>
      <c r="E47" s="230">
        <v>32001</v>
      </c>
      <c r="F47" s="244">
        <v>0</v>
      </c>
      <c r="G47" s="244">
        <v>0</v>
      </c>
      <c r="H47" s="244"/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/>
      <c r="V47" s="408">
        <f t="shared" si="4"/>
        <v>0</v>
      </c>
      <c r="W47" s="245"/>
      <c r="X47" s="421">
        <f t="shared" si="8"/>
        <v>0</v>
      </c>
      <c r="Y47" s="421">
        <f t="shared" si="8"/>
        <v>0</v>
      </c>
      <c r="Z47" s="421">
        <f t="shared" si="8"/>
        <v>0</v>
      </c>
      <c r="AA47" s="421">
        <f t="shared" si="7"/>
        <v>0</v>
      </c>
      <c r="AB47" s="421">
        <f t="shared" si="7"/>
        <v>0</v>
      </c>
      <c r="AC47" s="421">
        <f t="shared" si="7"/>
        <v>0</v>
      </c>
      <c r="AD47" s="421">
        <f t="shared" si="6"/>
        <v>0</v>
      </c>
      <c r="AE47" s="421">
        <f t="shared" si="6"/>
        <v>0</v>
      </c>
      <c r="AF47" s="421">
        <f t="shared" si="6"/>
        <v>0</v>
      </c>
      <c r="AG47" s="421">
        <f t="shared" si="6"/>
        <v>0</v>
      </c>
      <c r="AH47" s="421">
        <f t="shared" si="6"/>
        <v>0</v>
      </c>
      <c r="AI47" s="421">
        <f t="shared" si="6"/>
        <v>0</v>
      </c>
      <c r="AJ47" s="408">
        <f t="shared" si="5"/>
        <v>0</v>
      </c>
    </row>
    <row r="48" spans="1:36">
      <c r="A48" s="231" t="str">
        <f t="shared" si="3"/>
        <v>PIERCE UTCResidentialEXTRAYDG-RES</v>
      </c>
      <c r="B48" s="243" t="s">
        <v>428</v>
      </c>
      <c r="C48" s="243" t="s">
        <v>429</v>
      </c>
      <c r="D48" s="243" t="s">
        <v>424</v>
      </c>
      <c r="E48" s="230">
        <v>32001</v>
      </c>
      <c r="F48" s="244">
        <v>31.67</v>
      </c>
      <c r="G48" s="244">
        <v>32.04</v>
      </c>
      <c r="H48" s="244"/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/>
      <c r="V48" s="408">
        <f t="shared" si="4"/>
        <v>0</v>
      </c>
      <c r="W48" s="245"/>
      <c r="X48" s="421">
        <f t="shared" si="8"/>
        <v>0</v>
      </c>
      <c r="Y48" s="421">
        <f t="shared" si="8"/>
        <v>0</v>
      </c>
      <c r="Z48" s="421">
        <f t="shared" si="8"/>
        <v>0</v>
      </c>
      <c r="AA48" s="421">
        <f t="shared" si="7"/>
        <v>0</v>
      </c>
      <c r="AB48" s="421">
        <f t="shared" si="7"/>
        <v>0</v>
      </c>
      <c r="AC48" s="421">
        <f t="shared" si="7"/>
        <v>0</v>
      </c>
      <c r="AD48" s="421">
        <f t="shared" si="6"/>
        <v>0</v>
      </c>
      <c r="AE48" s="421">
        <f t="shared" si="6"/>
        <v>0</v>
      </c>
      <c r="AF48" s="421">
        <f t="shared" si="6"/>
        <v>0</v>
      </c>
      <c r="AG48" s="421">
        <f t="shared" si="6"/>
        <v>0</v>
      </c>
      <c r="AH48" s="421">
        <f t="shared" si="6"/>
        <v>0</v>
      </c>
      <c r="AI48" s="421">
        <f t="shared" si="6"/>
        <v>0</v>
      </c>
      <c r="AJ48" s="408">
        <f t="shared" si="5"/>
        <v>0</v>
      </c>
    </row>
    <row r="49" spans="1:36">
      <c r="A49" s="231" t="str">
        <f t="shared" si="3"/>
        <v>PIERCE UTCResidentialOS-RES</v>
      </c>
      <c r="B49" s="243" t="s">
        <v>430</v>
      </c>
      <c r="C49" s="243" t="s">
        <v>431</v>
      </c>
      <c r="D49" s="243" t="s">
        <v>424</v>
      </c>
      <c r="E49" s="230">
        <v>32001</v>
      </c>
      <c r="F49" s="244">
        <v>7.62</v>
      </c>
      <c r="G49" s="244">
        <v>7.74</v>
      </c>
      <c r="H49" s="244"/>
      <c r="I49" s="244">
        <v>30.48</v>
      </c>
      <c r="J49" s="244">
        <v>7.62</v>
      </c>
      <c r="K49" s="244">
        <v>0</v>
      </c>
      <c r="L49" s="244">
        <v>0</v>
      </c>
      <c r="M49" s="244">
        <v>7.62</v>
      </c>
      <c r="N49" s="244">
        <v>0</v>
      </c>
      <c r="O49" s="244">
        <v>0</v>
      </c>
      <c r="P49" s="244">
        <v>15.48</v>
      </c>
      <c r="Q49" s="244">
        <v>0</v>
      </c>
      <c r="R49" s="244">
        <v>7.74</v>
      </c>
      <c r="S49" s="244">
        <v>0</v>
      </c>
      <c r="T49" s="244">
        <v>15.48</v>
      </c>
      <c r="U49" s="244"/>
      <c r="V49" s="408">
        <f t="shared" si="4"/>
        <v>84.42</v>
      </c>
      <c r="W49" s="245"/>
      <c r="X49" s="421">
        <f t="shared" si="8"/>
        <v>4</v>
      </c>
      <c r="Y49" s="421">
        <f t="shared" si="8"/>
        <v>1</v>
      </c>
      <c r="Z49" s="421">
        <f t="shared" si="8"/>
        <v>0</v>
      </c>
      <c r="AA49" s="421">
        <f t="shared" si="7"/>
        <v>0</v>
      </c>
      <c r="AB49" s="421">
        <f t="shared" si="7"/>
        <v>0.98449612403100772</v>
      </c>
      <c r="AC49" s="421">
        <f t="shared" si="7"/>
        <v>0</v>
      </c>
      <c r="AD49" s="421">
        <f t="shared" si="6"/>
        <v>0</v>
      </c>
      <c r="AE49" s="421">
        <f t="shared" si="6"/>
        <v>2</v>
      </c>
      <c r="AF49" s="421">
        <f t="shared" si="6"/>
        <v>0</v>
      </c>
      <c r="AG49" s="421">
        <f t="shared" si="6"/>
        <v>1</v>
      </c>
      <c r="AH49" s="421">
        <f t="shared" si="6"/>
        <v>0</v>
      </c>
      <c r="AI49" s="421">
        <f t="shared" si="6"/>
        <v>2</v>
      </c>
      <c r="AJ49" s="408">
        <f t="shared" si="5"/>
        <v>10.984496124031008</v>
      </c>
    </row>
    <row r="50" spans="1:36">
      <c r="A50" s="231" t="str">
        <f t="shared" si="3"/>
        <v>PIERCE UTCResidentialOW-RES</v>
      </c>
      <c r="B50" s="243" t="s">
        <v>432</v>
      </c>
      <c r="C50" s="243" t="s">
        <v>433</v>
      </c>
      <c r="D50" s="243" t="s">
        <v>424</v>
      </c>
      <c r="E50" s="230">
        <v>32001</v>
      </c>
      <c r="F50" s="244">
        <v>7.62</v>
      </c>
      <c r="G50" s="244">
        <v>7.74</v>
      </c>
      <c r="H50" s="244"/>
      <c r="I50" s="244">
        <v>19392.900000000001</v>
      </c>
      <c r="J50" s="244">
        <v>22708.980000000003</v>
      </c>
      <c r="K50" s="244">
        <v>12458.7</v>
      </c>
      <c r="L50" s="244">
        <v>16375.11</v>
      </c>
      <c r="M50" s="244">
        <v>14363.48</v>
      </c>
      <c r="N50" s="244">
        <v>14276.880000000001</v>
      </c>
      <c r="O50" s="244">
        <v>12626.080000000002</v>
      </c>
      <c r="P50" s="244">
        <v>15723.060000000001</v>
      </c>
      <c r="Q50" s="244">
        <v>13066.98</v>
      </c>
      <c r="R50" s="244">
        <v>10532.86</v>
      </c>
      <c r="S50" s="244">
        <v>10820.64</v>
      </c>
      <c r="T50" s="244">
        <v>10603.8</v>
      </c>
      <c r="U50" s="244"/>
      <c r="V50" s="408">
        <f t="shared" si="4"/>
        <v>172949.47000000003</v>
      </c>
      <c r="W50" s="245"/>
      <c r="X50" s="421">
        <f t="shared" si="8"/>
        <v>2545</v>
      </c>
      <c r="Y50" s="421">
        <f t="shared" si="8"/>
        <v>2980.1811023622049</v>
      </c>
      <c r="Z50" s="421">
        <f t="shared" si="8"/>
        <v>1635</v>
      </c>
      <c r="AA50" s="421">
        <f t="shared" si="7"/>
        <v>2115.6472868217056</v>
      </c>
      <c r="AB50" s="421">
        <f t="shared" si="7"/>
        <v>1855.7467700258396</v>
      </c>
      <c r="AC50" s="421">
        <f t="shared" si="7"/>
        <v>1844.5581395348838</v>
      </c>
      <c r="AD50" s="421">
        <f t="shared" si="6"/>
        <v>1631.2764857881139</v>
      </c>
      <c r="AE50" s="421">
        <f t="shared" si="6"/>
        <v>2031.4031007751939</v>
      </c>
      <c r="AF50" s="421">
        <f t="shared" si="6"/>
        <v>1688.2403100775193</v>
      </c>
      <c r="AG50" s="421">
        <f t="shared" si="6"/>
        <v>1360.8346253229975</v>
      </c>
      <c r="AH50" s="421">
        <f t="shared" si="6"/>
        <v>1398.015503875969</v>
      </c>
      <c r="AI50" s="421">
        <f t="shared" si="6"/>
        <v>1369.9999999999998</v>
      </c>
      <c r="AJ50" s="408">
        <f t="shared" si="5"/>
        <v>22455.903324584429</v>
      </c>
    </row>
    <row r="51" spans="1:36">
      <c r="A51" s="231" t="str">
        <f t="shared" si="3"/>
        <v>PIERCE UTCResidentialSPCL32-RES</v>
      </c>
      <c r="B51" s="243" t="s">
        <v>434</v>
      </c>
      <c r="C51" s="243" t="s">
        <v>435</v>
      </c>
      <c r="D51" s="243" t="s">
        <v>416</v>
      </c>
      <c r="E51" s="230">
        <v>32000</v>
      </c>
      <c r="F51" s="244">
        <v>0</v>
      </c>
      <c r="G51" s="244">
        <v>0</v>
      </c>
      <c r="H51" s="244"/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/>
      <c r="V51" s="408">
        <f t="shared" si="4"/>
        <v>0</v>
      </c>
      <c r="W51" s="245"/>
      <c r="X51" s="421">
        <f t="shared" si="8"/>
        <v>0</v>
      </c>
      <c r="Y51" s="421">
        <f t="shared" si="8"/>
        <v>0</v>
      </c>
      <c r="Z51" s="421">
        <f t="shared" si="8"/>
        <v>0</v>
      </c>
      <c r="AA51" s="421">
        <f t="shared" si="7"/>
        <v>0</v>
      </c>
      <c r="AB51" s="421">
        <f t="shared" si="7"/>
        <v>0</v>
      </c>
      <c r="AC51" s="421">
        <f t="shared" si="7"/>
        <v>0</v>
      </c>
      <c r="AD51" s="421">
        <f t="shared" si="6"/>
        <v>0</v>
      </c>
      <c r="AE51" s="421">
        <f t="shared" si="6"/>
        <v>0</v>
      </c>
      <c r="AF51" s="421">
        <f t="shared" si="6"/>
        <v>0</v>
      </c>
      <c r="AG51" s="421">
        <f t="shared" si="6"/>
        <v>0</v>
      </c>
      <c r="AH51" s="421">
        <f t="shared" si="6"/>
        <v>0</v>
      </c>
      <c r="AI51" s="421">
        <f t="shared" si="6"/>
        <v>0</v>
      </c>
      <c r="AJ51" s="408">
        <f t="shared" si="5"/>
        <v>0</v>
      </c>
    </row>
    <row r="52" spans="1:36" s="229" customFormat="1">
      <c r="A52" s="231" t="str">
        <f t="shared" si="3"/>
        <v>PIERCE UTCResidentialSPCL65-RES</v>
      </c>
      <c r="B52" s="243" t="s">
        <v>436</v>
      </c>
      <c r="C52" s="243" t="s">
        <v>437</v>
      </c>
      <c r="D52" s="243" t="s">
        <v>416</v>
      </c>
      <c r="E52" s="230">
        <v>32000</v>
      </c>
      <c r="F52" s="244">
        <v>0</v>
      </c>
      <c r="G52" s="244">
        <v>0</v>
      </c>
      <c r="H52" s="244"/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/>
      <c r="V52" s="408">
        <f t="shared" si="4"/>
        <v>0</v>
      </c>
      <c r="W52" s="245"/>
      <c r="X52" s="421">
        <f t="shared" si="8"/>
        <v>0</v>
      </c>
      <c r="Y52" s="421">
        <f t="shared" si="8"/>
        <v>0</v>
      </c>
      <c r="Z52" s="421">
        <f t="shared" si="8"/>
        <v>0</v>
      </c>
      <c r="AA52" s="421">
        <f t="shared" si="7"/>
        <v>0</v>
      </c>
      <c r="AB52" s="421">
        <f t="shared" si="7"/>
        <v>0</v>
      </c>
      <c r="AC52" s="421">
        <f t="shared" si="7"/>
        <v>0</v>
      </c>
      <c r="AD52" s="421">
        <f t="shared" si="6"/>
        <v>0</v>
      </c>
      <c r="AE52" s="421">
        <f t="shared" si="6"/>
        <v>0</v>
      </c>
      <c r="AF52" s="421">
        <f t="shared" si="6"/>
        <v>0</v>
      </c>
      <c r="AG52" s="421">
        <f t="shared" si="6"/>
        <v>0</v>
      </c>
      <c r="AH52" s="421">
        <f t="shared" si="6"/>
        <v>0</v>
      </c>
      <c r="AI52" s="421">
        <f t="shared" si="6"/>
        <v>0</v>
      </c>
      <c r="AJ52" s="408">
        <f t="shared" si="5"/>
        <v>0</v>
      </c>
    </row>
    <row r="53" spans="1:36" s="229" customFormat="1">
      <c r="A53" s="231" t="str">
        <f t="shared" si="3"/>
        <v>PIERCE UTCResidentialSPCL95-RES</v>
      </c>
      <c r="B53" s="243" t="s">
        <v>438</v>
      </c>
      <c r="C53" s="243" t="s">
        <v>439</v>
      </c>
      <c r="D53" s="243" t="s">
        <v>416</v>
      </c>
      <c r="E53" s="230">
        <v>32000</v>
      </c>
      <c r="F53" s="244">
        <v>0</v>
      </c>
      <c r="G53" s="244">
        <v>0</v>
      </c>
      <c r="H53" s="244"/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/>
      <c r="V53" s="408">
        <f t="shared" si="4"/>
        <v>0</v>
      </c>
      <c r="W53" s="245"/>
      <c r="X53" s="421">
        <f t="shared" si="8"/>
        <v>0</v>
      </c>
      <c r="Y53" s="421">
        <f t="shared" si="8"/>
        <v>0</v>
      </c>
      <c r="Z53" s="421">
        <f t="shared" si="8"/>
        <v>0</v>
      </c>
      <c r="AA53" s="421">
        <f t="shared" si="7"/>
        <v>0</v>
      </c>
      <c r="AB53" s="421">
        <f t="shared" si="7"/>
        <v>0</v>
      </c>
      <c r="AC53" s="421">
        <f t="shared" si="7"/>
        <v>0</v>
      </c>
      <c r="AD53" s="421">
        <f t="shared" si="6"/>
        <v>0</v>
      </c>
      <c r="AE53" s="421">
        <f t="shared" si="6"/>
        <v>0</v>
      </c>
      <c r="AF53" s="421">
        <f t="shared" si="6"/>
        <v>0</v>
      </c>
      <c r="AG53" s="421">
        <f t="shared" si="6"/>
        <v>0</v>
      </c>
      <c r="AH53" s="421">
        <f t="shared" si="6"/>
        <v>0</v>
      </c>
      <c r="AI53" s="421">
        <f t="shared" si="6"/>
        <v>0</v>
      </c>
      <c r="AJ53" s="408">
        <f t="shared" si="5"/>
        <v>0</v>
      </c>
    </row>
    <row r="54" spans="1:36">
      <c r="A54" s="231" t="str">
        <f t="shared" si="3"/>
        <v>PIERCE UTCResidentialSP65-RES</v>
      </c>
      <c r="B54" s="243" t="s">
        <v>440</v>
      </c>
      <c r="C54" s="243" t="s">
        <v>441</v>
      </c>
      <c r="D54" s="243" t="s">
        <v>424</v>
      </c>
      <c r="E54" s="230">
        <v>32001</v>
      </c>
      <c r="F54" s="244">
        <v>0</v>
      </c>
      <c r="G54" s="244">
        <v>0</v>
      </c>
      <c r="H54" s="244"/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/>
      <c r="V54" s="408">
        <f t="shared" si="4"/>
        <v>0</v>
      </c>
      <c r="W54" s="245"/>
      <c r="X54" s="421">
        <f t="shared" si="8"/>
        <v>0</v>
      </c>
      <c r="Y54" s="421">
        <f t="shared" si="8"/>
        <v>0</v>
      </c>
      <c r="Z54" s="421">
        <f t="shared" si="8"/>
        <v>0</v>
      </c>
      <c r="AA54" s="421">
        <f t="shared" si="7"/>
        <v>0</v>
      </c>
      <c r="AB54" s="421">
        <f t="shared" si="7"/>
        <v>0</v>
      </c>
      <c r="AC54" s="421">
        <f t="shared" si="7"/>
        <v>0</v>
      </c>
      <c r="AD54" s="421">
        <f t="shared" si="6"/>
        <v>0</v>
      </c>
      <c r="AE54" s="421">
        <f t="shared" si="6"/>
        <v>0</v>
      </c>
      <c r="AF54" s="421">
        <f t="shared" si="6"/>
        <v>0</v>
      </c>
      <c r="AG54" s="421">
        <f t="shared" si="6"/>
        <v>0</v>
      </c>
      <c r="AH54" s="421">
        <f t="shared" si="6"/>
        <v>0</v>
      </c>
      <c r="AI54" s="421">
        <f t="shared" si="6"/>
        <v>0</v>
      </c>
      <c r="AJ54" s="408">
        <f t="shared" si="5"/>
        <v>0</v>
      </c>
    </row>
    <row r="55" spans="1:36">
      <c r="A55" s="231" t="str">
        <f t="shared" si="3"/>
        <v>PIERCE UTCResidentialSP95-RES</v>
      </c>
      <c r="B55" s="243" t="s">
        <v>442</v>
      </c>
      <c r="C55" s="243" t="s">
        <v>443</v>
      </c>
      <c r="D55" s="243" t="s">
        <v>424</v>
      </c>
      <c r="E55" s="230">
        <v>32001</v>
      </c>
      <c r="F55" s="244">
        <v>0</v>
      </c>
      <c r="G55" s="244">
        <v>0</v>
      </c>
      <c r="H55" s="244"/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/>
      <c r="V55" s="408">
        <f t="shared" si="4"/>
        <v>0</v>
      </c>
      <c r="W55" s="245"/>
      <c r="X55" s="421">
        <f t="shared" si="8"/>
        <v>0</v>
      </c>
      <c r="Y55" s="421">
        <f t="shared" si="8"/>
        <v>0</v>
      </c>
      <c r="Z55" s="421">
        <f t="shared" si="8"/>
        <v>0</v>
      </c>
      <c r="AA55" s="421">
        <f t="shared" si="7"/>
        <v>0</v>
      </c>
      <c r="AB55" s="421">
        <f t="shared" si="7"/>
        <v>0</v>
      </c>
      <c r="AC55" s="421">
        <f t="shared" si="7"/>
        <v>0</v>
      </c>
      <c r="AD55" s="421">
        <f t="shared" si="6"/>
        <v>0</v>
      </c>
      <c r="AE55" s="421">
        <f t="shared" si="6"/>
        <v>0</v>
      </c>
      <c r="AF55" s="421">
        <f t="shared" si="6"/>
        <v>0</v>
      </c>
      <c r="AG55" s="421">
        <f t="shared" si="6"/>
        <v>0</v>
      </c>
      <c r="AH55" s="421">
        <f t="shared" si="6"/>
        <v>0</v>
      </c>
      <c r="AI55" s="421">
        <f t="shared" si="6"/>
        <v>0</v>
      </c>
      <c r="AJ55" s="408">
        <f t="shared" si="5"/>
        <v>0</v>
      </c>
    </row>
    <row r="56" spans="1:36">
      <c r="A56" s="231" t="str">
        <f t="shared" si="3"/>
        <v>PIERCE UTCResidentialSPGRAD1-RES</v>
      </c>
      <c r="B56" s="243" t="s">
        <v>444</v>
      </c>
      <c r="C56" s="243"/>
      <c r="D56" s="243"/>
      <c r="F56" s="244">
        <v>0</v>
      </c>
      <c r="G56" s="244">
        <v>0</v>
      </c>
      <c r="H56" s="244"/>
      <c r="I56" s="244">
        <v>8.66</v>
      </c>
      <c r="J56" s="244">
        <v>0</v>
      </c>
      <c r="K56" s="244">
        <v>8.66</v>
      </c>
      <c r="L56" s="244">
        <v>0</v>
      </c>
      <c r="M56" s="244">
        <v>17.940000000000001</v>
      </c>
      <c r="N56" s="244">
        <v>0</v>
      </c>
      <c r="O56" s="244">
        <v>8.9700000000000006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/>
      <c r="V56" s="408">
        <f t="shared" si="4"/>
        <v>44.230000000000004</v>
      </c>
      <c r="W56" s="245"/>
      <c r="X56" s="421">
        <f t="shared" si="8"/>
        <v>0</v>
      </c>
      <c r="Y56" s="421">
        <f t="shared" si="8"/>
        <v>0</v>
      </c>
      <c r="Z56" s="421">
        <f t="shared" si="8"/>
        <v>0</v>
      </c>
      <c r="AA56" s="421">
        <f t="shared" si="7"/>
        <v>0</v>
      </c>
      <c r="AB56" s="421">
        <f t="shared" si="7"/>
        <v>0</v>
      </c>
      <c r="AC56" s="421">
        <f t="shared" si="7"/>
        <v>0</v>
      </c>
      <c r="AD56" s="421">
        <f t="shared" si="6"/>
        <v>0</v>
      </c>
      <c r="AE56" s="421">
        <f t="shared" si="6"/>
        <v>0</v>
      </c>
      <c r="AF56" s="421">
        <f t="shared" si="6"/>
        <v>0</v>
      </c>
      <c r="AG56" s="421">
        <f t="shared" si="6"/>
        <v>0</v>
      </c>
      <c r="AH56" s="421">
        <f t="shared" si="6"/>
        <v>0</v>
      </c>
      <c r="AI56" s="421">
        <f t="shared" si="6"/>
        <v>0</v>
      </c>
      <c r="AJ56" s="408">
        <f t="shared" si="5"/>
        <v>0</v>
      </c>
    </row>
    <row r="57" spans="1:36">
      <c r="A57" s="231" t="str">
        <f t="shared" si="3"/>
        <v>PIERCE UTCResidentialSPREC-RES</v>
      </c>
      <c r="B57" s="243" t="s">
        <v>445</v>
      </c>
      <c r="C57" s="243" t="s">
        <v>446</v>
      </c>
      <c r="D57" s="243" t="s">
        <v>424</v>
      </c>
      <c r="E57" s="230">
        <v>32001</v>
      </c>
      <c r="F57" s="244">
        <v>0</v>
      </c>
      <c r="G57" s="244">
        <v>0</v>
      </c>
      <c r="H57" s="244"/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/>
      <c r="V57" s="408">
        <f t="shared" si="4"/>
        <v>0</v>
      </c>
      <c r="W57" s="245"/>
      <c r="X57" s="421">
        <f t="shared" si="8"/>
        <v>0</v>
      </c>
      <c r="Y57" s="421">
        <f t="shared" si="8"/>
        <v>0</v>
      </c>
      <c r="Z57" s="421">
        <f t="shared" si="8"/>
        <v>0</v>
      </c>
      <c r="AA57" s="421">
        <f t="shared" si="7"/>
        <v>0</v>
      </c>
      <c r="AB57" s="421">
        <f t="shared" si="7"/>
        <v>0</v>
      </c>
      <c r="AC57" s="421">
        <f t="shared" si="7"/>
        <v>0</v>
      </c>
      <c r="AD57" s="421">
        <f t="shared" si="6"/>
        <v>0</v>
      </c>
      <c r="AE57" s="421">
        <f t="shared" si="6"/>
        <v>0</v>
      </c>
      <c r="AF57" s="421">
        <f t="shared" si="6"/>
        <v>0</v>
      </c>
      <c r="AG57" s="421">
        <f t="shared" si="6"/>
        <v>0</v>
      </c>
      <c r="AH57" s="421">
        <f t="shared" si="6"/>
        <v>0</v>
      </c>
      <c r="AI57" s="421">
        <f t="shared" si="6"/>
        <v>0</v>
      </c>
      <c r="AJ57" s="408">
        <f t="shared" si="5"/>
        <v>0</v>
      </c>
    </row>
    <row r="58" spans="1:36">
      <c r="A58" s="231" t="str">
        <f t="shared" si="3"/>
        <v>PIERCE UTCResidentialWI1-RES</v>
      </c>
      <c r="B58" s="243" t="s">
        <v>447</v>
      </c>
      <c r="C58" s="243" t="s">
        <v>448</v>
      </c>
      <c r="D58" s="243" t="s">
        <v>416</v>
      </c>
      <c r="E58" s="230">
        <v>32000</v>
      </c>
      <c r="F58" s="244">
        <v>2.06</v>
      </c>
      <c r="G58" s="244">
        <v>2.06</v>
      </c>
      <c r="H58" s="244"/>
      <c r="I58" s="244">
        <v>117.42</v>
      </c>
      <c r="J58" s="244">
        <v>122.06</v>
      </c>
      <c r="K58" s="244">
        <v>116.9</v>
      </c>
      <c r="L58" s="244">
        <v>119.02</v>
      </c>
      <c r="M58" s="244">
        <v>119.48</v>
      </c>
      <c r="N58" s="244">
        <v>119.48</v>
      </c>
      <c r="O58" s="244">
        <v>127.72</v>
      </c>
      <c r="P58" s="244">
        <v>128.41</v>
      </c>
      <c r="Q58" s="244">
        <v>125.14999999999999</v>
      </c>
      <c r="R58" s="244">
        <v>126.75</v>
      </c>
      <c r="S58" s="244">
        <v>137.32999999999998</v>
      </c>
      <c r="T58" s="244"/>
      <c r="U58" s="244"/>
      <c r="W58" s="245"/>
      <c r="X58" s="421"/>
      <c r="Y58" s="421">
        <f t="shared" si="8"/>
        <v>59.252427184466022</v>
      </c>
      <c r="Z58" s="421">
        <f t="shared" si="8"/>
        <v>56.747572815533985</v>
      </c>
      <c r="AA58" s="421">
        <f t="shared" si="7"/>
        <v>57.776699029126213</v>
      </c>
      <c r="AB58" s="421">
        <f t="shared" si="7"/>
        <v>58</v>
      </c>
      <c r="AC58" s="421">
        <f t="shared" si="7"/>
        <v>58</v>
      </c>
      <c r="AD58" s="421">
        <f t="shared" si="6"/>
        <v>62</v>
      </c>
      <c r="AE58" s="421">
        <f t="shared" si="6"/>
        <v>62.334951456310677</v>
      </c>
      <c r="AF58" s="421">
        <f t="shared" si="6"/>
        <v>60.752427184466015</v>
      </c>
      <c r="AG58" s="421">
        <f t="shared" si="6"/>
        <v>61.529126213592228</v>
      </c>
      <c r="AH58" s="421">
        <f t="shared" si="6"/>
        <v>66.665048543689309</v>
      </c>
      <c r="AI58" s="421">
        <f t="shared" si="6"/>
        <v>0</v>
      </c>
      <c r="AJ58" s="408">
        <f t="shared" si="5"/>
        <v>603.05825242718447</v>
      </c>
    </row>
    <row r="59" spans="1:36">
      <c r="A59" s="231" t="str">
        <f t="shared" si="3"/>
        <v>PIERCE UTCResidentialWI2-RES</v>
      </c>
      <c r="B59" s="243" t="s">
        <v>449</v>
      </c>
      <c r="C59" s="243" t="s">
        <v>450</v>
      </c>
      <c r="D59" s="243" t="s">
        <v>416</v>
      </c>
      <c r="E59" s="230">
        <v>32000</v>
      </c>
      <c r="F59" s="244">
        <v>3.38</v>
      </c>
      <c r="G59" s="244">
        <v>3.38</v>
      </c>
      <c r="H59" s="244"/>
      <c r="I59" s="244">
        <v>13.52</v>
      </c>
      <c r="J59" s="244">
        <v>13.52</v>
      </c>
      <c r="K59" s="244">
        <v>13.52</v>
      </c>
      <c r="L59" s="244">
        <v>13.52</v>
      </c>
      <c r="M59" s="244">
        <v>13.52</v>
      </c>
      <c r="N59" s="244">
        <v>13.52</v>
      </c>
      <c r="O59" s="244">
        <v>13.52</v>
      </c>
      <c r="P59" s="244">
        <v>13.52</v>
      </c>
      <c r="Q59" s="244">
        <v>13.52</v>
      </c>
      <c r="R59" s="244">
        <v>13.52</v>
      </c>
      <c r="S59" s="244">
        <v>13.52</v>
      </c>
      <c r="T59" s="244"/>
      <c r="U59" s="244"/>
      <c r="W59" s="245"/>
      <c r="X59" s="421"/>
      <c r="Y59" s="421">
        <f t="shared" si="8"/>
        <v>4</v>
      </c>
      <c r="Z59" s="421">
        <f t="shared" si="8"/>
        <v>4</v>
      </c>
      <c r="AA59" s="421">
        <f t="shared" si="7"/>
        <v>4</v>
      </c>
      <c r="AB59" s="421">
        <f t="shared" si="7"/>
        <v>4</v>
      </c>
      <c r="AC59" s="421">
        <f t="shared" si="7"/>
        <v>4</v>
      </c>
      <c r="AD59" s="421">
        <f t="shared" si="6"/>
        <v>4</v>
      </c>
      <c r="AE59" s="421">
        <f t="shared" si="6"/>
        <v>4</v>
      </c>
      <c r="AF59" s="421">
        <f t="shared" si="6"/>
        <v>4</v>
      </c>
      <c r="AG59" s="421">
        <f t="shared" si="6"/>
        <v>4</v>
      </c>
      <c r="AH59" s="421">
        <f t="shared" si="6"/>
        <v>4</v>
      </c>
      <c r="AI59" s="421">
        <f t="shared" si="6"/>
        <v>0</v>
      </c>
      <c r="AJ59" s="408">
        <f t="shared" si="5"/>
        <v>40</v>
      </c>
    </row>
    <row r="60" spans="1:36">
      <c r="A60" s="231" t="str">
        <f t="shared" si="3"/>
        <v>PIERCE UTCResidentialWI3-RES</v>
      </c>
      <c r="B60" s="243" t="s">
        <v>451</v>
      </c>
      <c r="C60" s="243" t="s">
        <v>452</v>
      </c>
      <c r="D60" s="243" t="s">
        <v>416</v>
      </c>
      <c r="E60" s="230">
        <v>32000</v>
      </c>
      <c r="F60" s="244">
        <v>4.7</v>
      </c>
      <c r="G60" s="244">
        <v>4.7</v>
      </c>
      <c r="H60" s="244"/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/>
      <c r="U60" s="244"/>
      <c r="W60" s="245"/>
      <c r="X60" s="421"/>
      <c r="Y60" s="421">
        <f t="shared" si="8"/>
        <v>0</v>
      </c>
      <c r="Z60" s="421">
        <f t="shared" si="8"/>
        <v>0</v>
      </c>
      <c r="AA60" s="421">
        <f t="shared" si="7"/>
        <v>0</v>
      </c>
      <c r="AB60" s="421">
        <f t="shared" si="7"/>
        <v>0</v>
      </c>
      <c r="AC60" s="421">
        <f t="shared" si="7"/>
        <v>0</v>
      </c>
      <c r="AD60" s="421">
        <f t="shared" si="6"/>
        <v>0</v>
      </c>
      <c r="AE60" s="421">
        <f t="shared" si="6"/>
        <v>0</v>
      </c>
      <c r="AF60" s="421">
        <f t="shared" si="6"/>
        <v>0</v>
      </c>
      <c r="AG60" s="421">
        <f t="shared" si="6"/>
        <v>0</v>
      </c>
      <c r="AH60" s="421">
        <f t="shared" si="6"/>
        <v>0</v>
      </c>
      <c r="AI60" s="421">
        <f t="shared" si="6"/>
        <v>0</v>
      </c>
      <c r="AJ60" s="408">
        <f t="shared" si="5"/>
        <v>0</v>
      </c>
    </row>
    <row r="61" spans="1:36">
      <c r="A61" s="231" t="str">
        <f t="shared" si="3"/>
        <v>PIERCE UTCResidentialWI4-RES</v>
      </c>
      <c r="B61" s="243" t="s">
        <v>453</v>
      </c>
      <c r="C61" s="243" t="s">
        <v>454</v>
      </c>
      <c r="D61" s="243" t="s">
        <v>416</v>
      </c>
      <c r="E61" s="230">
        <v>32000</v>
      </c>
      <c r="F61" s="244">
        <v>6.02</v>
      </c>
      <c r="G61" s="244">
        <v>6.02</v>
      </c>
      <c r="H61" s="244"/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/>
      <c r="U61" s="244"/>
      <c r="W61" s="245"/>
      <c r="X61" s="421"/>
      <c r="Y61" s="421">
        <f t="shared" si="8"/>
        <v>0</v>
      </c>
      <c r="Z61" s="421">
        <f t="shared" si="8"/>
        <v>0</v>
      </c>
      <c r="AA61" s="421">
        <f t="shared" si="7"/>
        <v>0</v>
      </c>
      <c r="AB61" s="421">
        <f t="shared" si="7"/>
        <v>0</v>
      </c>
      <c r="AC61" s="421">
        <f t="shared" si="7"/>
        <v>0</v>
      </c>
      <c r="AD61" s="421">
        <f t="shared" si="6"/>
        <v>0</v>
      </c>
      <c r="AE61" s="421">
        <f t="shared" si="6"/>
        <v>0</v>
      </c>
      <c r="AF61" s="421">
        <f t="shared" si="6"/>
        <v>0</v>
      </c>
      <c r="AG61" s="421">
        <f t="shared" si="6"/>
        <v>0</v>
      </c>
      <c r="AH61" s="421">
        <f t="shared" si="6"/>
        <v>0</v>
      </c>
      <c r="AI61" s="421">
        <f t="shared" si="6"/>
        <v>0</v>
      </c>
      <c r="AJ61" s="408">
        <f t="shared" si="5"/>
        <v>0</v>
      </c>
    </row>
    <row r="62" spans="1:36">
      <c r="A62" s="231" t="str">
        <f t="shared" si="3"/>
        <v>PIERCE UTCResidentialWI5-RES</v>
      </c>
      <c r="B62" s="243" t="s">
        <v>455</v>
      </c>
      <c r="C62" s="243" t="s">
        <v>456</v>
      </c>
      <c r="D62" s="243" t="s">
        <v>416</v>
      </c>
      <c r="E62" s="230">
        <v>32000</v>
      </c>
      <c r="F62" s="244">
        <v>7.34</v>
      </c>
      <c r="G62" s="244">
        <v>7.34</v>
      </c>
      <c r="H62" s="244"/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/>
      <c r="U62" s="244"/>
      <c r="W62" s="245"/>
      <c r="X62" s="421"/>
      <c r="Y62" s="421">
        <f t="shared" si="8"/>
        <v>0</v>
      </c>
      <c r="Z62" s="421">
        <f t="shared" si="8"/>
        <v>0</v>
      </c>
      <c r="AA62" s="421">
        <f t="shared" si="7"/>
        <v>0</v>
      </c>
      <c r="AB62" s="421">
        <f t="shared" si="7"/>
        <v>0</v>
      </c>
      <c r="AC62" s="421">
        <f t="shared" si="7"/>
        <v>0</v>
      </c>
      <c r="AD62" s="421">
        <f t="shared" si="6"/>
        <v>0</v>
      </c>
      <c r="AE62" s="421">
        <f t="shared" si="6"/>
        <v>0</v>
      </c>
      <c r="AF62" s="421">
        <f t="shared" si="6"/>
        <v>0</v>
      </c>
      <c r="AG62" s="421">
        <f t="shared" si="6"/>
        <v>0</v>
      </c>
      <c r="AH62" s="421">
        <f t="shared" si="6"/>
        <v>0</v>
      </c>
      <c r="AI62" s="421">
        <f t="shared" si="6"/>
        <v>0</v>
      </c>
      <c r="AJ62" s="408">
        <f t="shared" si="5"/>
        <v>0</v>
      </c>
    </row>
    <row r="63" spans="1:36" s="229" customFormat="1">
      <c r="A63" s="231" t="str">
        <f t="shared" si="3"/>
        <v>PIERCE UTCResidentialWI9-RES</v>
      </c>
      <c r="B63" s="243" t="s">
        <v>457</v>
      </c>
      <c r="C63" s="243" t="s">
        <v>458</v>
      </c>
      <c r="D63" s="243" t="s">
        <v>416</v>
      </c>
      <c r="E63" s="230">
        <v>32000</v>
      </c>
      <c r="F63" s="244">
        <v>12.62</v>
      </c>
      <c r="G63" s="244">
        <v>12.62</v>
      </c>
      <c r="H63" s="244"/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/>
      <c r="U63" s="244"/>
      <c r="V63" s="408"/>
      <c r="W63" s="245"/>
      <c r="X63" s="421"/>
      <c r="Y63" s="421">
        <f t="shared" si="8"/>
        <v>0</v>
      </c>
      <c r="Z63" s="421">
        <f t="shared" si="8"/>
        <v>0</v>
      </c>
      <c r="AA63" s="421">
        <f t="shared" si="7"/>
        <v>0</v>
      </c>
      <c r="AB63" s="421">
        <f t="shared" si="7"/>
        <v>0</v>
      </c>
      <c r="AC63" s="421">
        <f t="shared" si="7"/>
        <v>0</v>
      </c>
      <c r="AD63" s="421">
        <f t="shared" si="6"/>
        <v>0</v>
      </c>
      <c r="AE63" s="421">
        <f t="shared" si="6"/>
        <v>0</v>
      </c>
      <c r="AF63" s="421">
        <f t="shared" si="6"/>
        <v>0</v>
      </c>
      <c r="AG63" s="421">
        <f t="shared" si="6"/>
        <v>0</v>
      </c>
      <c r="AH63" s="421">
        <f t="shared" si="6"/>
        <v>0</v>
      </c>
      <c r="AI63" s="421">
        <f t="shared" si="6"/>
        <v>0</v>
      </c>
      <c r="AJ63" s="408">
        <f t="shared" si="5"/>
        <v>0</v>
      </c>
    </row>
    <row r="64" spans="1:36" s="229" customFormat="1">
      <c r="A64" s="231" t="str">
        <f t="shared" si="3"/>
        <v>PIERCE UTCResidentialDRIVEIN1-RES</v>
      </c>
      <c r="B64" s="243" t="s">
        <v>459</v>
      </c>
      <c r="C64" s="243" t="s">
        <v>460</v>
      </c>
      <c r="D64" s="243" t="s">
        <v>416</v>
      </c>
      <c r="E64" s="230">
        <v>32000</v>
      </c>
      <c r="F64" s="244">
        <v>0</v>
      </c>
      <c r="G64" s="244">
        <v>0</v>
      </c>
      <c r="H64" s="244"/>
      <c r="I64" s="244">
        <v>17</v>
      </c>
      <c r="J64" s="244">
        <v>17</v>
      </c>
      <c r="K64" s="244">
        <v>17</v>
      </c>
      <c r="L64" s="244">
        <v>17</v>
      </c>
      <c r="M64" s="244">
        <v>17</v>
      </c>
      <c r="N64" s="244">
        <v>17</v>
      </c>
      <c r="O64" s="244">
        <v>17</v>
      </c>
      <c r="P64" s="244">
        <v>17</v>
      </c>
      <c r="Q64" s="244">
        <v>17</v>
      </c>
      <c r="R64" s="244">
        <v>17</v>
      </c>
      <c r="S64" s="244">
        <v>17</v>
      </c>
      <c r="T64" s="244"/>
      <c r="U64" s="244"/>
      <c r="V64" s="408"/>
      <c r="W64" s="245"/>
      <c r="X64" s="421"/>
      <c r="Y64" s="421">
        <f t="shared" si="8"/>
        <v>0</v>
      </c>
      <c r="Z64" s="421">
        <f t="shared" si="8"/>
        <v>0</v>
      </c>
      <c r="AA64" s="421">
        <f t="shared" si="7"/>
        <v>0</v>
      </c>
      <c r="AB64" s="421">
        <f t="shared" si="7"/>
        <v>0</v>
      </c>
      <c r="AC64" s="421">
        <f t="shared" si="7"/>
        <v>0</v>
      </c>
      <c r="AD64" s="421">
        <f t="shared" si="6"/>
        <v>0</v>
      </c>
      <c r="AE64" s="421">
        <f t="shared" si="6"/>
        <v>0</v>
      </c>
      <c r="AF64" s="421">
        <f t="shared" si="6"/>
        <v>0</v>
      </c>
      <c r="AG64" s="421">
        <f t="shared" si="6"/>
        <v>0</v>
      </c>
      <c r="AH64" s="421">
        <f t="shared" si="6"/>
        <v>0</v>
      </c>
      <c r="AI64" s="421">
        <f t="shared" si="6"/>
        <v>0</v>
      </c>
      <c r="AJ64" s="408">
        <f t="shared" si="5"/>
        <v>0</v>
      </c>
    </row>
    <row r="65" spans="1:36" s="229" customFormat="1">
      <c r="A65" s="231" t="str">
        <f t="shared" si="3"/>
        <v>PIERCE UTCResidentialDRIVEIN2-RES</v>
      </c>
      <c r="B65" s="243" t="s">
        <v>461</v>
      </c>
      <c r="C65" s="243" t="s">
        <v>462</v>
      </c>
      <c r="D65" s="243" t="s">
        <v>416</v>
      </c>
      <c r="E65" s="230">
        <v>32000</v>
      </c>
      <c r="F65" s="244">
        <v>8.4499999999999993</v>
      </c>
      <c r="G65" s="244">
        <v>8.4499999999999993</v>
      </c>
      <c r="H65" s="244"/>
      <c r="I65" s="244">
        <v>8.4499999999999993</v>
      </c>
      <c r="J65" s="244">
        <v>33.799999999999997</v>
      </c>
      <c r="K65" s="244">
        <v>33.799999999999997</v>
      </c>
      <c r="L65" s="244">
        <v>33.799999999999997</v>
      </c>
      <c r="M65" s="244">
        <v>11.269999999999996</v>
      </c>
      <c r="N65" s="244">
        <v>8.4499999999999993</v>
      </c>
      <c r="O65" s="244">
        <v>8.4499999999999993</v>
      </c>
      <c r="P65" s="244">
        <v>8.4499999999999993</v>
      </c>
      <c r="Q65" s="244">
        <v>8.4499999999999993</v>
      </c>
      <c r="R65" s="244">
        <v>8.4499999999999993</v>
      </c>
      <c r="S65" s="244">
        <v>8.4499999999999993</v>
      </c>
      <c r="T65" s="244"/>
      <c r="U65" s="244"/>
      <c r="V65" s="408"/>
      <c r="W65" s="245"/>
      <c r="X65" s="421"/>
      <c r="Y65" s="421">
        <f t="shared" si="8"/>
        <v>4</v>
      </c>
      <c r="Z65" s="421">
        <f t="shared" si="8"/>
        <v>4</v>
      </c>
      <c r="AA65" s="421">
        <f t="shared" si="7"/>
        <v>4</v>
      </c>
      <c r="AB65" s="421">
        <f t="shared" si="7"/>
        <v>1.3337278106508872</v>
      </c>
      <c r="AC65" s="421">
        <f t="shared" si="7"/>
        <v>1</v>
      </c>
      <c r="AD65" s="421">
        <f t="shared" si="6"/>
        <v>1</v>
      </c>
      <c r="AE65" s="421">
        <f t="shared" si="6"/>
        <v>1</v>
      </c>
      <c r="AF65" s="421">
        <f t="shared" si="6"/>
        <v>1</v>
      </c>
      <c r="AG65" s="421">
        <f t="shared" si="6"/>
        <v>1</v>
      </c>
      <c r="AH65" s="421">
        <f t="shared" si="6"/>
        <v>1</v>
      </c>
      <c r="AI65" s="421">
        <f t="shared" si="6"/>
        <v>0</v>
      </c>
      <c r="AJ65" s="408">
        <f t="shared" si="5"/>
        <v>19.333727810650885</v>
      </c>
    </row>
    <row r="66" spans="1:36" s="229" customFormat="1">
      <c r="A66" s="231" t="str">
        <f t="shared" si="3"/>
        <v>PIERCE UTCResidentialDRIVEIN4-RES</v>
      </c>
      <c r="B66" s="243" t="s">
        <v>463</v>
      </c>
      <c r="C66" s="243" t="s">
        <v>464</v>
      </c>
      <c r="D66" s="243" t="s">
        <v>416</v>
      </c>
      <c r="E66" s="230">
        <v>32000</v>
      </c>
      <c r="F66" s="244">
        <v>11.31</v>
      </c>
      <c r="G66" s="244">
        <v>11.31</v>
      </c>
      <c r="H66" s="244"/>
      <c r="I66" s="244">
        <v>22.62</v>
      </c>
      <c r="J66" s="244">
        <v>22.62</v>
      </c>
      <c r="K66" s="244">
        <v>22.62</v>
      </c>
      <c r="L66" s="244">
        <v>22.62</v>
      </c>
      <c r="M66" s="244">
        <v>22.62</v>
      </c>
      <c r="N66" s="244">
        <v>22.62</v>
      </c>
      <c r="O66" s="244">
        <v>22.62</v>
      </c>
      <c r="P66" s="244">
        <v>22.62</v>
      </c>
      <c r="Q66" s="244">
        <v>22.62</v>
      </c>
      <c r="R66" s="244">
        <v>22.62</v>
      </c>
      <c r="S66" s="244">
        <v>22.62</v>
      </c>
      <c r="T66" s="244"/>
      <c r="U66" s="244"/>
      <c r="V66" s="408"/>
      <c r="W66" s="245"/>
      <c r="X66" s="421"/>
      <c r="Y66" s="421">
        <f t="shared" si="8"/>
        <v>2</v>
      </c>
      <c r="Z66" s="421">
        <f t="shared" si="8"/>
        <v>2</v>
      </c>
      <c r="AA66" s="421">
        <f t="shared" si="7"/>
        <v>2</v>
      </c>
      <c r="AB66" s="421">
        <f t="shared" si="7"/>
        <v>2</v>
      </c>
      <c r="AC66" s="421">
        <f t="shared" si="7"/>
        <v>2</v>
      </c>
      <c r="AD66" s="421">
        <f t="shared" si="6"/>
        <v>2</v>
      </c>
      <c r="AE66" s="421">
        <f t="shared" si="6"/>
        <v>2</v>
      </c>
      <c r="AF66" s="421">
        <f t="shared" si="6"/>
        <v>2</v>
      </c>
      <c r="AG66" s="421">
        <f t="shared" si="6"/>
        <v>2</v>
      </c>
      <c r="AH66" s="421">
        <f t="shared" si="6"/>
        <v>2</v>
      </c>
      <c r="AI66" s="421">
        <f t="shared" si="6"/>
        <v>0</v>
      </c>
      <c r="AJ66" s="408">
        <f t="shared" si="5"/>
        <v>20</v>
      </c>
    </row>
    <row r="67" spans="1:36">
      <c r="A67" s="231" t="str">
        <f t="shared" si="3"/>
        <v>PIERCE UTCResidentialDRIVEIN-RES</v>
      </c>
      <c r="B67" s="243" t="s">
        <v>465</v>
      </c>
      <c r="C67" s="243" t="s">
        <v>466</v>
      </c>
      <c r="D67" s="243" t="s">
        <v>416</v>
      </c>
      <c r="E67" s="230">
        <v>32000</v>
      </c>
      <c r="F67" s="244">
        <v>7.02</v>
      </c>
      <c r="G67" s="244">
        <v>7.02</v>
      </c>
      <c r="H67" s="244"/>
      <c r="I67" s="244">
        <v>1182.2550000000001</v>
      </c>
      <c r="J67" s="244">
        <v>1228.1100000000001</v>
      </c>
      <c r="K67" s="244">
        <v>1228.0999999999999</v>
      </c>
      <c r="L67" s="244">
        <v>1234.4800000000002</v>
      </c>
      <c r="M67" s="244">
        <v>1172.5500000000002</v>
      </c>
      <c r="N67" s="244">
        <v>1204.2249999999999</v>
      </c>
      <c r="O67" s="244">
        <v>1231.405</v>
      </c>
      <c r="P67" s="244">
        <v>1035.0099999999998</v>
      </c>
      <c r="Q67" s="244">
        <v>1205.4299999999998</v>
      </c>
      <c r="R67" s="244">
        <v>1188.04</v>
      </c>
      <c r="S67" s="244">
        <v>1121.1999999999998</v>
      </c>
      <c r="T67" s="244"/>
      <c r="U67" s="244"/>
      <c r="W67" s="245"/>
      <c r="X67" s="421"/>
      <c r="Y67" s="421">
        <f t="shared" si="8"/>
        <v>174.94444444444449</v>
      </c>
      <c r="Z67" s="421">
        <f t="shared" si="8"/>
        <v>174.94301994301995</v>
      </c>
      <c r="AA67" s="421">
        <f t="shared" si="7"/>
        <v>175.8518518518519</v>
      </c>
      <c r="AB67" s="421">
        <f t="shared" si="7"/>
        <v>167.02991452991458</v>
      </c>
      <c r="AC67" s="421">
        <f t="shared" si="7"/>
        <v>171.54202279202278</v>
      </c>
      <c r="AD67" s="421">
        <f t="shared" si="6"/>
        <v>175.41381766381767</v>
      </c>
      <c r="AE67" s="421">
        <f t="shared" si="6"/>
        <v>147.43732193732191</v>
      </c>
      <c r="AF67" s="421">
        <f t="shared" si="6"/>
        <v>171.7136752136752</v>
      </c>
      <c r="AG67" s="421">
        <f t="shared" si="6"/>
        <v>169.23646723646723</v>
      </c>
      <c r="AH67" s="421">
        <f t="shared" si="6"/>
        <v>159.71509971509971</v>
      </c>
      <c r="AI67" s="421">
        <f t="shared" si="6"/>
        <v>0</v>
      </c>
      <c r="AJ67" s="408">
        <f t="shared" si="5"/>
        <v>1687.8276353276356</v>
      </c>
    </row>
    <row r="68" spans="1:36">
      <c r="A68" s="231" t="str">
        <f t="shared" si="3"/>
        <v>PIERCE UTCResidentialACCESS-RES</v>
      </c>
      <c r="B68" s="243" t="s">
        <v>467</v>
      </c>
      <c r="C68" s="243" t="s">
        <v>468</v>
      </c>
      <c r="D68" s="243" t="s">
        <v>416</v>
      </c>
      <c r="E68" s="230">
        <v>32000</v>
      </c>
      <c r="F68" s="244">
        <v>4.8</v>
      </c>
      <c r="G68" s="244">
        <v>4.8</v>
      </c>
      <c r="H68" s="244"/>
      <c r="I68" s="244">
        <v>57.6</v>
      </c>
      <c r="J68" s="244">
        <v>48</v>
      </c>
      <c r="K68" s="244">
        <v>48</v>
      </c>
      <c r="L68" s="244">
        <v>62.4</v>
      </c>
      <c r="M68" s="244">
        <v>43.2</v>
      </c>
      <c r="N68" s="244">
        <v>60.134999999999998</v>
      </c>
      <c r="O68" s="244">
        <v>58.934999999999995</v>
      </c>
      <c r="P68" s="244">
        <v>57.6</v>
      </c>
      <c r="Q68" s="244">
        <v>57.6</v>
      </c>
      <c r="R68" s="244">
        <v>57.6</v>
      </c>
      <c r="S68" s="244">
        <v>57.6</v>
      </c>
      <c r="T68" s="244"/>
      <c r="U68" s="244"/>
      <c r="W68" s="245"/>
      <c r="X68" s="421"/>
      <c r="Y68" s="421">
        <f t="shared" si="8"/>
        <v>10</v>
      </c>
      <c r="Z68" s="421">
        <f t="shared" si="8"/>
        <v>10</v>
      </c>
      <c r="AA68" s="421">
        <f t="shared" si="7"/>
        <v>13</v>
      </c>
      <c r="AB68" s="421">
        <f t="shared" si="7"/>
        <v>9.0000000000000018</v>
      </c>
      <c r="AC68" s="421">
        <f t="shared" si="7"/>
        <v>12.528124999999999</v>
      </c>
      <c r="AD68" s="421">
        <f t="shared" si="6"/>
        <v>12.278124999999999</v>
      </c>
      <c r="AE68" s="421">
        <f t="shared" si="6"/>
        <v>12</v>
      </c>
      <c r="AF68" s="421">
        <f t="shared" si="6"/>
        <v>12</v>
      </c>
      <c r="AG68" s="421">
        <f t="shared" si="6"/>
        <v>12</v>
      </c>
      <c r="AH68" s="421">
        <f t="shared" si="6"/>
        <v>12</v>
      </c>
      <c r="AI68" s="421">
        <f t="shared" si="6"/>
        <v>0</v>
      </c>
      <c r="AJ68" s="408">
        <f t="shared" si="5"/>
        <v>114.80625000000001</v>
      </c>
    </row>
    <row r="69" spans="1:36">
      <c r="A69" s="231" t="str">
        <f t="shared" si="3"/>
        <v>PIERCE UTCResidentialAPPLIANCER</v>
      </c>
      <c r="B69" s="243" t="s">
        <v>469</v>
      </c>
      <c r="C69" s="243" t="s">
        <v>470</v>
      </c>
      <c r="D69" s="243" t="s">
        <v>416</v>
      </c>
      <c r="E69" s="230">
        <v>32000</v>
      </c>
      <c r="F69" s="244">
        <v>0</v>
      </c>
      <c r="G69" s="244">
        <v>0</v>
      </c>
      <c r="H69" s="244"/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/>
      <c r="U69" s="244"/>
      <c r="W69" s="245"/>
      <c r="X69" s="421"/>
      <c r="Y69" s="421">
        <f t="shared" si="8"/>
        <v>0</v>
      </c>
      <c r="Z69" s="421">
        <f t="shared" si="8"/>
        <v>0</v>
      </c>
      <c r="AA69" s="421">
        <f t="shared" si="7"/>
        <v>0</v>
      </c>
      <c r="AB69" s="421">
        <f t="shared" si="7"/>
        <v>0</v>
      </c>
      <c r="AC69" s="421">
        <f t="shared" si="7"/>
        <v>0</v>
      </c>
      <c r="AD69" s="421">
        <f t="shared" si="6"/>
        <v>0</v>
      </c>
      <c r="AE69" s="421">
        <f t="shared" si="6"/>
        <v>0</v>
      </c>
      <c r="AF69" s="421">
        <f t="shared" si="6"/>
        <v>0</v>
      </c>
      <c r="AG69" s="421">
        <f t="shared" si="6"/>
        <v>0</v>
      </c>
      <c r="AH69" s="421">
        <f t="shared" si="6"/>
        <v>0</v>
      </c>
      <c r="AI69" s="421">
        <f t="shared" si="6"/>
        <v>0</v>
      </c>
      <c r="AJ69" s="408">
        <f t="shared" si="5"/>
        <v>0</v>
      </c>
    </row>
    <row r="70" spans="1:36">
      <c r="A70" s="231" t="str">
        <f t="shared" si="3"/>
        <v>PIERCE UTCResidentialPDBAG-RES</v>
      </c>
      <c r="B70" s="243" t="s">
        <v>471</v>
      </c>
      <c r="C70" s="243" t="s">
        <v>472</v>
      </c>
      <c r="D70" s="243" t="s">
        <v>416</v>
      </c>
      <c r="E70" s="230">
        <v>32000</v>
      </c>
      <c r="F70" s="244">
        <v>4.99</v>
      </c>
      <c r="G70" s="244">
        <v>5.09</v>
      </c>
      <c r="H70" s="244"/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/>
      <c r="U70" s="244"/>
      <c r="W70" s="245"/>
      <c r="X70" s="421"/>
      <c r="Y70" s="421">
        <f t="shared" si="8"/>
        <v>0</v>
      </c>
      <c r="Z70" s="421">
        <f t="shared" si="8"/>
        <v>0</v>
      </c>
      <c r="AA70" s="421">
        <f t="shared" si="7"/>
        <v>0</v>
      </c>
      <c r="AB70" s="421">
        <f t="shared" si="7"/>
        <v>0</v>
      </c>
      <c r="AC70" s="421">
        <f t="shared" si="7"/>
        <v>0</v>
      </c>
      <c r="AD70" s="421">
        <f t="shared" si="6"/>
        <v>0</v>
      </c>
      <c r="AE70" s="421">
        <f t="shared" si="6"/>
        <v>0</v>
      </c>
      <c r="AF70" s="421">
        <f t="shared" si="6"/>
        <v>0</v>
      </c>
      <c r="AG70" s="421">
        <f t="shared" si="6"/>
        <v>0</v>
      </c>
      <c r="AH70" s="421">
        <f t="shared" si="6"/>
        <v>0</v>
      </c>
      <c r="AI70" s="421">
        <f t="shared" si="6"/>
        <v>0</v>
      </c>
      <c r="AJ70" s="408">
        <f t="shared" si="5"/>
        <v>0</v>
      </c>
    </row>
    <row r="71" spans="1:36">
      <c r="A71" s="231" t="str">
        <f t="shared" si="3"/>
        <v>PIERCE UTCResidentialLCKR</v>
      </c>
      <c r="B71" s="243" t="s">
        <v>473</v>
      </c>
      <c r="C71" s="243" t="s">
        <v>474</v>
      </c>
      <c r="D71" s="243" t="s">
        <v>424</v>
      </c>
      <c r="E71" s="230">
        <v>32001</v>
      </c>
      <c r="F71" s="244">
        <v>0</v>
      </c>
      <c r="G71" s="244">
        <v>0</v>
      </c>
      <c r="H71" s="244"/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/>
      <c r="U71" s="244"/>
      <c r="W71" s="245"/>
      <c r="X71" s="421"/>
      <c r="Y71" s="421">
        <f t="shared" si="8"/>
        <v>0</v>
      </c>
      <c r="Z71" s="421">
        <f t="shared" si="8"/>
        <v>0</v>
      </c>
      <c r="AA71" s="421">
        <f t="shared" si="7"/>
        <v>0</v>
      </c>
      <c r="AB71" s="421">
        <f t="shared" si="7"/>
        <v>0</v>
      </c>
      <c r="AC71" s="421">
        <f t="shared" si="7"/>
        <v>0</v>
      </c>
      <c r="AD71" s="421">
        <f t="shared" si="7"/>
        <v>0</v>
      </c>
      <c r="AE71" s="421">
        <f t="shared" si="7"/>
        <v>0</v>
      </c>
      <c r="AF71" s="421">
        <f t="shared" si="7"/>
        <v>0</v>
      </c>
      <c r="AG71" s="421">
        <f t="shared" si="7"/>
        <v>0</v>
      </c>
      <c r="AH71" s="421">
        <f t="shared" si="7"/>
        <v>0</v>
      </c>
      <c r="AI71" s="421">
        <f t="shared" si="7"/>
        <v>0</v>
      </c>
      <c r="AJ71" s="408">
        <f t="shared" si="5"/>
        <v>0</v>
      </c>
    </row>
    <row r="72" spans="1:36">
      <c r="A72" s="231" t="str">
        <f t="shared" si="3"/>
        <v>PIERCE UTCResidentialOC-RES</v>
      </c>
      <c r="B72" s="243" t="s">
        <v>475</v>
      </c>
      <c r="C72" s="243" t="s">
        <v>476</v>
      </c>
      <c r="D72" s="243" t="s">
        <v>424</v>
      </c>
      <c r="E72" s="230">
        <v>32001</v>
      </c>
      <c r="F72" s="244">
        <v>7.79</v>
      </c>
      <c r="G72" s="244">
        <v>7.89</v>
      </c>
      <c r="H72" s="244"/>
      <c r="I72" s="244">
        <v>506.35</v>
      </c>
      <c r="J72" s="244">
        <v>864.69</v>
      </c>
      <c r="K72" s="244">
        <v>389.5</v>
      </c>
      <c r="L72" s="244">
        <v>545.29999999999995</v>
      </c>
      <c r="M72" s="244">
        <v>677.73</v>
      </c>
      <c r="N72" s="244">
        <v>677.88</v>
      </c>
      <c r="O72" s="244">
        <v>797.51</v>
      </c>
      <c r="P72" s="244">
        <v>1057.26</v>
      </c>
      <c r="Q72" s="244">
        <v>1049.3699999999999</v>
      </c>
      <c r="R72" s="244">
        <v>820.71</v>
      </c>
      <c r="S72" s="244">
        <v>804.78</v>
      </c>
      <c r="T72" s="244"/>
      <c r="U72" s="244"/>
      <c r="W72" s="245"/>
      <c r="X72" s="421"/>
      <c r="Y72" s="421">
        <f t="shared" si="8"/>
        <v>111</v>
      </c>
      <c r="Z72" s="421">
        <f t="shared" si="8"/>
        <v>50</v>
      </c>
      <c r="AA72" s="421">
        <f t="shared" ref="AA72:AI82" si="9">IFERROR(L72/$G72,0)</f>
        <v>69.112801013941692</v>
      </c>
      <c r="AB72" s="421">
        <f t="shared" si="9"/>
        <v>85.897338403041829</v>
      </c>
      <c r="AC72" s="421">
        <f t="shared" si="9"/>
        <v>85.916349809885929</v>
      </c>
      <c r="AD72" s="421">
        <f t="shared" si="9"/>
        <v>101.07858048162231</v>
      </c>
      <c r="AE72" s="421">
        <f t="shared" si="9"/>
        <v>134</v>
      </c>
      <c r="AF72" s="421">
        <f t="shared" si="9"/>
        <v>133</v>
      </c>
      <c r="AG72" s="421">
        <f t="shared" si="9"/>
        <v>104.01901140684411</v>
      </c>
      <c r="AH72" s="421">
        <f t="shared" si="9"/>
        <v>102</v>
      </c>
      <c r="AI72" s="421">
        <f t="shared" si="9"/>
        <v>0</v>
      </c>
      <c r="AJ72" s="408">
        <f t="shared" si="5"/>
        <v>976.02408111533589</v>
      </c>
    </row>
    <row r="73" spans="1:36">
      <c r="A73" s="231" t="str">
        <f t="shared" si="3"/>
        <v>PIERCE UTCResidentialREDEL-RES</v>
      </c>
      <c r="B73" s="243" t="s">
        <v>477</v>
      </c>
      <c r="C73" s="243" t="s">
        <v>478</v>
      </c>
      <c r="D73" s="243" t="s">
        <v>424</v>
      </c>
      <c r="E73" s="230">
        <v>32001</v>
      </c>
      <c r="F73" s="244">
        <v>13.7</v>
      </c>
      <c r="G73" s="244">
        <v>13.7</v>
      </c>
      <c r="H73" s="244"/>
      <c r="I73" s="244">
        <v>68.5</v>
      </c>
      <c r="J73" s="244">
        <v>27.4</v>
      </c>
      <c r="K73" s="244">
        <v>0</v>
      </c>
      <c r="L73" s="244">
        <v>0</v>
      </c>
      <c r="M73" s="244">
        <v>41.099999999999994</v>
      </c>
      <c r="N73" s="244">
        <v>82.2</v>
      </c>
      <c r="O73" s="244">
        <v>102.75</v>
      </c>
      <c r="P73" s="244">
        <v>198.64999999999998</v>
      </c>
      <c r="Q73" s="244">
        <v>212.35</v>
      </c>
      <c r="R73" s="244">
        <v>157.55000000000001</v>
      </c>
      <c r="S73" s="244">
        <v>95.9</v>
      </c>
      <c r="T73" s="244"/>
      <c r="U73" s="244"/>
      <c r="W73" s="245"/>
      <c r="X73" s="421"/>
      <c r="Y73" s="421">
        <f t="shared" si="8"/>
        <v>2</v>
      </c>
      <c r="Z73" s="421">
        <f t="shared" si="8"/>
        <v>0</v>
      </c>
      <c r="AA73" s="421">
        <f t="shared" si="9"/>
        <v>0</v>
      </c>
      <c r="AB73" s="421">
        <f t="shared" si="9"/>
        <v>2.9999999999999996</v>
      </c>
      <c r="AC73" s="421">
        <f t="shared" si="9"/>
        <v>6.0000000000000009</v>
      </c>
      <c r="AD73" s="421">
        <f t="shared" si="9"/>
        <v>7.5</v>
      </c>
      <c r="AE73" s="421">
        <f t="shared" si="9"/>
        <v>14.499999999999998</v>
      </c>
      <c r="AF73" s="421">
        <f t="shared" si="9"/>
        <v>15.5</v>
      </c>
      <c r="AG73" s="421">
        <f t="shared" si="9"/>
        <v>11.500000000000002</v>
      </c>
      <c r="AH73" s="421">
        <f t="shared" si="9"/>
        <v>7.0000000000000009</v>
      </c>
      <c r="AI73" s="421">
        <f t="shared" si="9"/>
        <v>0</v>
      </c>
      <c r="AJ73" s="408">
        <f t="shared" si="5"/>
        <v>67</v>
      </c>
    </row>
    <row r="74" spans="1:36">
      <c r="A74" s="231" t="str">
        <f t="shared" si="3"/>
        <v>PIERCE UTCResidentialREINSTATE-RES</v>
      </c>
      <c r="B74" s="243" t="s">
        <v>479</v>
      </c>
      <c r="C74" s="243" t="s">
        <v>480</v>
      </c>
      <c r="D74" s="243" t="s">
        <v>424</v>
      </c>
      <c r="E74" s="230">
        <v>32001</v>
      </c>
      <c r="F74" s="244">
        <v>12.65</v>
      </c>
      <c r="G74" s="244">
        <v>12.65</v>
      </c>
      <c r="H74" s="244"/>
      <c r="I74" s="244">
        <v>3719.1</v>
      </c>
      <c r="J74" s="244">
        <v>4952.1500000000005</v>
      </c>
      <c r="K74" s="244">
        <v>5287.7</v>
      </c>
      <c r="L74" s="244">
        <v>6362.95</v>
      </c>
      <c r="M74" s="244">
        <v>4408.8799999999992</v>
      </c>
      <c r="N74" s="244">
        <v>4275.7000000000007</v>
      </c>
      <c r="O74" s="244">
        <v>5479.25</v>
      </c>
      <c r="P74" s="244">
        <v>4579.3</v>
      </c>
      <c r="Q74" s="244">
        <v>5237.0999999999995</v>
      </c>
      <c r="R74" s="244">
        <v>4402.2</v>
      </c>
      <c r="S74" s="244">
        <v>4035.35</v>
      </c>
      <c r="T74" s="244"/>
      <c r="U74" s="244"/>
      <c r="W74" s="245"/>
      <c r="X74" s="421"/>
      <c r="Y74" s="421">
        <f t="shared" si="8"/>
        <v>391.47430830039531</v>
      </c>
      <c r="Z74" s="421">
        <f t="shared" si="8"/>
        <v>418</v>
      </c>
      <c r="AA74" s="421">
        <f t="shared" si="9"/>
        <v>502.99999999999994</v>
      </c>
      <c r="AB74" s="421">
        <f t="shared" si="9"/>
        <v>348.52806324110662</v>
      </c>
      <c r="AC74" s="421">
        <f t="shared" si="9"/>
        <v>338.00000000000006</v>
      </c>
      <c r="AD74" s="421">
        <f t="shared" si="9"/>
        <v>433.14229249011856</v>
      </c>
      <c r="AE74" s="421">
        <f t="shared" si="9"/>
        <v>362</v>
      </c>
      <c r="AF74" s="421">
        <f t="shared" si="9"/>
        <v>413.99999999999994</v>
      </c>
      <c r="AG74" s="421">
        <f t="shared" si="9"/>
        <v>348</v>
      </c>
      <c r="AH74" s="421">
        <f t="shared" si="9"/>
        <v>319</v>
      </c>
      <c r="AI74" s="421">
        <f t="shared" si="9"/>
        <v>0</v>
      </c>
      <c r="AJ74" s="408">
        <f t="shared" si="5"/>
        <v>3875.1446640316203</v>
      </c>
    </row>
    <row r="75" spans="1:36">
      <c r="A75" s="231" t="str">
        <f t="shared" si="3"/>
        <v>PIERCE UTCResidentialRTRNCART32-RES</v>
      </c>
      <c r="B75" s="243" t="s">
        <v>481</v>
      </c>
      <c r="C75" s="243" t="s">
        <v>482</v>
      </c>
      <c r="D75" s="243"/>
      <c r="F75" s="244">
        <v>6.35</v>
      </c>
      <c r="G75" s="244">
        <v>6.35</v>
      </c>
      <c r="H75" s="244"/>
      <c r="I75" s="244">
        <v>0</v>
      </c>
      <c r="J75" s="244">
        <v>6.35</v>
      </c>
      <c r="K75" s="244">
        <v>0</v>
      </c>
      <c r="L75" s="244">
        <v>6.35</v>
      </c>
      <c r="M75" s="244">
        <v>12.7</v>
      </c>
      <c r="N75" s="244">
        <v>19.049999999999997</v>
      </c>
      <c r="O75" s="244">
        <v>19.049999999999997</v>
      </c>
      <c r="P75" s="244">
        <v>25.4</v>
      </c>
      <c r="Q75" s="244">
        <v>19.049999999999997</v>
      </c>
      <c r="R75" s="244">
        <v>0</v>
      </c>
      <c r="S75" s="244">
        <v>0</v>
      </c>
      <c r="T75" s="244"/>
      <c r="U75" s="244"/>
      <c r="W75" s="245"/>
      <c r="X75" s="421"/>
      <c r="Y75" s="421">
        <f t="shared" ref="X75:Z82" si="10">IFERROR(J75/$F75,0)</f>
        <v>1</v>
      </c>
      <c r="Z75" s="421">
        <f t="shared" si="10"/>
        <v>0</v>
      </c>
      <c r="AA75" s="421">
        <f t="shared" si="9"/>
        <v>1</v>
      </c>
      <c r="AB75" s="421">
        <f t="shared" si="9"/>
        <v>2</v>
      </c>
      <c r="AC75" s="421">
        <f t="shared" si="9"/>
        <v>2.9999999999999996</v>
      </c>
      <c r="AD75" s="421">
        <f t="shared" si="9"/>
        <v>2.9999999999999996</v>
      </c>
      <c r="AE75" s="421">
        <f t="shared" si="9"/>
        <v>4</v>
      </c>
      <c r="AF75" s="421">
        <f t="shared" si="9"/>
        <v>2.9999999999999996</v>
      </c>
      <c r="AG75" s="421">
        <f t="shared" si="9"/>
        <v>0</v>
      </c>
      <c r="AH75" s="421">
        <f t="shared" si="9"/>
        <v>0</v>
      </c>
      <c r="AI75" s="421">
        <f t="shared" si="9"/>
        <v>0</v>
      </c>
      <c r="AJ75" s="408">
        <f t="shared" si="5"/>
        <v>17</v>
      </c>
    </row>
    <row r="76" spans="1:36">
      <c r="A76" s="231" t="str">
        <f t="shared" ref="A76:A82" si="11">$A$3&amp;"Residential"&amp;B76</f>
        <v>PIERCE UTCResidentialRTRNCART65-RES</v>
      </c>
      <c r="B76" s="243" t="s">
        <v>483</v>
      </c>
      <c r="C76" s="243" t="s">
        <v>484</v>
      </c>
      <c r="D76" s="243" t="s">
        <v>424</v>
      </c>
      <c r="E76" s="230">
        <v>32001</v>
      </c>
      <c r="F76" s="244">
        <v>7.4</v>
      </c>
      <c r="G76" s="244">
        <v>7.4</v>
      </c>
      <c r="H76" s="244"/>
      <c r="I76" s="244">
        <v>310.8</v>
      </c>
      <c r="J76" s="244">
        <v>214.6</v>
      </c>
      <c r="K76" s="244">
        <v>170.2</v>
      </c>
      <c r="L76" s="244">
        <v>251.60000000000002</v>
      </c>
      <c r="M76" s="244">
        <v>288.60000000000002</v>
      </c>
      <c r="N76" s="244">
        <v>296</v>
      </c>
      <c r="O76" s="244">
        <v>251.6</v>
      </c>
      <c r="P76" s="244">
        <v>340.4</v>
      </c>
      <c r="Q76" s="244">
        <v>318.20000000000005</v>
      </c>
      <c r="R76" s="244">
        <v>184.07</v>
      </c>
      <c r="S76" s="244">
        <v>266.39999999999998</v>
      </c>
      <c r="T76" s="244"/>
      <c r="U76" s="244"/>
      <c r="W76" s="245"/>
      <c r="X76" s="421"/>
      <c r="Y76" s="421">
        <f t="shared" si="10"/>
        <v>28.999999999999996</v>
      </c>
      <c r="Z76" s="421">
        <f t="shared" si="10"/>
        <v>22.999999999999996</v>
      </c>
      <c r="AA76" s="421">
        <f t="shared" si="9"/>
        <v>34</v>
      </c>
      <c r="AB76" s="421">
        <f t="shared" si="9"/>
        <v>39</v>
      </c>
      <c r="AC76" s="421">
        <f t="shared" si="9"/>
        <v>40</v>
      </c>
      <c r="AD76" s="421">
        <f t="shared" si="9"/>
        <v>34</v>
      </c>
      <c r="AE76" s="421">
        <f t="shared" si="9"/>
        <v>45.999999999999993</v>
      </c>
      <c r="AF76" s="421">
        <f t="shared" si="9"/>
        <v>43.000000000000007</v>
      </c>
      <c r="AG76" s="421">
        <f t="shared" si="9"/>
        <v>24.874324324324323</v>
      </c>
      <c r="AH76" s="421">
        <f t="shared" si="9"/>
        <v>35.999999999999993</v>
      </c>
      <c r="AI76" s="421">
        <f t="shared" si="9"/>
        <v>0</v>
      </c>
      <c r="AJ76" s="408">
        <f t="shared" ref="AJ76:AJ82" si="12">SUM(X76:AI76)</f>
        <v>348.87432432432433</v>
      </c>
    </row>
    <row r="77" spans="1:36">
      <c r="A77" s="231" t="str">
        <f t="shared" si="11"/>
        <v>PIERCE UTCResidentialRTRNCART95-RES</v>
      </c>
      <c r="B77" s="243" t="s">
        <v>485</v>
      </c>
      <c r="C77" s="243" t="s">
        <v>486</v>
      </c>
      <c r="D77" s="243" t="s">
        <v>424</v>
      </c>
      <c r="E77" s="230">
        <v>32001</v>
      </c>
      <c r="F77" s="244">
        <v>9.5</v>
      </c>
      <c r="G77" s="244">
        <v>9.5</v>
      </c>
      <c r="H77" s="244"/>
      <c r="I77" s="244">
        <v>190</v>
      </c>
      <c r="J77" s="244">
        <v>152</v>
      </c>
      <c r="K77" s="244">
        <v>95</v>
      </c>
      <c r="L77" s="244">
        <v>152</v>
      </c>
      <c r="M77" s="244">
        <v>140.4</v>
      </c>
      <c r="N77" s="244">
        <v>199.5</v>
      </c>
      <c r="O77" s="244">
        <v>142.5</v>
      </c>
      <c r="P77" s="244">
        <v>152</v>
      </c>
      <c r="Q77" s="244">
        <v>226.82999999999998</v>
      </c>
      <c r="R77" s="244">
        <v>93.83</v>
      </c>
      <c r="S77" s="244">
        <v>133</v>
      </c>
      <c r="T77" s="244"/>
      <c r="U77" s="244"/>
      <c r="W77" s="245"/>
      <c r="X77" s="421"/>
      <c r="Y77" s="421">
        <f t="shared" si="10"/>
        <v>16</v>
      </c>
      <c r="Z77" s="421">
        <f t="shared" si="10"/>
        <v>10</v>
      </c>
      <c r="AA77" s="421">
        <f t="shared" si="9"/>
        <v>16</v>
      </c>
      <c r="AB77" s="421">
        <f t="shared" si="9"/>
        <v>14.778947368421052</v>
      </c>
      <c r="AC77" s="421">
        <f t="shared" si="9"/>
        <v>21</v>
      </c>
      <c r="AD77" s="421">
        <f t="shared" si="9"/>
        <v>15</v>
      </c>
      <c r="AE77" s="421">
        <f t="shared" si="9"/>
        <v>16</v>
      </c>
      <c r="AF77" s="421">
        <f t="shared" si="9"/>
        <v>23.876842105263155</v>
      </c>
      <c r="AG77" s="421">
        <f t="shared" si="9"/>
        <v>9.8768421052631581</v>
      </c>
      <c r="AH77" s="421">
        <f t="shared" si="9"/>
        <v>14</v>
      </c>
      <c r="AI77" s="421">
        <f t="shared" si="9"/>
        <v>0</v>
      </c>
      <c r="AJ77" s="408">
        <f t="shared" si="12"/>
        <v>156.53263157894739</v>
      </c>
    </row>
    <row r="78" spans="1:36">
      <c r="A78" s="231" t="str">
        <f t="shared" si="11"/>
        <v>PIERCE UTCResidentialRTRNTRIP-RES</v>
      </c>
      <c r="B78" s="243" t="s">
        <v>487</v>
      </c>
      <c r="C78" s="243" t="s">
        <v>488</v>
      </c>
      <c r="D78" s="243" t="s">
        <v>424</v>
      </c>
      <c r="E78" s="230">
        <v>32001</v>
      </c>
      <c r="F78" s="244">
        <v>0</v>
      </c>
      <c r="G78" s="244">
        <v>0</v>
      </c>
      <c r="H78" s="244"/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/>
      <c r="U78" s="244"/>
      <c r="W78" s="245"/>
      <c r="X78" s="421"/>
      <c r="Y78" s="421">
        <f t="shared" si="10"/>
        <v>0</v>
      </c>
      <c r="Z78" s="421">
        <f t="shared" si="10"/>
        <v>0</v>
      </c>
      <c r="AA78" s="421">
        <f t="shared" si="9"/>
        <v>0</v>
      </c>
      <c r="AB78" s="421">
        <f t="shared" si="9"/>
        <v>0</v>
      </c>
      <c r="AC78" s="421">
        <f t="shared" si="9"/>
        <v>0</v>
      </c>
      <c r="AD78" s="421">
        <f t="shared" si="9"/>
        <v>0</v>
      </c>
      <c r="AE78" s="421">
        <f t="shared" si="9"/>
        <v>0</v>
      </c>
      <c r="AF78" s="421">
        <f t="shared" si="9"/>
        <v>0</v>
      </c>
      <c r="AG78" s="421">
        <f t="shared" si="9"/>
        <v>0</v>
      </c>
      <c r="AH78" s="421">
        <f t="shared" si="9"/>
        <v>0</v>
      </c>
      <c r="AI78" s="421">
        <f t="shared" si="9"/>
        <v>0</v>
      </c>
      <c r="AJ78" s="408">
        <f t="shared" si="12"/>
        <v>0</v>
      </c>
    </row>
    <row r="79" spans="1:36">
      <c r="A79" s="231" t="str">
        <f t="shared" si="11"/>
        <v>PIERCE UTCResidentialTIME-RES</v>
      </c>
      <c r="B79" s="243" t="s">
        <v>489</v>
      </c>
      <c r="C79" s="243" t="s">
        <v>490</v>
      </c>
      <c r="D79" s="243" t="s">
        <v>424</v>
      </c>
      <c r="E79" s="230">
        <v>32001</v>
      </c>
      <c r="F79" s="244">
        <v>106</v>
      </c>
      <c r="G79" s="244">
        <v>106</v>
      </c>
      <c r="H79" s="244"/>
      <c r="I79" s="244">
        <v>1580.8200000000002</v>
      </c>
      <c r="J79" s="244">
        <v>1623.13</v>
      </c>
      <c r="K79" s="244">
        <v>715.5</v>
      </c>
      <c r="L79" s="244">
        <v>1360.1599999999999</v>
      </c>
      <c r="M79" s="244">
        <v>1961</v>
      </c>
      <c r="N79" s="244">
        <v>2252.5</v>
      </c>
      <c r="O79" s="244">
        <v>2120</v>
      </c>
      <c r="P79" s="244">
        <v>3723.38</v>
      </c>
      <c r="Q79" s="244">
        <v>1970.5</v>
      </c>
      <c r="R79" s="244">
        <v>1601.08</v>
      </c>
      <c r="S79" s="244">
        <v>1704.97</v>
      </c>
      <c r="T79" s="244"/>
      <c r="U79" s="244"/>
      <c r="W79" s="245"/>
      <c r="X79" s="421"/>
      <c r="Y79" s="421">
        <f t="shared" si="10"/>
        <v>15.312547169811321</v>
      </c>
      <c r="Z79" s="421">
        <f t="shared" si="10"/>
        <v>6.75</v>
      </c>
      <c r="AA79" s="421">
        <f t="shared" si="9"/>
        <v>12.831698113207546</v>
      </c>
      <c r="AB79" s="421">
        <f t="shared" si="9"/>
        <v>18.5</v>
      </c>
      <c r="AC79" s="421">
        <f t="shared" si="9"/>
        <v>21.25</v>
      </c>
      <c r="AD79" s="421">
        <f t="shared" si="9"/>
        <v>20</v>
      </c>
      <c r="AE79" s="421">
        <f t="shared" si="9"/>
        <v>35.126226415094344</v>
      </c>
      <c r="AF79" s="421">
        <f t="shared" si="9"/>
        <v>18.589622641509433</v>
      </c>
      <c r="AG79" s="421">
        <f t="shared" si="9"/>
        <v>15.104528301886791</v>
      </c>
      <c r="AH79" s="421">
        <f t="shared" si="9"/>
        <v>16.084622641509434</v>
      </c>
      <c r="AI79" s="421">
        <f t="shared" si="9"/>
        <v>0</v>
      </c>
      <c r="AJ79" s="408">
        <f t="shared" si="12"/>
        <v>179.54924528301891</v>
      </c>
    </row>
    <row r="80" spans="1:36">
      <c r="A80" s="231" t="str">
        <f t="shared" si="11"/>
        <v>PIERCE UTCResidentialTIRESM-RES</v>
      </c>
      <c r="B80" s="243" t="s">
        <v>491</v>
      </c>
      <c r="C80" s="243"/>
      <c r="D80" s="243"/>
      <c r="F80" s="244">
        <v>0</v>
      </c>
      <c r="G80" s="244">
        <v>0</v>
      </c>
      <c r="H80" s="244"/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/>
      <c r="U80" s="244"/>
      <c r="W80" s="245"/>
      <c r="X80" s="421"/>
      <c r="Y80" s="421">
        <f t="shared" si="10"/>
        <v>0</v>
      </c>
      <c r="Z80" s="421">
        <f t="shared" si="10"/>
        <v>0</v>
      </c>
      <c r="AA80" s="421">
        <f t="shared" si="9"/>
        <v>0</v>
      </c>
      <c r="AB80" s="421">
        <f t="shared" si="9"/>
        <v>0</v>
      </c>
      <c r="AC80" s="421">
        <f t="shared" si="9"/>
        <v>0</v>
      </c>
      <c r="AD80" s="421">
        <f t="shared" si="9"/>
        <v>0</v>
      </c>
      <c r="AE80" s="421">
        <f t="shared" si="9"/>
        <v>0</v>
      </c>
      <c r="AF80" s="421">
        <f t="shared" si="9"/>
        <v>0</v>
      </c>
      <c r="AG80" s="421">
        <f t="shared" si="9"/>
        <v>0</v>
      </c>
      <c r="AH80" s="421">
        <f t="shared" si="9"/>
        <v>0</v>
      </c>
      <c r="AI80" s="421">
        <f t="shared" si="9"/>
        <v>0</v>
      </c>
      <c r="AJ80" s="408">
        <f t="shared" si="12"/>
        <v>0</v>
      </c>
    </row>
    <row r="81" spans="1:47">
      <c r="A81" s="231" t="str">
        <f t="shared" si="11"/>
        <v>PIERCE UTCResidentialUNRETURN-RES</v>
      </c>
      <c r="B81" s="243" t="s">
        <v>492</v>
      </c>
      <c r="C81" s="243" t="s">
        <v>493</v>
      </c>
      <c r="D81" s="243" t="s">
        <v>424</v>
      </c>
      <c r="E81" s="230">
        <v>32001</v>
      </c>
      <c r="F81" s="244">
        <v>95</v>
      </c>
      <c r="G81" s="244">
        <v>95</v>
      </c>
      <c r="H81" s="244"/>
      <c r="I81" s="244">
        <v>0</v>
      </c>
      <c r="J81" s="244">
        <v>-855</v>
      </c>
      <c r="K81" s="244">
        <v>-190</v>
      </c>
      <c r="L81" s="244">
        <v>0</v>
      </c>
      <c r="M81" s="244">
        <v>0</v>
      </c>
      <c r="N81" s="244">
        <v>0</v>
      </c>
      <c r="O81" s="244">
        <v>-190</v>
      </c>
      <c r="P81" s="244">
        <v>-190</v>
      </c>
      <c r="Q81" s="244">
        <v>-285</v>
      </c>
      <c r="R81" s="244">
        <v>-475</v>
      </c>
      <c r="S81" s="244">
        <v>-95</v>
      </c>
      <c r="T81" s="244"/>
      <c r="U81" s="244"/>
      <c r="W81" s="245"/>
      <c r="X81" s="421"/>
      <c r="Y81" s="421">
        <f t="shared" si="10"/>
        <v>-9</v>
      </c>
      <c r="Z81" s="421">
        <f t="shared" si="10"/>
        <v>-2</v>
      </c>
      <c r="AA81" s="421">
        <f t="shared" si="9"/>
        <v>0</v>
      </c>
      <c r="AB81" s="421">
        <f t="shared" si="9"/>
        <v>0</v>
      </c>
      <c r="AC81" s="421">
        <f t="shared" si="9"/>
        <v>0</v>
      </c>
      <c r="AD81" s="421">
        <f t="shared" si="9"/>
        <v>-2</v>
      </c>
      <c r="AE81" s="421">
        <f t="shared" si="9"/>
        <v>-2</v>
      </c>
      <c r="AF81" s="421">
        <f t="shared" si="9"/>
        <v>-3</v>
      </c>
      <c r="AG81" s="421">
        <f t="shared" si="9"/>
        <v>-5</v>
      </c>
      <c r="AH81" s="421">
        <f t="shared" si="9"/>
        <v>-1</v>
      </c>
      <c r="AI81" s="421">
        <f t="shared" si="9"/>
        <v>0</v>
      </c>
      <c r="AJ81" s="408">
        <f t="shared" si="12"/>
        <v>-24</v>
      </c>
    </row>
    <row r="82" spans="1:47">
      <c r="A82" s="231" t="str">
        <f t="shared" si="11"/>
        <v>PIERCE UTCResidentialADJ-RES</v>
      </c>
      <c r="B82" s="243" t="s">
        <v>494</v>
      </c>
      <c r="C82" s="243"/>
      <c r="D82" s="243"/>
      <c r="F82" s="244"/>
      <c r="G82" s="244"/>
      <c r="H82" s="244"/>
      <c r="I82" s="244">
        <v>-20</v>
      </c>
      <c r="J82" s="244">
        <v>-123.85</v>
      </c>
      <c r="K82" s="244">
        <v>-56.510000000000005</v>
      </c>
      <c r="L82" s="244">
        <v>-166.07</v>
      </c>
      <c r="M82" s="244">
        <v>-8.6199999999999992</v>
      </c>
      <c r="N82" s="244">
        <v>-407.04</v>
      </c>
      <c r="O82" s="244">
        <v>-32.26</v>
      </c>
      <c r="P82" s="244">
        <v>-126.02000000000001</v>
      </c>
      <c r="Q82" s="244">
        <v>-14.57</v>
      </c>
      <c r="R82" s="244">
        <v>-18.78</v>
      </c>
      <c r="S82" s="244">
        <v>0</v>
      </c>
      <c r="T82" s="244"/>
      <c r="U82" s="244"/>
      <c r="W82" s="245"/>
      <c r="X82" s="421"/>
      <c r="Y82" s="421">
        <f t="shared" si="10"/>
        <v>0</v>
      </c>
      <c r="Z82" s="421">
        <f t="shared" si="10"/>
        <v>0</v>
      </c>
      <c r="AA82" s="421">
        <f t="shared" si="9"/>
        <v>0</v>
      </c>
      <c r="AB82" s="421">
        <f t="shared" si="9"/>
        <v>0</v>
      </c>
      <c r="AC82" s="421">
        <f t="shared" si="9"/>
        <v>0</v>
      </c>
      <c r="AD82" s="421">
        <f t="shared" si="9"/>
        <v>0</v>
      </c>
      <c r="AE82" s="421">
        <f t="shared" si="9"/>
        <v>0</v>
      </c>
      <c r="AF82" s="421">
        <f t="shared" si="9"/>
        <v>0</v>
      </c>
      <c r="AG82" s="421">
        <f t="shared" si="9"/>
        <v>0</v>
      </c>
      <c r="AH82" s="421">
        <f t="shared" si="9"/>
        <v>0</v>
      </c>
      <c r="AI82" s="421">
        <f t="shared" si="9"/>
        <v>0</v>
      </c>
      <c r="AJ82" s="408">
        <f t="shared" si="12"/>
        <v>0</v>
      </c>
    </row>
    <row r="83" spans="1:47">
      <c r="B83" s="243"/>
      <c r="C83" s="243"/>
      <c r="D83" s="243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W83" s="245"/>
      <c r="Z83" s="421"/>
    </row>
    <row r="84" spans="1:47">
      <c r="B84" s="243"/>
      <c r="C84" s="248" t="s">
        <v>143</v>
      </c>
      <c r="D84" s="243"/>
      <c r="F84" s="244"/>
      <c r="G84" s="244"/>
      <c r="H84" s="249"/>
      <c r="I84" s="250">
        <f>SUM(I11:I82)</f>
        <v>1319277.4800000004</v>
      </c>
      <c r="J84" s="250">
        <f t="shared" ref="J84:Q84" si="13">SUM(J11:J82)</f>
        <v>1297161.2050000001</v>
      </c>
      <c r="K84" s="250">
        <f t="shared" si="13"/>
        <v>1282423.0999999999</v>
      </c>
      <c r="L84" s="250">
        <f t="shared" si="13"/>
        <v>1311570.1250000002</v>
      </c>
      <c r="M84" s="250">
        <f>SUM(M11:M82)</f>
        <v>1320753.4749999999</v>
      </c>
      <c r="N84" s="250">
        <f>SUM(N11:N82)</f>
        <v>1326181.5900000001</v>
      </c>
      <c r="O84" s="250">
        <f>SUM(O11:O82)</f>
        <v>1328917.3000000003</v>
      </c>
      <c r="P84" s="250">
        <f>SUM(P11:P82)</f>
        <v>1337262.9649999999</v>
      </c>
      <c r="Q84" s="250">
        <f t="shared" si="13"/>
        <v>1334127.7500000002</v>
      </c>
      <c r="R84" s="250">
        <f>SUM(R11:R82)</f>
        <v>1331154.1050000004</v>
      </c>
      <c r="S84" s="250">
        <f>SUM(S11:S82)</f>
        <v>1332400.6900000004</v>
      </c>
      <c r="T84" s="250">
        <f>SUM(T11:T82)</f>
        <v>1322294.4300000002</v>
      </c>
      <c r="U84" s="250"/>
      <c r="V84" s="413">
        <f>SUM(V11:V82)</f>
        <v>15743814.700000001</v>
      </c>
      <c r="W84" s="251"/>
      <c r="X84" s="423">
        <f>+SUM(X11:X43)</f>
        <v>53600.416701974988</v>
      </c>
      <c r="Y84" s="423">
        <f>+SUM(Y11:Y43)</f>
        <v>52515.87778928232</v>
      </c>
      <c r="Z84" s="423">
        <f>+SUM(Z11:Z43)</f>
        <v>52729.185314619768</v>
      </c>
      <c r="AA84" s="423">
        <f>+SUM(AA11:AA43)</f>
        <v>52390.780251639801</v>
      </c>
      <c r="AB84" s="423">
        <f t="shared" ref="AB84:AI84" si="14">+SUM(AB11:AB43)</f>
        <v>52960.038295033781</v>
      </c>
      <c r="AC84" s="423">
        <f t="shared" si="14"/>
        <v>53069.468954985379</v>
      </c>
      <c r="AD84" s="423">
        <f t="shared" si="14"/>
        <v>53228.805471100241</v>
      </c>
      <c r="AE84" s="423">
        <f t="shared" si="14"/>
        <v>53143.650195664108</v>
      </c>
      <c r="AF84" s="423">
        <f t="shared" si="14"/>
        <v>53233.190887065364</v>
      </c>
      <c r="AG84" s="423">
        <f>+SUM(AG11:AG43)</f>
        <v>53327.282663898775</v>
      </c>
      <c r="AH84" s="423">
        <f t="shared" si="14"/>
        <v>53346.647614947789</v>
      </c>
      <c r="AI84" s="423">
        <f t="shared" si="14"/>
        <v>53343.604840083317</v>
      </c>
      <c r="AJ84" s="423">
        <f>+SUM(AJ11:AJ43)</f>
        <v>636888.94898029568</v>
      </c>
      <c r="AK84" s="231" t="s">
        <v>495</v>
      </c>
    </row>
    <row r="85" spans="1:47">
      <c r="B85" s="243"/>
      <c r="C85" s="243"/>
      <c r="D85" s="243"/>
      <c r="F85" s="244"/>
      <c r="G85" s="244"/>
      <c r="H85" s="249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W85" s="249"/>
      <c r="X85" s="424">
        <f>+X12+X13+X15+X19+X21+X23+X30+X32+X35+X37+X39+X42</f>
        <v>723.43806834149689</v>
      </c>
      <c r="Y85" s="424">
        <f>+Y12+Y13+Y15+Y19+Y21+Y23+Y30+Y32+Y35+Y37+Y39+Y42</f>
        <v>758.33036974341996</v>
      </c>
      <c r="Z85" s="424">
        <f>+Z12+Z13+Z15+Z19+Z21+Z23+Z30+Z32+Z35+Z37+Z39+Z42</f>
        <v>753.1973364654441</v>
      </c>
      <c r="AA85" s="424">
        <f>+AA12+AA13+AA15+AA19+AA21+AA23+AA30+AA32+AA35+AA37+AA39+AA42</f>
        <v>731.75245070022993</v>
      </c>
      <c r="AB85" s="424">
        <f t="shared" ref="AB85:AI85" si="15">+AB12+AB13+AB15+AB19+AB21+AB23+AB30+AB32+AB35+AB37+AB39+AB42</f>
        <v>720.54718461301945</v>
      </c>
      <c r="AC85" s="424">
        <f t="shared" si="15"/>
        <v>715.92070766449376</v>
      </c>
      <c r="AD85" s="424">
        <f t="shared" si="15"/>
        <v>712.37503648206734</v>
      </c>
      <c r="AE85" s="424">
        <f t="shared" si="15"/>
        <v>700.14710352964312</v>
      </c>
      <c r="AF85" s="424">
        <f t="shared" si="15"/>
        <v>699.81079070268675</v>
      </c>
      <c r="AG85" s="424">
        <f>+AG12+AG13+AG15+AG19+AG21+AG23+AG30+AG32+AG35+AG37+AG39+AG42</f>
        <v>683.47629025071024</v>
      </c>
      <c r="AH85" s="424">
        <f t="shared" si="15"/>
        <v>676.83569683981568</v>
      </c>
      <c r="AI85" s="424">
        <f t="shared" si="15"/>
        <v>686.48157002249434</v>
      </c>
      <c r="AJ85" s="424">
        <f>+AJ12+AJ13+AJ15+AJ19+AJ21+AJ23+AJ30+AJ32+AJ35+AJ37+AJ39+AJ42</f>
        <v>8562.3126053555206</v>
      </c>
      <c r="AK85" s="231" t="s">
        <v>496</v>
      </c>
    </row>
    <row r="86" spans="1:47">
      <c r="B86" s="252" t="s">
        <v>144</v>
      </c>
      <c r="C86" s="243"/>
      <c r="D86" s="243"/>
      <c r="F86" s="244"/>
      <c r="G86" s="244"/>
      <c r="H86" s="249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W86" s="249"/>
      <c r="X86" s="421">
        <f>X88+X87-X85</f>
        <v>52819.764003801698</v>
      </c>
      <c r="Y86" s="421">
        <f>Y88+Y87-Y85</f>
        <v>52256.277078209292</v>
      </c>
      <c r="Z86" s="421">
        <f t="shared" ref="Z86:AI86" si="16">Z88+Z87-Z85</f>
        <v>52174.0126106018</v>
      </c>
      <c r="AA86" s="421">
        <f t="shared" si="16"/>
        <v>52429.995774314324</v>
      </c>
      <c r="AB86" s="421">
        <f t="shared" si="16"/>
        <v>52689.324847465075</v>
      </c>
      <c r="AC86" s="421">
        <f t="shared" si="16"/>
        <v>52823.990520316751</v>
      </c>
      <c r="AD86" s="421">
        <f t="shared" si="16"/>
        <v>52921.83410310898</v>
      </c>
      <c r="AE86" s="421">
        <f t="shared" si="16"/>
        <v>52960.382998923975</v>
      </c>
      <c r="AF86" s="421">
        <f t="shared" si="16"/>
        <v>53134.005536888959</v>
      </c>
      <c r="AG86" s="421">
        <f>AG88+AG87-AG85</f>
        <v>53163.989079254956</v>
      </c>
      <c r="AH86" s="421">
        <f t="shared" si="16"/>
        <v>53231.127749020285</v>
      </c>
      <c r="AI86" s="421">
        <f t="shared" si="16"/>
        <v>53201.494119581686</v>
      </c>
      <c r="AJ86" s="421">
        <f>AJ88+AJ87-AJ85</f>
        <v>633806.1984214877</v>
      </c>
      <c r="AK86" s="231" t="s">
        <v>497</v>
      </c>
    </row>
    <row r="87" spans="1:47">
      <c r="A87" s="231" t="str">
        <f>$A$3&amp;"Residential"&amp;B87</f>
        <v>PIERCE UTCResidentialRECBINONLYR</v>
      </c>
      <c r="B87" s="243" t="s">
        <v>498</v>
      </c>
      <c r="C87" s="243" t="s">
        <v>145</v>
      </c>
      <c r="D87" s="243" t="s">
        <v>499</v>
      </c>
      <c r="E87" s="230">
        <v>32100</v>
      </c>
      <c r="F87" s="244">
        <v>6.07</v>
      </c>
      <c r="G87" s="244">
        <v>6.07</v>
      </c>
      <c r="H87" s="244"/>
      <c r="I87" s="244">
        <v>1402.78</v>
      </c>
      <c r="J87" s="244">
        <v>1309.6950000000002</v>
      </c>
      <c r="K87" s="244">
        <v>1378.895</v>
      </c>
      <c r="L87" s="244">
        <v>1392.2849999999999</v>
      </c>
      <c r="M87" s="244">
        <v>1483.44</v>
      </c>
      <c r="N87" s="244">
        <v>1548.2450000000001</v>
      </c>
      <c r="O87" s="244">
        <v>1525.48</v>
      </c>
      <c r="P87" s="244">
        <v>1501.5199999999998</v>
      </c>
      <c r="Q87" s="244">
        <v>1536.81</v>
      </c>
      <c r="R87" s="244">
        <v>1495.9549999999999</v>
      </c>
      <c r="S87" s="244">
        <v>1471.37</v>
      </c>
      <c r="T87" s="244">
        <v>1469.415</v>
      </c>
      <c r="U87" s="244"/>
      <c r="V87" s="408">
        <f t="shared" ref="V87:V90" si="17">SUM(I87:T87)</f>
        <v>17515.890000000003</v>
      </c>
      <c r="W87" s="245"/>
      <c r="X87" s="421">
        <f t="shared" ref="X87:Z90" si="18">IFERROR(I87/$F87,0)</f>
        <v>231.10049423393738</v>
      </c>
      <c r="Y87" s="421">
        <f t="shared" si="18"/>
        <v>215.76523887973642</v>
      </c>
      <c r="Z87" s="421">
        <f t="shared" si="18"/>
        <v>227.16556836902799</v>
      </c>
      <c r="AA87" s="421">
        <f t="shared" ref="AA87:AI90" si="19">IFERROR(L87/$G87,0)</f>
        <v>229.37149917627673</v>
      </c>
      <c r="AB87" s="421">
        <f t="shared" si="19"/>
        <v>244.38879736408566</v>
      </c>
      <c r="AC87" s="421">
        <f t="shared" si="19"/>
        <v>255.06507413509061</v>
      </c>
      <c r="AD87" s="421">
        <f t="shared" si="19"/>
        <v>251.3146622734761</v>
      </c>
      <c r="AE87" s="421">
        <f t="shared" si="19"/>
        <v>247.36738056013175</v>
      </c>
      <c r="AF87" s="421">
        <f t="shared" si="19"/>
        <v>253.18121911037889</v>
      </c>
      <c r="AG87" s="421">
        <f t="shared" si="19"/>
        <v>246.45057660626028</v>
      </c>
      <c r="AH87" s="421">
        <f t="shared" si="19"/>
        <v>242.40032948929158</v>
      </c>
      <c r="AI87" s="421">
        <f t="shared" si="19"/>
        <v>242.07825370675451</v>
      </c>
      <c r="AJ87" s="408">
        <f t="shared" ref="AJ87:AJ90" si="20">SUM(X87:AI87)</f>
        <v>2885.6490939044475</v>
      </c>
    </row>
    <row r="88" spans="1:47">
      <c r="A88" s="231" t="str">
        <f>$A$3&amp;"Residential"&amp;B88</f>
        <v>PIERCE UTCResidentialRECPROGADJ-RES</v>
      </c>
      <c r="B88" s="243" t="s">
        <v>500</v>
      </c>
      <c r="C88" s="243" t="s">
        <v>501</v>
      </c>
      <c r="D88" s="243" t="s">
        <v>499</v>
      </c>
      <c r="E88" s="230">
        <v>32100</v>
      </c>
      <c r="F88" s="244">
        <v>5.07</v>
      </c>
      <c r="G88" s="244">
        <v>5.07</v>
      </c>
      <c r="H88" s="244"/>
      <c r="I88" s="244">
        <v>270292.35499999998</v>
      </c>
      <c r="J88" s="244">
        <v>267690.13</v>
      </c>
      <c r="K88" s="244">
        <v>267189.22499999998</v>
      </c>
      <c r="L88" s="244">
        <v>268367.15000000008</v>
      </c>
      <c r="M88" s="244">
        <v>269549</v>
      </c>
      <c r="N88" s="244">
        <v>270154.17000000004</v>
      </c>
      <c r="O88" s="244">
        <v>270651.27500000008</v>
      </c>
      <c r="P88" s="244">
        <v>270804.73499999999</v>
      </c>
      <c r="Q88" s="244">
        <v>271653.82</v>
      </c>
      <c r="R88" s="244">
        <v>271757.14500000002</v>
      </c>
      <c r="S88" s="244">
        <v>272084.40500000003</v>
      </c>
      <c r="T88" s="244">
        <v>271984.69999999995</v>
      </c>
      <c r="U88" s="244"/>
      <c r="V88" s="408">
        <f t="shared" si="17"/>
        <v>3242178.1100000003</v>
      </c>
      <c r="W88" s="245"/>
      <c r="X88" s="421">
        <f t="shared" si="18"/>
        <v>53312.101577909263</v>
      </c>
      <c r="Y88" s="421">
        <f t="shared" si="18"/>
        <v>52798.842209072973</v>
      </c>
      <c r="Z88" s="421">
        <f t="shared" si="18"/>
        <v>52700.044378698214</v>
      </c>
      <c r="AA88" s="421">
        <f t="shared" si="19"/>
        <v>52932.37672583828</v>
      </c>
      <c r="AB88" s="421">
        <f t="shared" si="19"/>
        <v>53165.483234714004</v>
      </c>
      <c r="AC88" s="421">
        <f t="shared" si="19"/>
        <v>53284.846153846156</v>
      </c>
      <c r="AD88" s="421">
        <f t="shared" si="19"/>
        <v>53382.894477317568</v>
      </c>
      <c r="AE88" s="421">
        <f t="shared" si="19"/>
        <v>53413.162721893488</v>
      </c>
      <c r="AF88" s="421">
        <f t="shared" si="19"/>
        <v>53580.635108481263</v>
      </c>
      <c r="AG88" s="421">
        <f t="shared" si="19"/>
        <v>53601.014792899412</v>
      </c>
      <c r="AH88" s="421">
        <f t="shared" si="19"/>
        <v>53665.563116370809</v>
      </c>
      <c r="AI88" s="421">
        <f t="shared" si="19"/>
        <v>53645.897435897423</v>
      </c>
      <c r="AJ88" s="408">
        <f t="shared" si="20"/>
        <v>639482.8619329388</v>
      </c>
    </row>
    <row r="89" spans="1:47">
      <c r="A89" s="231" t="str">
        <f>$A$3&amp;"Residential"&amp;B89</f>
        <v>PIERCE UTCResidentialRTRNCART96REC-RES</v>
      </c>
      <c r="B89" s="243" t="s">
        <v>502</v>
      </c>
      <c r="C89" s="243"/>
      <c r="D89" s="243"/>
      <c r="F89" s="244">
        <v>9.5</v>
      </c>
      <c r="G89" s="244">
        <v>9.5</v>
      </c>
      <c r="H89" s="244"/>
      <c r="I89" s="244">
        <v>85.5</v>
      </c>
      <c r="J89" s="244">
        <v>95</v>
      </c>
      <c r="K89" s="244">
        <v>47.5</v>
      </c>
      <c r="L89" s="244">
        <v>85.5</v>
      </c>
      <c r="M89" s="244">
        <v>85.5</v>
      </c>
      <c r="N89" s="244">
        <v>104.5</v>
      </c>
      <c r="O89" s="244">
        <v>133</v>
      </c>
      <c r="P89" s="244">
        <v>247</v>
      </c>
      <c r="Q89" s="244">
        <v>152</v>
      </c>
      <c r="R89" s="244">
        <v>66.5</v>
      </c>
      <c r="S89" s="244">
        <v>76</v>
      </c>
      <c r="T89" s="244">
        <v>38</v>
      </c>
      <c r="U89" s="244"/>
      <c r="V89" s="408">
        <f t="shared" si="17"/>
        <v>1216</v>
      </c>
      <c r="W89" s="245"/>
      <c r="X89" s="421">
        <f t="shared" si="18"/>
        <v>9</v>
      </c>
      <c r="Y89" s="421">
        <f t="shared" si="18"/>
        <v>10</v>
      </c>
      <c r="Z89" s="421">
        <f t="shared" si="18"/>
        <v>5</v>
      </c>
      <c r="AA89" s="421">
        <f t="shared" si="19"/>
        <v>9</v>
      </c>
      <c r="AB89" s="421">
        <f t="shared" si="19"/>
        <v>9</v>
      </c>
      <c r="AC89" s="421">
        <f t="shared" si="19"/>
        <v>11</v>
      </c>
      <c r="AD89" s="421">
        <f t="shared" si="19"/>
        <v>14</v>
      </c>
      <c r="AE89" s="421">
        <f t="shared" si="19"/>
        <v>26</v>
      </c>
      <c r="AF89" s="421">
        <f t="shared" si="19"/>
        <v>16</v>
      </c>
      <c r="AG89" s="421">
        <f t="shared" si="19"/>
        <v>7</v>
      </c>
      <c r="AH89" s="421">
        <f t="shared" si="19"/>
        <v>8</v>
      </c>
      <c r="AI89" s="421">
        <f t="shared" si="19"/>
        <v>4</v>
      </c>
      <c r="AJ89" s="408">
        <f t="shared" si="20"/>
        <v>128</v>
      </c>
    </row>
    <row r="90" spans="1:47">
      <c r="A90" s="231" t="str">
        <f>$A$3&amp;"Residential"&amp;B90</f>
        <v>PIERCE UTCResidentialSPCLREC-RES</v>
      </c>
      <c r="B90" s="243" t="s">
        <v>503</v>
      </c>
      <c r="C90" s="243" t="s">
        <v>504</v>
      </c>
      <c r="D90" s="243" t="s">
        <v>505</v>
      </c>
      <c r="E90" s="230">
        <v>35527</v>
      </c>
      <c r="F90" s="244">
        <v>0</v>
      </c>
      <c r="G90" s="244">
        <v>0</v>
      </c>
      <c r="H90" s="244"/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/>
      <c r="V90" s="408">
        <f t="shared" si="17"/>
        <v>0</v>
      </c>
      <c r="W90" s="245"/>
      <c r="X90" s="421">
        <f t="shared" si="18"/>
        <v>0</v>
      </c>
      <c r="Y90" s="421">
        <f t="shared" si="18"/>
        <v>0</v>
      </c>
      <c r="Z90" s="421">
        <f t="shared" si="18"/>
        <v>0</v>
      </c>
      <c r="AA90" s="421">
        <f t="shared" si="19"/>
        <v>0</v>
      </c>
      <c r="AB90" s="421">
        <f t="shared" si="19"/>
        <v>0</v>
      </c>
      <c r="AC90" s="421">
        <f t="shared" si="19"/>
        <v>0</v>
      </c>
      <c r="AD90" s="421">
        <f t="shared" si="19"/>
        <v>0</v>
      </c>
      <c r="AE90" s="421">
        <f t="shared" si="19"/>
        <v>0</v>
      </c>
      <c r="AF90" s="421">
        <f t="shared" si="19"/>
        <v>0</v>
      </c>
      <c r="AG90" s="421">
        <f t="shared" si="19"/>
        <v>0</v>
      </c>
      <c r="AH90" s="421">
        <f t="shared" si="19"/>
        <v>0</v>
      </c>
      <c r="AI90" s="421">
        <f t="shared" si="19"/>
        <v>0</v>
      </c>
      <c r="AJ90" s="408">
        <f t="shared" si="20"/>
        <v>0</v>
      </c>
    </row>
    <row r="91" spans="1:47">
      <c r="B91" s="243"/>
      <c r="C91" s="243"/>
      <c r="D91" s="243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W91" s="245"/>
      <c r="Z91" s="421"/>
    </row>
    <row r="92" spans="1:47">
      <c r="B92" s="243"/>
      <c r="C92" s="248" t="s">
        <v>146</v>
      </c>
      <c r="D92" s="243"/>
      <c r="F92" s="244"/>
      <c r="G92" s="244"/>
      <c r="H92" s="249"/>
      <c r="I92" s="250">
        <f>SUM(I87:I91)</f>
        <v>271780.63500000001</v>
      </c>
      <c r="J92" s="250">
        <f t="shared" ref="J92:T92" si="21">SUM(J87:J91)</f>
        <v>269094.82500000001</v>
      </c>
      <c r="K92" s="250">
        <f t="shared" si="21"/>
        <v>268615.62</v>
      </c>
      <c r="L92" s="250">
        <f t="shared" si="21"/>
        <v>269844.93500000006</v>
      </c>
      <c r="M92" s="250">
        <f t="shared" si="21"/>
        <v>271117.94</v>
      </c>
      <c r="N92" s="250">
        <f t="shared" si="21"/>
        <v>271806.91500000004</v>
      </c>
      <c r="O92" s="250">
        <f>SUM(O87:O91)</f>
        <v>272309.75500000006</v>
      </c>
      <c r="P92" s="250">
        <f>SUM(P87:P91)</f>
        <v>272553.255</v>
      </c>
      <c r="Q92" s="250">
        <f t="shared" si="21"/>
        <v>273342.63</v>
      </c>
      <c r="R92" s="250">
        <f t="shared" si="21"/>
        <v>273319.60000000003</v>
      </c>
      <c r="S92" s="250">
        <f t="shared" si="21"/>
        <v>273631.77500000002</v>
      </c>
      <c r="T92" s="250">
        <f t="shared" si="21"/>
        <v>273492.11499999993</v>
      </c>
      <c r="U92" s="250"/>
      <c r="V92" s="413">
        <f>SUM(V87:V91)</f>
        <v>3260910.0000000005</v>
      </c>
      <c r="W92" s="251"/>
      <c r="X92" s="425">
        <f>+X87+X88</f>
        <v>53543.202072143198</v>
      </c>
      <c r="Y92" s="425">
        <f t="shared" ref="Y92:AI92" si="22">+Y87+Y88</f>
        <v>53014.607447952709</v>
      </c>
      <c r="Z92" s="425">
        <f t="shared" si="22"/>
        <v>52927.20994706724</v>
      </c>
      <c r="AA92" s="425">
        <f t="shared" si="22"/>
        <v>53161.748225014555</v>
      </c>
      <c r="AB92" s="425">
        <f t="shared" si="22"/>
        <v>53409.872032078092</v>
      </c>
      <c r="AC92" s="425">
        <f t="shared" si="22"/>
        <v>53539.911227981247</v>
      </c>
      <c r="AD92" s="425">
        <f t="shared" si="22"/>
        <v>53634.209139591047</v>
      </c>
      <c r="AE92" s="425">
        <f t="shared" si="22"/>
        <v>53660.530102453617</v>
      </c>
      <c r="AF92" s="425">
        <f t="shared" si="22"/>
        <v>53833.816327591645</v>
      </c>
      <c r="AG92" s="425">
        <f t="shared" si="22"/>
        <v>53847.46536950567</v>
      </c>
      <c r="AH92" s="425">
        <f t="shared" si="22"/>
        <v>53907.963445860099</v>
      </c>
      <c r="AI92" s="425">
        <f t="shared" si="22"/>
        <v>53887.97568960418</v>
      </c>
      <c r="AJ92" s="425">
        <f>+AJ87+AJ88</f>
        <v>642368.51102684322</v>
      </c>
    </row>
    <row r="93" spans="1:47">
      <c r="B93" s="243"/>
      <c r="C93" s="248"/>
      <c r="D93" s="243"/>
      <c r="F93" s="244"/>
      <c r="G93" s="244"/>
      <c r="H93" s="249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414"/>
      <c r="W93" s="254"/>
      <c r="Z93" s="421"/>
      <c r="AK93" s="255" t="s">
        <v>506</v>
      </c>
    </row>
    <row r="94" spans="1:47">
      <c r="A94" s="231" t="str">
        <f>$A$3&amp;"Residential"&amp;B94</f>
        <v>PIERCE UTCResidentialRECVALRES</v>
      </c>
      <c r="B94" s="243" t="s">
        <v>507</v>
      </c>
      <c r="C94" s="243" t="s">
        <v>508</v>
      </c>
      <c r="D94" s="243" t="s">
        <v>505</v>
      </c>
      <c r="E94" s="230">
        <v>35527</v>
      </c>
      <c r="F94" s="244">
        <v>-0.24</v>
      </c>
      <c r="G94" s="244">
        <v>1.92</v>
      </c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408">
        <f>SUM(J94:T94)</f>
        <v>0</v>
      </c>
      <c r="W94" s="245"/>
      <c r="X94" s="421">
        <f>IFERROR(I94/$F94,0)</f>
        <v>0</v>
      </c>
      <c r="Y94" s="421">
        <f>IFERROR(J94/$F94,0)</f>
        <v>0</v>
      </c>
      <c r="Z94" s="421">
        <f>IFERROR(K94/$F94,0)</f>
        <v>0</v>
      </c>
      <c r="AA94" s="421">
        <f t="shared" ref="AA94:AI94" si="23">IFERROR(L94/$G94,0)</f>
        <v>0</v>
      </c>
      <c r="AB94" s="421">
        <f t="shared" si="23"/>
        <v>0</v>
      </c>
      <c r="AC94" s="421">
        <f t="shared" si="23"/>
        <v>0</v>
      </c>
      <c r="AD94" s="421">
        <f t="shared" si="23"/>
        <v>0</v>
      </c>
      <c r="AE94" s="421">
        <f t="shared" si="23"/>
        <v>0</v>
      </c>
      <c r="AF94" s="421">
        <f t="shared" si="23"/>
        <v>0</v>
      </c>
      <c r="AG94" s="421">
        <f t="shared" si="23"/>
        <v>0</v>
      </c>
      <c r="AH94" s="421">
        <f t="shared" si="23"/>
        <v>0</v>
      </c>
      <c r="AI94" s="421">
        <f t="shared" si="23"/>
        <v>0</v>
      </c>
      <c r="AK94" s="245">
        <v>30223.77</v>
      </c>
      <c r="AL94" s="233">
        <f>+AK94/-F94</f>
        <v>125932.375</v>
      </c>
      <c r="AM94" s="231" t="s">
        <v>509</v>
      </c>
      <c r="AO94" s="256"/>
      <c r="AP94" s="256">
        <f>15916.52/2</f>
        <v>7958.26</v>
      </c>
      <c r="AQ94" s="231" t="s">
        <v>510</v>
      </c>
      <c r="AT94" s="256">
        <f>15916.52/2</f>
        <v>7958.26</v>
      </c>
      <c r="AU94" s="231" t="s">
        <v>510</v>
      </c>
    </row>
    <row r="95" spans="1:47" ht="13.5" thickBot="1">
      <c r="B95" s="243"/>
      <c r="C95" s="248"/>
      <c r="D95" s="243"/>
      <c r="F95" s="244"/>
      <c r="G95" s="244"/>
      <c r="H95" s="249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W95" s="249"/>
      <c r="Z95" s="421"/>
      <c r="AK95" s="256">
        <f>-L94-AK94</f>
        <v>-30223.77</v>
      </c>
      <c r="AL95" s="257">
        <f>+AK95/-G94</f>
        <v>15741.546875</v>
      </c>
      <c r="AM95" s="231" t="s">
        <v>511</v>
      </c>
      <c r="AP95" s="256">
        <f>+M94-AP94</f>
        <v>-7958.26</v>
      </c>
      <c r="AQ95" s="231" t="s">
        <v>512</v>
      </c>
      <c r="AT95" s="256">
        <f>+N94-AT94</f>
        <v>-7958.26</v>
      </c>
      <c r="AU95" s="231" t="s">
        <v>513</v>
      </c>
    </row>
    <row r="96" spans="1:47" ht="13.5" thickBot="1">
      <c r="B96" s="252" t="s">
        <v>147</v>
      </c>
      <c r="C96" s="243"/>
      <c r="D96" s="243"/>
      <c r="F96" s="244"/>
      <c r="G96" s="244"/>
      <c r="H96" s="249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W96" s="249"/>
      <c r="Z96" s="421"/>
      <c r="AL96" s="258">
        <f>+AL94+AL95</f>
        <v>141673.921875</v>
      </c>
      <c r="AM96" s="231" t="s">
        <v>514</v>
      </c>
      <c r="AP96" s="258">
        <f>+AP95/G94</f>
        <v>-4144.9270833333339</v>
      </c>
      <c r="AQ96" s="231" t="s">
        <v>515</v>
      </c>
      <c r="AT96" s="258">
        <f>+AT95/G94</f>
        <v>-4144.9270833333339</v>
      </c>
      <c r="AU96" s="231" t="s">
        <v>516</v>
      </c>
    </row>
    <row r="97" spans="1:42">
      <c r="A97" s="231" t="str">
        <f>$A$3&amp;"Residential"&amp;B97</f>
        <v>PIERCE UTCResidentialGWRES</v>
      </c>
      <c r="B97" s="243" t="s">
        <v>517</v>
      </c>
      <c r="C97" s="243" t="s">
        <v>518</v>
      </c>
      <c r="D97" s="243" t="s">
        <v>519</v>
      </c>
      <c r="E97" s="230">
        <v>32110</v>
      </c>
      <c r="F97" s="244">
        <v>5.53</v>
      </c>
      <c r="G97" s="244">
        <v>5.53</v>
      </c>
      <c r="H97" s="244"/>
      <c r="I97" s="244">
        <v>142110.28999999998</v>
      </c>
      <c r="J97" s="244">
        <v>136871.75</v>
      </c>
      <c r="K97" s="244">
        <v>135163.89499999999</v>
      </c>
      <c r="L97" s="244">
        <v>136137.755</v>
      </c>
      <c r="M97" s="244">
        <v>140367.505</v>
      </c>
      <c r="N97" s="244">
        <v>145057.97</v>
      </c>
      <c r="O97" s="244">
        <v>148599.74</v>
      </c>
      <c r="P97" s="244">
        <v>150606.98999999996</v>
      </c>
      <c r="Q97" s="244">
        <v>151712.06499999997</v>
      </c>
      <c r="R97" s="244">
        <v>151377.47</v>
      </c>
      <c r="S97" s="244">
        <v>147345.655</v>
      </c>
      <c r="T97" s="244">
        <v>148444.505</v>
      </c>
      <c r="U97" s="244"/>
      <c r="V97" s="408">
        <f t="shared" ref="V97:V99" si="24">SUM(I97:T97)</f>
        <v>1733795.5899999999</v>
      </c>
      <c r="W97" s="245"/>
      <c r="X97" s="421">
        <f t="shared" ref="X97:Z100" si="25">IFERROR(I97/$F97,0)</f>
        <v>25698.063291139235</v>
      </c>
      <c r="Y97" s="421">
        <f t="shared" si="25"/>
        <v>24750.768535262207</v>
      </c>
      <c r="Z97" s="421">
        <f t="shared" si="25"/>
        <v>24441.933996383359</v>
      </c>
      <c r="AA97" s="421">
        <f t="shared" ref="AA97:AI100" si="26">IFERROR(L97/$G97,0)</f>
        <v>24618.038878842675</v>
      </c>
      <c r="AB97" s="421">
        <f t="shared" si="26"/>
        <v>25382.912296564195</v>
      </c>
      <c r="AC97" s="421">
        <f t="shared" si="26"/>
        <v>26231.097649186257</v>
      </c>
      <c r="AD97" s="421">
        <f t="shared" si="26"/>
        <v>26871.562386980106</v>
      </c>
      <c r="AE97" s="421">
        <f t="shared" si="26"/>
        <v>27234.537070524406</v>
      </c>
      <c r="AF97" s="421">
        <f t="shared" si="26"/>
        <v>27434.369801084984</v>
      </c>
      <c r="AG97" s="421">
        <f t="shared" si="26"/>
        <v>27373.864376130197</v>
      </c>
      <c r="AH97" s="421">
        <f t="shared" si="26"/>
        <v>26644.783905967448</v>
      </c>
      <c r="AI97" s="421">
        <f t="shared" si="26"/>
        <v>26843.490958408678</v>
      </c>
      <c r="AJ97" s="408">
        <f t="shared" ref="AJ97:AJ100" si="27">SUM(X97:AI97)</f>
        <v>313525.42314647377</v>
      </c>
    </row>
    <row r="98" spans="1:42">
      <c r="A98" s="231" t="str">
        <f>$A$3&amp;"Residential"&amp;B98</f>
        <v>PIERCE UTCResidentialEXTRAGWC-RES</v>
      </c>
      <c r="B98" s="243" t="s">
        <v>520</v>
      </c>
      <c r="C98" s="243" t="s">
        <v>521</v>
      </c>
      <c r="D98" s="243" t="s">
        <v>519</v>
      </c>
      <c r="E98" s="230">
        <v>32111</v>
      </c>
      <c r="F98" s="244">
        <v>2</v>
      </c>
      <c r="G98" s="244">
        <v>2</v>
      </c>
      <c r="H98" s="244"/>
      <c r="I98" s="244">
        <v>54</v>
      </c>
      <c r="J98" s="244">
        <v>84</v>
      </c>
      <c r="K98" s="244">
        <v>22</v>
      </c>
      <c r="L98" s="244">
        <v>36</v>
      </c>
      <c r="M98" s="244">
        <v>112</v>
      </c>
      <c r="N98" s="244">
        <v>112</v>
      </c>
      <c r="O98" s="244">
        <v>216</v>
      </c>
      <c r="P98" s="244">
        <v>110</v>
      </c>
      <c r="Q98" s="244">
        <v>92</v>
      </c>
      <c r="R98" s="244">
        <v>116</v>
      </c>
      <c r="S98" s="244">
        <v>182</v>
      </c>
      <c r="T98" s="244">
        <v>256</v>
      </c>
      <c r="U98" s="244"/>
      <c r="V98" s="408">
        <f t="shared" si="24"/>
        <v>1392</v>
      </c>
      <c r="W98" s="245"/>
      <c r="X98" s="421">
        <f t="shared" si="25"/>
        <v>27</v>
      </c>
      <c r="Y98" s="421">
        <f t="shared" si="25"/>
        <v>42</v>
      </c>
      <c r="Z98" s="421">
        <f t="shared" si="25"/>
        <v>11</v>
      </c>
      <c r="AA98" s="421">
        <f t="shared" si="26"/>
        <v>18</v>
      </c>
      <c r="AB98" s="421">
        <f t="shared" si="26"/>
        <v>56</v>
      </c>
      <c r="AC98" s="421">
        <f t="shared" si="26"/>
        <v>56</v>
      </c>
      <c r="AD98" s="421">
        <f t="shared" si="26"/>
        <v>108</v>
      </c>
      <c r="AE98" s="421">
        <f t="shared" si="26"/>
        <v>55</v>
      </c>
      <c r="AF98" s="421">
        <f t="shared" si="26"/>
        <v>46</v>
      </c>
      <c r="AG98" s="421">
        <f t="shared" si="26"/>
        <v>58</v>
      </c>
      <c r="AH98" s="421">
        <f t="shared" si="26"/>
        <v>91</v>
      </c>
      <c r="AI98" s="421">
        <f t="shared" si="26"/>
        <v>128</v>
      </c>
      <c r="AJ98" s="408">
        <f t="shared" si="27"/>
        <v>696</v>
      </c>
      <c r="AP98" s="233"/>
    </row>
    <row r="99" spans="1:42">
      <c r="A99" s="231" t="str">
        <f>$A$3&amp;"Residential"&amp;B99</f>
        <v>PIERCE UTCResidentialEP96GWC-RES</v>
      </c>
      <c r="B99" s="243" t="s">
        <v>522</v>
      </c>
      <c r="C99" s="243" t="s">
        <v>523</v>
      </c>
      <c r="D99" s="243" t="s">
        <v>424</v>
      </c>
      <c r="E99" s="230">
        <v>32001</v>
      </c>
      <c r="F99" s="244">
        <v>3.8</v>
      </c>
      <c r="G99" s="244">
        <v>3.8</v>
      </c>
      <c r="H99" s="244"/>
      <c r="I99" s="244">
        <v>11.4</v>
      </c>
      <c r="J99" s="244">
        <v>7.6</v>
      </c>
      <c r="K99" s="244">
        <v>0</v>
      </c>
      <c r="L99" s="244">
        <v>22.8</v>
      </c>
      <c r="M99" s="244">
        <v>51.1</v>
      </c>
      <c r="N99" s="244">
        <v>46.65</v>
      </c>
      <c r="O99" s="244">
        <v>41.800000000000004</v>
      </c>
      <c r="P99" s="244">
        <v>34.200000000000003</v>
      </c>
      <c r="Q99" s="244">
        <v>32.1</v>
      </c>
      <c r="R99" s="244">
        <v>11.399999999999999</v>
      </c>
      <c r="S99" s="244">
        <v>0</v>
      </c>
      <c r="T99" s="244">
        <v>7.6</v>
      </c>
      <c r="U99" s="244"/>
      <c r="V99" s="408">
        <f t="shared" si="24"/>
        <v>266.65000000000003</v>
      </c>
      <c r="W99" s="245"/>
      <c r="X99" s="421">
        <f t="shared" si="25"/>
        <v>3.0000000000000004</v>
      </c>
      <c r="Y99" s="421">
        <f t="shared" si="25"/>
        <v>2</v>
      </c>
      <c r="Z99" s="421">
        <f t="shared" si="25"/>
        <v>0</v>
      </c>
      <c r="AA99" s="421">
        <f t="shared" si="26"/>
        <v>6.0000000000000009</v>
      </c>
      <c r="AB99" s="421">
        <f t="shared" si="26"/>
        <v>13.447368421052632</v>
      </c>
      <c r="AC99" s="421">
        <f t="shared" si="26"/>
        <v>12.276315789473685</v>
      </c>
      <c r="AD99" s="421">
        <f t="shared" si="26"/>
        <v>11.000000000000002</v>
      </c>
      <c r="AE99" s="421">
        <f t="shared" si="26"/>
        <v>9.0000000000000018</v>
      </c>
      <c r="AF99" s="421">
        <f t="shared" si="26"/>
        <v>8.4473684210526319</v>
      </c>
      <c r="AG99" s="421">
        <f t="shared" si="26"/>
        <v>2.9999999999999996</v>
      </c>
      <c r="AH99" s="421">
        <f t="shared" si="26"/>
        <v>0</v>
      </c>
      <c r="AI99" s="421">
        <f t="shared" si="26"/>
        <v>2</v>
      </c>
      <c r="AJ99" s="408">
        <f t="shared" si="27"/>
        <v>70.171052631578945</v>
      </c>
    </row>
    <row r="100" spans="1:42">
      <c r="A100" s="231" t="str">
        <f>$A$3&amp;"Residential"&amp;B100</f>
        <v>PIERCE UTCResidentialSPGWSPCL-RES</v>
      </c>
      <c r="B100" s="243" t="s">
        <v>524</v>
      </c>
      <c r="C100" s="243" t="s">
        <v>525</v>
      </c>
      <c r="D100" s="243" t="s">
        <v>519</v>
      </c>
      <c r="E100" s="230">
        <v>32111</v>
      </c>
      <c r="F100" s="244">
        <v>0</v>
      </c>
      <c r="G100" s="244">
        <v>0</v>
      </c>
      <c r="H100" s="244"/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/>
      <c r="V100" s="408">
        <f>SUM(J100:Q100)</f>
        <v>0</v>
      </c>
      <c r="W100" s="245"/>
      <c r="X100" s="421">
        <f t="shared" si="25"/>
        <v>0</v>
      </c>
      <c r="Y100" s="421">
        <f t="shared" si="25"/>
        <v>0</v>
      </c>
      <c r="Z100" s="421">
        <f t="shared" si="25"/>
        <v>0</v>
      </c>
      <c r="AA100" s="421">
        <f t="shared" si="26"/>
        <v>0</v>
      </c>
      <c r="AB100" s="421">
        <f t="shared" si="26"/>
        <v>0</v>
      </c>
      <c r="AC100" s="421">
        <f t="shared" si="26"/>
        <v>0</v>
      </c>
      <c r="AD100" s="421">
        <f t="shared" si="26"/>
        <v>0</v>
      </c>
      <c r="AE100" s="421">
        <f t="shared" si="26"/>
        <v>0</v>
      </c>
      <c r="AF100" s="421">
        <f t="shared" si="26"/>
        <v>0</v>
      </c>
      <c r="AG100" s="421">
        <f t="shared" si="26"/>
        <v>0</v>
      </c>
      <c r="AH100" s="421">
        <f t="shared" si="26"/>
        <v>0</v>
      </c>
      <c r="AI100" s="421">
        <f t="shared" si="26"/>
        <v>0</v>
      </c>
      <c r="AJ100" s="408">
        <f t="shared" si="27"/>
        <v>0</v>
      </c>
    </row>
    <row r="101" spans="1:42">
      <c r="B101" s="243"/>
      <c r="C101" s="248" t="s">
        <v>148</v>
      </c>
      <c r="D101" s="243"/>
      <c r="F101" s="244"/>
      <c r="G101" s="244"/>
      <c r="H101" s="249"/>
      <c r="I101" s="250">
        <f>SUM(I97:I100)</f>
        <v>142175.68999999997</v>
      </c>
      <c r="J101" s="250">
        <f t="shared" ref="J101:T101" si="28">SUM(J97:J100)</f>
        <v>136963.35</v>
      </c>
      <c r="K101" s="250">
        <f t="shared" si="28"/>
        <v>135185.89499999999</v>
      </c>
      <c r="L101" s="250">
        <f t="shared" si="28"/>
        <v>136196.55499999999</v>
      </c>
      <c r="M101" s="250">
        <f t="shared" si="28"/>
        <v>140530.60500000001</v>
      </c>
      <c r="N101" s="250">
        <f t="shared" si="28"/>
        <v>145216.62</v>
      </c>
      <c r="O101" s="250">
        <f t="shared" si="28"/>
        <v>148857.53999999998</v>
      </c>
      <c r="P101" s="250">
        <f t="shared" si="28"/>
        <v>150751.18999999997</v>
      </c>
      <c r="Q101" s="250">
        <f t="shared" si="28"/>
        <v>151836.16499999998</v>
      </c>
      <c r="R101" s="250">
        <f t="shared" si="28"/>
        <v>151504.87</v>
      </c>
      <c r="S101" s="250">
        <f t="shared" si="28"/>
        <v>147527.655</v>
      </c>
      <c r="T101" s="250">
        <f t="shared" si="28"/>
        <v>148708.10500000001</v>
      </c>
      <c r="U101" s="250"/>
      <c r="V101" s="413">
        <f>SUM(V97:V100)</f>
        <v>1735454.2399999998</v>
      </c>
      <c r="W101" s="251"/>
      <c r="X101" s="413">
        <f>SUM(X97:X100)</f>
        <v>25728.063291139235</v>
      </c>
      <c r="Y101" s="413">
        <f t="shared" ref="Y101:AJ101" si="29">SUM(Y97:Y100)</f>
        <v>24794.768535262207</v>
      </c>
      <c r="Z101" s="413">
        <f t="shared" si="29"/>
        <v>24452.933996383359</v>
      </c>
      <c r="AA101" s="413">
        <f t="shared" si="29"/>
        <v>24642.038878842675</v>
      </c>
      <c r="AB101" s="413">
        <f t="shared" si="29"/>
        <v>25452.359664985248</v>
      </c>
      <c r="AC101" s="413">
        <f t="shared" si="29"/>
        <v>26299.37396497573</v>
      </c>
      <c r="AD101" s="413">
        <f t="shared" si="29"/>
        <v>26990.562386980106</v>
      </c>
      <c r="AE101" s="413">
        <f t="shared" si="29"/>
        <v>27298.537070524406</v>
      </c>
      <c r="AF101" s="413">
        <f t="shared" si="29"/>
        <v>27488.817169506037</v>
      </c>
      <c r="AG101" s="413">
        <f t="shared" si="29"/>
        <v>27434.864376130197</v>
      </c>
      <c r="AH101" s="413">
        <f t="shared" si="29"/>
        <v>26735.783905967448</v>
      </c>
      <c r="AI101" s="413">
        <f t="shared" si="29"/>
        <v>26973.490958408678</v>
      </c>
      <c r="AJ101" s="413">
        <f t="shared" si="29"/>
        <v>314291.59419910534</v>
      </c>
    </row>
    <row r="102" spans="1:42">
      <c r="B102" s="243"/>
      <c r="C102" s="248"/>
      <c r="D102" s="243"/>
      <c r="F102" s="244"/>
      <c r="G102" s="244"/>
      <c r="H102" s="249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W102" s="249"/>
      <c r="Z102" s="421"/>
    </row>
    <row r="103" spans="1:42">
      <c r="F103" s="244"/>
      <c r="G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Z103" s="421"/>
    </row>
    <row r="104" spans="1:42">
      <c r="F104" s="244"/>
      <c r="G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Z104" s="421"/>
    </row>
    <row r="105" spans="1:42" s="228" customFormat="1">
      <c r="B105" s="228" t="s">
        <v>526</v>
      </c>
      <c r="E105" s="236"/>
      <c r="F105" s="244"/>
      <c r="G105" s="244"/>
      <c r="I105" s="259">
        <f>+I84+I92+I101+I94</f>
        <v>1733233.8050000004</v>
      </c>
      <c r="J105" s="259">
        <f t="shared" ref="J105:T105" si="30">+J84+J92+J101+J94</f>
        <v>1703219.3800000001</v>
      </c>
      <c r="K105" s="259">
        <f t="shared" si="30"/>
        <v>1686224.6149999998</v>
      </c>
      <c r="L105" s="259">
        <f t="shared" si="30"/>
        <v>1717611.6150000002</v>
      </c>
      <c r="M105" s="259">
        <f t="shared" si="30"/>
        <v>1732402.0199999998</v>
      </c>
      <c r="N105" s="259">
        <f t="shared" si="30"/>
        <v>1743205.125</v>
      </c>
      <c r="O105" s="259">
        <f t="shared" si="30"/>
        <v>1750084.5950000004</v>
      </c>
      <c r="P105" s="259">
        <f t="shared" si="30"/>
        <v>1760567.4099999997</v>
      </c>
      <c r="Q105" s="259">
        <f t="shared" si="30"/>
        <v>1759306.5450000004</v>
      </c>
      <c r="R105" s="259">
        <f t="shared" si="30"/>
        <v>1755978.5750000007</v>
      </c>
      <c r="S105" s="259">
        <f t="shared" si="30"/>
        <v>1753560.1200000003</v>
      </c>
      <c r="T105" s="259">
        <f t="shared" si="30"/>
        <v>1744494.6500000001</v>
      </c>
      <c r="U105" s="259"/>
      <c r="V105" s="415">
        <f>+V84+V92+V101+V94</f>
        <v>20740178.940000001</v>
      </c>
      <c r="W105" s="260"/>
      <c r="X105" s="420"/>
      <c r="Y105" s="421"/>
      <c r="Z105" s="421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16"/>
    </row>
    <row r="106" spans="1:42" s="228" customFormat="1">
      <c r="E106" s="236"/>
      <c r="F106" s="244"/>
      <c r="G106" s="244"/>
      <c r="H106" s="261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408"/>
      <c r="W106" s="262"/>
      <c r="X106" s="420"/>
      <c r="Y106" s="421"/>
      <c r="Z106" s="421"/>
      <c r="AA106" s="420"/>
      <c r="AB106" s="420"/>
      <c r="AC106" s="420"/>
      <c r="AD106" s="420"/>
      <c r="AE106" s="420"/>
      <c r="AF106" s="420"/>
      <c r="AG106" s="420"/>
      <c r="AH106" s="420"/>
      <c r="AI106" s="420"/>
      <c r="AJ106" s="416"/>
    </row>
    <row r="107" spans="1:42" s="228" customFormat="1">
      <c r="E107" s="236"/>
      <c r="F107" s="244"/>
      <c r="G107" s="244"/>
      <c r="H107" s="261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408"/>
      <c r="W107" s="263"/>
      <c r="X107" s="420"/>
      <c r="Y107" s="421"/>
      <c r="Z107" s="421"/>
      <c r="AA107" s="420"/>
      <c r="AB107" s="420"/>
      <c r="AC107" s="420"/>
      <c r="AD107" s="420"/>
      <c r="AE107" s="420"/>
      <c r="AF107" s="420"/>
      <c r="AG107" s="420"/>
      <c r="AH107" s="420"/>
      <c r="AI107" s="420"/>
      <c r="AJ107" s="416"/>
    </row>
    <row r="108" spans="1:42">
      <c r="F108" s="244"/>
      <c r="G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Z108" s="421"/>
    </row>
    <row r="109" spans="1:42">
      <c r="E109" s="264"/>
      <c r="F109" s="244"/>
      <c r="G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Z109" s="421"/>
    </row>
    <row r="110" spans="1:42">
      <c r="B110" s="238" t="s">
        <v>527</v>
      </c>
      <c r="C110" s="239"/>
      <c r="D110" s="239"/>
      <c r="F110" s="244"/>
      <c r="G110" s="244"/>
      <c r="H110" s="240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W110" s="265"/>
      <c r="Z110" s="421"/>
    </row>
    <row r="111" spans="1:42">
      <c r="B111" s="238"/>
      <c r="C111" s="239"/>
      <c r="D111" s="239"/>
      <c r="F111" s="244"/>
      <c r="G111" s="244"/>
      <c r="H111" s="240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W111" s="265"/>
      <c r="Z111" s="421"/>
    </row>
    <row r="112" spans="1:42">
      <c r="B112" s="242" t="s">
        <v>149</v>
      </c>
      <c r="C112" s="239"/>
      <c r="D112" s="239"/>
      <c r="F112" s="244"/>
      <c r="G112" s="244"/>
      <c r="H112" s="240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W112" s="265"/>
      <c r="Z112" s="421"/>
    </row>
    <row r="113" spans="1:36">
      <c r="A113" s="231" t="str">
        <f>$A$3&amp;"Commercial"&amp;B113</f>
        <v>PIERCE UTCCommercialFL001.0Y1W001</v>
      </c>
      <c r="B113" s="243" t="s">
        <v>239</v>
      </c>
      <c r="C113" s="243" t="s">
        <v>240</v>
      </c>
      <c r="D113" s="243" t="s">
        <v>528</v>
      </c>
      <c r="E113" s="230">
        <v>33000</v>
      </c>
      <c r="F113" s="244">
        <v>91.43</v>
      </c>
      <c r="G113" s="244">
        <v>93.63</v>
      </c>
      <c r="H113" s="244"/>
      <c r="I113" s="244">
        <v>116376.69</v>
      </c>
      <c r="J113" s="244">
        <v>116938.985</v>
      </c>
      <c r="K113" s="244">
        <v>115677.23500000002</v>
      </c>
      <c r="L113" s="244">
        <v>120492.22</v>
      </c>
      <c r="M113" s="244">
        <v>120868.55</v>
      </c>
      <c r="N113" s="244">
        <v>121347.41</v>
      </c>
      <c r="O113" s="244">
        <v>120934.65</v>
      </c>
      <c r="P113" s="244">
        <v>121901.6</v>
      </c>
      <c r="Q113" s="244">
        <v>122445.17</v>
      </c>
      <c r="R113" s="244">
        <v>121495.62</v>
      </c>
      <c r="S113" s="244">
        <v>120969.12</v>
      </c>
      <c r="T113" s="244">
        <v>120080.49</v>
      </c>
      <c r="U113" s="244"/>
      <c r="V113" s="408">
        <f t="shared" ref="V113:V176" si="31">SUM(I113:T113)</f>
        <v>1439527.74</v>
      </c>
      <c r="W113" s="245"/>
      <c r="X113" s="420">
        <f t="shared" ref="X113:Z144" si="32">IFERROR(I113/$F113,0)</f>
        <v>1272.850158591272</v>
      </c>
      <c r="Y113" s="421">
        <f t="shared" si="32"/>
        <v>1279.0001640599364</v>
      </c>
      <c r="Z113" s="421">
        <f t="shared" si="32"/>
        <v>1265.199989062671</v>
      </c>
      <c r="AA113" s="420">
        <f t="shared" ref="AA113:AI141" si="33">IFERROR(L113/$G113,0)</f>
        <v>1286.8975755633878</v>
      </c>
      <c r="AB113" s="420">
        <f t="shared" si="33"/>
        <v>1290.9169069742604</v>
      </c>
      <c r="AC113" s="420">
        <f t="shared" si="33"/>
        <v>1296.0312933888713</v>
      </c>
      <c r="AD113" s="420">
        <f t="shared" si="33"/>
        <v>1291.6228772829222</v>
      </c>
      <c r="AE113" s="420">
        <f t="shared" si="33"/>
        <v>1301.9502296272562</v>
      </c>
      <c r="AF113" s="420">
        <f t="shared" si="33"/>
        <v>1307.7557406814055</v>
      </c>
      <c r="AG113" s="420">
        <f t="shared" si="33"/>
        <v>1297.6142262095482</v>
      </c>
      <c r="AH113" s="420">
        <f t="shared" si="33"/>
        <v>1291.991028516501</v>
      </c>
      <c r="AI113" s="420">
        <f t="shared" si="33"/>
        <v>1282.5001602050627</v>
      </c>
      <c r="AJ113" s="408">
        <f t="shared" ref="AJ113:AJ175" si="34">SUM(X113:AI113)</f>
        <v>15464.330350163094</v>
      </c>
    </row>
    <row r="114" spans="1:36">
      <c r="A114" s="231" t="str">
        <f t="shared" ref="A114:A177" si="35">$A$3&amp;"Commercial"&amp;B114</f>
        <v>PIERCE UTCCommercialFL001.0Y2W001</v>
      </c>
      <c r="B114" s="243" t="s">
        <v>241</v>
      </c>
      <c r="C114" s="243" t="s">
        <v>242</v>
      </c>
      <c r="D114" s="243" t="s">
        <v>528</v>
      </c>
      <c r="E114" s="230">
        <v>33000</v>
      </c>
      <c r="F114" s="244">
        <v>169.71</v>
      </c>
      <c r="G114" s="244">
        <v>174.13</v>
      </c>
      <c r="H114" s="244"/>
      <c r="I114" s="244">
        <v>509.13</v>
      </c>
      <c r="J114" s="244">
        <v>509.13</v>
      </c>
      <c r="K114" s="244">
        <v>509.13</v>
      </c>
      <c r="L114" s="244">
        <v>522.39</v>
      </c>
      <c r="M114" s="244">
        <v>522.39</v>
      </c>
      <c r="N114" s="244">
        <v>522.39</v>
      </c>
      <c r="O114" s="244">
        <v>522.39</v>
      </c>
      <c r="P114" s="244">
        <v>522.39</v>
      </c>
      <c r="Q114" s="244">
        <v>522.39</v>
      </c>
      <c r="R114" s="244">
        <v>522.39</v>
      </c>
      <c r="S114" s="244">
        <v>561.09</v>
      </c>
      <c r="T114" s="244">
        <v>696.52</v>
      </c>
      <c r="U114" s="244"/>
      <c r="V114" s="408">
        <f t="shared" si="31"/>
        <v>6441.73</v>
      </c>
      <c r="W114" s="245"/>
      <c r="X114" s="420">
        <f t="shared" si="32"/>
        <v>3</v>
      </c>
      <c r="Y114" s="421">
        <f t="shared" si="32"/>
        <v>3</v>
      </c>
      <c r="Z114" s="421">
        <f t="shared" si="32"/>
        <v>3</v>
      </c>
      <c r="AA114" s="420">
        <f t="shared" si="33"/>
        <v>3</v>
      </c>
      <c r="AB114" s="420">
        <f t="shared" si="33"/>
        <v>3</v>
      </c>
      <c r="AC114" s="420">
        <f t="shared" si="33"/>
        <v>3</v>
      </c>
      <c r="AD114" s="420">
        <f t="shared" si="33"/>
        <v>3</v>
      </c>
      <c r="AE114" s="420">
        <f t="shared" si="33"/>
        <v>3</v>
      </c>
      <c r="AF114" s="420">
        <f t="shared" si="33"/>
        <v>3</v>
      </c>
      <c r="AG114" s="420">
        <f t="shared" si="33"/>
        <v>3</v>
      </c>
      <c r="AH114" s="420">
        <f t="shared" si="33"/>
        <v>3.2222477459369441</v>
      </c>
      <c r="AI114" s="420">
        <f t="shared" si="33"/>
        <v>4</v>
      </c>
      <c r="AJ114" s="408">
        <f t="shared" si="34"/>
        <v>37.222247745936947</v>
      </c>
    </row>
    <row r="115" spans="1:36">
      <c r="A115" s="231" t="str">
        <f t="shared" si="35"/>
        <v>PIERCE UTCCommercialFL001.0Y3W001</v>
      </c>
      <c r="B115" s="243" t="s">
        <v>243</v>
      </c>
      <c r="C115" s="243" t="s">
        <v>244</v>
      </c>
      <c r="D115" s="243" t="s">
        <v>528</v>
      </c>
      <c r="E115" s="230">
        <v>33000</v>
      </c>
      <c r="F115" s="244">
        <v>248</v>
      </c>
      <c r="G115" s="244">
        <v>254.62</v>
      </c>
      <c r="H115" s="244"/>
      <c r="I115" s="244">
        <v>248</v>
      </c>
      <c r="J115" s="244">
        <v>248</v>
      </c>
      <c r="K115" s="244">
        <v>248</v>
      </c>
      <c r="L115" s="244">
        <v>254.62</v>
      </c>
      <c r="M115" s="244">
        <v>254.62</v>
      </c>
      <c r="N115" s="244">
        <v>254.62</v>
      </c>
      <c r="O115" s="244">
        <v>254.62</v>
      </c>
      <c r="P115" s="244">
        <v>254.62</v>
      </c>
      <c r="Q115" s="244">
        <v>254.62</v>
      </c>
      <c r="R115" s="244">
        <v>254.62</v>
      </c>
      <c r="S115" s="244">
        <v>254.62</v>
      </c>
      <c r="T115" s="244">
        <v>254.62</v>
      </c>
      <c r="U115" s="244"/>
      <c r="V115" s="408">
        <f t="shared" si="31"/>
        <v>3035.5799999999995</v>
      </c>
      <c r="W115" s="245"/>
      <c r="X115" s="420">
        <f t="shared" si="32"/>
        <v>1</v>
      </c>
      <c r="Y115" s="421">
        <f t="shared" si="32"/>
        <v>1</v>
      </c>
      <c r="Z115" s="421">
        <f t="shared" si="32"/>
        <v>1</v>
      </c>
      <c r="AA115" s="420">
        <f t="shared" si="33"/>
        <v>1</v>
      </c>
      <c r="AB115" s="420">
        <f t="shared" si="33"/>
        <v>1</v>
      </c>
      <c r="AC115" s="420">
        <f t="shared" si="33"/>
        <v>1</v>
      </c>
      <c r="AD115" s="420">
        <f t="shared" si="33"/>
        <v>1</v>
      </c>
      <c r="AE115" s="420">
        <f t="shared" si="33"/>
        <v>1</v>
      </c>
      <c r="AF115" s="420">
        <f t="shared" si="33"/>
        <v>1</v>
      </c>
      <c r="AG115" s="420">
        <f t="shared" si="33"/>
        <v>1</v>
      </c>
      <c r="AH115" s="420">
        <f t="shared" si="33"/>
        <v>1</v>
      </c>
      <c r="AI115" s="420">
        <f t="shared" si="33"/>
        <v>1</v>
      </c>
      <c r="AJ115" s="408">
        <f t="shared" si="34"/>
        <v>12</v>
      </c>
    </row>
    <row r="116" spans="1:36">
      <c r="A116" s="231" t="str">
        <f t="shared" si="35"/>
        <v>PIERCE UTCCommercialFL001.0Y4W001</v>
      </c>
      <c r="B116" s="243" t="s">
        <v>245</v>
      </c>
      <c r="C116" s="243" t="s">
        <v>246</v>
      </c>
      <c r="D116" s="243"/>
      <c r="F116" s="244">
        <v>326.29000000000002</v>
      </c>
      <c r="G116" s="244">
        <v>335.12</v>
      </c>
      <c r="H116" s="244"/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/>
      <c r="V116" s="408">
        <f t="shared" si="31"/>
        <v>0</v>
      </c>
      <c r="W116" s="245"/>
      <c r="X116" s="420">
        <f t="shared" si="32"/>
        <v>0</v>
      </c>
      <c r="Y116" s="421">
        <f t="shared" si="32"/>
        <v>0</v>
      </c>
      <c r="Z116" s="421">
        <f t="shared" si="32"/>
        <v>0</v>
      </c>
      <c r="AA116" s="420">
        <f t="shared" si="33"/>
        <v>0</v>
      </c>
      <c r="AB116" s="420">
        <f t="shared" si="33"/>
        <v>0</v>
      </c>
      <c r="AC116" s="420">
        <f t="shared" si="33"/>
        <v>0</v>
      </c>
      <c r="AD116" s="420">
        <f t="shared" si="33"/>
        <v>0</v>
      </c>
      <c r="AE116" s="420">
        <f t="shared" si="33"/>
        <v>0</v>
      </c>
      <c r="AF116" s="420">
        <f t="shared" si="33"/>
        <v>0</v>
      </c>
      <c r="AG116" s="420">
        <f t="shared" si="33"/>
        <v>0</v>
      </c>
      <c r="AH116" s="420">
        <f t="shared" si="33"/>
        <v>0</v>
      </c>
      <c r="AI116" s="420">
        <f t="shared" si="33"/>
        <v>0</v>
      </c>
      <c r="AJ116" s="408">
        <f t="shared" si="34"/>
        <v>0</v>
      </c>
    </row>
    <row r="117" spans="1:36">
      <c r="A117" s="231" t="str">
        <f t="shared" si="35"/>
        <v>PIERCE UTCCommercialFL001.5Y1W001</v>
      </c>
      <c r="B117" s="243" t="s">
        <v>247</v>
      </c>
      <c r="C117" s="243" t="s">
        <v>248</v>
      </c>
      <c r="D117" s="243" t="s">
        <v>528</v>
      </c>
      <c r="E117" s="230">
        <v>33000</v>
      </c>
      <c r="F117" s="244">
        <v>125.07</v>
      </c>
      <c r="G117" s="244">
        <v>128.24</v>
      </c>
      <c r="H117" s="244"/>
      <c r="I117" s="244">
        <v>30961.079999999998</v>
      </c>
      <c r="J117" s="244">
        <v>30904.799999999999</v>
      </c>
      <c r="K117" s="244">
        <v>31236.23</v>
      </c>
      <c r="L117" s="244">
        <v>31399.64</v>
      </c>
      <c r="M117" s="244">
        <v>31656.04</v>
      </c>
      <c r="N117" s="244">
        <v>31784.28</v>
      </c>
      <c r="O117" s="244">
        <v>32348.54</v>
      </c>
      <c r="P117" s="244">
        <v>32681.95</v>
      </c>
      <c r="Q117" s="244">
        <v>32649.9</v>
      </c>
      <c r="R117" s="244">
        <v>33524.07</v>
      </c>
      <c r="S117" s="244">
        <v>34278.54</v>
      </c>
      <c r="T117" s="244">
        <v>34586.33</v>
      </c>
      <c r="U117" s="244"/>
      <c r="V117" s="408">
        <f t="shared" si="31"/>
        <v>388011.4</v>
      </c>
      <c r="W117" s="245"/>
      <c r="X117" s="420">
        <f t="shared" si="32"/>
        <v>247.55001199328376</v>
      </c>
      <c r="Y117" s="421">
        <f t="shared" si="32"/>
        <v>247.10002398656752</v>
      </c>
      <c r="Z117" s="421">
        <f t="shared" si="32"/>
        <v>249.74998001119374</v>
      </c>
      <c r="AA117" s="420">
        <f t="shared" si="33"/>
        <v>244.85059263880223</v>
      </c>
      <c r="AB117" s="420">
        <f t="shared" si="33"/>
        <v>246.84996880848408</v>
      </c>
      <c r="AC117" s="420">
        <f t="shared" si="33"/>
        <v>247.84996880848408</v>
      </c>
      <c r="AD117" s="420">
        <f t="shared" si="33"/>
        <v>252.25</v>
      </c>
      <c r="AE117" s="420">
        <f t="shared" si="33"/>
        <v>254.84989082969432</v>
      </c>
      <c r="AF117" s="420">
        <f t="shared" si="33"/>
        <v>254.59996880848408</v>
      </c>
      <c r="AG117" s="420">
        <f t="shared" si="33"/>
        <v>261.41664067373671</v>
      </c>
      <c r="AH117" s="420">
        <f t="shared" si="33"/>
        <v>267.29990642545226</v>
      </c>
      <c r="AI117" s="420">
        <f t="shared" si="33"/>
        <v>269.70001559575798</v>
      </c>
      <c r="AJ117" s="408">
        <f t="shared" si="34"/>
        <v>3044.0669685799407</v>
      </c>
    </row>
    <row r="118" spans="1:36">
      <c r="A118" s="231" t="str">
        <f t="shared" si="35"/>
        <v>PIERCE UTCCommercialFL001.5Y2W001</v>
      </c>
      <c r="B118" s="243" t="s">
        <v>249</v>
      </c>
      <c r="C118" s="243" t="s">
        <v>250</v>
      </c>
      <c r="D118" s="243" t="s">
        <v>528</v>
      </c>
      <c r="E118" s="230">
        <v>33000</v>
      </c>
      <c r="F118" s="244">
        <v>232.2</v>
      </c>
      <c r="G118" s="244">
        <v>238.52</v>
      </c>
      <c r="H118" s="244"/>
      <c r="I118" s="244">
        <v>4798.8</v>
      </c>
      <c r="J118" s="244">
        <v>4876.2</v>
      </c>
      <c r="K118" s="244">
        <v>4818.1499999999996</v>
      </c>
      <c r="L118" s="244">
        <v>5008.92</v>
      </c>
      <c r="M118" s="244">
        <v>5295.14</v>
      </c>
      <c r="N118" s="244">
        <v>5247.46</v>
      </c>
      <c r="O118" s="244">
        <v>5485.96</v>
      </c>
      <c r="P118" s="244">
        <v>5459.46</v>
      </c>
      <c r="Q118" s="244">
        <v>5167.9399999999996</v>
      </c>
      <c r="R118" s="244">
        <v>5247.44</v>
      </c>
      <c r="S118" s="244">
        <v>5247.44</v>
      </c>
      <c r="T118" s="244">
        <v>5247.44</v>
      </c>
      <c r="U118" s="244"/>
      <c r="V118" s="408">
        <f t="shared" si="31"/>
        <v>61900.350000000006</v>
      </c>
      <c r="W118" s="245"/>
      <c r="X118" s="420">
        <f t="shared" si="32"/>
        <v>20.666666666666668</v>
      </c>
      <c r="Y118" s="421">
        <f t="shared" si="32"/>
        <v>21</v>
      </c>
      <c r="Z118" s="421">
        <f t="shared" si="32"/>
        <v>20.75</v>
      </c>
      <c r="AA118" s="420">
        <f t="shared" si="33"/>
        <v>21</v>
      </c>
      <c r="AB118" s="420">
        <f t="shared" si="33"/>
        <v>22.199983229917827</v>
      </c>
      <c r="AC118" s="420">
        <f t="shared" si="33"/>
        <v>22.000083850410867</v>
      </c>
      <c r="AD118" s="420">
        <f t="shared" si="33"/>
        <v>23</v>
      </c>
      <c r="AE118" s="420">
        <f t="shared" si="33"/>
        <v>22.888898205601208</v>
      </c>
      <c r="AF118" s="420">
        <f t="shared" si="33"/>
        <v>21.666694616803621</v>
      </c>
      <c r="AG118" s="420">
        <f t="shared" si="33"/>
        <v>21.999999999999996</v>
      </c>
      <c r="AH118" s="420">
        <f t="shared" si="33"/>
        <v>21.999999999999996</v>
      </c>
      <c r="AI118" s="420">
        <f t="shared" si="33"/>
        <v>21.999999999999996</v>
      </c>
      <c r="AJ118" s="408">
        <f t="shared" si="34"/>
        <v>261.17232656940018</v>
      </c>
    </row>
    <row r="119" spans="1:36">
      <c r="A119" s="231" t="str">
        <f t="shared" si="35"/>
        <v>PIERCE UTCCommercialFL001.5Y3W001</v>
      </c>
      <c r="B119" s="243" t="s">
        <v>251</v>
      </c>
      <c r="C119" s="243" t="s">
        <v>252</v>
      </c>
      <c r="D119" s="243" t="s">
        <v>528</v>
      </c>
      <c r="E119" s="230">
        <v>33000</v>
      </c>
      <c r="F119" s="244">
        <v>339.32</v>
      </c>
      <c r="G119" s="244">
        <v>348.81</v>
      </c>
      <c r="H119" s="244"/>
      <c r="I119" s="244">
        <v>678.64</v>
      </c>
      <c r="J119" s="244">
        <v>678.64</v>
      </c>
      <c r="K119" s="244">
        <v>678.64</v>
      </c>
      <c r="L119" s="244">
        <v>697.62</v>
      </c>
      <c r="M119" s="244">
        <v>697.62</v>
      </c>
      <c r="N119" s="244">
        <v>697.62</v>
      </c>
      <c r="O119" s="244">
        <v>697.62</v>
      </c>
      <c r="P119" s="244">
        <v>697.62</v>
      </c>
      <c r="Q119" s="244">
        <v>697.62</v>
      </c>
      <c r="R119" s="244">
        <v>697.62</v>
      </c>
      <c r="S119" s="244">
        <v>697.62</v>
      </c>
      <c r="T119" s="244">
        <v>697.62</v>
      </c>
      <c r="U119" s="244"/>
      <c r="V119" s="408">
        <f t="shared" si="31"/>
        <v>8314.5</v>
      </c>
      <c r="W119" s="245"/>
      <c r="X119" s="420">
        <f t="shared" si="32"/>
        <v>2</v>
      </c>
      <c r="Y119" s="421">
        <f t="shared" si="32"/>
        <v>2</v>
      </c>
      <c r="Z119" s="421">
        <f t="shared" si="32"/>
        <v>2</v>
      </c>
      <c r="AA119" s="420">
        <f t="shared" si="33"/>
        <v>2</v>
      </c>
      <c r="AB119" s="420">
        <f t="shared" si="33"/>
        <v>2</v>
      </c>
      <c r="AC119" s="420">
        <f t="shared" si="33"/>
        <v>2</v>
      </c>
      <c r="AD119" s="420">
        <f t="shared" si="33"/>
        <v>2</v>
      </c>
      <c r="AE119" s="420">
        <f t="shared" si="33"/>
        <v>2</v>
      </c>
      <c r="AF119" s="420">
        <f t="shared" si="33"/>
        <v>2</v>
      </c>
      <c r="AG119" s="420">
        <f t="shared" si="33"/>
        <v>2</v>
      </c>
      <c r="AH119" s="420">
        <f t="shared" si="33"/>
        <v>2</v>
      </c>
      <c r="AI119" s="420">
        <f t="shared" si="33"/>
        <v>2</v>
      </c>
      <c r="AJ119" s="408">
        <f t="shared" si="34"/>
        <v>24</v>
      </c>
    </row>
    <row r="120" spans="1:36">
      <c r="A120" s="231" t="str">
        <f t="shared" si="35"/>
        <v>PIERCE UTCCommercialFL001.5Y4W001</v>
      </c>
      <c r="B120" s="243" t="s">
        <v>253</v>
      </c>
      <c r="C120" s="243" t="s">
        <v>254</v>
      </c>
      <c r="D120" s="243"/>
      <c r="F120" s="244">
        <v>446.45</v>
      </c>
      <c r="G120" s="244">
        <v>459.09</v>
      </c>
      <c r="H120" s="244"/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0</v>
      </c>
      <c r="Q120" s="244">
        <v>0</v>
      </c>
      <c r="R120" s="244">
        <v>0</v>
      </c>
      <c r="S120" s="244">
        <v>0</v>
      </c>
      <c r="T120" s="244">
        <v>0</v>
      </c>
      <c r="U120" s="244"/>
      <c r="V120" s="408">
        <f t="shared" si="31"/>
        <v>0</v>
      </c>
      <c r="W120" s="245"/>
      <c r="X120" s="420">
        <f t="shared" si="32"/>
        <v>0</v>
      </c>
      <c r="Y120" s="421">
        <f t="shared" si="32"/>
        <v>0</v>
      </c>
      <c r="Z120" s="421">
        <f t="shared" si="32"/>
        <v>0</v>
      </c>
      <c r="AA120" s="420">
        <f t="shared" si="33"/>
        <v>0</v>
      </c>
      <c r="AB120" s="420">
        <f t="shared" si="33"/>
        <v>0</v>
      </c>
      <c r="AC120" s="420">
        <f t="shared" si="33"/>
        <v>0</v>
      </c>
      <c r="AD120" s="420">
        <f t="shared" si="33"/>
        <v>0</v>
      </c>
      <c r="AE120" s="420">
        <f t="shared" si="33"/>
        <v>0</v>
      </c>
      <c r="AF120" s="420">
        <f t="shared" si="33"/>
        <v>0</v>
      </c>
      <c r="AG120" s="420">
        <f t="shared" si="33"/>
        <v>0</v>
      </c>
      <c r="AH120" s="420">
        <f t="shared" si="33"/>
        <v>0</v>
      </c>
      <c r="AI120" s="420">
        <f t="shared" si="33"/>
        <v>0</v>
      </c>
      <c r="AJ120" s="408">
        <f t="shared" si="34"/>
        <v>0</v>
      </c>
    </row>
    <row r="121" spans="1:36">
      <c r="A121" s="231" t="str">
        <f t="shared" si="35"/>
        <v>PIERCE UTCCommercialFL001.5Y5W001</v>
      </c>
      <c r="B121" s="243" t="s">
        <v>255</v>
      </c>
      <c r="C121" s="243" t="s">
        <v>256</v>
      </c>
      <c r="D121" s="243"/>
      <c r="F121" s="244">
        <v>553.57000000000005</v>
      </c>
      <c r="G121" s="244">
        <v>569.38</v>
      </c>
      <c r="H121" s="244"/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  <c r="N121" s="244">
        <v>0</v>
      </c>
      <c r="O121" s="244">
        <v>0</v>
      </c>
      <c r="P121" s="244">
        <v>0</v>
      </c>
      <c r="Q121" s="244">
        <v>0</v>
      </c>
      <c r="R121" s="244">
        <v>0</v>
      </c>
      <c r="S121" s="244">
        <v>0</v>
      </c>
      <c r="T121" s="244">
        <v>0</v>
      </c>
      <c r="U121" s="244"/>
      <c r="V121" s="408">
        <f t="shared" si="31"/>
        <v>0</v>
      </c>
      <c r="W121" s="245"/>
      <c r="X121" s="420">
        <f t="shared" si="32"/>
        <v>0</v>
      </c>
      <c r="Y121" s="421">
        <f t="shared" si="32"/>
        <v>0</v>
      </c>
      <c r="Z121" s="421">
        <f t="shared" si="32"/>
        <v>0</v>
      </c>
      <c r="AA121" s="420">
        <f t="shared" si="33"/>
        <v>0</v>
      </c>
      <c r="AB121" s="420">
        <f t="shared" si="33"/>
        <v>0</v>
      </c>
      <c r="AC121" s="420">
        <f t="shared" si="33"/>
        <v>0</v>
      </c>
      <c r="AD121" s="420">
        <f t="shared" si="33"/>
        <v>0</v>
      </c>
      <c r="AE121" s="420">
        <f t="shared" si="33"/>
        <v>0</v>
      </c>
      <c r="AF121" s="420">
        <f t="shared" si="33"/>
        <v>0</v>
      </c>
      <c r="AG121" s="420">
        <f t="shared" si="33"/>
        <v>0</v>
      </c>
      <c r="AH121" s="420">
        <f t="shared" si="33"/>
        <v>0</v>
      </c>
      <c r="AI121" s="420">
        <f t="shared" si="33"/>
        <v>0</v>
      </c>
      <c r="AJ121" s="408">
        <f t="shared" si="34"/>
        <v>0</v>
      </c>
    </row>
    <row r="122" spans="1:36">
      <c r="A122" s="231" t="str">
        <f t="shared" si="35"/>
        <v>PIERCE UTCCommercialFL002.0Y1W001</v>
      </c>
      <c r="B122" s="243" t="s">
        <v>257</v>
      </c>
      <c r="C122" s="243" t="s">
        <v>258</v>
      </c>
      <c r="D122" s="243" t="s">
        <v>528</v>
      </c>
      <c r="E122" s="230">
        <v>33000</v>
      </c>
      <c r="F122" s="244">
        <v>160.12</v>
      </c>
      <c r="G122" s="244">
        <v>164.24</v>
      </c>
      <c r="H122" s="244"/>
      <c r="I122" s="244">
        <v>59404.53</v>
      </c>
      <c r="J122" s="244">
        <v>59420.58</v>
      </c>
      <c r="K122" s="244">
        <v>59364.49</v>
      </c>
      <c r="L122" s="244">
        <v>61647.01</v>
      </c>
      <c r="M122" s="244">
        <v>62686.229999999996</v>
      </c>
      <c r="N122" s="244">
        <v>62052.98</v>
      </c>
      <c r="O122" s="244">
        <v>62780.74</v>
      </c>
      <c r="P122" s="244">
        <v>62345.51</v>
      </c>
      <c r="Q122" s="244">
        <v>63938.64</v>
      </c>
      <c r="R122" s="244">
        <v>64053.599999999999</v>
      </c>
      <c r="S122" s="244">
        <v>64004.32</v>
      </c>
      <c r="T122" s="244">
        <v>63593.72</v>
      </c>
      <c r="U122" s="244"/>
      <c r="V122" s="408">
        <f t="shared" si="31"/>
        <v>745292.34999999986</v>
      </c>
      <c r="W122" s="245"/>
      <c r="X122" s="420">
        <f t="shared" si="32"/>
        <v>371.00006245316013</v>
      </c>
      <c r="Y122" s="421">
        <f t="shared" si="32"/>
        <v>371.10029977516865</v>
      </c>
      <c r="Z122" s="421">
        <f t="shared" si="32"/>
        <v>370.75</v>
      </c>
      <c r="AA122" s="420">
        <f t="shared" si="33"/>
        <v>375.34711397954214</v>
      </c>
      <c r="AB122" s="420">
        <f t="shared" si="33"/>
        <v>381.67456161714557</v>
      </c>
      <c r="AC122" s="420">
        <f t="shared" si="33"/>
        <v>377.81892352654654</v>
      </c>
      <c r="AD122" s="420">
        <f t="shared" si="33"/>
        <v>382.24999999999994</v>
      </c>
      <c r="AE122" s="420">
        <f t="shared" si="33"/>
        <v>379.60003653190449</v>
      </c>
      <c r="AF122" s="420">
        <f t="shared" si="33"/>
        <v>389.30004870920601</v>
      </c>
      <c r="AG122" s="420">
        <f t="shared" si="33"/>
        <v>389.99999999999994</v>
      </c>
      <c r="AH122" s="420">
        <f t="shared" si="33"/>
        <v>389.69995129079393</v>
      </c>
      <c r="AI122" s="420">
        <f t="shared" si="33"/>
        <v>387.19995129079393</v>
      </c>
      <c r="AJ122" s="408">
        <f t="shared" si="34"/>
        <v>4565.7409491742619</v>
      </c>
    </row>
    <row r="123" spans="1:36">
      <c r="A123" s="231" t="str">
        <f t="shared" si="35"/>
        <v>PIERCE UTCCommercialFL002.0Y2W001</v>
      </c>
      <c r="B123" s="243" t="s">
        <v>259</v>
      </c>
      <c r="C123" s="243" t="s">
        <v>260</v>
      </c>
      <c r="D123" s="243" t="s">
        <v>528</v>
      </c>
      <c r="E123" s="230">
        <v>33000</v>
      </c>
      <c r="F123" s="244">
        <v>301.24</v>
      </c>
      <c r="G123" s="244">
        <v>309.47000000000003</v>
      </c>
      <c r="H123" s="244"/>
      <c r="I123" s="244">
        <v>11145.88</v>
      </c>
      <c r="J123" s="244">
        <v>10769.33</v>
      </c>
      <c r="K123" s="244">
        <v>11145.88</v>
      </c>
      <c r="L123" s="244">
        <v>11607.33</v>
      </c>
      <c r="M123" s="244">
        <v>11622.32</v>
      </c>
      <c r="N123" s="244">
        <v>11691.09</v>
      </c>
      <c r="O123" s="244">
        <v>12065.15</v>
      </c>
      <c r="P123" s="244">
        <v>11815.810000000001</v>
      </c>
      <c r="Q123" s="244">
        <v>12977.11</v>
      </c>
      <c r="R123" s="244">
        <v>12920.37</v>
      </c>
      <c r="S123" s="244">
        <v>13169.67</v>
      </c>
      <c r="T123" s="244">
        <v>13375.98</v>
      </c>
      <c r="U123" s="244"/>
      <c r="V123" s="408">
        <f t="shared" si="31"/>
        <v>144305.91999999998</v>
      </c>
      <c r="W123" s="245"/>
      <c r="X123" s="420">
        <f t="shared" si="32"/>
        <v>36.999999999999993</v>
      </c>
      <c r="Y123" s="421">
        <f t="shared" si="32"/>
        <v>35.75</v>
      </c>
      <c r="Z123" s="421">
        <f t="shared" si="32"/>
        <v>36.999999999999993</v>
      </c>
      <c r="AA123" s="420">
        <f t="shared" si="33"/>
        <v>37.507125084822434</v>
      </c>
      <c r="AB123" s="420">
        <f t="shared" si="33"/>
        <v>37.555562736291073</v>
      </c>
      <c r="AC123" s="420">
        <f t="shared" si="33"/>
        <v>37.777781368145533</v>
      </c>
      <c r="AD123" s="420">
        <f t="shared" si="33"/>
        <v>38.986493036481725</v>
      </c>
      <c r="AE123" s="420">
        <f t="shared" si="33"/>
        <v>38.180792968623777</v>
      </c>
      <c r="AF123" s="420">
        <f t="shared" si="33"/>
        <v>41.933337641774642</v>
      </c>
      <c r="AG123" s="420">
        <f t="shared" si="33"/>
        <v>41.749991921672539</v>
      </c>
      <c r="AH123" s="420">
        <f t="shared" si="33"/>
        <v>42.555562736291073</v>
      </c>
      <c r="AI123" s="420">
        <f t="shared" si="33"/>
        <v>43.222218631854453</v>
      </c>
      <c r="AJ123" s="408">
        <f t="shared" si="34"/>
        <v>469.21886612595722</v>
      </c>
    </row>
    <row r="124" spans="1:36">
      <c r="A124" s="231" t="str">
        <f t="shared" si="35"/>
        <v>PIERCE UTCCommercialFL002.0Y3W001</v>
      </c>
      <c r="B124" s="243" t="s">
        <v>261</v>
      </c>
      <c r="C124" s="243" t="s">
        <v>262</v>
      </c>
      <c r="D124" s="243" t="s">
        <v>528</v>
      </c>
      <c r="E124" s="230">
        <v>33000</v>
      </c>
      <c r="F124" s="244">
        <v>442.35</v>
      </c>
      <c r="G124" s="244">
        <v>454.69</v>
      </c>
      <c r="H124" s="244"/>
      <c r="I124" s="244">
        <v>3981.15</v>
      </c>
      <c r="J124" s="244">
        <v>3981.15</v>
      </c>
      <c r="K124" s="244">
        <v>4239.1899999999996</v>
      </c>
      <c r="L124" s="244">
        <v>4546.8999999999996</v>
      </c>
      <c r="M124" s="244">
        <v>4546.8999999999996</v>
      </c>
      <c r="N124" s="244">
        <v>4839.2</v>
      </c>
      <c r="O124" s="244">
        <v>4546.8999999999996</v>
      </c>
      <c r="P124" s="244">
        <v>4936.6400000000003</v>
      </c>
      <c r="Q124" s="244">
        <v>5421.3</v>
      </c>
      <c r="R124" s="244">
        <v>4896.66</v>
      </c>
      <c r="S124" s="244">
        <v>5001.59</v>
      </c>
      <c r="T124" s="244">
        <v>5001.59</v>
      </c>
      <c r="U124" s="244"/>
      <c r="V124" s="408">
        <f t="shared" si="31"/>
        <v>55939.17</v>
      </c>
      <c r="W124" s="245"/>
      <c r="X124" s="420">
        <f t="shared" si="32"/>
        <v>9</v>
      </c>
      <c r="Y124" s="421">
        <f t="shared" si="32"/>
        <v>9</v>
      </c>
      <c r="Z124" s="421">
        <f t="shared" si="32"/>
        <v>9.5833389849666535</v>
      </c>
      <c r="AA124" s="420">
        <f t="shared" si="33"/>
        <v>10</v>
      </c>
      <c r="AB124" s="420">
        <f t="shared" si="33"/>
        <v>10</v>
      </c>
      <c r="AC124" s="420">
        <f t="shared" si="33"/>
        <v>10.642855571928127</v>
      </c>
      <c r="AD124" s="420">
        <f t="shared" si="33"/>
        <v>10</v>
      </c>
      <c r="AE124" s="420">
        <f t="shared" si="33"/>
        <v>10.857155424574986</v>
      </c>
      <c r="AF124" s="420">
        <f t="shared" si="33"/>
        <v>11.923068464228376</v>
      </c>
      <c r="AG124" s="420">
        <f t="shared" si="33"/>
        <v>10.76922738569135</v>
      </c>
      <c r="AH124" s="420">
        <f t="shared" si="33"/>
        <v>11</v>
      </c>
      <c r="AI124" s="420">
        <f t="shared" si="33"/>
        <v>11</v>
      </c>
      <c r="AJ124" s="408">
        <f t="shared" si="34"/>
        <v>123.7756458313895</v>
      </c>
    </row>
    <row r="125" spans="1:36">
      <c r="A125" s="231" t="str">
        <f t="shared" si="35"/>
        <v>PIERCE UTCCommercialFL002.0Y5W001</v>
      </c>
      <c r="B125" s="243" t="s">
        <v>263</v>
      </c>
      <c r="C125" s="243" t="s">
        <v>264</v>
      </c>
      <c r="D125" s="243"/>
      <c r="F125" s="244">
        <v>724.58</v>
      </c>
      <c r="G125" s="244">
        <v>745.15</v>
      </c>
      <c r="H125" s="244"/>
      <c r="I125" s="244">
        <v>0</v>
      </c>
      <c r="J125" s="244">
        <v>0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0</v>
      </c>
      <c r="Q125" s="244">
        <v>0</v>
      </c>
      <c r="R125" s="244">
        <v>0</v>
      </c>
      <c r="S125" s="244">
        <v>0</v>
      </c>
      <c r="T125" s="244">
        <v>0</v>
      </c>
      <c r="U125" s="244"/>
      <c r="V125" s="408">
        <f t="shared" si="31"/>
        <v>0</v>
      </c>
      <c r="W125" s="245"/>
      <c r="X125" s="420">
        <f t="shared" si="32"/>
        <v>0</v>
      </c>
      <c r="Y125" s="421">
        <f t="shared" si="32"/>
        <v>0</v>
      </c>
      <c r="Z125" s="421">
        <f t="shared" si="32"/>
        <v>0</v>
      </c>
      <c r="AA125" s="420">
        <f t="shared" si="33"/>
        <v>0</v>
      </c>
      <c r="AB125" s="420">
        <f t="shared" si="33"/>
        <v>0</v>
      </c>
      <c r="AC125" s="420">
        <f t="shared" si="33"/>
        <v>0</v>
      </c>
      <c r="AD125" s="420">
        <f t="shared" si="33"/>
        <v>0</v>
      </c>
      <c r="AE125" s="420">
        <f t="shared" si="33"/>
        <v>0</v>
      </c>
      <c r="AF125" s="420">
        <f t="shared" si="33"/>
        <v>0</v>
      </c>
      <c r="AG125" s="420">
        <f t="shared" si="33"/>
        <v>0</v>
      </c>
      <c r="AH125" s="420">
        <f t="shared" si="33"/>
        <v>0</v>
      </c>
      <c r="AI125" s="420">
        <f t="shared" si="33"/>
        <v>0</v>
      </c>
      <c r="AJ125" s="408">
        <f t="shared" si="34"/>
        <v>0</v>
      </c>
    </row>
    <row r="126" spans="1:36">
      <c r="A126" s="231" t="str">
        <f t="shared" si="35"/>
        <v>PIERCE UTCCommercialFL003.0Y1W001</v>
      </c>
      <c r="B126" s="243" t="s">
        <v>265</v>
      </c>
      <c r="C126" s="243" t="s">
        <v>266</v>
      </c>
      <c r="D126" s="243" t="s">
        <v>528</v>
      </c>
      <c r="E126" s="230">
        <v>33000</v>
      </c>
      <c r="F126" s="244">
        <v>223.58</v>
      </c>
      <c r="G126" s="244">
        <v>229.55</v>
      </c>
      <c r="H126" s="244"/>
      <c r="I126" s="244">
        <v>30026.79</v>
      </c>
      <c r="J126" s="244">
        <v>30272.73</v>
      </c>
      <c r="K126" s="244">
        <v>29792.03</v>
      </c>
      <c r="L126" s="244">
        <v>30332.36</v>
      </c>
      <c r="M126" s="244">
        <v>28815.439999999999</v>
      </c>
      <c r="N126" s="244">
        <v>27259.989999999998</v>
      </c>
      <c r="O126" s="244">
        <v>29267.63</v>
      </c>
      <c r="P126" s="244">
        <v>29325.01</v>
      </c>
      <c r="Q126" s="244">
        <v>29198.76</v>
      </c>
      <c r="R126" s="244">
        <v>29669.34</v>
      </c>
      <c r="S126" s="244">
        <v>29749.68</v>
      </c>
      <c r="T126" s="244">
        <v>29726.73</v>
      </c>
      <c r="U126" s="244"/>
      <c r="V126" s="408">
        <f t="shared" si="31"/>
        <v>353436.49</v>
      </c>
      <c r="W126" s="245"/>
      <c r="X126" s="420">
        <f t="shared" si="32"/>
        <v>134.29998210931211</v>
      </c>
      <c r="Y126" s="421">
        <f t="shared" si="32"/>
        <v>135.39999105465606</v>
      </c>
      <c r="Z126" s="421">
        <f t="shared" si="32"/>
        <v>133.24997763664012</v>
      </c>
      <c r="AA126" s="420">
        <f t="shared" si="33"/>
        <v>132.13835765628403</v>
      </c>
      <c r="AB126" s="420">
        <f t="shared" si="33"/>
        <v>125.5301241559573</v>
      </c>
      <c r="AC126" s="420">
        <f t="shared" si="33"/>
        <v>118.75404051404921</v>
      </c>
      <c r="AD126" s="420">
        <f t="shared" si="33"/>
        <v>127.5000217817469</v>
      </c>
      <c r="AE126" s="420">
        <f t="shared" si="33"/>
        <v>127.74998910912655</v>
      </c>
      <c r="AF126" s="420">
        <f t="shared" si="33"/>
        <v>127.19999999999999</v>
      </c>
      <c r="AG126" s="420">
        <f t="shared" si="33"/>
        <v>129.25001089087345</v>
      </c>
      <c r="AH126" s="420">
        <f t="shared" si="33"/>
        <v>129.6</v>
      </c>
      <c r="AI126" s="420">
        <f t="shared" si="33"/>
        <v>129.50002178174688</v>
      </c>
      <c r="AJ126" s="408">
        <f t="shared" si="34"/>
        <v>1550.1725166903925</v>
      </c>
    </row>
    <row r="127" spans="1:36">
      <c r="A127" s="231" t="str">
        <f t="shared" si="35"/>
        <v>PIERCE UTCCommercialFL003.0Y2W001</v>
      </c>
      <c r="B127" s="243" t="s">
        <v>267</v>
      </c>
      <c r="C127" s="243" t="s">
        <v>268</v>
      </c>
      <c r="D127" s="243" t="s">
        <v>528</v>
      </c>
      <c r="E127" s="230">
        <v>33000</v>
      </c>
      <c r="F127" s="244">
        <v>423.41</v>
      </c>
      <c r="G127" s="244">
        <v>435.36</v>
      </c>
      <c r="H127" s="244"/>
      <c r="I127" s="244">
        <v>7576.65</v>
      </c>
      <c r="J127" s="244">
        <v>8512.93</v>
      </c>
      <c r="K127" s="244">
        <v>7742.35</v>
      </c>
      <c r="L127" s="244">
        <v>7836.48</v>
      </c>
      <c r="M127" s="244">
        <v>7836.48</v>
      </c>
      <c r="N127" s="244">
        <v>10025.66</v>
      </c>
      <c r="O127" s="244">
        <v>7803.7</v>
      </c>
      <c r="P127" s="244">
        <v>8707.2000000000007</v>
      </c>
      <c r="Q127" s="244">
        <v>9045.81</v>
      </c>
      <c r="R127" s="244">
        <v>8707.2000000000007</v>
      </c>
      <c r="S127" s="244">
        <v>8707.2000000000007</v>
      </c>
      <c r="T127" s="244">
        <v>8707.2000000000007</v>
      </c>
      <c r="U127" s="244"/>
      <c r="V127" s="408">
        <f t="shared" si="31"/>
        <v>101208.85999999999</v>
      </c>
      <c r="W127" s="245"/>
      <c r="X127" s="420">
        <f t="shared" si="32"/>
        <v>17.894357714744572</v>
      </c>
      <c r="Y127" s="421">
        <f t="shared" si="32"/>
        <v>20.105642285255424</v>
      </c>
      <c r="Z127" s="421">
        <f t="shared" si="32"/>
        <v>18.285704163812852</v>
      </c>
      <c r="AA127" s="420">
        <f t="shared" si="33"/>
        <v>18</v>
      </c>
      <c r="AB127" s="420">
        <f t="shared" si="33"/>
        <v>18</v>
      </c>
      <c r="AC127" s="420">
        <f t="shared" si="33"/>
        <v>23.028436236677692</v>
      </c>
      <c r="AD127" s="420">
        <f t="shared" si="33"/>
        <v>17.924705990444689</v>
      </c>
      <c r="AE127" s="420">
        <f t="shared" si="33"/>
        <v>20</v>
      </c>
      <c r="AF127" s="420">
        <f t="shared" si="33"/>
        <v>20.777770121278941</v>
      </c>
      <c r="AG127" s="420">
        <f t="shared" si="33"/>
        <v>20</v>
      </c>
      <c r="AH127" s="420">
        <f t="shared" si="33"/>
        <v>20</v>
      </c>
      <c r="AI127" s="420">
        <f t="shared" si="33"/>
        <v>20</v>
      </c>
      <c r="AJ127" s="408">
        <f t="shared" si="34"/>
        <v>234.01661651221417</v>
      </c>
    </row>
    <row r="128" spans="1:36">
      <c r="A128" s="231" t="str">
        <f t="shared" si="35"/>
        <v>PIERCE UTCCommercialFL003.0Y3W001</v>
      </c>
      <c r="B128" s="243" t="s">
        <v>269</v>
      </c>
      <c r="C128" s="243" t="s">
        <v>270</v>
      </c>
      <c r="D128" s="243" t="s">
        <v>528</v>
      </c>
      <c r="E128" s="230">
        <v>33000</v>
      </c>
      <c r="F128" s="244">
        <v>623.24</v>
      </c>
      <c r="G128" s="244">
        <v>641.16</v>
      </c>
      <c r="H128" s="244"/>
      <c r="I128" s="244">
        <v>2492.96</v>
      </c>
      <c r="J128" s="244">
        <v>2492.96</v>
      </c>
      <c r="K128" s="244">
        <v>3116.2</v>
      </c>
      <c r="L128" s="244">
        <v>3205.8</v>
      </c>
      <c r="M128" s="244">
        <v>3205.8</v>
      </c>
      <c r="N128" s="244">
        <v>3205.8</v>
      </c>
      <c r="O128" s="244">
        <v>3205.8</v>
      </c>
      <c r="P128" s="244">
        <v>3205.8</v>
      </c>
      <c r="Q128" s="244">
        <v>2712.6</v>
      </c>
      <c r="R128" s="244">
        <v>2564.64</v>
      </c>
      <c r="S128" s="244">
        <v>2564.64</v>
      </c>
      <c r="T128" s="244">
        <v>2564.64</v>
      </c>
      <c r="U128" s="244"/>
      <c r="V128" s="408">
        <f t="shared" si="31"/>
        <v>34537.64</v>
      </c>
      <c r="W128" s="245"/>
      <c r="X128" s="420">
        <f t="shared" si="32"/>
        <v>4</v>
      </c>
      <c r="Y128" s="421">
        <f t="shared" si="32"/>
        <v>4</v>
      </c>
      <c r="Z128" s="421">
        <f t="shared" si="32"/>
        <v>5</v>
      </c>
      <c r="AA128" s="420">
        <f t="shared" si="33"/>
        <v>5.0000000000000009</v>
      </c>
      <c r="AB128" s="420">
        <f t="shared" si="33"/>
        <v>5.0000000000000009</v>
      </c>
      <c r="AC128" s="420">
        <f t="shared" si="33"/>
        <v>5.0000000000000009</v>
      </c>
      <c r="AD128" s="420">
        <f t="shared" si="33"/>
        <v>5.0000000000000009</v>
      </c>
      <c r="AE128" s="420">
        <f t="shared" si="33"/>
        <v>5.0000000000000009</v>
      </c>
      <c r="AF128" s="420">
        <f t="shared" si="33"/>
        <v>4.2307692307692308</v>
      </c>
      <c r="AG128" s="420">
        <f t="shared" si="33"/>
        <v>4</v>
      </c>
      <c r="AH128" s="420">
        <f t="shared" si="33"/>
        <v>4</v>
      </c>
      <c r="AI128" s="420">
        <f t="shared" si="33"/>
        <v>4</v>
      </c>
      <c r="AJ128" s="408">
        <f t="shared" si="34"/>
        <v>54.230769230769234</v>
      </c>
    </row>
    <row r="129" spans="1:36">
      <c r="A129" s="231" t="str">
        <f t="shared" si="35"/>
        <v>PIERCE UTCCommercialFL003.0Y5W001</v>
      </c>
      <c r="B129" s="243" t="s">
        <v>271</v>
      </c>
      <c r="C129" s="243" t="s">
        <v>272</v>
      </c>
      <c r="D129" s="243" t="s">
        <v>528</v>
      </c>
      <c r="E129" s="230">
        <v>33000</v>
      </c>
      <c r="F129" s="244">
        <v>1022.9</v>
      </c>
      <c r="G129" s="244">
        <v>1052.77</v>
      </c>
      <c r="H129" s="244"/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  <c r="O129" s="244">
        <v>0</v>
      </c>
      <c r="P129" s="244">
        <v>0</v>
      </c>
      <c r="Q129" s="244">
        <v>0</v>
      </c>
      <c r="R129" s="244">
        <v>0</v>
      </c>
      <c r="S129" s="244">
        <v>0</v>
      </c>
      <c r="T129" s="244">
        <v>0</v>
      </c>
      <c r="U129" s="244"/>
      <c r="V129" s="408">
        <f t="shared" si="31"/>
        <v>0</v>
      </c>
      <c r="W129" s="245"/>
      <c r="X129" s="420">
        <f t="shared" si="32"/>
        <v>0</v>
      </c>
      <c r="Y129" s="421">
        <f t="shared" si="32"/>
        <v>0</v>
      </c>
      <c r="Z129" s="421">
        <f t="shared" si="32"/>
        <v>0</v>
      </c>
      <c r="AA129" s="420">
        <f t="shared" si="33"/>
        <v>0</v>
      </c>
      <c r="AB129" s="420">
        <f t="shared" si="33"/>
        <v>0</v>
      </c>
      <c r="AC129" s="420">
        <f t="shared" si="33"/>
        <v>0</v>
      </c>
      <c r="AD129" s="420">
        <f t="shared" si="33"/>
        <v>0</v>
      </c>
      <c r="AE129" s="420">
        <f t="shared" si="33"/>
        <v>0</v>
      </c>
      <c r="AF129" s="420">
        <f t="shared" si="33"/>
        <v>0</v>
      </c>
      <c r="AG129" s="420">
        <f t="shared" si="33"/>
        <v>0</v>
      </c>
      <c r="AH129" s="420">
        <f t="shared" si="33"/>
        <v>0</v>
      </c>
      <c r="AI129" s="420">
        <f t="shared" si="33"/>
        <v>0</v>
      </c>
      <c r="AJ129" s="408">
        <f t="shared" si="34"/>
        <v>0</v>
      </c>
    </row>
    <row r="130" spans="1:36">
      <c r="A130" s="231" t="str">
        <f t="shared" si="35"/>
        <v>PIERCE UTCCommercialFL004.0Y1W001</v>
      </c>
      <c r="B130" s="243" t="s">
        <v>273</v>
      </c>
      <c r="C130" s="243" t="s">
        <v>274</v>
      </c>
      <c r="D130" s="243" t="s">
        <v>528</v>
      </c>
      <c r="E130" s="230">
        <v>33000</v>
      </c>
      <c r="F130" s="244">
        <v>294.27999999999997</v>
      </c>
      <c r="G130" s="244">
        <v>302.02999999999997</v>
      </c>
      <c r="H130" s="244"/>
      <c r="I130" s="244">
        <v>47967.64</v>
      </c>
      <c r="J130" s="244">
        <v>46510.96</v>
      </c>
      <c r="K130" s="244">
        <v>46790.52</v>
      </c>
      <c r="L130" s="244">
        <v>48098.28</v>
      </c>
      <c r="M130" s="244">
        <v>48279.5</v>
      </c>
      <c r="N130" s="244">
        <v>47373.41</v>
      </c>
      <c r="O130" s="244">
        <v>47418.71</v>
      </c>
      <c r="P130" s="244">
        <v>46890.16</v>
      </c>
      <c r="Q130" s="244">
        <v>48068.07</v>
      </c>
      <c r="R130" s="244">
        <v>48717.46</v>
      </c>
      <c r="S130" s="244">
        <v>48022.77</v>
      </c>
      <c r="T130" s="244">
        <v>47781.15</v>
      </c>
      <c r="U130" s="244"/>
      <c r="V130" s="408">
        <f t="shared" si="31"/>
        <v>571918.63000000012</v>
      </c>
      <c r="W130" s="245"/>
      <c r="X130" s="420">
        <f t="shared" si="32"/>
        <v>163</v>
      </c>
      <c r="Y130" s="421">
        <f t="shared" si="32"/>
        <v>158.05002038874542</v>
      </c>
      <c r="Z130" s="421">
        <f t="shared" si="32"/>
        <v>159</v>
      </c>
      <c r="AA130" s="420">
        <f t="shared" si="33"/>
        <v>159.25000827732345</v>
      </c>
      <c r="AB130" s="420">
        <f t="shared" si="33"/>
        <v>159.85001489918221</v>
      </c>
      <c r="AC130" s="420">
        <f t="shared" si="33"/>
        <v>156.85001489918221</v>
      </c>
      <c r="AD130" s="420">
        <f t="shared" si="33"/>
        <v>157</v>
      </c>
      <c r="AE130" s="420">
        <f t="shared" si="33"/>
        <v>155.25000827732347</v>
      </c>
      <c r="AF130" s="420">
        <f t="shared" si="33"/>
        <v>159.14998510081782</v>
      </c>
      <c r="AG130" s="420">
        <f t="shared" si="33"/>
        <v>161.30006952951695</v>
      </c>
      <c r="AH130" s="420">
        <f t="shared" si="33"/>
        <v>159</v>
      </c>
      <c r="AI130" s="420">
        <f t="shared" si="33"/>
        <v>158.20001324371754</v>
      </c>
      <c r="AJ130" s="408">
        <f t="shared" si="34"/>
        <v>1905.9001346158093</v>
      </c>
    </row>
    <row r="131" spans="1:36">
      <c r="A131" s="231" t="str">
        <f t="shared" si="35"/>
        <v>PIERCE UTCCommercialFL004.0Y2W001</v>
      </c>
      <c r="B131" s="243" t="s">
        <v>275</v>
      </c>
      <c r="C131" s="243" t="s">
        <v>276</v>
      </c>
      <c r="D131" s="243" t="s">
        <v>528</v>
      </c>
      <c r="E131" s="230">
        <v>33000</v>
      </c>
      <c r="F131" s="244">
        <v>563.21</v>
      </c>
      <c r="G131" s="244">
        <v>578.71</v>
      </c>
      <c r="H131" s="244"/>
      <c r="I131" s="244">
        <v>19149.14</v>
      </c>
      <c r="J131" s="244">
        <v>20838.77</v>
      </c>
      <c r="K131" s="244">
        <v>19712.349999999999</v>
      </c>
      <c r="L131" s="244">
        <v>20167.009999999998</v>
      </c>
      <c r="M131" s="244">
        <v>20367.95</v>
      </c>
      <c r="N131" s="244">
        <v>20818.060000000001</v>
      </c>
      <c r="O131" s="244">
        <v>20818.060000000001</v>
      </c>
      <c r="P131" s="244">
        <v>19676.14</v>
      </c>
      <c r="Q131" s="244">
        <v>19531.46</v>
      </c>
      <c r="R131" s="244">
        <v>19643.990000000002</v>
      </c>
      <c r="S131" s="244">
        <v>19997.650000000001</v>
      </c>
      <c r="T131" s="244">
        <v>19748.48</v>
      </c>
      <c r="U131" s="244"/>
      <c r="V131" s="408">
        <f t="shared" si="31"/>
        <v>240469.05999999997</v>
      </c>
      <c r="W131" s="245"/>
      <c r="X131" s="420">
        <f t="shared" si="32"/>
        <v>34</v>
      </c>
      <c r="Y131" s="421">
        <f t="shared" si="32"/>
        <v>37</v>
      </c>
      <c r="Z131" s="421">
        <f t="shared" si="32"/>
        <v>34.999999999999993</v>
      </c>
      <c r="AA131" s="420">
        <f t="shared" si="33"/>
        <v>34.848214131430247</v>
      </c>
      <c r="AB131" s="420">
        <f t="shared" si="33"/>
        <v>35.195434673670746</v>
      </c>
      <c r="AC131" s="420">
        <f t="shared" si="33"/>
        <v>35.97321629140675</v>
      </c>
      <c r="AD131" s="420">
        <f t="shared" si="33"/>
        <v>35.97321629140675</v>
      </c>
      <c r="AE131" s="420">
        <f t="shared" si="33"/>
        <v>34</v>
      </c>
      <c r="AF131" s="420">
        <f t="shared" si="33"/>
        <v>33.749995680047</v>
      </c>
      <c r="AG131" s="420">
        <f t="shared" si="33"/>
        <v>33.944445404433999</v>
      </c>
      <c r="AH131" s="420">
        <f t="shared" si="33"/>
        <v>34.555563235472</v>
      </c>
      <c r="AI131" s="420">
        <f t="shared" si="33"/>
        <v>34.125002159976496</v>
      </c>
      <c r="AJ131" s="408">
        <f t="shared" si="34"/>
        <v>418.36508786784395</v>
      </c>
    </row>
    <row r="132" spans="1:36">
      <c r="A132" s="231" t="str">
        <f t="shared" si="35"/>
        <v>PIERCE UTCCommercialFL004.0Y3W001</v>
      </c>
      <c r="B132" s="243" t="s">
        <v>277</v>
      </c>
      <c r="C132" s="243" t="s">
        <v>278</v>
      </c>
      <c r="D132" s="243" t="s">
        <v>528</v>
      </c>
      <c r="E132" s="230">
        <v>33000</v>
      </c>
      <c r="F132" s="244">
        <v>832.15</v>
      </c>
      <c r="G132" s="244">
        <v>855.4</v>
      </c>
      <c r="H132" s="244"/>
      <c r="I132" s="244">
        <v>9153.65</v>
      </c>
      <c r="J132" s="244">
        <v>7489.3499999999995</v>
      </c>
      <c r="K132" s="244">
        <v>9153.65</v>
      </c>
      <c r="L132" s="244">
        <v>9409.4</v>
      </c>
      <c r="M132" s="244">
        <v>9409.4</v>
      </c>
      <c r="N132" s="244">
        <v>9409.4</v>
      </c>
      <c r="O132" s="244">
        <v>9409.4</v>
      </c>
      <c r="P132" s="244">
        <v>9348.2999999999993</v>
      </c>
      <c r="Q132" s="244">
        <v>9264.64</v>
      </c>
      <c r="R132" s="244">
        <v>9935.7999999999993</v>
      </c>
      <c r="S132" s="244">
        <v>9409.4</v>
      </c>
      <c r="T132" s="244">
        <v>9409.4</v>
      </c>
      <c r="U132" s="244"/>
      <c r="V132" s="408">
        <f t="shared" si="31"/>
        <v>110801.79</v>
      </c>
      <c r="W132" s="245"/>
      <c r="X132" s="420">
        <f t="shared" si="32"/>
        <v>11</v>
      </c>
      <c r="Y132" s="421">
        <f t="shared" si="32"/>
        <v>9</v>
      </c>
      <c r="Z132" s="421">
        <f t="shared" si="32"/>
        <v>11</v>
      </c>
      <c r="AA132" s="420">
        <f t="shared" si="33"/>
        <v>11</v>
      </c>
      <c r="AB132" s="420">
        <f t="shared" si="33"/>
        <v>11</v>
      </c>
      <c r="AC132" s="420">
        <f t="shared" si="33"/>
        <v>11</v>
      </c>
      <c r="AD132" s="420">
        <f t="shared" si="33"/>
        <v>11</v>
      </c>
      <c r="AE132" s="420">
        <f t="shared" si="33"/>
        <v>10.928571428571429</v>
      </c>
      <c r="AF132" s="420">
        <f t="shared" si="33"/>
        <v>10.83076923076923</v>
      </c>
      <c r="AG132" s="420">
        <f t="shared" si="33"/>
        <v>11.615384615384615</v>
      </c>
      <c r="AH132" s="420">
        <f t="shared" si="33"/>
        <v>11</v>
      </c>
      <c r="AI132" s="420">
        <f t="shared" si="33"/>
        <v>11</v>
      </c>
      <c r="AJ132" s="408">
        <f t="shared" si="34"/>
        <v>130.37472527472528</v>
      </c>
    </row>
    <row r="133" spans="1:36">
      <c r="A133" s="231" t="str">
        <f t="shared" si="35"/>
        <v>PIERCE UTCCommercialFL004.0Y4W001</v>
      </c>
      <c r="B133" s="243" t="s">
        <v>279</v>
      </c>
      <c r="C133" s="243" t="s">
        <v>280</v>
      </c>
      <c r="D133" s="243" t="s">
        <v>528</v>
      </c>
      <c r="E133" s="230">
        <v>33000</v>
      </c>
      <c r="F133" s="244">
        <v>1101.0899999999999</v>
      </c>
      <c r="G133" s="244">
        <v>1132.0899999999999</v>
      </c>
      <c r="H133" s="244"/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>
        <v>0</v>
      </c>
      <c r="Q133" s="244">
        <v>440.26</v>
      </c>
      <c r="R133" s="244">
        <v>0</v>
      </c>
      <c r="S133" s="244">
        <v>0</v>
      </c>
      <c r="T133" s="244">
        <v>0</v>
      </c>
      <c r="U133" s="244"/>
      <c r="V133" s="408">
        <f t="shared" si="31"/>
        <v>440.26</v>
      </c>
      <c r="W133" s="245"/>
      <c r="X133" s="420">
        <f t="shared" si="32"/>
        <v>0</v>
      </c>
      <c r="Y133" s="421">
        <f t="shared" si="32"/>
        <v>0</v>
      </c>
      <c r="Z133" s="421">
        <f t="shared" si="32"/>
        <v>0</v>
      </c>
      <c r="AA133" s="420">
        <f t="shared" si="33"/>
        <v>0</v>
      </c>
      <c r="AB133" s="420">
        <f t="shared" si="33"/>
        <v>0</v>
      </c>
      <c r="AC133" s="420">
        <f t="shared" si="33"/>
        <v>0</v>
      </c>
      <c r="AD133" s="420">
        <f t="shared" si="33"/>
        <v>0</v>
      </c>
      <c r="AE133" s="420">
        <f t="shared" si="33"/>
        <v>0</v>
      </c>
      <c r="AF133" s="420">
        <f t="shared" si="33"/>
        <v>0.3888913425611038</v>
      </c>
      <c r="AG133" s="420">
        <f t="shared" si="33"/>
        <v>0</v>
      </c>
      <c r="AH133" s="420">
        <f t="shared" si="33"/>
        <v>0</v>
      </c>
      <c r="AI133" s="420">
        <f t="shared" si="33"/>
        <v>0</v>
      </c>
      <c r="AJ133" s="408">
        <f t="shared" si="34"/>
        <v>0.3888913425611038</v>
      </c>
    </row>
    <row r="134" spans="1:36">
      <c r="A134" s="231" t="str">
        <f t="shared" si="35"/>
        <v>PIERCE UTCCommercialFL004.0Y5W001</v>
      </c>
      <c r="B134" s="243" t="s">
        <v>281</v>
      </c>
      <c r="C134" s="243" t="s">
        <v>282</v>
      </c>
      <c r="D134" s="243" t="s">
        <v>528</v>
      </c>
      <c r="E134" s="230">
        <v>33000</v>
      </c>
      <c r="F134" s="244">
        <v>1370.02</v>
      </c>
      <c r="G134" s="244">
        <v>1408.78</v>
      </c>
      <c r="H134" s="244"/>
      <c r="I134" s="244">
        <v>0</v>
      </c>
      <c r="J134" s="244">
        <v>0</v>
      </c>
      <c r="K134" s="244">
        <v>0</v>
      </c>
      <c r="L134" s="244">
        <v>0</v>
      </c>
      <c r="M134" s="244">
        <v>0</v>
      </c>
      <c r="N134" s="244">
        <v>0</v>
      </c>
      <c r="O134" s="244">
        <v>0</v>
      </c>
      <c r="P134" s="244">
        <v>0</v>
      </c>
      <c r="Q134" s="244">
        <v>0</v>
      </c>
      <c r="R134" s="244">
        <v>0</v>
      </c>
      <c r="S134" s="244">
        <v>0</v>
      </c>
      <c r="T134" s="244">
        <v>0</v>
      </c>
      <c r="U134" s="244"/>
      <c r="V134" s="408">
        <f t="shared" si="31"/>
        <v>0</v>
      </c>
      <c r="W134" s="245"/>
      <c r="X134" s="420">
        <f t="shared" si="32"/>
        <v>0</v>
      </c>
      <c r="Y134" s="421">
        <f t="shared" si="32"/>
        <v>0</v>
      </c>
      <c r="Z134" s="421">
        <f t="shared" si="32"/>
        <v>0</v>
      </c>
      <c r="AA134" s="420">
        <f t="shared" si="33"/>
        <v>0</v>
      </c>
      <c r="AB134" s="420">
        <f t="shared" si="33"/>
        <v>0</v>
      </c>
      <c r="AC134" s="420">
        <f t="shared" si="33"/>
        <v>0</v>
      </c>
      <c r="AD134" s="420">
        <f t="shared" si="33"/>
        <v>0</v>
      </c>
      <c r="AE134" s="420">
        <f t="shared" si="33"/>
        <v>0</v>
      </c>
      <c r="AF134" s="420">
        <f t="shared" si="33"/>
        <v>0</v>
      </c>
      <c r="AG134" s="420">
        <f t="shared" si="33"/>
        <v>0</v>
      </c>
      <c r="AH134" s="420">
        <f t="shared" si="33"/>
        <v>0</v>
      </c>
      <c r="AI134" s="420">
        <f t="shared" si="33"/>
        <v>0</v>
      </c>
      <c r="AJ134" s="408">
        <f t="shared" si="34"/>
        <v>0</v>
      </c>
    </row>
    <row r="135" spans="1:36">
      <c r="A135" s="231" t="str">
        <f t="shared" si="35"/>
        <v>PIERCE UTCCommercialFL006.0Y1W001</v>
      </c>
      <c r="B135" s="243" t="s">
        <v>283</v>
      </c>
      <c r="C135" s="243" t="s">
        <v>284</v>
      </c>
      <c r="D135" s="243" t="s">
        <v>528</v>
      </c>
      <c r="E135" s="230">
        <v>33000</v>
      </c>
      <c r="F135" s="244">
        <v>402.93</v>
      </c>
      <c r="G135" s="244">
        <v>413.59</v>
      </c>
      <c r="H135" s="244"/>
      <c r="I135" s="244">
        <v>58505.440000000002</v>
      </c>
      <c r="J135" s="244">
        <v>58948.66</v>
      </c>
      <c r="K135" s="244">
        <v>58727.05</v>
      </c>
      <c r="L135" s="244">
        <v>61843.89</v>
      </c>
      <c r="M135" s="244">
        <v>63506.75</v>
      </c>
      <c r="N135" s="244">
        <v>65905.570000000007</v>
      </c>
      <c r="O135" s="244">
        <v>67415.179999999993</v>
      </c>
      <c r="P135" s="244">
        <v>67332.45</v>
      </c>
      <c r="Q135" s="244">
        <v>65119.75</v>
      </c>
      <c r="R135" s="244">
        <v>62555.53</v>
      </c>
      <c r="S135" s="244">
        <v>61438.79</v>
      </c>
      <c r="T135" s="244">
        <v>60384.18</v>
      </c>
      <c r="U135" s="244"/>
      <c r="V135" s="408">
        <f t="shared" si="31"/>
        <v>751683.24000000011</v>
      </c>
      <c r="W135" s="245"/>
      <c r="X135" s="420">
        <f t="shared" si="32"/>
        <v>145.20000992728265</v>
      </c>
      <c r="Y135" s="421">
        <f t="shared" si="32"/>
        <v>146.30000248182068</v>
      </c>
      <c r="Z135" s="421">
        <f t="shared" si="32"/>
        <v>145.75000620455165</v>
      </c>
      <c r="AA135" s="420">
        <f t="shared" si="33"/>
        <v>149.5294615440412</v>
      </c>
      <c r="AB135" s="420">
        <f t="shared" si="33"/>
        <v>153.55001329819387</v>
      </c>
      <c r="AC135" s="420">
        <f t="shared" si="33"/>
        <v>159.35000846248704</v>
      </c>
      <c r="AD135" s="420">
        <f t="shared" si="33"/>
        <v>163.00002417853429</v>
      </c>
      <c r="AE135" s="420">
        <f t="shared" si="33"/>
        <v>162.79999516429314</v>
      </c>
      <c r="AF135" s="420">
        <f t="shared" si="33"/>
        <v>157.45001088034044</v>
      </c>
      <c r="AG135" s="420">
        <f t="shared" si="33"/>
        <v>151.25010275877077</v>
      </c>
      <c r="AH135" s="420">
        <f t="shared" si="33"/>
        <v>148.54998911965959</v>
      </c>
      <c r="AI135" s="420">
        <f t="shared" si="33"/>
        <v>146.00009671413719</v>
      </c>
      <c r="AJ135" s="408">
        <f t="shared" si="34"/>
        <v>1828.7297207341123</v>
      </c>
    </row>
    <row r="136" spans="1:36">
      <c r="A136" s="231" t="str">
        <f t="shared" si="35"/>
        <v>PIERCE UTCCommercialFL006.0Y2W001</v>
      </c>
      <c r="B136" s="243" t="s">
        <v>285</v>
      </c>
      <c r="C136" s="243" t="s">
        <v>286</v>
      </c>
      <c r="D136" s="243" t="s">
        <v>528</v>
      </c>
      <c r="E136" s="230">
        <v>33000</v>
      </c>
      <c r="F136" s="244">
        <v>774.19</v>
      </c>
      <c r="G136" s="244">
        <v>795.49</v>
      </c>
      <c r="H136" s="244"/>
      <c r="I136" s="244">
        <v>77429.759999999995</v>
      </c>
      <c r="J136" s="244">
        <v>78967.38</v>
      </c>
      <c r="K136" s="244">
        <v>78967.38</v>
      </c>
      <c r="L136" s="244">
        <v>82532.09</v>
      </c>
      <c r="M136" s="244">
        <v>85382.6</v>
      </c>
      <c r="N136" s="244">
        <v>87503.9</v>
      </c>
      <c r="O136" s="244">
        <v>85813.48</v>
      </c>
      <c r="P136" s="244">
        <v>70228.539999999994</v>
      </c>
      <c r="Q136" s="244">
        <v>79084.95</v>
      </c>
      <c r="R136" s="244">
        <v>92279.039999999994</v>
      </c>
      <c r="S136" s="244">
        <v>91481.35</v>
      </c>
      <c r="T136" s="244">
        <v>91481.35</v>
      </c>
      <c r="U136" s="244"/>
      <c r="V136" s="408">
        <f t="shared" si="31"/>
        <v>1001151.82</v>
      </c>
      <c r="W136" s="245"/>
      <c r="X136" s="420">
        <f t="shared" si="32"/>
        <v>100.01389839703431</v>
      </c>
      <c r="Y136" s="421">
        <f t="shared" si="32"/>
        <v>102</v>
      </c>
      <c r="Z136" s="421">
        <f t="shared" si="32"/>
        <v>102</v>
      </c>
      <c r="AA136" s="420">
        <f t="shared" si="33"/>
        <v>103.75000314271706</v>
      </c>
      <c r="AB136" s="420">
        <f t="shared" si="33"/>
        <v>107.33334171391219</v>
      </c>
      <c r="AC136" s="420">
        <f t="shared" si="33"/>
        <v>109.99999999999999</v>
      </c>
      <c r="AD136" s="420">
        <f t="shared" si="33"/>
        <v>107.8749952859244</v>
      </c>
      <c r="AE136" s="420">
        <f t="shared" si="33"/>
        <v>88.28337251253943</v>
      </c>
      <c r="AF136" s="420">
        <f t="shared" si="33"/>
        <v>99.416648857936607</v>
      </c>
      <c r="AG136" s="420">
        <f t="shared" si="33"/>
        <v>116.00276559101937</v>
      </c>
      <c r="AH136" s="420">
        <f t="shared" si="33"/>
        <v>115</v>
      </c>
      <c r="AI136" s="420">
        <f t="shared" si="33"/>
        <v>115</v>
      </c>
      <c r="AJ136" s="408">
        <f t="shared" si="34"/>
        <v>1266.6750255010834</v>
      </c>
    </row>
    <row r="137" spans="1:36">
      <c r="A137" s="231" t="str">
        <f t="shared" si="35"/>
        <v>PIERCE UTCCommercialFL006.0Y3W001</v>
      </c>
      <c r="B137" s="243" t="s">
        <v>287</v>
      </c>
      <c r="C137" s="243" t="s">
        <v>288</v>
      </c>
      <c r="D137" s="243" t="s">
        <v>528</v>
      </c>
      <c r="E137" s="230">
        <v>33000</v>
      </c>
      <c r="F137" s="244">
        <v>1145.44</v>
      </c>
      <c r="G137" s="244">
        <v>1177.4000000000001</v>
      </c>
      <c r="H137" s="244"/>
      <c r="I137" s="244">
        <v>66149.16</v>
      </c>
      <c r="J137" s="244">
        <v>65290.080000000002</v>
      </c>
      <c r="K137" s="244">
        <v>65290.080000000002</v>
      </c>
      <c r="L137" s="244">
        <v>67111.8</v>
      </c>
      <c r="M137" s="244">
        <v>64757</v>
      </c>
      <c r="N137" s="244">
        <v>65429.8</v>
      </c>
      <c r="O137" s="244">
        <v>63383.37</v>
      </c>
      <c r="P137" s="244">
        <v>59206.400000000001</v>
      </c>
      <c r="Q137" s="244">
        <v>62130.5</v>
      </c>
      <c r="R137" s="244">
        <v>67564.649999999994</v>
      </c>
      <c r="S137" s="244">
        <v>68289.2</v>
      </c>
      <c r="T137" s="244">
        <v>68576.179999999993</v>
      </c>
      <c r="U137" s="244"/>
      <c r="V137" s="408">
        <f t="shared" si="31"/>
        <v>783178.22</v>
      </c>
      <c r="W137" s="245"/>
      <c r="X137" s="420">
        <f t="shared" si="32"/>
        <v>57.75</v>
      </c>
      <c r="Y137" s="421">
        <f t="shared" si="32"/>
        <v>57</v>
      </c>
      <c r="Z137" s="421">
        <f t="shared" si="32"/>
        <v>57</v>
      </c>
      <c r="AA137" s="420">
        <f t="shared" si="33"/>
        <v>57</v>
      </c>
      <c r="AB137" s="420">
        <f t="shared" si="33"/>
        <v>54.999999999999993</v>
      </c>
      <c r="AC137" s="420">
        <f t="shared" si="33"/>
        <v>55.571428571428569</v>
      </c>
      <c r="AD137" s="420">
        <f t="shared" si="33"/>
        <v>53.833336164430101</v>
      </c>
      <c r="AE137" s="420">
        <f t="shared" si="33"/>
        <v>50.285714285714285</v>
      </c>
      <c r="AF137" s="420">
        <f t="shared" si="33"/>
        <v>52.769237302530996</v>
      </c>
      <c r="AG137" s="420">
        <f t="shared" si="33"/>
        <v>57.384618651265491</v>
      </c>
      <c r="AH137" s="420">
        <f t="shared" si="33"/>
        <v>57.999999999999993</v>
      </c>
      <c r="AI137" s="420">
        <f t="shared" si="33"/>
        <v>58.243740445048402</v>
      </c>
      <c r="AJ137" s="408">
        <f t="shared" si="34"/>
        <v>669.83807542041779</v>
      </c>
    </row>
    <row r="138" spans="1:36">
      <c r="A138" s="231" t="str">
        <f t="shared" si="35"/>
        <v>PIERCE UTCCommercialFL006.0Y4W001</v>
      </c>
      <c r="B138" s="243" t="s">
        <v>289</v>
      </c>
      <c r="C138" s="243" t="s">
        <v>290</v>
      </c>
      <c r="D138" s="243" t="s">
        <v>528</v>
      </c>
      <c r="E138" s="230">
        <v>33000</v>
      </c>
      <c r="F138" s="244">
        <v>1516.7</v>
      </c>
      <c r="G138" s="244">
        <v>1559.3</v>
      </c>
      <c r="H138" s="244"/>
      <c r="I138" s="244">
        <v>1516.7</v>
      </c>
      <c r="J138" s="244">
        <v>1769.48</v>
      </c>
      <c r="K138" s="244">
        <v>3033.4</v>
      </c>
      <c r="L138" s="244">
        <v>3118.6</v>
      </c>
      <c r="M138" s="244">
        <v>4677.8999999999996</v>
      </c>
      <c r="N138" s="244">
        <v>4677.8999999999996</v>
      </c>
      <c r="O138" s="244">
        <v>4677.8999999999996</v>
      </c>
      <c r="P138" s="244">
        <v>4677.8999999999996</v>
      </c>
      <c r="Q138" s="244">
        <v>4677.8999999999996</v>
      </c>
      <c r="R138" s="244">
        <v>4677.8999999999996</v>
      </c>
      <c r="S138" s="244">
        <v>4677.8999999999996</v>
      </c>
      <c r="T138" s="244">
        <v>4677.8999999999996</v>
      </c>
      <c r="U138" s="244"/>
      <c r="V138" s="408">
        <f t="shared" si="31"/>
        <v>46861.380000000005</v>
      </c>
      <c r="W138" s="245"/>
      <c r="X138" s="420">
        <f t="shared" si="32"/>
        <v>1</v>
      </c>
      <c r="Y138" s="421">
        <f t="shared" si="32"/>
        <v>1.1666644689127712</v>
      </c>
      <c r="Z138" s="421">
        <f t="shared" si="32"/>
        <v>2</v>
      </c>
      <c r="AA138" s="420">
        <f t="shared" si="33"/>
        <v>2</v>
      </c>
      <c r="AB138" s="420">
        <f t="shared" si="33"/>
        <v>3</v>
      </c>
      <c r="AC138" s="420">
        <f t="shared" si="33"/>
        <v>3</v>
      </c>
      <c r="AD138" s="420">
        <f t="shared" si="33"/>
        <v>3</v>
      </c>
      <c r="AE138" s="420">
        <f t="shared" si="33"/>
        <v>3</v>
      </c>
      <c r="AF138" s="420">
        <f t="shared" si="33"/>
        <v>3</v>
      </c>
      <c r="AG138" s="420">
        <f t="shared" si="33"/>
        <v>3</v>
      </c>
      <c r="AH138" s="420">
        <f t="shared" si="33"/>
        <v>3</v>
      </c>
      <c r="AI138" s="420">
        <f t="shared" si="33"/>
        <v>3</v>
      </c>
      <c r="AJ138" s="408">
        <f t="shared" si="34"/>
        <v>30.166664468912771</v>
      </c>
    </row>
    <row r="139" spans="1:36">
      <c r="A139" s="231" t="str">
        <f t="shared" si="35"/>
        <v>PIERCE UTCCommercialFL006.0Y5W001</v>
      </c>
      <c r="B139" s="243" t="s">
        <v>291</v>
      </c>
      <c r="C139" s="243" t="s">
        <v>292</v>
      </c>
      <c r="D139" s="243" t="s">
        <v>528</v>
      </c>
      <c r="E139" s="230">
        <v>33000</v>
      </c>
      <c r="F139" s="244">
        <v>1887.95</v>
      </c>
      <c r="G139" s="244">
        <v>1941.21</v>
      </c>
      <c r="H139" s="244"/>
      <c r="I139" s="244">
        <v>0</v>
      </c>
      <c r="J139" s="244">
        <v>0</v>
      </c>
      <c r="K139" s="244">
        <v>0</v>
      </c>
      <c r="L139" s="244">
        <v>0</v>
      </c>
      <c r="M139" s="244">
        <v>0</v>
      </c>
      <c r="N139" s="244">
        <v>0</v>
      </c>
      <c r="O139" s="244">
        <v>0</v>
      </c>
      <c r="P139" s="244">
        <v>0</v>
      </c>
      <c r="Q139" s="244">
        <v>0</v>
      </c>
      <c r="R139" s="244">
        <v>0</v>
      </c>
      <c r="S139" s="244">
        <v>0</v>
      </c>
      <c r="T139" s="244">
        <v>0</v>
      </c>
      <c r="U139" s="244"/>
      <c r="V139" s="408">
        <f t="shared" si="31"/>
        <v>0</v>
      </c>
      <c r="W139" s="245"/>
      <c r="X139" s="420">
        <f t="shared" si="32"/>
        <v>0</v>
      </c>
      <c r="Y139" s="421">
        <f t="shared" si="32"/>
        <v>0</v>
      </c>
      <c r="Z139" s="421">
        <f t="shared" si="32"/>
        <v>0</v>
      </c>
      <c r="AA139" s="420">
        <f t="shared" si="33"/>
        <v>0</v>
      </c>
      <c r="AB139" s="420">
        <f t="shared" si="33"/>
        <v>0</v>
      </c>
      <c r="AC139" s="420">
        <f t="shared" si="33"/>
        <v>0</v>
      </c>
      <c r="AD139" s="420">
        <f t="shared" si="33"/>
        <v>0</v>
      </c>
      <c r="AE139" s="420">
        <f t="shared" si="33"/>
        <v>0</v>
      </c>
      <c r="AF139" s="420">
        <f t="shared" si="33"/>
        <v>0</v>
      </c>
      <c r="AG139" s="420">
        <f t="shared" si="33"/>
        <v>0</v>
      </c>
      <c r="AH139" s="420">
        <f t="shared" si="33"/>
        <v>0</v>
      </c>
      <c r="AI139" s="420">
        <f t="shared" si="33"/>
        <v>0</v>
      </c>
      <c r="AJ139" s="408">
        <f t="shared" si="34"/>
        <v>0</v>
      </c>
    </row>
    <row r="140" spans="1:36">
      <c r="A140" s="231" t="str">
        <f t="shared" si="35"/>
        <v>PIERCE UTCCommercialFL002.0Y1W001CMP</v>
      </c>
      <c r="B140" s="243" t="s">
        <v>293</v>
      </c>
      <c r="C140" s="243" t="s">
        <v>294</v>
      </c>
      <c r="D140" s="243" t="s">
        <v>528</v>
      </c>
      <c r="E140" s="230">
        <v>33000</v>
      </c>
      <c r="F140" s="244">
        <v>435.6</v>
      </c>
      <c r="G140" s="244">
        <v>446.9</v>
      </c>
      <c r="H140" s="244"/>
      <c r="I140" s="244">
        <v>435.6</v>
      </c>
      <c r="J140" s="244">
        <v>435.6</v>
      </c>
      <c r="K140" s="244">
        <v>435.6</v>
      </c>
      <c r="L140" s="244">
        <v>446.9</v>
      </c>
      <c r="M140" s="244">
        <v>446.9</v>
      </c>
      <c r="N140" s="244">
        <v>446.9</v>
      </c>
      <c r="O140" s="244">
        <v>446.9</v>
      </c>
      <c r="P140" s="244">
        <v>446.9</v>
      </c>
      <c r="Q140" s="244">
        <v>446.9</v>
      </c>
      <c r="R140" s="244">
        <v>446.9</v>
      </c>
      <c r="S140" s="244">
        <v>446.9</v>
      </c>
      <c r="T140" s="244">
        <v>446.9</v>
      </c>
      <c r="U140" s="244"/>
      <c r="V140" s="408">
        <f t="shared" si="31"/>
        <v>5328.9</v>
      </c>
      <c r="W140" s="245"/>
      <c r="X140" s="420">
        <f t="shared" si="32"/>
        <v>1</v>
      </c>
      <c r="Y140" s="421">
        <f t="shared" si="32"/>
        <v>1</v>
      </c>
      <c r="Z140" s="421">
        <f t="shared" si="32"/>
        <v>1</v>
      </c>
      <c r="AA140" s="420">
        <f t="shared" si="33"/>
        <v>1</v>
      </c>
      <c r="AB140" s="420">
        <f t="shared" si="33"/>
        <v>1</v>
      </c>
      <c r="AC140" s="420">
        <f t="shared" si="33"/>
        <v>1</v>
      </c>
      <c r="AD140" s="420">
        <f t="shared" si="33"/>
        <v>1</v>
      </c>
      <c r="AE140" s="420">
        <f t="shared" si="33"/>
        <v>1</v>
      </c>
      <c r="AF140" s="420">
        <f t="shared" si="33"/>
        <v>1</v>
      </c>
      <c r="AG140" s="420">
        <f t="shared" si="33"/>
        <v>1</v>
      </c>
      <c r="AH140" s="420">
        <f t="shared" si="33"/>
        <v>1</v>
      </c>
      <c r="AI140" s="420">
        <f t="shared" si="33"/>
        <v>1</v>
      </c>
      <c r="AJ140" s="408">
        <f t="shared" si="34"/>
        <v>12</v>
      </c>
    </row>
    <row r="141" spans="1:36">
      <c r="A141" s="231" t="str">
        <f t="shared" si="35"/>
        <v>PIERCE UTCCommercialFL003.0Y1W001CMP</v>
      </c>
      <c r="B141" s="243" t="s">
        <v>295</v>
      </c>
      <c r="C141" s="243" t="s">
        <v>296</v>
      </c>
      <c r="D141" s="243"/>
      <c r="F141" s="244">
        <v>611.30999999999995</v>
      </c>
      <c r="G141" s="244">
        <v>627.76</v>
      </c>
      <c r="H141" s="244"/>
      <c r="I141" s="244">
        <v>0</v>
      </c>
      <c r="J141" s="244">
        <v>0</v>
      </c>
      <c r="K141" s="244">
        <v>0</v>
      </c>
      <c r="L141" s="244">
        <v>0</v>
      </c>
      <c r="M141" s="244">
        <v>0</v>
      </c>
      <c r="N141" s="244">
        <v>0</v>
      </c>
      <c r="O141" s="244">
        <v>0</v>
      </c>
      <c r="P141" s="244">
        <v>0</v>
      </c>
      <c r="Q141" s="244">
        <v>0</v>
      </c>
      <c r="R141" s="244">
        <v>0</v>
      </c>
      <c r="S141" s="244">
        <v>0</v>
      </c>
      <c r="T141" s="244">
        <v>0</v>
      </c>
      <c r="U141" s="244"/>
      <c r="V141" s="408">
        <f t="shared" si="31"/>
        <v>0</v>
      </c>
      <c r="W141" s="245"/>
      <c r="X141" s="420">
        <f t="shared" si="32"/>
        <v>0</v>
      </c>
      <c r="Y141" s="421">
        <f t="shared" si="32"/>
        <v>0</v>
      </c>
      <c r="Z141" s="421">
        <f t="shared" si="32"/>
        <v>0</v>
      </c>
      <c r="AA141" s="420">
        <f t="shared" si="33"/>
        <v>0</v>
      </c>
      <c r="AB141" s="420">
        <f t="shared" si="33"/>
        <v>0</v>
      </c>
      <c r="AC141" s="420">
        <f t="shared" si="33"/>
        <v>0</v>
      </c>
      <c r="AD141" s="420">
        <f t="shared" ref="AD141:AI172" si="36">IFERROR(O141/$G141,0)</f>
        <v>0</v>
      </c>
      <c r="AE141" s="420">
        <f t="shared" si="36"/>
        <v>0</v>
      </c>
      <c r="AF141" s="420">
        <f t="shared" si="36"/>
        <v>0</v>
      </c>
      <c r="AG141" s="420">
        <f t="shared" si="36"/>
        <v>0</v>
      </c>
      <c r="AH141" s="420">
        <f t="shared" si="36"/>
        <v>0</v>
      </c>
      <c r="AI141" s="420">
        <f t="shared" si="36"/>
        <v>0</v>
      </c>
      <c r="AJ141" s="408">
        <f t="shared" si="34"/>
        <v>0</v>
      </c>
    </row>
    <row r="142" spans="1:36">
      <c r="A142" s="231" t="str">
        <f t="shared" si="35"/>
        <v>PIERCE UTCCommercialFL003.0Y2W001CMP</v>
      </c>
      <c r="B142" s="243" t="s">
        <v>297</v>
      </c>
      <c r="C142" s="243" t="s">
        <v>298</v>
      </c>
      <c r="D142" s="243" t="s">
        <v>528</v>
      </c>
      <c r="E142" s="230">
        <v>33000</v>
      </c>
      <c r="F142" s="244">
        <v>1222.6199999999999</v>
      </c>
      <c r="G142" s="244">
        <v>1255.53</v>
      </c>
      <c r="H142" s="244"/>
      <c r="I142" s="244">
        <v>1222.6199999999999</v>
      </c>
      <c r="J142" s="244">
        <v>1222.6199999999999</v>
      </c>
      <c r="K142" s="244">
        <v>1222.6199999999999</v>
      </c>
      <c r="L142" s="244">
        <v>1255.53</v>
      </c>
      <c r="M142" s="244">
        <v>1255.53</v>
      </c>
      <c r="N142" s="244">
        <v>1255.53</v>
      </c>
      <c r="O142" s="244">
        <v>1255.53</v>
      </c>
      <c r="P142" s="244">
        <v>1255.53</v>
      </c>
      <c r="Q142" s="244">
        <v>1255.53</v>
      </c>
      <c r="R142" s="244">
        <v>1255.53</v>
      </c>
      <c r="S142" s="244">
        <v>1255.53</v>
      </c>
      <c r="T142" s="244">
        <v>1255.53</v>
      </c>
      <c r="U142" s="244"/>
      <c r="V142" s="408">
        <f t="shared" si="31"/>
        <v>14967.630000000003</v>
      </c>
      <c r="W142" s="245"/>
      <c r="X142" s="420">
        <f t="shared" si="32"/>
        <v>1</v>
      </c>
      <c r="Y142" s="421">
        <f t="shared" si="32"/>
        <v>1</v>
      </c>
      <c r="Z142" s="421">
        <f t="shared" si="32"/>
        <v>1</v>
      </c>
      <c r="AA142" s="420">
        <f t="shared" ref="AA142:AI173" si="37">IFERROR(L142/$G142,0)</f>
        <v>1</v>
      </c>
      <c r="AB142" s="420">
        <f t="shared" si="37"/>
        <v>1</v>
      </c>
      <c r="AC142" s="420">
        <f t="shared" si="37"/>
        <v>1</v>
      </c>
      <c r="AD142" s="420">
        <f t="shared" si="36"/>
        <v>1</v>
      </c>
      <c r="AE142" s="420">
        <f t="shared" si="36"/>
        <v>1</v>
      </c>
      <c r="AF142" s="420">
        <f t="shared" si="36"/>
        <v>1</v>
      </c>
      <c r="AG142" s="420">
        <f t="shared" si="36"/>
        <v>1</v>
      </c>
      <c r="AH142" s="420">
        <f t="shared" si="36"/>
        <v>1</v>
      </c>
      <c r="AI142" s="420">
        <f t="shared" si="36"/>
        <v>1</v>
      </c>
      <c r="AJ142" s="408">
        <f t="shared" si="34"/>
        <v>12</v>
      </c>
    </row>
    <row r="143" spans="1:36">
      <c r="A143" s="231" t="str">
        <f t="shared" si="35"/>
        <v>PIERCE UTCCommercialFL004.0Y1W001CMP</v>
      </c>
      <c r="B143" s="243" t="s">
        <v>299</v>
      </c>
      <c r="C143" s="243" t="s">
        <v>300</v>
      </c>
      <c r="D143" s="243" t="s">
        <v>528</v>
      </c>
      <c r="E143" s="230">
        <v>33000</v>
      </c>
      <c r="F143" s="244">
        <v>805.68</v>
      </c>
      <c r="G143" s="244">
        <v>826.99</v>
      </c>
      <c r="H143" s="244"/>
      <c r="I143" s="244">
        <v>1611.36</v>
      </c>
      <c r="J143" s="244">
        <v>1611.36</v>
      </c>
      <c r="K143" s="244">
        <v>1611.36</v>
      </c>
      <c r="L143" s="244">
        <v>1653.98</v>
      </c>
      <c r="M143" s="244">
        <v>1653.98</v>
      </c>
      <c r="N143" s="244">
        <v>1653.98</v>
      </c>
      <c r="O143" s="244">
        <v>1653.98</v>
      </c>
      <c r="P143" s="244">
        <v>1653.98</v>
      </c>
      <c r="Q143" s="244">
        <v>1653.98</v>
      </c>
      <c r="R143" s="244">
        <v>1653.98</v>
      </c>
      <c r="S143" s="244">
        <v>1653.98</v>
      </c>
      <c r="T143" s="244">
        <v>1653.98</v>
      </c>
      <c r="U143" s="244"/>
      <c r="V143" s="408">
        <f t="shared" si="31"/>
        <v>19719.899999999998</v>
      </c>
      <c r="W143" s="245"/>
      <c r="X143" s="420">
        <f t="shared" si="32"/>
        <v>2</v>
      </c>
      <c r="Y143" s="421">
        <f t="shared" si="32"/>
        <v>2</v>
      </c>
      <c r="Z143" s="421">
        <f t="shared" si="32"/>
        <v>2</v>
      </c>
      <c r="AA143" s="420">
        <f t="shared" si="37"/>
        <v>2</v>
      </c>
      <c r="AB143" s="420">
        <f t="shared" si="37"/>
        <v>2</v>
      </c>
      <c r="AC143" s="420">
        <f t="shared" si="37"/>
        <v>2</v>
      </c>
      <c r="AD143" s="420">
        <f t="shared" si="36"/>
        <v>2</v>
      </c>
      <c r="AE143" s="420">
        <f t="shared" si="36"/>
        <v>2</v>
      </c>
      <c r="AF143" s="420">
        <f t="shared" si="36"/>
        <v>2</v>
      </c>
      <c r="AG143" s="420">
        <f t="shared" si="36"/>
        <v>2</v>
      </c>
      <c r="AH143" s="420">
        <f t="shared" si="36"/>
        <v>2</v>
      </c>
      <c r="AI143" s="420">
        <f t="shared" si="36"/>
        <v>2</v>
      </c>
      <c r="AJ143" s="408">
        <f t="shared" si="34"/>
        <v>24</v>
      </c>
    </row>
    <row r="144" spans="1:36">
      <c r="A144" s="231" t="str">
        <f t="shared" si="35"/>
        <v>PIERCE UTCCommercialFL004.0Y2W001CMP</v>
      </c>
      <c r="B144" s="243" t="s">
        <v>301</v>
      </c>
      <c r="C144" s="243" t="s">
        <v>302</v>
      </c>
      <c r="D144" s="243" t="s">
        <v>528</v>
      </c>
      <c r="E144" s="230">
        <v>33000</v>
      </c>
      <c r="F144" s="244">
        <v>1611.37</v>
      </c>
      <c r="G144" s="244">
        <v>1653.97</v>
      </c>
      <c r="H144" s="244"/>
      <c r="I144" s="244">
        <v>3222.74</v>
      </c>
      <c r="J144" s="244">
        <v>3222.74</v>
      </c>
      <c r="K144" s="244">
        <v>3222.74</v>
      </c>
      <c r="L144" s="244">
        <v>3307.94</v>
      </c>
      <c r="M144" s="244">
        <v>3307.94</v>
      </c>
      <c r="N144" s="244">
        <v>3307.94</v>
      </c>
      <c r="O144" s="244">
        <v>3307.94</v>
      </c>
      <c r="P144" s="244">
        <v>3307.94</v>
      </c>
      <c r="Q144" s="244">
        <v>3307.94</v>
      </c>
      <c r="R144" s="244">
        <v>3307.94</v>
      </c>
      <c r="S144" s="244">
        <v>3307.94</v>
      </c>
      <c r="T144" s="244">
        <v>3307.94</v>
      </c>
      <c r="U144" s="244"/>
      <c r="V144" s="408">
        <f t="shared" si="31"/>
        <v>39439.68</v>
      </c>
      <c r="W144" s="245"/>
      <c r="X144" s="420">
        <f t="shared" si="32"/>
        <v>2</v>
      </c>
      <c r="Y144" s="421">
        <f t="shared" si="32"/>
        <v>2</v>
      </c>
      <c r="Z144" s="421">
        <f t="shared" si="32"/>
        <v>2</v>
      </c>
      <c r="AA144" s="420">
        <f t="shared" si="37"/>
        <v>2</v>
      </c>
      <c r="AB144" s="420">
        <f t="shared" si="37"/>
        <v>2</v>
      </c>
      <c r="AC144" s="420">
        <f t="shared" si="37"/>
        <v>2</v>
      </c>
      <c r="AD144" s="420">
        <f t="shared" si="36"/>
        <v>2</v>
      </c>
      <c r="AE144" s="420">
        <f t="shared" si="36"/>
        <v>2</v>
      </c>
      <c r="AF144" s="420">
        <f t="shared" si="36"/>
        <v>2</v>
      </c>
      <c r="AG144" s="420">
        <f t="shared" si="36"/>
        <v>2</v>
      </c>
      <c r="AH144" s="420">
        <f t="shared" si="36"/>
        <v>2</v>
      </c>
      <c r="AI144" s="420">
        <f t="shared" si="36"/>
        <v>2</v>
      </c>
      <c r="AJ144" s="408">
        <f t="shared" si="34"/>
        <v>24</v>
      </c>
    </row>
    <row r="145" spans="1:36" s="229" customFormat="1">
      <c r="A145" s="231" t="str">
        <f t="shared" si="35"/>
        <v>PIERCE UTCCommercialRL020.0G1W001COMM</v>
      </c>
      <c r="B145" s="243" t="s">
        <v>529</v>
      </c>
      <c r="C145" s="243" t="s">
        <v>530</v>
      </c>
      <c r="D145" s="243" t="s">
        <v>528</v>
      </c>
      <c r="E145" s="230">
        <v>33000</v>
      </c>
      <c r="F145" s="244">
        <v>0</v>
      </c>
      <c r="G145" s="244">
        <v>0</v>
      </c>
      <c r="H145" s="244"/>
      <c r="I145" s="244">
        <v>0</v>
      </c>
      <c r="J145" s="244">
        <v>0</v>
      </c>
      <c r="K145" s="244">
        <v>0</v>
      </c>
      <c r="L145" s="244">
        <v>0</v>
      </c>
      <c r="M145" s="244">
        <v>0</v>
      </c>
      <c r="N145" s="244">
        <v>0</v>
      </c>
      <c r="O145" s="244">
        <v>0</v>
      </c>
      <c r="P145" s="244">
        <v>0</v>
      </c>
      <c r="Q145" s="244">
        <v>0</v>
      </c>
      <c r="R145" s="244">
        <v>0</v>
      </c>
      <c r="S145" s="244">
        <v>0</v>
      </c>
      <c r="T145" s="244">
        <v>0</v>
      </c>
      <c r="U145" s="244"/>
      <c r="V145" s="408">
        <f t="shared" si="31"/>
        <v>0</v>
      </c>
      <c r="W145" s="245"/>
      <c r="X145" s="420">
        <f t="shared" ref="X145:Z176" si="38">IFERROR(I145/$F145,0)</f>
        <v>0</v>
      </c>
      <c r="Y145" s="421">
        <f t="shared" si="38"/>
        <v>0</v>
      </c>
      <c r="Z145" s="421">
        <f t="shared" si="38"/>
        <v>0</v>
      </c>
      <c r="AA145" s="420">
        <f t="shared" si="37"/>
        <v>0</v>
      </c>
      <c r="AB145" s="420">
        <f t="shared" si="37"/>
        <v>0</v>
      </c>
      <c r="AC145" s="420">
        <f t="shared" si="37"/>
        <v>0</v>
      </c>
      <c r="AD145" s="420">
        <f t="shared" si="36"/>
        <v>0</v>
      </c>
      <c r="AE145" s="420">
        <f t="shared" si="36"/>
        <v>0</v>
      </c>
      <c r="AF145" s="420">
        <f t="shared" si="36"/>
        <v>0</v>
      </c>
      <c r="AG145" s="420">
        <f t="shared" si="36"/>
        <v>0</v>
      </c>
      <c r="AH145" s="420">
        <f t="shared" si="36"/>
        <v>0</v>
      </c>
      <c r="AI145" s="420">
        <f t="shared" si="36"/>
        <v>0</v>
      </c>
      <c r="AJ145" s="408">
        <f t="shared" si="34"/>
        <v>0</v>
      </c>
    </row>
    <row r="146" spans="1:36" s="229" customFormat="1">
      <c r="A146" s="231" t="str">
        <f t="shared" si="35"/>
        <v>PIERCE UTCCommercialRL032.0G1W001MFNR</v>
      </c>
      <c r="B146" s="243" t="s">
        <v>531</v>
      </c>
      <c r="C146" s="243"/>
      <c r="D146" s="243"/>
      <c r="E146" s="230"/>
      <c r="F146" s="244">
        <v>2.4500000000000002</v>
      </c>
      <c r="G146" s="244">
        <v>2.4500000000000002</v>
      </c>
      <c r="H146" s="244"/>
      <c r="I146" s="244">
        <v>0</v>
      </c>
      <c r="J146" s="244">
        <v>0</v>
      </c>
      <c r="K146" s="244">
        <v>0</v>
      </c>
      <c r="L146" s="244">
        <v>0</v>
      </c>
      <c r="M146" s="244">
        <v>0</v>
      </c>
      <c r="N146" s="244">
        <v>0</v>
      </c>
      <c r="O146" s="244">
        <v>0</v>
      </c>
      <c r="P146" s="244">
        <v>0</v>
      </c>
      <c r="Q146" s="244">
        <v>0</v>
      </c>
      <c r="R146" s="244">
        <v>0</v>
      </c>
      <c r="S146" s="244">
        <v>0</v>
      </c>
      <c r="T146" s="244">
        <v>0</v>
      </c>
      <c r="U146" s="244"/>
      <c r="V146" s="408">
        <f t="shared" si="31"/>
        <v>0</v>
      </c>
      <c r="W146" s="245"/>
      <c r="X146" s="420">
        <f t="shared" si="38"/>
        <v>0</v>
      </c>
      <c r="Y146" s="421">
        <f t="shared" si="38"/>
        <v>0</v>
      </c>
      <c r="Z146" s="421">
        <f t="shared" si="38"/>
        <v>0</v>
      </c>
      <c r="AA146" s="420">
        <f t="shared" si="37"/>
        <v>0</v>
      </c>
      <c r="AB146" s="420">
        <f t="shared" si="37"/>
        <v>0</v>
      </c>
      <c r="AC146" s="420">
        <f t="shared" si="37"/>
        <v>0</v>
      </c>
      <c r="AD146" s="420">
        <f t="shared" si="36"/>
        <v>0</v>
      </c>
      <c r="AE146" s="420">
        <f t="shared" si="36"/>
        <v>0</v>
      </c>
      <c r="AF146" s="420">
        <f t="shared" si="36"/>
        <v>0</v>
      </c>
      <c r="AG146" s="420">
        <f t="shared" si="36"/>
        <v>0</v>
      </c>
      <c r="AH146" s="420">
        <f t="shared" si="36"/>
        <v>0</v>
      </c>
      <c r="AI146" s="420">
        <f t="shared" si="36"/>
        <v>0</v>
      </c>
      <c r="AJ146" s="408">
        <f t="shared" si="34"/>
        <v>0</v>
      </c>
    </row>
    <row r="147" spans="1:36">
      <c r="A147" s="231" t="str">
        <f t="shared" si="35"/>
        <v>PIERCE UTCCommercialRL032.0G1W001NORECC</v>
      </c>
      <c r="B147" s="243" t="s">
        <v>303</v>
      </c>
      <c r="C147" s="243" t="s">
        <v>304</v>
      </c>
      <c r="D147" s="243" t="s">
        <v>528</v>
      </c>
      <c r="E147" s="230">
        <v>33000</v>
      </c>
      <c r="F147" s="244">
        <v>17.440000000000001</v>
      </c>
      <c r="G147" s="244">
        <v>17.809999999999999</v>
      </c>
      <c r="H147" s="244"/>
      <c r="I147" s="244">
        <v>122.08</v>
      </c>
      <c r="J147" s="244">
        <v>108.13</v>
      </c>
      <c r="K147" s="244">
        <v>95.92</v>
      </c>
      <c r="L147" s="244">
        <v>89.05</v>
      </c>
      <c r="M147" s="244">
        <v>89.05</v>
      </c>
      <c r="N147" s="244">
        <v>71.239999999999995</v>
      </c>
      <c r="O147" s="244">
        <v>71.239999999999995</v>
      </c>
      <c r="P147" s="244">
        <v>66.790000000000006</v>
      </c>
      <c r="Q147" s="244">
        <v>53.43</v>
      </c>
      <c r="R147" s="244">
        <v>53.43</v>
      </c>
      <c r="S147" s="244">
        <v>35.619999999999997</v>
      </c>
      <c r="T147" s="244">
        <v>35.619999999999997</v>
      </c>
      <c r="U147" s="244"/>
      <c r="V147" s="408">
        <f t="shared" si="31"/>
        <v>891.59999999999991</v>
      </c>
      <c r="W147" s="245"/>
      <c r="X147" s="420">
        <f t="shared" si="38"/>
        <v>6.9999999999999991</v>
      </c>
      <c r="Y147" s="421">
        <f t="shared" si="38"/>
        <v>6.200114678899082</v>
      </c>
      <c r="Z147" s="421">
        <f t="shared" si="38"/>
        <v>5.5</v>
      </c>
      <c r="AA147" s="420">
        <f t="shared" si="37"/>
        <v>5</v>
      </c>
      <c r="AB147" s="420">
        <f t="shared" si="37"/>
        <v>5</v>
      </c>
      <c r="AC147" s="420">
        <f t="shared" si="37"/>
        <v>4</v>
      </c>
      <c r="AD147" s="420">
        <f t="shared" si="36"/>
        <v>4</v>
      </c>
      <c r="AE147" s="420">
        <f t="shared" si="36"/>
        <v>3.7501403705783276</v>
      </c>
      <c r="AF147" s="420">
        <f t="shared" si="36"/>
        <v>3</v>
      </c>
      <c r="AG147" s="420">
        <f t="shared" si="36"/>
        <v>3</v>
      </c>
      <c r="AH147" s="420">
        <f t="shared" si="36"/>
        <v>2</v>
      </c>
      <c r="AI147" s="420">
        <f t="shared" si="36"/>
        <v>2</v>
      </c>
      <c r="AJ147" s="408">
        <f t="shared" si="34"/>
        <v>50.450255049477413</v>
      </c>
    </row>
    <row r="148" spans="1:36">
      <c r="A148" s="231" t="str">
        <f t="shared" si="35"/>
        <v>PIERCE UTCCommercialRL032.0G1W001WRECC</v>
      </c>
      <c r="B148" s="243" t="s">
        <v>305</v>
      </c>
      <c r="C148" s="243" t="s">
        <v>306</v>
      </c>
      <c r="D148" s="243" t="s">
        <v>528</v>
      </c>
      <c r="E148" s="230">
        <v>33000</v>
      </c>
      <c r="F148" s="244">
        <v>17.440000000000001</v>
      </c>
      <c r="G148" s="244">
        <v>17.809999999999999</v>
      </c>
      <c r="H148" s="244"/>
      <c r="I148" s="244">
        <v>6644.64</v>
      </c>
      <c r="J148" s="244">
        <v>6644.64</v>
      </c>
      <c r="K148" s="244">
        <v>6644.64</v>
      </c>
      <c r="L148" s="244">
        <v>7057.21</v>
      </c>
      <c r="M148" s="244">
        <v>7073.24</v>
      </c>
      <c r="N148" s="244">
        <v>7059.88</v>
      </c>
      <c r="O148" s="244">
        <v>7052.76</v>
      </c>
      <c r="P148" s="244">
        <v>6643.13</v>
      </c>
      <c r="Q148" s="244">
        <v>6643.13</v>
      </c>
      <c r="R148" s="244">
        <v>6652.04</v>
      </c>
      <c r="S148" s="244">
        <v>6647.58</v>
      </c>
      <c r="T148" s="244">
        <v>6643.13</v>
      </c>
      <c r="U148" s="244"/>
      <c r="V148" s="408">
        <f t="shared" si="31"/>
        <v>81406.02</v>
      </c>
      <c r="W148" s="245"/>
      <c r="X148" s="420">
        <f t="shared" si="38"/>
        <v>381</v>
      </c>
      <c r="Y148" s="421">
        <f t="shared" si="38"/>
        <v>381</v>
      </c>
      <c r="Z148" s="421">
        <f t="shared" si="38"/>
        <v>381</v>
      </c>
      <c r="AA148" s="420">
        <f t="shared" si="37"/>
        <v>396.24985962942168</v>
      </c>
      <c r="AB148" s="420">
        <f t="shared" si="37"/>
        <v>397.14991577765301</v>
      </c>
      <c r="AC148" s="420">
        <f t="shared" si="37"/>
        <v>396.39977540707469</v>
      </c>
      <c r="AD148" s="420">
        <f t="shared" si="36"/>
        <v>396.00000000000006</v>
      </c>
      <c r="AE148" s="420">
        <f t="shared" si="36"/>
        <v>373.00000000000006</v>
      </c>
      <c r="AF148" s="420">
        <f t="shared" si="36"/>
        <v>373.00000000000006</v>
      </c>
      <c r="AG148" s="420">
        <f t="shared" si="36"/>
        <v>373.5002807411567</v>
      </c>
      <c r="AH148" s="420">
        <f t="shared" si="36"/>
        <v>373.24985962942168</v>
      </c>
      <c r="AI148" s="420">
        <f t="shared" si="36"/>
        <v>373.00000000000006</v>
      </c>
      <c r="AJ148" s="408">
        <f t="shared" si="34"/>
        <v>4594.5496911847276</v>
      </c>
    </row>
    <row r="149" spans="1:36">
      <c r="A149" s="231" t="str">
        <f t="shared" si="35"/>
        <v>PIERCE UTCCommercialRL032.0G1W002NORECC</v>
      </c>
      <c r="B149" s="243" t="s">
        <v>307</v>
      </c>
      <c r="C149" s="243" t="s">
        <v>304</v>
      </c>
      <c r="D149" s="243" t="s">
        <v>528</v>
      </c>
      <c r="E149" s="230">
        <v>33000</v>
      </c>
      <c r="F149" s="244">
        <v>28.23</v>
      </c>
      <c r="G149" s="244">
        <v>28.92</v>
      </c>
      <c r="H149" s="244"/>
      <c r="I149" s="244">
        <v>169.38</v>
      </c>
      <c r="J149" s="244">
        <v>169.38</v>
      </c>
      <c r="K149" s="244">
        <v>169.38</v>
      </c>
      <c r="L149" s="244">
        <v>144.6</v>
      </c>
      <c r="M149" s="244">
        <v>144.6</v>
      </c>
      <c r="N149" s="244">
        <v>144.6</v>
      </c>
      <c r="O149" s="244">
        <v>115.68</v>
      </c>
      <c r="P149" s="244">
        <v>115.68</v>
      </c>
      <c r="Q149" s="244">
        <v>115.68</v>
      </c>
      <c r="R149" s="244">
        <v>115.68</v>
      </c>
      <c r="S149" s="244">
        <v>115.68</v>
      </c>
      <c r="T149" s="244">
        <v>115.68</v>
      </c>
      <c r="U149" s="244"/>
      <c r="V149" s="408">
        <f t="shared" si="31"/>
        <v>1636.0200000000004</v>
      </c>
      <c r="W149" s="245"/>
      <c r="X149" s="420">
        <f t="shared" si="38"/>
        <v>6</v>
      </c>
      <c r="Y149" s="421">
        <f t="shared" si="38"/>
        <v>6</v>
      </c>
      <c r="Z149" s="421">
        <f t="shared" si="38"/>
        <v>6</v>
      </c>
      <c r="AA149" s="420">
        <f t="shared" si="37"/>
        <v>4.9999999999999991</v>
      </c>
      <c r="AB149" s="420">
        <f t="shared" si="37"/>
        <v>4.9999999999999991</v>
      </c>
      <c r="AC149" s="420">
        <f t="shared" si="37"/>
        <v>4.9999999999999991</v>
      </c>
      <c r="AD149" s="420">
        <f t="shared" si="36"/>
        <v>4</v>
      </c>
      <c r="AE149" s="420">
        <f t="shared" si="36"/>
        <v>4</v>
      </c>
      <c r="AF149" s="420">
        <f t="shared" si="36"/>
        <v>4</v>
      </c>
      <c r="AG149" s="420">
        <f t="shared" si="36"/>
        <v>4</v>
      </c>
      <c r="AH149" s="420">
        <f t="shared" si="36"/>
        <v>4</v>
      </c>
      <c r="AI149" s="420">
        <f t="shared" si="36"/>
        <v>4</v>
      </c>
      <c r="AJ149" s="408">
        <f t="shared" si="34"/>
        <v>57</v>
      </c>
    </row>
    <row r="150" spans="1:36">
      <c r="A150" s="231" t="str">
        <f t="shared" si="35"/>
        <v>PIERCE UTCCommercialRL032.0G1W002WRECC</v>
      </c>
      <c r="B150" s="243" t="s">
        <v>308</v>
      </c>
      <c r="C150" s="243" t="s">
        <v>309</v>
      </c>
      <c r="D150" s="243" t="s">
        <v>528</v>
      </c>
      <c r="E150" s="230">
        <v>33000</v>
      </c>
      <c r="F150" s="244">
        <v>28.23</v>
      </c>
      <c r="G150" s="244">
        <v>28.92</v>
      </c>
      <c r="H150" s="244"/>
      <c r="I150" s="244">
        <v>84.69</v>
      </c>
      <c r="J150" s="244">
        <v>84.69</v>
      </c>
      <c r="K150" s="244">
        <v>84.69</v>
      </c>
      <c r="L150" s="244">
        <v>115.68</v>
      </c>
      <c r="M150" s="244">
        <v>115.68</v>
      </c>
      <c r="N150" s="244">
        <v>115.68</v>
      </c>
      <c r="O150" s="244">
        <v>115.68</v>
      </c>
      <c r="P150" s="244">
        <v>115.68</v>
      </c>
      <c r="Q150" s="244">
        <v>86.76</v>
      </c>
      <c r="R150" s="244">
        <v>86.76</v>
      </c>
      <c r="S150" s="244">
        <v>86.76</v>
      </c>
      <c r="T150" s="244">
        <v>86.76</v>
      </c>
      <c r="U150" s="244"/>
      <c r="V150" s="408">
        <f t="shared" si="31"/>
        <v>1179.51</v>
      </c>
      <c r="W150" s="245"/>
      <c r="X150" s="420">
        <f t="shared" si="38"/>
        <v>3</v>
      </c>
      <c r="Y150" s="421">
        <f t="shared" si="38"/>
        <v>3</v>
      </c>
      <c r="Z150" s="421">
        <f t="shared" si="38"/>
        <v>3</v>
      </c>
      <c r="AA150" s="420">
        <f t="shared" si="37"/>
        <v>4</v>
      </c>
      <c r="AB150" s="420">
        <f t="shared" si="37"/>
        <v>4</v>
      </c>
      <c r="AC150" s="420">
        <f t="shared" si="37"/>
        <v>4</v>
      </c>
      <c r="AD150" s="420">
        <f t="shared" si="36"/>
        <v>4</v>
      </c>
      <c r="AE150" s="420">
        <f t="shared" si="36"/>
        <v>4</v>
      </c>
      <c r="AF150" s="420">
        <f t="shared" si="36"/>
        <v>3</v>
      </c>
      <c r="AG150" s="420">
        <f t="shared" si="36"/>
        <v>3</v>
      </c>
      <c r="AH150" s="420">
        <f t="shared" si="36"/>
        <v>3</v>
      </c>
      <c r="AI150" s="420">
        <f t="shared" si="36"/>
        <v>3</v>
      </c>
      <c r="AJ150" s="408">
        <f t="shared" si="34"/>
        <v>41</v>
      </c>
    </row>
    <row r="151" spans="1:36">
      <c r="A151" s="231" t="str">
        <f t="shared" si="35"/>
        <v>PIERCE UTCCommercialRL032.0G1W003NORECC</v>
      </c>
      <c r="B151" s="243" t="s">
        <v>310</v>
      </c>
      <c r="C151" s="243" t="s">
        <v>304</v>
      </c>
      <c r="D151" s="243" t="s">
        <v>528</v>
      </c>
      <c r="E151" s="230">
        <v>33000</v>
      </c>
      <c r="F151" s="244">
        <v>42.35</v>
      </c>
      <c r="G151" s="244">
        <v>43.39</v>
      </c>
      <c r="H151" s="244"/>
      <c r="I151" s="244">
        <v>0</v>
      </c>
      <c r="J151" s="244">
        <v>0</v>
      </c>
      <c r="K151" s="244">
        <v>0</v>
      </c>
      <c r="L151" s="244">
        <v>0</v>
      </c>
      <c r="M151" s="244">
        <v>0</v>
      </c>
      <c r="N151" s="244">
        <v>0</v>
      </c>
      <c r="O151" s="244">
        <v>0</v>
      </c>
      <c r="P151" s="244">
        <v>0</v>
      </c>
      <c r="Q151" s="244">
        <v>0</v>
      </c>
      <c r="R151" s="244">
        <v>0</v>
      </c>
      <c r="S151" s="244">
        <v>0</v>
      </c>
      <c r="T151" s="244">
        <v>0</v>
      </c>
      <c r="U151" s="244"/>
      <c r="V151" s="408">
        <f t="shared" si="31"/>
        <v>0</v>
      </c>
      <c r="W151" s="245"/>
      <c r="X151" s="420">
        <f t="shared" si="38"/>
        <v>0</v>
      </c>
      <c r="Y151" s="421">
        <f t="shared" si="38"/>
        <v>0</v>
      </c>
      <c r="Z151" s="421">
        <f t="shared" si="38"/>
        <v>0</v>
      </c>
      <c r="AA151" s="420">
        <f t="shared" si="37"/>
        <v>0</v>
      </c>
      <c r="AB151" s="420">
        <f t="shared" si="37"/>
        <v>0</v>
      </c>
      <c r="AC151" s="420">
        <f t="shared" si="37"/>
        <v>0</v>
      </c>
      <c r="AD151" s="420">
        <f t="shared" si="36"/>
        <v>0</v>
      </c>
      <c r="AE151" s="420">
        <f t="shared" si="36"/>
        <v>0</v>
      </c>
      <c r="AF151" s="420">
        <f t="shared" si="36"/>
        <v>0</v>
      </c>
      <c r="AG151" s="420">
        <f t="shared" si="36"/>
        <v>0</v>
      </c>
      <c r="AH151" s="420">
        <f t="shared" si="36"/>
        <v>0</v>
      </c>
      <c r="AI151" s="420">
        <f t="shared" si="36"/>
        <v>0</v>
      </c>
      <c r="AJ151" s="408">
        <f t="shared" si="34"/>
        <v>0</v>
      </c>
    </row>
    <row r="152" spans="1:36">
      <c r="A152" s="231" t="str">
        <f t="shared" si="35"/>
        <v>PIERCE UTCCommercialRL032.0G1W003WRECC</v>
      </c>
      <c r="B152" s="243" t="s">
        <v>311</v>
      </c>
      <c r="C152" s="243" t="s">
        <v>312</v>
      </c>
      <c r="D152" s="243" t="s">
        <v>528</v>
      </c>
      <c r="E152" s="230">
        <v>33000</v>
      </c>
      <c r="F152" s="244">
        <v>42.35</v>
      </c>
      <c r="G152" s="244">
        <v>43.39</v>
      </c>
      <c r="H152" s="244"/>
      <c r="I152" s="244">
        <v>42.35</v>
      </c>
      <c r="J152" s="244">
        <v>42.35</v>
      </c>
      <c r="K152" s="244">
        <v>42.35</v>
      </c>
      <c r="L152" s="244">
        <v>43.39</v>
      </c>
      <c r="M152" s="244">
        <v>43.39</v>
      </c>
      <c r="N152" s="244">
        <v>43.39</v>
      </c>
      <c r="O152" s="244">
        <v>43.39</v>
      </c>
      <c r="P152" s="244">
        <v>43.39</v>
      </c>
      <c r="Q152" s="244">
        <v>43.39</v>
      </c>
      <c r="R152" s="244">
        <v>43.39</v>
      </c>
      <c r="S152" s="244">
        <v>43.39</v>
      </c>
      <c r="T152" s="244">
        <v>43.39</v>
      </c>
      <c r="U152" s="244"/>
      <c r="V152" s="408">
        <f t="shared" si="31"/>
        <v>517.55999999999995</v>
      </c>
      <c r="W152" s="245"/>
      <c r="X152" s="420">
        <f t="shared" si="38"/>
        <v>1</v>
      </c>
      <c r="Y152" s="421">
        <f t="shared" si="38"/>
        <v>1</v>
      </c>
      <c r="Z152" s="421">
        <f t="shared" si="38"/>
        <v>1</v>
      </c>
      <c r="AA152" s="420">
        <f t="shared" si="37"/>
        <v>1</v>
      </c>
      <c r="AB152" s="420">
        <f t="shared" si="37"/>
        <v>1</v>
      </c>
      <c r="AC152" s="420">
        <f t="shared" si="37"/>
        <v>1</v>
      </c>
      <c r="AD152" s="420">
        <f t="shared" si="36"/>
        <v>1</v>
      </c>
      <c r="AE152" s="420">
        <f t="shared" si="36"/>
        <v>1</v>
      </c>
      <c r="AF152" s="420">
        <f t="shared" si="36"/>
        <v>1</v>
      </c>
      <c r="AG152" s="420">
        <f t="shared" si="36"/>
        <v>1</v>
      </c>
      <c r="AH152" s="420">
        <f t="shared" si="36"/>
        <v>1</v>
      </c>
      <c r="AI152" s="420">
        <f t="shared" si="36"/>
        <v>1</v>
      </c>
      <c r="AJ152" s="408">
        <f t="shared" si="34"/>
        <v>12</v>
      </c>
    </row>
    <row r="153" spans="1:36">
      <c r="A153" s="231" t="str">
        <f t="shared" si="35"/>
        <v>PIERCE UTCCommercialRL032.0G1W004WRECC</v>
      </c>
      <c r="B153" s="243" t="s">
        <v>313</v>
      </c>
      <c r="C153" s="243" t="s">
        <v>314</v>
      </c>
      <c r="D153" s="243" t="s">
        <v>528</v>
      </c>
      <c r="E153" s="230">
        <v>33000</v>
      </c>
      <c r="F153" s="244">
        <v>56.46</v>
      </c>
      <c r="G153" s="244">
        <v>57.85</v>
      </c>
      <c r="H153" s="244"/>
      <c r="I153" s="244">
        <v>214.55</v>
      </c>
      <c r="J153" s="244">
        <v>169.38</v>
      </c>
      <c r="K153" s="244">
        <v>169.38</v>
      </c>
      <c r="L153" s="244">
        <v>173.55</v>
      </c>
      <c r="M153" s="244">
        <v>173.55</v>
      </c>
      <c r="N153" s="244">
        <v>173.55</v>
      </c>
      <c r="O153" s="244">
        <v>173.55</v>
      </c>
      <c r="P153" s="244">
        <v>173.55</v>
      </c>
      <c r="Q153" s="244">
        <v>115.7</v>
      </c>
      <c r="R153" s="244">
        <v>115.7</v>
      </c>
      <c r="S153" s="244">
        <v>115.7</v>
      </c>
      <c r="T153" s="244">
        <v>115.7</v>
      </c>
      <c r="U153" s="244"/>
      <c r="V153" s="408">
        <f t="shared" si="31"/>
        <v>1883.86</v>
      </c>
      <c r="W153" s="245"/>
      <c r="X153" s="420">
        <f t="shared" si="38"/>
        <v>3.8000354233085369</v>
      </c>
      <c r="Y153" s="421">
        <f t="shared" si="38"/>
        <v>3</v>
      </c>
      <c r="Z153" s="421">
        <f t="shared" si="38"/>
        <v>3</v>
      </c>
      <c r="AA153" s="420">
        <f t="shared" si="37"/>
        <v>3</v>
      </c>
      <c r="AB153" s="420">
        <f t="shared" si="37"/>
        <v>3</v>
      </c>
      <c r="AC153" s="420">
        <f t="shared" si="37"/>
        <v>3</v>
      </c>
      <c r="AD153" s="420">
        <f t="shared" si="36"/>
        <v>3</v>
      </c>
      <c r="AE153" s="420">
        <f t="shared" si="36"/>
        <v>3</v>
      </c>
      <c r="AF153" s="420">
        <f t="shared" si="36"/>
        <v>2</v>
      </c>
      <c r="AG153" s="420">
        <f t="shared" si="36"/>
        <v>2</v>
      </c>
      <c r="AH153" s="420">
        <f t="shared" si="36"/>
        <v>2</v>
      </c>
      <c r="AI153" s="420">
        <f t="shared" si="36"/>
        <v>2</v>
      </c>
      <c r="AJ153" s="408">
        <f t="shared" si="34"/>
        <v>32.800035423308536</v>
      </c>
    </row>
    <row r="154" spans="1:36">
      <c r="A154" s="231" t="str">
        <f t="shared" si="35"/>
        <v>PIERCE UTCCommercialRL032.0G1W005WRECC</v>
      </c>
      <c r="B154" s="243" t="s">
        <v>315</v>
      </c>
      <c r="C154" s="243" t="s">
        <v>316</v>
      </c>
      <c r="D154" s="243" t="s">
        <v>528</v>
      </c>
      <c r="E154" s="230">
        <v>33000</v>
      </c>
      <c r="F154" s="244">
        <v>70.58</v>
      </c>
      <c r="G154" s="244">
        <v>72.31</v>
      </c>
      <c r="H154" s="244"/>
      <c r="I154" s="244">
        <v>0</v>
      </c>
      <c r="J154" s="244">
        <v>0</v>
      </c>
      <c r="K154" s="244">
        <v>0</v>
      </c>
      <c r="L154" s="244">
        <v>0</v>
      </c>
      <c r="M154" s="244">
        <v>0</v>
      </c>
      <c r="N154" s="244">
        <v>0</v>
      </c>
      <c r="O154" s="244">
        <v>0</v>
      </c>
      <c r="P154" s="244">
        <v>0</v>
      </c>
      <c r="Q154" s="244">
        <v>0</v>
      </c>
      <c r="R154" s="244">
        <v>0</v>
      </c>
      <c r="S154" s="244">
        <v>0</v>
      </c>
      <c r="T154" s="244">
        <v>0</v>
      </c>
      <c r="U154" s="244"/>
      <c r="V154" s="408">
        <f t="shared" si="31"/>
        <v>0</v>
      </c>
      <c r="W154" s="245"/>
      <c r="X154" s="420">
        <f t="shared" si="38"/>
        <v>0</v>
      </c>
      <c r="Y154" s="421">
        <f t="shared" si="38"/>
        <v>0</v>
      </c>
      <c r="Z154" s="421">
        <f t="shared" si="38"/>
        <v>0</v>
      </c>
      <c r="AA154" s="420">
        <f t="shared" si="37"/>
        <v>0</v>
      </c>
      <c r="AB154" s="420">
        <f t="shared" si="37"/>
        <v>0</v>
      </c>
      <c r="AC154" s="420">
        <f t="shared" si="37"/>
        <v>0</v>
      </c>
      <c r="AD154" s="420">
        <f t="shared" si="36"/>
        <v>0</v>
      </c>
      <c r="AE154" s="420">
        <f t="shared" si="36"/>
        <v>0</v>
      </c>
      <c r="AF154" s="420">
        <f t="shared" si="36"/>
        <v>0</v>
      </c>
      <c r="AG154" s="420">
        <f t="shared" si="36"/>
        <v>0</v>
      </c>
      <c r="AH154" s="420">
        <f t="shared" si="36"/>
        <v>0</v>
      </c>
      <c r="AI154" s="420">
        <f t="shared" si="36"/>
        <v>0</v>
      </c>
      <c r="AJ154" s="408">
        <f t="shared" si="34"/>
        <v>0</v>
      </c>
    </row>
    <row r="155" spans="1:36">
      <c r="A155" s="231" t="str">
        <f t="shared" si="35"/>
        <v>PIERCE UTCCommercialSL065.0G1M001WRECC</v>
      </c>
      <c r="B155" s="243" t="s">
        <v>317</v>
      </c>
      <c r="C155" s="243" t="s">
        <v>318</v>
      </c>
      <c r="D155" s="243" t="s">
        <v>528</v>
      </c>
      <c r="E155" s="230">
        <v>33000</v>
      </c>
      <c r="F155" s="244">
        <v>0</v>
      </c>
      <c r="G155" s="244">
        <v>0</v>
      </c>
      <c r="H155" s="244"/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  <c r="O155" s="244">
        <v>0</v>
      </c>
      <c r="P155" s="244">
        <v>0</v>
      </c>
      <c r="Q155" s="244">
        <v>0</v>
      </c>
      <c r="R155" s="244">
        <v>0</v>
      </c>
      <c r="S155" s="244">
        <v>0</v>
      </c>
      <c r="T155" s="244">
        <v>0</v>
      </c>
      <c r="U155" s="244"/>
      <c r="V155" s="408">
        <f t="shared" si="31"/>
        <v>0</v>
      </c>
      <c r="W155" s="245"/>
      <c r="X155" s="420">
        <f t="shared" si="38"/>
        <v>0</v>
      </c>
      <c r="Y155" s="421">
        <f t="shared" si="38"/>
        <v>0</v>
      </c>
      <c r="Z155" s="421">
        <f t="shared" si="38"/>
        <v>0</v>
      </c>
      <c r="AA155" s="420">
        <f t="shared" si="37"/>
        <v>0</v>
      </c>
      <c r="AB155" s="420">
        <f t="shared" si="37"/>
        <v>0</v>
      </c>
      <c r="AC155" s="420">
        <f t="shared" si="37"/>
        <v>0</v>
      </c>
      <c r="AD155" s="420">
        <f t="shared" si="36"/>
        <v>0</v>
      </c>
      <c r="AE155" s="420">
        <f t="shared" si="36"/>
        <v>0</v>
      </c>
      <c r="AF155" s="420">
        <f t="shared" si="36"/>
        <v>0</v>
      </c>
      <c r="AG155" s="420">
        <f t="shared" si="36"/>
        <v>0</v>
      </c>
      <c r="AH155" s="420">
        <f t="shared" si="36"/>
        <v>0</v>
      </c>
      <c r="AI155" s="420">
        <f t="shared" si="36"/>
        <v>0</v>
      </c>
      <c r="AJ155" s="408">
        <f t="shared" si="34"/>
        <v>0</v>
      </c>
    </row>
    <row r="156" spans="1:36">
      <c r="A156" s="231" t="str">
        <f t="shared" si="35"/>
        <v>PIERCE UTCCommercialSL065.0G1W001NORECC</v>
      </c>
      <c r="B156" s="243" t="s">
        <v>319</v>
      </c>
      <c r="C156" s="243" t="s">
        <v>320</v>
      </c>
      <c r="D156" s="243" t="s">
        <v>528</v>
      </c>
      <c r="E156" s="230">
        <v>33000</v>
      </c>
      <c r="F156" s="244">
        <v>28.58</v>
      </c>
      <c r="G156" s="244">
        <v>29.18</v>
      </c>
      <c r="H156" s="244"/>
      <c r="I156" s="244">
        <v>1160.3399999999999</v>
      </c>
      <c r="J156" s="244">
        <v>1171.78</v>
      </c>
      <c r="K156" s="244">
        <v>1186.07</v>
      </c>
      <c r="L156" s="244">
        <v>1254.74</v>
      </c>
      <c r="M156" s="244">
        <v>1254.74</v>
      </c>
      <c r="N156" s="244">
        <v>1669.1</v>
      </c>
      <c r="O156" s="244">
        <v>1539.24</v>
      </c>
      <c r="P156" s="244">
        <v>1466.3</v>
      </c>
      <c r="Q156" s="244">
        <v>1639.92</v>
      </c>
      <c r="R156" s="244">
        <v>1546.54</v>
      </c>
      <c r="S156" s="244">
        <v>1587.21</v>
      </c>
      <c r="T156" s="244">
        <v>1604.9</v>
      </c>
      <c r="U156" s="244"/>
      <c r="V156" s="408">
        <f t="shared" si="31"/>
        <v>17080.879999999997</v>
      </c>
      <c r="W156" s="245"/>
      <c r="X156" s="420">
        <f t="shared" si="38"/>
        <v>40.599720083974809</v>
      </c>
      <c r="Y156" s="421">
        <f t="shared" si="38"/>
        <v>41</v>
      </c>
      <c r="Z156" s="421">
        <f t="shared" si="38"/>
        <v>41.5</v>
      </c>
      <c r="AA156" s="420">
        <f t="shared" si="37"/>
        <v>43</v>
      </c>
      <c r="AB156" s="420">
        <f t="shared" si="37"/>
        <v>43</v>
      </c>
      <c r="AC156" s="420">
        <f t="shared" si="37"/>
        <v>57.200137080191908</v>
      </c>
      <c r="AD156" s="420">
        <f t="shared" si="36"/>
        <v>52.749828649760111</v>
      </c>
      <c r="AE156" s="420">
        <f t="shared" si="36"/>
        <v>50.250171350239889</v>
      </c>
      <c r="AF156" s="420">
        <f t="shared" si="36"/>
        <v>56.200137080191915</v>
      </c>
      <c r="AG156" s="420">
        <f t="shared" si="36"/>
        <v>53</v>
      </c>
      <c r="AH156" s="420">
        <f t="shared" si="36"/>
        <v>54.393762851267994</v>
      </c>
      <c r="AI156" s="420">
        <f t="shared" si="36"/>
        <v>55.000000000000007</v>
      </c>
      <c r="AJ156" s="408">
        <f t="shared" si="34"/>
        <v>587.8937570956266</v>
      </c>
    </row>
    <row r="157" spans="1:36">
      <c r="A157" s="231" t="str">
        <f t="shared" si="35"/>
        <v>PIERCE UTCCommercialSL065.0G1W001WRECC</v>
      </c>
      <c r="B157" s="243" t="s">
        <v>321</v>
      </c>
      <c r="C157" s="243" t="s">
        <v>322</v>
      </c>
      <c r="D157" s="243" t="s">
        <v>528</v>
      </c>
      <c r="E157" s="230">
        <v>33000</v>
      </c>
      <c r="F157" s="244">
        <v>28.58</v>
      </c>
      <c r="G157" s="244">
        <v>29.18</v>
      </c>
      <c r="H157" s="244"/>
      <c r="I157" s="244">
        <v>12743.84</v>
      </c>
      <c r="J157" s="244">
        <v>12500.89</v>
      </c>
      <c r="K157" s="244">
        <v>12446.62</v>
      </c>
      <c r="L157" s="244">
        <v>12759.97</v>
      </c>
      <c r="M157" s="244">
        <v>12882.99</v>
      </c>
      <c r="N157" s="244">
        <v>12940.52</v>
      </c>
      <c r="O157" s="244">
        <v>13524.94</v>
      </c>
      <c r="P157" s="244">
        <v>14057.470000000001</v>
      </c>
      <c r="Q157" s="244">
        <v>13971.39</v>
      </c>
      <c r="R157" s="244">
        <v>13777.35</v>
      </c>
      <c r="S157" s="244">
        <v>13812.35</v>
      </c>
      <c r="T157" s="244">
        <v>13867.81</v>
      </c>
      <c r="U157" s="244"/>
      <c r="V157" s="408">
        <f t="shared" si="31"/>
        <v>159286.14000000001</v>
      </c>
      <c r="W157" s="245"/>
      <c r="X157" s="420">
        <f t="shared" si="38"/>
        <v>445.90062981105672</v>
      </c>
      <c r="Y157" s="421">
        <f t="shared" si="38"/>
        <v>437.39993002099374</v>
      </c>
      <c r="Z157" s="421">
        <f t="shared" si="38"/>
        <v>435.50104968509453</v>
      </c>
      <c r="AA157" s="420">
        <f t="shared" si="37"/>
        <v>437.28478409869774</v>
      </c>
      <c r="AB157" s="420">
        <f t="shared" si="37"/>
        <v>441.50068540095958</v>
      </c>
      <c r="AC157" s="420">
        <f t="shared" si="37"/>
        <v>443.47224126113781</v>
      </c>
      <c r="AD157" s="420">
        <f t="shared" si="36"/>
        <v>463.50034270047979</v>
      </c>
      <c r="AE157" s="420">
        <f t="shared" si="36"/>
        <v>481.75017135023995</v>
      </c>
      <c r="AF157" s="420">
        <f t="shared" si="36"/>
        <v>478.80020562028784</v>
      </c>
      <c r="AG157" s="420">
        <f t="shared" si="36"/>
        <v>472.15044551062374</v>
      </c>
      <c r="AH157" s="420">
        <f t="shared" si="36"/>
        <v>473.34989718985611</v>
      </c>
      <c r="AI157" s="420">
        <f t="shared" si="36"/>
        <v>475.25051405071963</v>
      </c>
      <c r="AJ157" s="408">
        <f t="shared" si="34"/>
        <v>5485.8608967001455</v>
      </c>
    </row>
    <row r="158" spans="1:36">
      <c r="A158" s="231" t="str">
        <f t="shared" si="35"/>
        <v>PIERCE UTCCommercialSL065.0G1W002NORECC</v>
      </c>
      <c r="B158" s="243" t="s">
        <v>323</v>
      </c>
      <c r="C158" s="243" t="s">
        <v>324</v>
      </c>
      <c r="D158" s="243" t="s">
        <v>528</v>
      </c>
      <c r="E158" s="230">
        <v>33000</v>
      </c>
      <c r="F158" s="244">
        <v>0</v>
      </c>
      <c r="G158" s="244">
        <v>0</v>
      </c>
      <c r="H158" s="244"/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  <c r="O158" s="244">
        <v>0</v>
      </c>
      <c r="P158" s="244">
        <v>0</v>
      </c>
      <c r="Q158" s="244">
        <v>0</v>
      </c>
      <c r="R158" s="244">
        <v>0</v>
      </c>
      <c r="S158" s="244">
        <v>0</v>
      </c>
      <c r="T158" s="244">
        <v>0</v>
      </c>
      <c r="U158" s="244"/>
      <c r="V158" s="408">
        <f t="shared" si="31"/>
        <v>0</v>
      </c>
      <c r="W158" s="245"/>
      <c r="X158" s="420">
        <f t="shared" si="38"/>
        <v>0</v>
      </c>
      <c r="Y158" s="421">
        <f t="shared" si="38"/>
        <v>0</v>
      </c>
      <c r="Z158" s="421">
        <f t="shared" si="38"/>
        <v>0</v>
      </c>
      <c r="AA158" s="420">
        <f t="shared" si="37"/>
        <v>0</v>
      </c>
      <c r="AB158" s="420">
        <f t="shared" si="37"/>
        <v>0</v>
      </c>
      <c r="AC158" s="420">
        <f t="shared" si="37"/>
        <v>0</v>
      </c>
      <c r="AD158" s="420">
        <f t="shared" si="36"/>
        <v>0</v>
      </c>
      <c r="AE158" s="420">
        <f t="shared" si="36"/>
        <v>0</v>
      </c>
      <c r="AF158" s="420">
        <f t="shared" si="36"/>
        <v>0</v>
      </c>
      <c r="AG158" s="420">
        <f t="shared" si="36"/>
        <v>0</v>
      </c>
      <c r="AH158" s="420">
        <f t="shared" si="36"/>
        <v>0</v>
      </c>
      <c r="AI158" s="420">
        <f t="shared" si="36"/>
        <v>0</v>
      </c>
      <c r="AJ158" s="408">
        <f t="shared" si="34"/>
        <v>0</v>
      </c>
    </row>
    <row r="159" spans="1:36">
      <c r="A159" s="231" t="str">
        <f t="shared" si="35"/>
        <v>PIERCE UTCCommercialSL065.0GEO001NORECC</v>
      </c>
      <c r="B159" s="243" t="s">
        <v>325</v>
      </c>
      <c r="C159" s="243" t="s">
        <v>326</v>
      </c>
      <c r="D159" s="243" t="s">
        <v>528</v>
      </c>
      <c r="E159" s="230">
        <v>33000</v>
      </c>
      <c r="F159" s="244">
        <v>20.3</v>
      </c>
      <c r="G159" s="244">
        <v>20.9</v>
      </c>
      <c r="H159" s="244"/>
      <c r="I159" s="244">
        <v>182.7</v>
      </c>
      <c r="J159" s="244">
        <v>182.7</v>
      </c>
      <c r="K159" s="244">
        <v>182.7</v>
      </c>
      <c r="L159" s="244">
        <v>188.1</v>
      </c>
      <c r="M159" s="244">
        <v>188.1</v>
      </c>
      <c r="N159" s="244">
        <v>188.1</v>
      </c>
      <c r="O159" s="244">
        <v>188.1</v>
      </c>
      <c r="P159" s="244">
        <v>188.1</v>
      </c>
      <c r="Q159" s="244">
        <v>188.1</v>
      </c>
      <c r="R159" s="244">
        <v>188.1</v>
      </c>
      <c r="S159" s="244">
        <v>188.1</v>
      </c>
      <c r="T159" s="244">
        <v>198.55</v>
      </c>
      <c r="U159" s="244"/>
      <c r="V159" s="408">
        <f t="shared" si="31"/>
        <v>2251.4499999999998</v>
      </c>
      <c r="W159" s="245"/>
      <c r="X159" s="420">
        <f t="shared" si="38"/>
        <v>9</v>
      </c>
      <c r="Y159" s="421">
        <f t="shared" si="38"/>
        <v>9</v>
      </c>
      <c r="Z159" s="421">
        <f t="shared" si="38"/>
        <v>9</v>
      </c>
      <c r="AA159" s="420">
        <f t="shared" si="37"/>
        <v>9</v>
      </c>
      <c r="AB159" s="420">
        <f t="shared" si="37"/>
        <v>9</v>
      </c>
      <c r="AC159" s="420">
        <f t="shared" si="37"/>
        <v>9</v>
      </c>
      <c r="AD159" s="420">
        <f t="shared" si="36"/>
        <v>9</v>
      </c>
      <c r="AE159" s="420">
        <f t="shared" si="36"/>
        <v>9</v>
      </c>
      <c r="AF159" s="420">
        <f t="shared" si="36"/>
        <v>9</v>
      </c>
      <c r="AG159" s="420">
        <f t="shared" si="36"/>
        <v>9</v>
      </c>
      <c r="AH159" s="420">
        <f t="shared" si="36"/>
        <v>9</v>
      </c>
      <c r="AI159" s="420">
        <f t="shared" si="36"/>
        <v>9.5000000000000018</v>
      </c>
      <c r="AJ159" s="408">
        <f t="shared" si="34"/>
        <v>108.5</v>
      </c>
    </row>
    <row r="160" spans="1:36">
      <c r="A160" s="231" t="str">
        <f t="shared" si="35"/>
        <v>PIERCE UTCCommercialSL065.0GEO001WRECC</v>
      </c>
      <c r="B160" s="243" t="s">
        <v>327</v>
      </c>
      <c r="C160" s="243" t="s">
        <v>328</v>
      </c>
      <c r="D160" s="243" t="s">
        <v>528</v>
      </c>
      <c r="E160" s="230">
        <v>33000</v>
      </c>
      <c r="F160" s="244">
        <v>20.3</v>
      </c>
      <c r="G160" s="244">
        <v>20.9</v>
      </c>
      <c r="H160" s="244"/>
      <c r="I160" s="244">
        <v>1979.25</v>
      </c>
      <c r="J160" s="244">
        <v>1992.78</v>
      </c>
      <c r="K160" s="244">
        <v>2009.7</v>
      </c>
      <c r="L160" s="244">
        <v>1969.83</v>
      </c>
      <c r="M160" s="244">
        <v>1954.15</v>
      </c>
      <c r="N160" s="244">
        <v>1985.5</v>
      </c>
      <c r="O160" s="244">
        <v>1964.6</v>
      </c>
      <c r="P160" s="244">
        <v>1922.8</v>
      </c>
      <c r="Q160" s="244">
        <v>1978.53</v>
      </c>
      <c r="R160" s="244">
        <v>1995.95</v>
      </c>
      <c r="S160" s="244">
        <v>2012.67</v>
      </c>
      <c r="T160" s="244">
        <v>2027.3</v>
      </c>
      <c r="U160" s="244"/>
      <c r="V160" s="408">
        <f t="shared" si="31"/>
        <v>23793.06</v>
      </c>
      <c r="W160" s="245"/>
      <c r="X160" s="420">
        <f t="shared" si="38"/>
        <v>97.5</v>
      </c>
      <c r="Y160" s="421">
        <f t="shared" si="38"/>
        <v>98.166502463054186</v>
      </c>
      <c r="Z160" s="421">
        <f t="shared" si="38"/>
        <v>99</v>
      </c>
      <c r="AA160" s="420">
        <f t="shared" si="37"/>
        <v>94.250239234449765</v>
      </c>
      <c r="AB160" s="420">
        <f t="shared" si="37"/>
        <v>93.500000000000014</v>
      </c>
      <c r="AC160" s="420">
        <f t="shared" si="37"/>
        <v>95</v>
      </c>
      <c r="AD160" s="420">
        <f t="shared" si="36"/>
        <v>94</v>
      </c>
      <c r="AE160" s="420">
        <f t="shared" si="36"/>
        <v>92</v>
      </c>
      <c r="AF160" s="420">
        <f t="shared" si="36"/>
        <v>94.666507177033495</v>
      </c>
      <c r="AG160" s="420">
        <f t="shared" si="36"/>
        <v>95.500000000000014</v>
      </c>
      <c r="AH160" s="420">
        <f t="shared" si="36"/>
        <v>96.300000000000011</v>
      </c>
      <c r="AI160" s="420">
        <f t="shared" si="36"/>
        <v>97</v>
      </c>
      <c r="AJ160" s="408">
        <f t="shared" si="34"/>
        <v>1146.8832488745375</v>
      </c>
    </row>
    <row r="161" spans="1:38">
      <c r="A161" s="231" t="str">
        <f t="shared" si="35"/>
        <v>PIERCE UTCCommercialSL095.0G1W001NORECC</v>
      </c>
      <c r="B161" s="243" t="s">
        <v>329</v>
      </c>
      <c r="C161" s="243" t="s">
        <v>330</v>
      </c>
      <c r="D161" s="243" t="s">
        <v>528</v>
      </c>
      <c r="E161" s="230">
        <v>33000</v>
      </c>
      <c r="F161" s="244">
        <v>36.369999999999997</v>
      </c>
      <c r="G161" s="244">
        <v>37.24</v>
      </c>
      <c r="H161" s="244"/>
      <c r="I161" s="244">
        <v>1891.24</v>
      </c>
      <c r="J161" s="244">
        <v>1933.06</v>
      </c>
      <c r="K161" s="244">
        <v>1936.7</v>
      </c>
      <c r="L161" s="244">
        <v>2004.72</v>
      </c>
      <c r="M161" s="244">
        <v>1981.16</v>
      </c>
      <c r="N161" s="244">
        <v>9265.31</v>
      </c>
      <c r="O161" s="244">
        <v>8509.34</v>
      </c>
      <c r="P161" s="244">
        <v>7328.83</v>
      </c>
      <c r="Q161" s="244">
        <v>8807.26</v>
      </c>
      <c r="R161" s="244">
        <v>8844.5</v>
      </c>
      <c r="S161" s="244">
        <v>10583.59</v>
      </c>
      <c r="T161" s="244">
        <v>7811.09</v>
      </c>
      <c r="U161" s="244"/>
      <c r="V161" s="408">
        <f t="shared" si="31"/>
        <v>70896.800000000003</v>
      </c>
      <c r="W161" s="245"/>
      <c r="X161" s="420">
        <f t="shared" si="38"/>
        <v>52.000000000000007</v>
      </c>
      <c r="Y161" s="421">
        <f t="shared" si="38"/>
        <v>53.149848776464118</v>
      </c>
      <c r="Z161" s="421">
        <f t="shared" si="38"/>
        <v>53.249931262029151</v>
      </c>
      <c r="AA161" s="420">
        <f t="shared" si="37"/>
        <v>53.832438238453271</v>
      </c>
      <c r="AB161" s="420">
        <f t="shared" si="37"/>
        <v>53.199785177228783</v>
      </c>
      <c r="AC161" s="420">
        <f t="shared" si="37"/>
        <v>248.79994629430718</v>
      </c>
      <c r="AD161" s="420">
        <f t="shared" si="36"/>
        <v>228.5</v>
      </c>
      <c r="AE161" s="420">
        <f t="shared" si="36"/>
        <v>196.79994629430718</v>
      </c>
      <c r="AF161" s="420">
        <f t="shared" si="36"/>
        <v>236.5</v>
      </c>
      <c r="AG161" s="420">
        <f t="shared" si="36"/>
        <v>237.5</v>
      </c>
      <c r="AH161" s="420">
        <f t="shared" si="36"/>
        <v>284.19951664876476</v>
      </c>
      <c r="AI161" s="420">
        <f t="shared" si="36"/>
        <v>209.75</v>
      </c>
      <c r="AJ161" s="408">
        <f t="shared" si="34"/>
        <v>1907.4814126915544</v>
      </c>
    </row>
    <row r="162" spans="1:38">
      <c r="A162" s="231" t="str">
        <f t="shared" si="35"/>
        <v>PIERCE UTCCommercialSL095.0G1W001WRECC</v>
      </c>
      <c r="B162" s="243" t="s">
        <v>331</v>
      </c>
      <c r="C162" s="243" t="s">
        <v>332</v>
      </c>
      <c r="D162" s="243" t="s">
        <v>528</v>
      </c>
      <c r="E162" s="230">
        <v>33000</v>
      </c>
      <c r="F162" s="244">
        <v>36.369999999999997</v>
      </c>
      <c r="G162" s="244">
        <v>37.24</v>
      </c>
      <c r="H162" s="244"/>
      <c r="I162" s="244">
        <v>10738.24</v>
      </c>
      <c r="J162" s="244">
        <v>10490.94</v>
      </c>
      <c r="K162" s="244">
        <v>10547.3</v>
      </c>
      <c r="L162" s="244">
        <v>10629.3</v>
      </c>
      <c r="M162" s="244">
        <v>10798.94</v>
      </c>
      <c r="N162" s="244">
        <v>9417.99</v>
      </c>
      <c r="O162" s="244">
        <v>9524.1299999999992</v>
      </c>
      <c r="P162" s="244">
        <v>9727.08</v>
      </c>
      <c r="Q162" s="244">
        <v>9849.9800000000014</v>
      </c>
      <c r="R162" s="244">
        <v>9812.7400000000016</v>
      </c>
      <c r="S162" s="244">
        <v>9921.73</v>
      </c>
      <c r="T162" s="244">
        <v>9095.8700000000008</v>
      </c>
      <c r="U162" s="244"/>
      <c r="V162" s="408">
        <f t="shared" si="31"/>
        <v>120554.23999999999</v>
      </c>
      <c r="W162" s="245"/>
      <c r="X162" s="420">
        <f t="shared" si="38"/>
        <v>295.24993126202918</v>
      </c>
      <c r="Y162" s="421">
        <f t="shared" si="38"/>
        <v>288.45037118504263</v>
      </c>
      <c r="Z162" s="421">
        <f t="shared" si="38"/>
        <v>290</v>
      </c>
      <c r="AA162" s="420">
        <f t="shared" si="37"/>
        <v>285.4269602577873</v>
      </c>
      <c r="AB162" s="420">
        <f t="shared" si="37"/>
        <v>289.98227712137486</v>
      </c>
      <c r="AC162" s="420">
        <f t="shared" si="37"/>
        <v>252.89983888292156</v>
      </c>
      <c r="AD162" s="420">
        <f t="shared" si="36"/>
        <v>255.74999999999997</v>
      </c>
      <c r="AE162" s="420">
        <f t="shared" si="36"/>
        <v>261.19978517722876</v>
      </c>
      <c r="AF162" s="420">
        <f t="shared" si="36"/>
        <v>264.5</v>
      </c>
      <c r="AG162" s="420">
        <f t="shared" si="36"/>
        <v>263.50000000000006</v>
      </c>
      <c r="AH162" s="420">
        <f t="shared" si="36"/>
        <v>266.4266917293233</v>
      </c>
      <c r="AI162" s="420">
        <f t="shared" si="36"/>
        <v>244.25</v>
      </c>
      <c r="AJ162" s="408">
        <f t="shared" si="34"/>
        <v>3257.6358556157079</v>
      </c>
    </row>
    <row r="163" spans="1:38">
      <c r="A163" s="231" t="str">
        <f t="shared" si="35"/>
        <v>PIERCE UTCCommercialSL095.0GEO001NORECC</v>
      </c>
      <c r="B163" s="243" t="s">
        <v>333</v>
      </c>
      <c r="C163" s="243" t="s">
        <v>334</v>
      </c>
      <c r="D163" s="243" t="s">
        <v>528</v>
      </c>
      <c r="E163" s="230">
        <v>33000</v>
      </c>
      <c r="F163" s="244">
        <v>25.95</v>
      </c>
      <c r="G163" s="244">
        <v>26.81</v>
      </c>
      <c r="H163" s="244"/>
      <c r="I163" s="244">
        <v>168.68</v>
      </c>
      <c r="J163" s="244">
        <v>155.69999999999999</v>
      </c>
      <c r="K163" s="244">
        <v>129.75</v>
      </c>
      <c r="L163" s="244">
        <v>134.05000000000001</v>
      </c>
      <c r="M163" s="244">
        <v>107.24</v>
      </c>
      <c r="N163" s="244">
        <v>107.24</v>
      </c>
      <c r="O163" s="244">
        <v>107.24</v>
      </c>
      <c r="P163" s="244">
        <v>107.24</v>
      </c>
      <c r="Q163" s="244">
        <v>107.24</v>
      </c>
      <c r="R163" s="244">
        <v>80.430000000000007</v>
      </c>
      <c r="S163" s="244">
        <v>107.24</v>
      </c>
      <c r="T163" s="244">
        <v>107.24</v>
      </c>
      <c r="U163" s="244"/>
      <c r="V163" s="408">
        <f t="shared" si="31"/>
        <v>1419.2900000000002</v>
      </c>
      <c r="W163" s="245"/>
      <c r="X163" s="420">
        <f t="shared" si="38"/>
        <v>6.5001926782273607</v>
      </c>
      <c r="Y163" s="421">
        <f t="shared" si="38"/>
        <v>6</v>
      </c>
      <c r="Z163" s="421">
        <f t="shared" si="38"/>
        <v>5</v>
      </c>
      <c r="AA163" s="420">
        <f t="shared" si="37"/>
        <v>5.0000000000000009</v>
      </c>
      <c r="AB163" s="420">
        <f t="shared" si="37"/>
        <v>4</v>
      </c>
      <c r="AC163" s="420">
        <f t="shared" si="37"/>
        <v>4</v>
      </c>
      <c r="AD163" s="420">
        <f t="shared" si="36"/>
        <v>4</v>
      </c>
      <c r="AE163" s="420">
        <f t="shared" si="36"/>
        <v>4</v>
      </c>
      <c r="AF163" s="420">
        <f t="shared" si="36"/>
        <v>4</v>
      </c>
      <c r="AG163" s="420">
        <f t="shared" si="36"/>
        <v>3.0000000000000004</v>
      </c>
      <c r="AH163" s="420">
        <f t="shared" si="36"/>
        <v>4</v>
      </c>
      <c r="AI163" s="420">
        <f t="shared" si="36"/>
        <v>4</v>
      </c>
      <c r="AJ163" s="408">
        <f t="shared" si="34"/>
        <v>53.500192678227364</v>
      </c>
    </row>
    <row r="164" spans="1:38">
      <c r="A164" s="231" t="str">
        <f t="shared" si="35"/>
        <v>PIERCE UTCCommercialSL095.0GEO001WRECC</v>
      </c>
      <c r="B164" s="243" t="s">
        <v>335</v>
      </c>
      <c r="C164" s="243" t="s">
        <v>336</v>
      </c>
      <c r="D164" s="243" t="s">
        <v>528</v>
      </c>
      <c r="E164" s="230">
        <v>33000</v>
      </c>
      <c r="F164" s="244">
        <v>25.95</v>
      </c>
      <c r="G164" s="244">
        <v>26.81</v>
      </c>
      <c r="H164" s="244"/>
      <c r="I164" s="244">
        <v>415.2</v>
      </c>
      <c r="J164" s="244">
        <v>415.2</v>
      </c>
      <c r="K164" s="244">
        <v>415.2</v>
      </c>
      <c r="L164" s="244">
        <v>428.96</v>
      </c>
      <c r="M164" s="244">
        <v>428.96</v>
      </c>
      <c r="N164" s="244">
        <v>428.96</v>
      </c>
      <c r="O164" s="244">
        <v>442.37</v>
      </c>
      <c r="P164" s="244">
        <v>455.77</v>
      </c>
      <c r="Q164" s="244">
        <v>428.96</v>
      </c>
      <c r="R164" s="244">
        <v>428.96</v>
      </c>
      <c r="S164" s="244">
        <v>402.15</v>
      </c>
      <c r="T164" s="244">
        <v>402.15</v>
      </c>
      <c r="U164" s="244"/>
      <c r="V164" s="408">
        <f t="shared" si="31"/>
        <v>5092.8399999999992</v>
      </c>
      <c r="W164" s="245"/>
      <c r="X164" s="420">
        <f t="shared" si="38"/>
        <v>16</v>
      </c>
      <c r="Y164" s="421">
        <f t="shared" si="38"/>
        <v>16</v>
      </c>
      <c r="Z164" s="421">
        <f t="shared" si="38"/>
        <v>16</v>
      </c>
      <c r="AA164" s="420">
        <f t="shared" si="37"/>
        <v>16</v>
      </c>
      <c r="AB164" s="420">
        <f t="shared" si="37"/>
        <v>16</v>
      </c>
      <c r="AC164" s="420">
        <f t="shared" si="37"/>
        <v>16</v>
      </c>
      <c r="AD164" s="420">
        <f t="shared" si="36"/>
        <v>16.500186497575534</v>
      </c>
      <c r="AE164" s="420">
        <f t="shared" si="36"/>
        <v>17</v>
      </c>
      <c r="AF164" s="420">
        <f t="shared" si="36"/>
        <v>16</v>
      </c>
      <c r="AG164" s="420">
        <f t="shared" si="36"/>
        <v>16</v>
      </c>
      <c r="AH164" s="420">
        <f t="shared" si="36"/>
        <v>15</v>
      </c>
      <c r="AI164" s="420">
        <f t="shared" si="36"/>
        <v>15</v>
      </c>
      <c r="AJ164" s="408">
        <f t="shared" si="34"/>
        <v>191.50018649757553</v>
      </c>
    </row>
    <row r="165" spans="1:38">
      <c r="A165" s="231" t="str">
        <f t="shared" si="35"/>
        <v>PIERCE UTCCommercialCANCOUNT65-COMM</v>
      </c>
      <c r="B165" s="243" t="s">
        <v>337</v>
      </c>
      <c r="C165" s="243" t="s">
        <v>338</v>
      </c>
      <c r="D165" s="243" t="s">
        <v>528</v>
      </c>
      <c r="E165" s="230">
        <v>33000</v>
      </c>
      <c r="F165" s="244">
        <v>6.6</v>
      </c>
      <c r="G165" s="244">
        <v>6.74</v>
      </c>
      <c r="H165" s="244"/>
      <c r="I165" s="244">
        <v>2811.6</v>
      </c>
      <c r="J165" s="244">
        <v>3735.6</v>
      </c>
      <c r="K165" s="244">
        <v>2310.7600000000002</v>
      </c>
      <c r="L165" s="244">
        <v>3093.66</v>
      </c>
      <c r="M165" s="244">
        <v>3740.7</v>
      </c>
      <c r="N165" s="244">
        <v>3059.96</v>
      </c>
      <c r="O165" s="244">
        <v>2763.4</v>
      </c>
      <c r="P165" s="244">
        <v>2844.28</v>
      </c>
      <c r="Q165" s="244">
        <v>2621.86</v>
      </c>
      <c r="R165" s="244">
        <v>2487.06</v>
      </c>
      <c r="S165" s="244">
        <v>2958.86</v>
      </c>
      <c r="T165" s="244">
        <v>2352.2600000000002</v>
      </c>
      <c r="U165" s="244"/>
      <c r="V165" s="408">
        <f t="shared" si="31"/>
        <v>34780</v>
      </c>
      <c r="W165" s="245"/>
      <c r="X165" s="420">
        <f t="shared" si="38"/>
        <v>426</v>
      </c>
      <c r="Y165" s="421">
        <f t="shared" si="38"/>
        <v>566</v>
      </c>
      <c r="Z165" s="421">
        <f t="shared" si="38"/>
        <v>350.11515151515158</v>
      </c>
      <c r="AA165" s="420">
        <f t="shared" si="37"/>
        <v>458.99999999999994</v>
      </c>
      <c r="AB165" s="420">
        <f t="shared" si="37"/>
        <v>555</v>
      </c>
      <c r="AC165" s="420">
        <f t="shared" si="37"/>
        <v>454</v>
      </c>
      <c r="AD165" s="420">
        <f t="shared" si="36"/>
        <v>410</v>
      </c>
      <c r="AE165" s="420">
        <f t="shared" si="36"/>
        <v>422</v>
      </c>
      <c r="AF165" s="420">
        <f t="shared" si="36"/>
        <v>389</v>
      </c>
      <c r="AG165" s="420">
        <f t="shared" si="36"/>
        <v>369</v>
      </c>
      <c r="AH165" s="420">
        <f t="shared" si="36"/>
        <v>439</v>
      </c>
      <c r="AI165" s="420">
        <f t="shared" si="36"/>
        <v>349</v>
      </c>
      <c r="AJ165" s="408">
        <f t="shared" si="34"/>
        <v>5188.1151515151514</v>
      </c>
      <c r="AK165" s="231">
        <f>AJ165/4.33</f>
        <v>1198.17901882567</v>
      </c>
    </row>
    <row r="166" spans="1:38">
      <c r="A166" s="231" t="str">
        <f t="shared" si="35"/>
        <v>PIERCE UTCCommercialCANCOUNT95-COMM</v>
      </c>
      <c r="B166" s="243" t="s">
        <v>339</v>
      </c>
      <c r="C166" s="243" t="s">
        <v>340</v>
      </c>
      <c r="D166" s="243" t="s">
        <v>528</v>
      </c>
      <c r="E166" s="230">
        <v>33000</v>
      </c>
      <c r="F166" s="244">
        <v>8.4</v>
      </c>
      <c r="G166" s="244">
        <v>8.6</v>
      </c>
      <c r="H166" s="244"/>
      <c r="I166" s="244">
        <v>4636.7999999999993</v>
      </c>
      <c r="J166" s="244">
        <v>5905.2</v>
      </c>
      <c r="K166" s="244">
        <v>4838.3999999999996</v>
      </c>
      <c r="L166" s="244">
        <v>5813.6</v>
      </c>
      <c r="M166" s="244">
        <v>6458.6</v>
      </c>
      <c r="N166" s="244">
        <v>0</v>
      </c>
      <c r="O166" s="244">
        <v>0</v>
      </c>
      <c r="P166" s="244">
        <v>0</v>
      </c>
      <c r="Q166" s="244">
        <v>0</v>
      </c>
      <c r="R166" s="244">
        <v>0</v>
      </c>
      <c r="S166" s="244">
        <v>0</v>
      </c>
      <c r="T166" s="244">
        <v>0</v>
      </c>
      <c r="U166" s="244"/>
      <c r="V166" s="408">
        <f t="shared" si="31"/>
        <v>27652.6</v>
      </c>
      <c r="W166" s="245"/>
      <c r="X166" s="420">
        <f t="shared" si="38"/>
        <v>551.99999999999989</v>
      </c>
      <c r="Y166" s="421">
        <f t="shared" si="38"/>
        <v>703</v>
      </c>
      <c r="Z166" s="421">
        <f t="shared" si="38"/>
        <v>575.99999999999989</v>
      </c>
      <c r="AA166" s="420">
        <f t="shared" si="37"/>
        <v>676.00000000000011</v>
      </c>
      <c r="AB166" s="420">
        <f t="shared" si="37"/>
        <v>751.00000000000011</v>
      </c>
      <c r="AC166" s="420">
        <f t="shared" si="37"/>
        <v>0</v>
      </c>
      <c r="AD166" s="420">
        <f t="shared" si="36"/>
        <v>0</v>
      </c>
      <c r="AE166" s="420">
        <f t="shared" si="36"/>
        <v>0</v>
      </c>
      <c r="AF166" s="420">
        <f t="shared" si="36"/>
        <v>0</v>
      </c>
      <c r="AG166" s="420">
        <f t="shared" si="36"/>
        <v>0</v>
      </c>
      <c r="AH166" s="420">
        <f t="shared" si="36"/>
        <v>0</v>
      </c>
      <c r="AI166" s="420">
        <f t="shared" si="36"/>
        <v>0</v>
      </c>
      <c r="AJ166" s="408">
        <f t="shared" si="34"/>
        <v>3258</v>
      </c>
      <c r="AK166" s="231">
        <f>AJ166/4.33</f>
        <v>752.42494226327938</v>
      </c>
    </row>
    <row r="167" spans="1:38">
      <c r="A167" s="231" t="str">
        <f t="shared" si="35"/>
        <v>PIERCE UTCCommercialCANCOUNT-COMM</v>
      </c>
      <c r="B167" s="243" t="s">
        <v>341</v>
      </c>
      <c r="C167" s="243" t="s">
        <v>342</v>
      </c>
      <c r="D167" s="243" t="s">
        <v>528</v>
      </c>
      <c r="E167" s="230">
        <v>33000</v>
      </c>
      <c r="F167" s="244">
        <v>3.26</v>
      </c>
      <c r="G167" s="244">
        <v>3.34</v>
      </c>
      <c r="H167" s="244"/>
      <c r="I167" s="244">
        <v>14174.48</v>
      </c>
      <c r="J167" s="244">
        <v>13173.66</v>
      </c>
      <c r="K167" s="244">
        <v>11817.5</v>
      </c>
      <c r="L167" s="244">
        <v>14034.9</v>
      </c>
      <c r="M167" s="244">
        <v>14271.82</v>
      </c>
      <c r="N167" s="244">
        <v>14044.5</v>
      </c>
      <c r="O167" s="244">
        <v>11796.880000000001</v>
      </c>
      <c r="P167" s="244">
        <v>13613.84</v>
      </c>
      <c r="Q167" s="244">
        <v>13249.78</v>
      </c>
      <c r="R167" s="244">
        <v>12665.28</v>
      </c>
      <c r="S167" s="244">
        <v>12324.6</v>
      </c>
      <c r="T167" s="244">
        <v>11679.98</v>
      </c>
      <c r="U167" s="244"/>
      <c r="V167" s="408">
        <f t="shared" si="31"/>
        <v>156847.22000000003</v>
      </c>
      <c r="W167" s="245"/>
      <c r="X167" s="420">
        <f t="shared" si="38"/>
        <v>4348</v>
      </c>
      <c r="Y167" s="421">
        <f t="shared" si="38"/>
        <v>4041</v>
      </c>
      <c r="Z167" s="421">
        <f t="shared" si="38"/>
        <v>3625.0000000000005</v>
      </c>
      <c r="AA167" s="420">
        <f t="shared" si="37"/>
        <v>4202.065868263473</v>
      </c>
      <c r="AB167" s="420">
        <f t="shared" si="37"/>
        <v>4273</v>
      </c>
      <c r="AC167" s="420">
        <f t="shared" si="37"/>
        <v>4204.9401197604793</v>
      </c>
      <c r="AD167" s="420">
        <f t="shared" si="36"/>
        <v>3532.0000000000005</v>
      </c>
      <c r="AE167" s="420">
        <f t="shared" si="36"/>
        <v>4076</v>
      </c>
      <c r="AF167" s="420">
        <f t="shared" si="36"/>
        <v>3967.0000000000005</v>
      </c>
      <c r="AG167" s="420">
        <f t="shared" si="36"/>
        <v>3792.0000000000005</v>
      </c>
      <c r="AH167" s="420">
        <f t="shared" si="36"/>
        <v>3690.0000000000005</v>
      </c>
      <c r="AI167" s="420">
        <f t="shared" si="36"/>
        <v>3497</v>
      </c>
      <c r="AJ167" s="408">
        <f t="shared" si="34"/>
        <v>47248.005988023957</v>
      </c>
      <c r="AK167" s="231">
        <f>AJ167/4.33</f>
        <v>10911.779673908535</v>
      </c>
      <c r="AL167" s="231">
        <f>AI167/4.33</f>
        <v>807.62124711316392</v>
      </c>
    </row>
    <row r="168" spans="1:38">
      <c r="A168" s="231" t="str">
        <f t="shared" si="35"/>
        <v>PIERCE UTCCommercialDIST4CAN-COMM</v>
      </c>
      <c r="B168" s="243" t="s">
        <v>343</v>
      </c>
      <c r="C168" s="243" t="s">
        <v>344</v>
      </c>
      <c r="D168" s="243" t="s">
        <v>528</v>
      </c>
      <c r="E168" s="230">
        <v>33000</v>
      </c>
      <c r="F168" s="244">
        <v>56.46</v>
      </c>
      <c r="G168" s="244">
        <v>57.85</v>
      </c>
      <c r="H168" s="244"/>
      <c r="I168" s="244">
        <v>225.84</v>
      </c>
      <c r="J168" s="244">
        <v>225.84</v>
      </c>
      <c r="K168" s="244">
        <v>225.84</v>
      </c>
      <c r="L168" s="244">
        <v>231.4</v>
      </c>
      <c r="M168" s="244">
        <v>231.4</v>
      </c>
      <c r="N168" s="244">
        <v>231.4</v>
      </c>
      <c r="O168" s="244">
        <v>231.4</v>
      </c>
      <c r="P168" s="244">
        <v>231.4</v>
      </c>
      <c r="Q168" s="244">
        <v>231.4</v>
      </c>
      <c r="R168" s="244">
        <v>231.4</v>
      </c>
      <c r="S168" s="244">
        <v>231.41</v>
      </c>
      <c r="T168" s="244">
        <v>231.4</v>
      </c>
      <c r="U168" s="244"/>
      <c r="V168" s="408">
        <f t="shared" si="31"/>
        <v>2760.13</v>
      </c>
      <c r="W168" s="245"/>
      <c r="X168" s="420">
        <f t="shared" si="38"/>
        <v>4</v>
      </c>
      <c r="Y168" s="421">
        <f t="shared" si="38"/>
        <v>4</v>
      </c>
      <c r="Z168" s="421">
        <f t="shared" si="38"/>
        <v>4</v>
      </c>
      <c r="AA168" s="420">
        <f t="shared" si="37"/>
        <v>4</v>
      </c>
      <c r="AB168" s="420">
        <f t="shared" si="37"/>
        <v>4</v>
      </c>
      <c r="AC168" s="420">
        <f t="shared" si="37"/>
        <v>4</v>
      </c>
      <c r="AD168" s="420">
        <f t="shared" si="36"/>
        <v>4</v>
      </c>
      <c r="AE168" s="420">
        <f t="shared" si="36"/>
        <v>4</v>
      </c>
      <c r="AF168" s="420">
        <f t="shared" si="36"/>
        <v>4</v>
      </c>
      <c r="AG168" s="420">
        <f t="shared" si="36"/>
        <v>4</v>
      </c>
      <c r="AH168" s="420">
        <f t="shared" si="36"/>
        <v>4.0001728608470177</v>
      </c>
      <c r="AI168" s="420">
        <f t="shared" si="36"/>
        <v>4</v>
      </c>
      <c r="AJ168" s="408">
        <f t="shared" si="34"/>
        <v>48.000172860847016</v>
      </c>
    </row>
    <row r="169" spans="1:38">
      <c r="A169" s="231" t="str">
        <f t="shared" si="35"/>
        <v>PIERCE UTCCommercialDIST5CAN-COMM</v>
      </c>
      <c r="B169" s="243" t="s">
        <v>345</v>
      </c>
      <c r="C169" s="243" t="s">
        <v>346</v>
      </c>
      <c r="D169" s="243" t="s">
        <v>528</v>
      </c>
      <c r="E169" s="230">
        <v>33000</v>
      </c>
      <c r="F169" s="244">
        <v>70.58</v>
      </c>
      <c r="G169" s="244">
        <v>72.31</v>
      </c>
      <c r="H169" s="244"/>
      <c r="I169" s="244">
        <v>0</v>
      </c>
      <c r="J169" s="244">
        <v>0</v>
      </c>
      <c r="K169" s="244">
        <v>0</v>
      </c>
      <c r="L169" s="244">
        <v>0</v>
      </c>
      <c r="M169" s="244">
        <v>0</v>
      </c>
      <c r="N169" s="244">
        <v>0</v>
      </c>
      <c r="O169" s="244">
        <v>0</v>
      </c>
      <c r="P169" s="244">
        <v>0</v>
      </c>
      <c r="Q169" s="244">
        <v>0</v>
      </c>
      <c r="R169" s="244">
        <v>0</v>
      </c>
      <c r="S169" s="244">
        <v>0</v>
      </c>
      <c r="T169" s="244">
        <v>0</v>
      </c>
      <c r="U169" s="244"/>
      <c r="V169" s="408">
        <f t="shared" si="31"/>
        <v>0</v>
      </c>
      <c r="W169" s="245"/>
      <c r="X169" s="420">
        <f t="shared" si="38"/>
        <v>0</v>
      </c>
      <c r="Y169" s="421">
        <f t="shared" si="38"/>
        <v>0</v>
      </c>
      <c r="Z169" s="421">
        <f t="shared" si="38"/>
        <v>0</v>
      </c>
      <c r="AA169" s="420">
        <f t="shared" si="37"/>
        <v>0</v>
      </c>
      <c r="AB169" s="420">
        <f t="shared" si="37"/>
        <v>0</v>
      </c>
      <c r="AC169" s="420">
        <f t="shared" si="37"/>
        <v>0</v>
      </c>
      <c r="AD169" s="420">
        <f t="shared" si="36"/>
        <v>0</v>
      </c>
      <c r="AE169" s="420">
        <f t="shared" si="36"/>
        <v>0</v>
      </c>
      <c r="AF169" s="420">
        <f t="shared" si="36"/>
        <v>0</v>
      </c>
      <c r="AG169" s="420">
        <f t="shared" si="36"/>
        <v>0</v>
      </c>
      <c r="AH169" s="420">
        <f t="shared" si="36"/>
        <v>0</v>
      </c>
      <c r="AI169" s="420">
        <f t="shared" si="36"/>
        <v>0</v>
      </c>
      <c r="AJ169" s="408">
        <f t="shared" si="34"/>
        <v>0</v>
      </c>
    </row>
    <row r="170" spans="1:38">
      <c r="A170" s="231" t="str">
        <f t="shared" si="35"/>
        <v>PIERCE UTCCommercialFL001.0YXX001TEMPC</v>
      </c>
      <c r="B170" s="243" t="s">
        <v>347</v>
      </c>
      <c r="C170" s="243" t="s">
        <v>348</v>
      </c>
      <c r="D170" s="243" t="s">
        <v>528</v>
      </c>
      <c r="E170" s="230">
        <v>33000</v>
      </c>
      <c r="F170" s="244">
        <v>22.87</v>
      </c>
      <c r="G170" s="244">
        <v>23.38</v>
      </c>
      <c r="H170" s="244"/>
      <c r="I170" s="244">
        <v>22.87</v>
      </c>
      <c r="J170" s="244">
        <v>45.74</v>
      </c>
      <c r="K170" s="244">
        <v>22.87</v>
      </c>
      <c r="L170" s="244">
        <v>46.76</v>
      </c>
      <c r="M170" s="244">
        <v>70.14</v>
      </c>
      <c r="N170" s="244">
        <v>187.04</v>
      </c>
      <c r="O170" s="244">
        <v>210.42</v>
      </c>
      <c r="P170" s="244">
        <v>163.66</v>
      </c>
      <c r="Q170" s="244">
        <v>93.52</v>
      </c>
      <c r="R170" s="244">
        <v>93.52</v>
      </c>
      <c r="S170" s="244">
        <v>93.52</v>
      </c>
      <c r="T170" s="244">
        <v>23.38</v>
      </c>
      <c r="U170" s="244"/>
      <c r="V170" s="408">
        <f t="shared" si="31"/>
        <v>1073.44</v>
      </c>
      <c r="W170" s="245"/>
      <c r="X170" s="420">
        <f t="shared" si="38"/>
        <v>1</v>
      </c>
      <c r="Y170" s="421">
        <f t="shared" si="38"/>
        <v>2</v>
      </c>
      <c r="Z170" s="421">
        <f t="shared" si="38"/>
        <v>1</v>
      </c>
      <c r="AA170" s="420">
        <f t="shared" si="37"/>
        <v>2</v>
      </c>
      <c r="AB170" s="420">
        <f t="shared" si="37"/>
        <v>3</v>
      </c>
      <c r="AC170" s="420">
        <f t="shared" si="37"/>
        <v>8</v>
      </c>
      <c r="AD170" s="420">
        <f t="shared" si="36"/>
        <v>9</v>
      </c>
      <c r="AE170" s="420">
        <f t="shared" si="36"/>
        <v>7</v>
      </c>
      <c r="AF170" s="420">
        <f t="shared" si="36"/>
        <v>4</v>
      </c>
      <c r="AG170" s="420">
        <f t="shared" si="36"/>
        <v>4</v>
      </c>
      <c r="AH170" s="420">
        <f t="shared" si="36"/>
        <v>4</v>
      </c>
      <c r="AI170" s="420">
        <f t="shared" si="36"/>
        <v>1</v>
      </c>
      <c r="AJ170" s="408">
        <f t="shared" si="34"/>
        <v>46</v>
      </c>
    </row>
    <row r="171" spans="1:38">
      <c r="A171" s="231" t="str">
        <f t="shared" si="35"/>
        <v>PIERCE UTCCommercialFL001.5YXX001TEMPC</v>
      </c>
      <c r="B171" s="243" t="s">
        <v>349</v>
      </c>
      <c r="C171" s="243" t="s">
        <v>350</v>
      </c>
      <c r="D171" s="243" t="s">
        <v>528</v>
      </c>
      <c r="E171" s="230">
        <v>33000</v>
      </c>
      <c r="F171" s="244">
        <v>30.47</v>
      </c>
      <c r="G171" s="244">
        <v>31.2</v>
      </c>
      <c r="H171" s="244"/>
      <c r="I171" s="244">
        <v>60.94</v>
      </c>
      <c r="J171" s="244">
        <v>304.7</v>
      </c>
      <c r="K171" s="244">
        <v>335.17</v>
      </c>
      <c r="L171" s="244">
        <v>686.4</v>
      </c>
      <c r="M171" s="244">
        <v>842.40000000000009</v>
      </c>
      <c r="N171" s="244">
        <v>1872.0000000000002</v>
      </c>
      <c r="O171" s="244">
        <v>530.4</v>
      </c>
      <c r="P171" s="244">
        <v>1528.8000000000002</v>
      </c>
      <c r="Q171" s="244">
        <v>1435.1999999999998</v>
      </c>
      <c r="R171" s="244">
        <v>1029.5999999999999</v>
      </c>
      <c r="S171" s="244">
        <v>1092</v>
      </c>
      <c r="T171" s="244">
        <v>468</v>
      </c>
      <c r="U171" s="244"/>
      <c r="V171" s="408">
        <f t="shared" si="31"/>
        <v>10185.61</v>
      </c>
      <c r="W171" s="245"/>
      <c r="X171" s="420">
        <f t="shared" si="38"/>
        <v>2</v>
      </c>
      <c r="Y171" s="421">
        <f t="shared" si="38"/>
        <v>10</v>
      </c>
      <c r="Z171" s="421">
        <f t="shared" si="38"/>
        <v>11.000000000000002</v>
      </c>
      <c r="AA171" s="420">
        <f t="shared" si="37"/>
        <v>22</v>
      </c>
      <c r="AB171" s="420">
        <f t="shared" si="37"/>
        <v>27.000000000000004</v>
      </c>
      <c r="AC171" s="420">
        <f t="shared" si="37"/>
        <v>60.000000000000007</v>
      </c>
      <c r="AD171" s="420">
        <f t="shared" si="36"/>
        <v>17</v>
      </c>
      <c r="AE171" s="420">
        <f t="shared" si="36"/>
        <v>49.000000000000007</v>
      </c>
      <c r="AF171" s="420">
        <f t="shared" si="36"/>
        <v>45.999999999999993</v>
      </c>
      <c r="AG171" s="420">
        <f t="shared" si="36"/>
        <v>33</v>
      </c>
      <c r="AH171" s="420">
        <f t="shared" si="36"/>
        <v>35</v>
      </c>
      <c r="AI171" s="420">
        <f t="shared" si="36"/>
        <v>15</v>
      </c>
      <c r="AJ171" s="408">
        <f t="shared" si="34"/>
        <v>327</v>
      </c>
    </row>
    <row r="172" spans="1:38">
      <c r="A172" s="231" t="str">
        <f t="shared" si="35"/>
        <v>PIERCE UTCCommercialFL002.0YXX001TEMPC</v>
      </c>
      <c r="B172" s="243" t="s">
        <v>351</v>
      </c>
      <c r="C172" s="243" t="s">
        <v>352</v>
      </c>
      <c r="D172" s="243" t="s">
        <v>528</v>
      </c>
      <c r="E172" s="230">
        <v>33000</v>
      </c>
      <c r="F172" s="244">
        <v>37.1</v>
      </c>
      <c r="G172" s="244">
        <v>38.049999999999997</v>
      </c>
      <c r="H172" s="244"/>
      <c r="I172" s="244">
        <v>1484</v>
      </c>
      <c r="J172" s="244">
        <v>1706.6</v>
      </c>
      <c r="K172" s="244">
        <v>890.4</v>
      </c>
      <c r="L172" s="244">
        <v>2736.75</v>
      </c>
      <c r="M172" s="244">
        <v>2815.7000000000003</v>
      </c>
      <c r="N172" s="244">
        <v>3082.0499999999997</v>
      </c>
      <c r="O172" s="244">
        <v>3159.1</v>
      </c>
      <c r="P172" s="244">
        <v>4337.7</v>
      </c>
      <c r="Q172" s="244">
        <v>2739.6</v>
      </c>
      <c r="R172" s="244">
        <v>1864.45</v>
      </c>
      <c r="S172" s="244">
        <v>2815.7</v>
      </c>
      <c r="T172" s="244">
        <v>1940.55</v>
      </c>
      <c r="U172" s="244"/>
      <c r="V172" s="408">
        <f t="shared" si="31"/>
        <v>29572.6</v>
      </c>
      <c r="W172" s="245"/>
      <c r="X172" s="420">
        <f t="shared" si="38"/>
        <v>40</v>
      </c>
      <c r="Y172" s="421">
        <f t="shared" si="38"/>
        <v>45.999999999999993</v>
      </c>
      <c r="Z172" s="421">
        <f t="shared" si="38"/>
        <v>24</v>
      </c>
      <c r="AA172" s="420">
        <f t="shared" si="37"/>
        <v>71.92509855453352</v>
      </c>
      <c r="AB172" s="420">
        <f t="shared" si="37"/>
        <v>74.000000000000014</v>
      </c>
      <c r="AC172" s="420">
        <f t="shared" si="37"/>
        <v>81</v>
      </c>
      <c r="AD172" s="420">
        <f t="shared" si="36"/>
        <v>83.024967148488841</v>
      </c>
      <c r="AE172" s="420">
        <f t="shared" si="36"/>
        <v>114</v>
      </c>
      <c r="AF172" s="420">
        <f t="shared" si="36"/>
        <v>72</v>
      </c>
      <c r="AG172" s="420">
        <f t="shared" si="36"/>
        <v>49.000000000000007</v>
      </c>
      <c r="AH172" s="420">
        <f t="shared" si="36"/>
        <v>74</v>
      </c>
      <c r="AI172" s="420">
        <f t="shared" si="36"/>
        <v>51</v>
      </c>
      <c r="AJ172" s="408">
        <f t="shared" si="34"/>
        <v>779.95006570302235</v>
      </c>
    </row>
    <row r="173" spans="1:38">
      <c r="A173" s="231" t="str">
        <f t="shared" si="35"/>
        <v>PIERCE UTCCommercialFL003.0YXX001TEMPC</v>
      </c>
      <c r="B173" s="243" t="s">
        <v>353</v>
      </c>
      <c r="C173" s="243" t="s">
        <v>354</v>
      </c>
      <c r="D173" s="243" t="s">
        <v>528</v>
      </c>
      <c r="E173" s="230">
        <v>33000</v>
      </c>
      <c r="F173" s="244">
        <v>52.05</v>
      </c>
      <c r="G173" s="244">
        <v>53.43</v>
      </c>
      <c r="H173" s="244"/>
      <c r="I173" s="244">
        <v>0</v>
      </c>
      <c r="J173" s="244">
        <v>0</v>
      </c>
      <c r="K173" s="244">
        <v>0</v>
      </c>
      <c r="L173" s="244">
        <v>0</v>
      </c>
      <c r="M173" s="244">
        <v>0</v>
      </c>
      <c r="N173" s="244">
        <v>0</v>
      </c>
      <c r="O173" s="244">
        <v>0</v>
      </c>
      <c r="P173" s="244">
        <v>0</v>
      </c>
      <c r="Q173" s="244">
        <v>53.43</v>
      </c>
      <c r="R173" s="244">
        <v>0</v>
      </c>
      <c r="S173" s="244">
        <v>0</v>
      </c>
      <c r="T173" s="244">
        <v>0</v>
      </c>
      <c r="U173" s="244"/>
      <c r="V173" s="408">
        <f t="shared" si="31"/>
        <v>53.43</v>
      </c>
      <c r="W173" s="245"/>
      <c r="X173" s="420">
        <f t="shared" si="38"/>
        <v>0</v>
      </c>
      <c r="Y173" s="421">
        <f t="shared" si="38"/>
        <v>0</v>
      </c>
      <c r="Z173" s="421">
        <f t="shared" si="38"/>
        <v>0</v>
      </c>
      <c r="AA173" s="420">
        <f t="shared" si="37"/>
        <v>0</v>
      </c>
      <c r="AB173" s="420">
        <f t="shared" si="37"/>
        <v>0</v>
      </c>
      <c r="AC173" s="420">
        <f t="shared" si="37"/>
        <v>0</v>
      </c>
      <c r="AD173" s="420">
        <f t="shared" si="37"/>
        <v>0</v>
      </c>
      <c r="AE173" s="420">
        <f t="shared" si="37"/>
        <v>0</v>
      </c>
      <c r="AF173" s="420">
        <f t="shared" si="37"/>
        <v>1</v>
      </c>
      <c r="AG173" s="420">
        <f t="shared" si="37"/>
        <v>0</v>
      </c>
      <c r="AH173" s="420">
        <f t="shared" si="37"/>
        <v>0</v>
      </c>
      <c r="AI173" s="420">
        <f t="shared" si="37"/>
        <v>0</v>
      </c>
      <c r="AJ173" s="408">
        <f t="shared" si="34"/>
        <v>1</v>
      </c>
    </row>
    <row r="174" spans="1:38">
      <c r="A174" s="231" t="str">
        <f t="shared" si="35"/>
        <v>PIERCE UTCCommercialFL004.0YXX001TEMPC</v>
      </c>
      <c r="B174" s="243" t="s">
        <v>355</v>
      </c>
      <c r="C174" s="243" t="s">
        <v>356</v>
      </c>
      <c r="D174" s="243" t="s">
        <v>528</v>
      </c>
      <c r="E174" s="230">
        <v>33000</v>
      </c>
      <c r="F174" s="244">
        <v>67.08</v>
      </c>
      <c r="G174" s="244">
        <v>68.87</v>
      </c>
      <c r="H174" s="244"/>
      <c r="I174" s="244">
        <v>0</v>
      </c>
      <c r="J174" s="244">
        <v>0</v>
      </c>
      <c r="K174" s="244">
        <v>0</v>
      </c>
      <c r="L174" s="244">
        <v>0</v>
      </c>
      <c r="M174" s="244">
        <v>0</v>
      </c>
      <c r="N174" s="244">
        <v>275.48</v>
      </c>
      <c r="O174" s="244">
        <v>0</v>
      </c>
      <c r="P174" s="244">
        <v>0</v>
      </c>
      <c r="Q174" s="244">
        <v>206.61</v>
      </c>
      <c r="R174" s="244">
        <v>68.87</v>
      </c>
      <c r="S174" s="244">
        <v>0</v>
      </c>
      <c r="T174" s="244">
        <v>0</v>
      </c>
      <c r="U174" s="244"/>
      <c r="V174" s="408">
        <f t="shared" si="31"/>
        <v>550.96</v>
      </c>
      <c r="W174" s="245"/>
      <c r="X174" s="420">
        <f t="shared" si="38"/>
        <v>0</v>
      </c>
      <c r="Y174" s="421">
        <f t="shared" si="38"/>
        <v>0</v>
      </c>
      <c r="Z174" s="421">
        <f t="shared" si="38"/>
        <v>0</v>
      </c>
      <c r="AA174" s="420">
        <f t="shared" ref="AA174:AI202" si="39">IFERROR(L174/$G174,0)</f>
        <v>0</v>
      </c>
      <c r="AB174" s="420">
        <f t="shared" si="39"/>
        <v>0</v>
      </c>
      <c r="AC174" s="420">
        <f t="shared" si="39"/>
        <v>4</v>
      </c>
      <c r="AD174" s="420">
        <f t="shared" si="39"/>
        <v>0</v>
      </c>
      <c r="AE174" s="420">
        <f t="shared" si="39"/>
        <v>0</v>
      </c>
      <c r="AF174" s="420">
        <f t="shared" si="39"/>
        <v>3</v>
      </c>
      <c r="AG174" s="420">
        <f t="shared" si="39"/>
        <v>1</v>
      </c>
      <c r="AH174" s="420">
        <f t="shared" si="39"/>
        <v>0</v>
      </c>
      <c r="AI174" s="420">
        <f t="shared" si="39"/>
        <v>0</v>
      </c>
      <c r="AJ174" s="408">
        <f t="shared" si="34"/>
        <v>8</v>
      </c>
    </row>
    <row r="175" spans="1:38">
      <c r="A175" s="231" t="str">
        <f t="shared" si="35"/>
        <v>PIERCE UTCCommercialFL006.0YXX001TEMPC</v>
      </c>
      <c r="B175" s="243" t="s">
        <v>357</v>
      </c>
      <c r="C175" s="243" t="s">
        <v>358</v>
      </c>
      <c r="D175" s="243" t="s">
        <v>528</v>
      </c>
      <c r="E175" s="230">
        <v>33000</v>
      </c>
      <c r="F175" s="244">
        <v>93.45</v>
      </c>
      <c r="G175" s="244">
        <v>95.91</v>
      </c>
      <c r="H175" s="244"/>
      <c r="I175" s="244">
        <v>0</v>
      </c>
      <c r="J175" s="244">
        <v>654.15</v>
      </c>
      <c r="K175" s="244">
        <v>93.45</v>
      </c>
      <c r="L175" s="244">
        <v>0</v>
      </c>
      <c r="M175" s="244">
        <v>0</v>
      </c>
      <c r="N175" s="244">
        <v>0</v>
      </c>
      <c r="O175" s="244">
        <v>191.82</v>
      </c>
      <c r="P175" s="244">
        <v>0</v>
      </c>
      <c r="Q175" s="244">
        <v>0</v>
      </c>
      <c r="R175" s="244">
        <v>0</v>
      </c>
      <c r="S175" s="244">
        <v>191.82</v>
      </c>
      <c r="T175" s="244">
        <v>0</v>
      </c>
      <c r="U175" s="244"/>
      <c r="V175" s="408">
        <f t="shared" si="31"/>
        <v>1131.24</v>
      </c>
      <c r="W175" s="245"/>
      <c r="X175" s="420">
        <f t="shared" si="38"/>
        <v>0</v>
      </c>
      <c r="Y175" s="421">
        <f t="shared" si="38"/>
        <v>6.9999999999999991</v>
      </c>
      <c r="Z175" s="421">
        <f t="shared" si="38"/>
        <v>1</v>
      </c>
      <c r="AA175" s="420">
        <f t="shared" si="39"/>
        <v>0</v>
      </c>
      <c r="AB175" s="420">
        <f t="shared" si="39"/>
        <v>0</v>
      </c>
      <c r="AC175" s="420">
        <f t="shared" si="39"/>
        <v>0</v>
      </c>
      <c r="AD175" s="420">
        <f t="shared" si="39"/>
        <v>2</v>
      </c>
      <c r="AE175" s="420">
        <f t="shared" si="39"/>
        <v>0</v>
      </c>
      <c r="AF175" s="420">
        <f t="shared" si="39"/>
        <v>0</v>
      </c>
      <c r="AG175" s="420">
        <f t="shared" si="39"/>
        <v>0</v>
      </c>
      <c r="AH175" s="420">
        <f t="shared" si="39"/>
        <v>2</v>
      </c>
      <c r="AI175" s="420">
        <f t="shared" si="39"/>
        <v>0</v>
      </c>
      <c r="AJ175" s="408">
        <f t="shared" si="34"/>
        <v>12</v>
      </c>
    </row>
    <row r="176" spans="1:38">
      <c r="A176" s="231" t="str">
        <f t="shared" si="35"/>
        <v>PIERCE UTCCommercialRENT1.5TEMP-COMM</v>
      </c>
      <c r="B176" s="243" t="s">
        <v>532</v>
      </c>
      <c r="C176" s="243" t="s">
        <v>533</v>
      </c>
      <c r="D176" s="243" t="s">
        <v>528</v>
      </c>
      <c r="E176" s="230">
        <v>33000</v>
      </c>
      <c r="F176" s="244">
        <v>0.53</v>
      </c>
      <c r="G176" s="244">
        <v>0.53</v>
      </c>
      <c r="H176" s="244"/>
      <c r="I176" s="244">
        <v>6.89</v>
      </c>
      <c r="J176" s="244">
        <v>38.159999999999997</v>
      </c>
      <c r="K176" s="244">
        <v>59.36</v>
      </c>
      <c r="L176" s="244">
        <v>135.02000000000001</v>
      </c>
      <c r="M176" s="244">
        <v>196.63</v>
      </c>
      <c r="N176" s="244">
        <v>161.65</v>
      </c>
      <c r="O176" s="244">
        <v>135.15</v>
      </c>
      <c r="P176" s="244">
        <v>275.07</v>
      </c>
      <c r="Q176" s="244">
        <v>363.05</v>
      </c>
      <c r="R176" s="244">
        <v>306.89999999999998</v>
      </c>
      <c r="S176" s="244">
        <v>279.17</v>
      </c>
      <c r="T176" s="244">
        <v>126.67</v>
      </c>
      <c r="U176" s="244"/>
      <c r="V176" s="408">
        <f t="shared" si="31"/>
        <v>2083.7200000000003</v>
      </c>
      <c r="W176" s="245"/>
      <c r="X176" s="420">
        <f t="shared" si="38"/>
        <v>12.999999999999998</v>
      </c>
      <c r="Y176" s="421">
        <f t="shared" si="38"/>
        <v>71.999999999999986</v>
      </c>
      <c r="Z176" s="421">
        <f t="shared" si="38"/>
        <v>112</v>
      </c>
      <c r="AA176" s="420">
        <f t="shared" si="39"/>
        <v>254.75471698113208</v>
      </c>
      <c r="AB176" s="420">
        <f t="shared" si="39"/>
        <v>371</v>
      </c>
      <c r="AC176" s="420">
        <f t="shared" si="39"/>
        <v>305</v>
      </c>
      <c r="AD176" s="420">
        <f t="shared" si="39"/>
        <v>255</v>
      </c>
      <c r="AE176" s="420">
        <f t="shared" si="39"/>
        <v>519</v>
      </c>
      <c r="AF176" s="420">
        <f t="shared" si="39"/>
        <v>685</v>
      </c>
      <c r="AG176" s="420">
        <f t="shared" si="39"/>
        <v>579.05660377358481</v>
      </c>
      <c r="AH176" s="420">
        <f t="shared" si="39"/>
        <v>526.7358490566038</v>
      </c>
      <c r="AI176" s="420">
        <f t="shared" si="39"/>
        <v>239</v>
      </c>
    </row>
    <row r="177" spans="1:35">
      <c r="A177" s="231" t="str">
        <f t="shared" si="35"/>
        <v>PIERCE UTCCommercialRENT1TEMP-COMM</v>
      </c>
      <c r="B177" s="243" t="s">
        <v>534</v>
      </c>
      <c r="C177" s="243" t="s">
        <v>535</v>
      </c>
      <c r="D177" s="243" t="s">
        <v>528</v>
      </c>
      <c r="E177" s="230">
        <v>33000</v>
      </c>
      <c r="F177" s="244">
        <v>0.48</v>
      </c>
      <c r="G177" s="244">
        <v>0.48</v>
      </c>
      <c r="H177" s="244"/>
      <c r="I177" s="244">
        <v>4.32</v>
      </c>
      <c r="J177" s="244">
        <v>16.32</v>
      </c>
      <c r="K177" s="244">
        <v>13.44</v>
      </c>
      <c r="L177" s="244">
        <v>18.239999999999998</v>
      </c>
      <c r="M177" s="244">
        <v>11.52</v>
      </c>
      <c r="N177" s="244">
        <v>14.88</v>
      </c>
      <c r="O177" s="244">
        <v>44.16</v>
      </c>
      <c r="P177" s="244">
        <v>64.319999999999993</v>
      </c>
      <c r="Q177" s="244">
        <v>40.32</v>
      </c>
      <c r="R177" s="244">
        <v>36.479999999999997</v>
      </c>
      <c r="S177" s="244">
        <v>14.88</v>
      </c>
      <c r="T177" s="244">
        <v>28.8</v>
      </c>
      <c r="U177" s="244"/>
      <c r="V177" s="408">
        <f t="shared" ref="V177:V240" si="40">SUM(I177:T177)</f>
        <v>307.68</v>
      </c>
      <c r="W177" s="245"/>
      <c r="X177" s="420">
        <f t="shared" ref="X177:Z208" si="41">IFERROR(I177/$F177,0)</f>
        <v>9.0000000000000018</v>
      </c>
      <c r="Y177" s="421">
        <f t="shared" si="41"/>
        <v>34</v>
      </c>
      <c r="Z177" s="421">
        <f t="shared" si="41"/>
        <v>28</v>
      </c>
      <c r="AA177" s="420">
        <f t="shared" si="39"/>
        <v>38</v>
      </c>
      <c r="AB177" s="420">
        <f t="shared" si="39"/>
        <v>24</v>
      </c>
      <c r="AC177" s="420">
        <f t="shared" si="39"/>
        <v>31.000000000000004</v>
      </c>
      <c r="AD177" s="420">
        <f t="shared" si="39"/>
        <v>92</v>
      </c>
      <c r="AE177" s="420">
        <f t="shared" si="39"/>
        <v>134</v>
      </c>
      <c r="AF177" s="420">
        <f t="shared" si="39"/>
        <v>84</v>
      </c>
      <c r="AG177" s="420">
        <f t="shared" si="39"/>
        <v>76</v>
      </c>
      <c r="AH177" s="420">
        <f t="shared" si="39"/>
        <v>31.000000000000004</v>
      </c>
      <c r="AI177" s="420">
        <f t="shared" si="39"/>
        <v>60.000000000000007</v>
      </c>
    </row>
    <row r="178" spans="1:35">
      <c r="A178" s="231" t="str">
        <f t="shared" ref="A178:A238" si="42">$A$3&amp;"Commercial"&amp;B178</f>
        <v>PIERCE UTCCommercialRENT2TEMP-COMM</v>
      </c>
      <c r="B178" s="243" t="s">
        <v>536</v>
      </c>
      <c r="C178" s="243" t="s">
        <v>537</v>
      </c>
      <c r="D178" s="243" t="s">
        <v>528</v>
      </c>
      <c r="E178" s="230">
        <v>33000</v>
      </c>
      <c r="F178" s="244">
        <v>0.63</v>
      </c>
      <c r="G178" s="244">
        <v>0.63</v>
      </c>
      <c r="H178" s="244"/>
      <c r="I178" s="244">
        <v>472.5</v>
      </c>
      <c r="J178" s="244">
        <v>364.14</v>
      </c>
      <c r="K178" s="244">
        <v>394.38</v>
      </c>
      <c r="L178" s="244">
        <v>702.45</v>
      </c>
      <c r="M178" s="244">
        <v>640.71</v>
      </c>
      <c r="N178" s="244">
        <v>651.41999999999996</v>
      </c>
      <c r="O178" s="244">
        <v>708.75</v>
      </c>
      <c r="P178" s="244">
        <v>948.78</v>
      </c>
      <c r="Q178" s="244">
        <v>785.61</v>
      </c>
      <c r="R178" s="244">
        <v>749.77</v>
      </c>
      <c r="S178" s="244">
        <v>621.34</v>
      </c>
      <c r="T178" s="244">
        <v>529.20000000000005</v>
      </c>
      <c r="U178" s="244"/>
      <c r="V178" s="408">
        <f t="shared" si="40"/>
        <v>7569.05</v>
      </c>
      <c r="W178" s="245"/>
      <c r="X178" s="420">
        <f t="shared" si="41"/>
        <v>750</v>
      </c>
      <c r="Y178" s="421">
        <f t="shared" si="41"/>
        <v>578</v>
      </c>
      <c r="Z178" s="421">
        <f t="shared" si="41"/>
        <v>626</v>
      </c>
      <c r="AA178" s="420">
        <f t="shared" si="39"/>
        <v>1115</v>
      </c>
      <c r="AB178" s="420">
        <f t="shared" si="39"/>
        <v>1017</v>
      </c>
      <c r="AC178" s="420">
        <f t="shared" si="39"/>
        <v>1034</v>
      </c>
      <c r="AD178" s="420">
        <f t="shared" si="39"/>
        <v>1125</v>
      </c>
      <c r="AE178" s="420">
        <f t="shared" si="39"/>
        <v>1506</v>
      </c>
      <c r="AF178" s="420">
        <f t="shared" si="39"/>
        <v>1247</v>
      </c>
      <c r="AG178" s="420">
        <f t="shared" si="39"/>
        <v>1190.1111111111111</v>
      </c>
      <c r="AH178" s="420">
        <f t="shared" si="39"/>
        <v>986.25396825396831</v>
      </c>
      <c r="AI178" s="420">
        <f t="shared" si="39"/>
        <v>840.00000000000011</v>
      </c>
    </row>
    <row r="179" spans="1:35">
      <c r="A179" s="231" t="str">
        <f t="shared" si="42"/>
        <v>PIERCE UTCCommercialRENT3TEMP-COMM</v>
      </c>
      <c r="B179" s="243" t="s">
        <v>538</v>
      </c>
      <c r="C179" s="243" t="s">
        <v>539</v>
      </c>
      <c r="D179" s="243" t="s">
        <v>528</v>
      </c>
      <c r="E179" s="230">
        <v>33000</v>
      </c>
      <c r="F179" s="244">
        <v>0.69</v>
      </c>
      <c r="G179" s="244">
        <v>0.69</v>
      </c>
      <c r="H179" s="244"/>
      <c r="I179" s="244">
        <v>0</v>
      </c>
      <c r="J179" s="244">
        <v>0</v>
      </c>
      <c r="K179" s="244">
        <v>0</v>
      </c>
      <c r="L179" s="244">
        <v>0</v>
      </c>
      <c r="M179" s="244">
        <v>0</v>
      </c>
      <c r="N179" s="244">
        <v>0</v>
      </c>
      <c r="O179" s="244">
        <v>0</v>
      </c>
      <c r="P179" s="244">
        <v>0</v>
      </c>
      <c r="Q179" s="244">
        <v>2.76</v>
      </c>
      <c r="R179" s="244">
        <v>-8.82</v>
      </c>
      <c r="S179" s="244">
        <v>0</v>
      </c>
      <c r="T179" s="244">
        <v>0</v>
      </c>
      <c r="U179" s="244"/>
      <c r="V179" s="408">
        <f t="shared" si="40"/>
        <v>-6.0600000000000005</v>
      </c>
      <c r="W179" s="245"/>
      <c r="X179" s="420">
        <f t="shared" si="41"/>
        <v>0</v>
      </c>
      <c r="Y179" s="421">
        <f t="shared" si="41"/>
        <v>0</v>
      </c>
      <c r="Z179" s="421">
        <f t="shared" si="41"/>
        <v>0</v>
      </c>
      <c r="AA179" s="420">
        <f t="shared" si="39"/>
        <v>0</v>
      </c>
      <c r="AB179" s="420">
        <f t="shared" si="39"/>
        <v>0</v>
      </c>
      <c r="AC179" s="420">
        <f t="shared" si="39"/>
        <v>0</v>
      </c>
      <c r="AD179" s="420">
        <f t="shared" si="39"/>
        <v>0</v>
      </c>
      <c r="AE179" s="420">
        <f t="shared" si="39"/>
        <v>0</v>
      </c>
      <c r="AF179" s="420">
        <f t="shared" si="39"/>
        <v>4</v>
      </c>
      <c r="AG179" s="420">
        <f t="shared" si="39"/>
        <v>-12.782608695652176</v>
      </c>
      <c r="AH179" s="420">
        <f t="shared" si="39"/>
        <v>0</v>
      </c>
      <c r="AI179" s="420">
        <f t="shared" si="39"/>
        <v>0</v>
      </c>
    </row>
    <row r="180" spans="1:35">
      <c r="A180" s="231" t="str">
        <f t="shared" si="42"/>
        <v>PIERCE UTCCommercialRENT4TEMP-COMM</v>
      </c>
      <c r="B180" s="243" t="s">
        <v>540</v>
      </c>
      <c r="C180" s="243" t="s">
        <v>541</v>
      </c>
      <c r="D180" s="243" t="s">
        <v>528</v>
      </c>
      <c r="E180" s="230">
        <v>33000</v>
      </c>
      <c r="F180" s="244">
        <v>0.9</v>
      </c>
      <c r="G180" s="244">
        <v>0.9</v>
      </c>
      <c r="H180" s="244"/>
      <c r="I180" s="244">
        <v>0</v>
      </c>
      <c r="J180" s="244">
        <v>0</v>
      </c>
      <c r="K180" s="244">
        <v>0</v>
      </c>
      <c r="L180" s="244">
        <v>0</v>
      </c>
      <c r="M180" s="244">
        <v>4.5</v>
      </c>
      <c r="N180" s="244">
        <v>38.700000000000003</v>
      </c>
      <c r="O180" s="244">
        <v>0</v>
      </c>
      <c r="P180" s="244">
        <v>0</v>
      </c>
      <c r="Q180" s="244">
        <v>27.9</v>
      </c>
      <c r="R180" s="244">
        <v>0</v>
      </c>
      <c r="S180" s="244">
        <v>0</v>
      </c>
      <c r="T180" s="244">
        <v>0</v>
      </c>
      <c r="U180" s="244"/>
      <c r="V180" s="408">
        <f t="shared" si="40"/>
        <v>71.099999999999994</v>
      </c>
      <c r="W180" s="245"/>
      <c r="X180" s="420">
        <f t="shared" si="41"/>
        <v>0</v>
      </c>
      <c r="Y180" s="421">
        <f t="shared" si="41"/>
        <v>0</v>
      </c>
      <c r="Z180" s="421">
        <f t="shared" si="41"/>
        <v>0</v>
      </c>
      <c r="AA180" s="420">
        <f t="shared" si="39"/>
        <v>0</v>
      </c>
      <c r="AB180" s="420">
        <f t="shared" si="39"/>
        <v>5</v>
      </c>
      <c r="AC180" s="420">
        <f t="shared" si="39"/>
        <v>43</v>
      </c>
      <c r="AD180" s="420">
        <f t="shared" si="39"/>
        <v>0</v>
      </c>
      <c r="AE180" s="420">
        <f t="shared" si="39"/>
        <v>0</v>
      </c>
      <c r="AF180" s="420">
        <f t="shared" si="39"/>
        <v>30.999999999999996</v>
      </c>
      <c r="AG180" s="420">
        <f t="shared" si="39"/>
        <v>0</v>
      </c>
      <c r="AH180" s="420">
        <f t="shared" si="39"/>
        <v>0</v>
      </c>
      <c r="AI180" s="420">
        <f t="shared" si="39"/>
        <v>0</v>
      </c>
    </row>
    <row r="181" spans="1:35">
      <c r="A181" s="231" t="str">
        <f t="shared" si="42"/>
        <v>PIERCE UTCCommercialRENT6TEMP-COMM</v>
      </c>
      <c r="B181" s="243" t="s">
        <v>542</v>
      </c>
      <c r="C181" s="243" t="s">
        <v>543</v>
      </c>
      <c r="D181" s="243" t="s">
        <v>528</v>
      </c>
      <c r="E181" s="230">
        <v>33000</v>
      </c>
      <c r="F181" s="244">
        <v>1.32</v>
      </c>
      <c r="G181" s="244">
        <v>1.32</v>
      </c>
      <c r="H181" s="244"/>
      <c r="I181" s="244">
        <v>19.8</v>
      </c>
      <c r="J181" s="244">
        <v>66</v>
      </c>
      <c r="K181" s="244">
        <v>9.24</v>
      </c>
      <c r="L181" s="244">
        <v>0</v>
      </c>
      <c r="M181" s="244">
        <v>0</v>
      </c>
      <c r="N181" s="244">
        <v>0</v>
      </c>
      <c r="O181" s="244">
        <v>13.2</v>
      </c>
      <c r="P181" s="244">
        <v>1.32</v>
      </c>
      <c r="Q181" s="244">
        <v>0</v>
      </c>
      <c r="R181" s="244">
        <v>0</v>
      </c>
      <c r="S181" s="244">
        <v>13.2</v>
      </c>
      <c r="T181" s="244">
        <v>0</v>
      </c>
      <c r="U181" s="244"/>
      <c r="V181" s="408">
        <f t="shared" si="40"/>
        <v>122.75999999999999</v>
      </c>
      <c r="W181" s="245"/>
      <c r="X181" s="420">
        <f t="shared" si="41"/>
        <v>15</v>
      </c>
      <c r="Y181" s="421">
        <f t="shared" si="41"/>
        <v>50</v>
      </c>
      <c r="Z181" s="421">
        <f t="shared" si="41"/>
        <v>7</v>
      </c>
      <c r="AA181" s="420">
        <f t="shared" si="39"/>
        <v>0</v>
      </c>
      <c r="AB181" s="420">
        <f t="shared" si="39"/>
        <v>0</v>
      </c>
      <c r="AC181" s="420">
        <f t="shared" si="39"/>
        <v>0</v>
      </c>
      <c r="AD181" s="420">
        <f t="shared" si="39"/>
        <v>9.9999999999999982</v>
      </c>
      <c r="AE181" s="420">
        <f t="shared" si="39"/>
        <v>1</v>
      </c>
      <c r="AF181" s="420">
        <f t="shared" si="39"/>
        <v>0</v>
      </c>
      <c r="AG181" s="420">
        <f t="shared" si="39"/>
        <v>0</v>
      </c>
      <c r="AH181" s="420">
        <f t="shared" si="39"/>
        <v>9.9999999999999982</v>
      </c>
      <c r="AI181" s="420">
        <f t="shared" si="39"/>
        <v>0</v>
      </c>
    </row>
    <row r="182" spans="1:35">
      <c r="A182" s="231" t="str">
        <f t="shared" si="42"/>
        <v>PIERCE UTCCommercialADD32GLCOMM</v>
      </c>
      <c r="B182" s="243" t="s">
        <v>359</v>
      </c>
      <c r="C182" s="243" t="s">
        <v>360</v>
      </c>
      <c r="D182" s="243" t="s">
        <v>544</v>
      </c>
      <c r="E182" s="230">
        <v>33001</v>
      </c>
      <c r="F182" s="244">
        <v>14.12</v>
      </c>
      <c r="G182" s="244">
        <v>14.46</v>
      </c>
      <c r="H182" s="244"/>
      <c r="I182" s="244">
        <v>0</v>
      </c>
      <c r="J182" s="244">
        <v>0</v>
      </c>
      <c r="K182" s="244">
        <v>0</v>
      </c>
      <c r="L182" s="244">
        <v>0</v>
      </c>
      <c r="M182" s="244">
        <v>0</v>
      </c>
      <c r="N182" s="244">
        <v>0</v>
      </c>
      <c r="O182" s="244">
        <v>0</v>
      </c>
      <c r="P182" s="244">
        <v>0</v>
      </c>
      <c r="Q182" s="244">
        <v>0</v>
      </c>
      <c r="R182" s="244">
        <v>0</v>
      </c>
      <c r="S182" s="244">
        <v>0</v>
      </c>
      <c r="T182" s="244">
        <v>0</v>
      </c>
      <c r="U182" s="244"/>
      <c r="V182" s="408">
        <f t="shared" si="40"/>
        <v>0</v>
      </c>
      <c r="W182" s="245"/>
      <c r="X182" s="420">
        <f t="shared" si="41"/>
        <v>0</v>
      </c>
      <c r="Y182" s="421">
        <f t="shared" si="41"/>
        <v>0</v>
      </c>
      <c r="Z182" s="421">
        <f t="shared" si="41"/>
        <v>0</v>
      </c>
      <c r="AA182" s="420">
        <f t="shared" si="39"/>
        <v>0</v>
      </c>
      <c r="AB182" s="420">
        <f t="shared" si="39"/>
        <v>0</v>
      </c>
      <c r="AC182" s="420">
        <f t="shared" si="39"/>
        <v>0</v>
      </c>
      <c r="AD182" s="420">
        <f t="shared" si="39"/>
        <v>0</v>
      </c>
      <c r="AE182" s="420">
        <f t="shared" si="39"/>
        <v>0</v>
      </c>
      <c r="AF182" s="420">
        <f t="shared" si="39"/>
        <v>0</v>
      </c>
      <c r="AG182" s="420">
        <f t="shared" si="39"/>
        <v>0</v>
      </c>
      <c r="AH182" s="420">
        <f t="shared" si="39"/>
        <v>0</v>
      </c>
      <c r="AI182" s="420">
        <f t="shared" si="39"/>
        <v>0</v>
      </c>
    </row>
    <row r="183" spans="1:35">
      <c r="A183" s="231" t="str">
        <f t="shared" si="42"/>
        <v>PIERCE UTCCommercialBULKY-COMM</v>
      </c>
      <c r="B183" s="243" t="s">
        <v>361</v>
      </c>
      <c r="C183" s="243" t="s">
        <v>362</v>
      </c>
      <c r="D183" s="243" t="s">
        <v>544</v>
      </c>
      <c r="E183" s="230">
        <v>33001</v>
      </c>
      <c r="F183" s="244">
        <v>31.67</v>
      </c>
      <c r="G183" s="244">
        <v>32.04</v>
      </c>
      <c r="H183" s="244"/>
      <c r="I183" s="244">
        <v>31.67</v>
      </c>
      <c r="J183" s="244">
        <v>277.85000000000002</v>
      </c>
      <c r="K183" s="244">
        <v>0</v>
      </c>
      <c r="L183" s="244">
        <v>444.86</v>
      </c>
      <c r="M183" s="244">
        <v>224.28</v>
      </c>
      <c r="N183" s="244">
        <v>216.22</v>
      </c>
      <c r="O183" s="244">
        <v>320.39999999999998</v>
      </c>
      <c r="P183" s="244">
        <v>48.06</v>
      </c>
      <c r="Q183" s="244">
        <v>256.32</v>
      </c>
      <c r="R183" s="244">
        <v>448.56</v>
      </c>
      <c r="S183" s="244">
        <v>461.39</v>
      </c>
      <c r="T183" s="244">
        <v>158.36000000000001</v>
      </c>
      <c r="U183" s="244"/>
      <c r="V183" s="408">
        <f t="shared" si="40"/>
        <v>2887.9700000000003</v>
      </c>
      <c r="W183" s="245"/>
      <c r="X183" s="420">
        <f t="shared" si="41"/>
        <v>1</v>
      </c>
      <c r="Y183" s="421">
        <f t="shared" si="41"/>
        <v>8.7732870224186925</v>
      </c>
      <c r="Z183" s="421">
        <f t="shared" si="41"/>
        <v>0</v>
      </c>
      <c r="AA183" s="420">
        <f t="shared" si="39"/>
        <v>13.884519350811486</v>
      </c>
      <c r="AB183" s="420">
        <f t="shared" si="39"/>
        <v>7</v>
      </c>
      <c r="AC183" s="420">
        <f t="shared" si="39"/>
        <v>6.7484394506866421</v>
      </c>
      <c r="AD183" s="420">
        <f t="shared" si="39"/>
        <v>10</v>
      </c>
      <c r="AE183" s="420">
        <f t="shared" si="39"/>
        <v>1.5</v>
      </c>
      <c r="AF183" s="420">
        <f t="shared" si="39"/>
        <v>8</v>
      </c>
      <c r="AG183" s="420">
        <f t="shared" si="39"/>
        <v>14</v>
      </c>
      <c r="AH183" s="420">
        <f t="shared" si="39"/>
        <v>14.400436953807739</v>
      </c>
      <c r="AI183" s="420">
        <f t="shared" si="39"/>
        <v>4.9425717852684148</v>
      </c>
    </row>
    <row r="184" spans="1:35">
      <c r="A184" s="231" t="str">
        <f t="shared" si="42"/>
        <v>PIERCE UTCCommercialEP96GW-COMM</v>
      </c>
      <c r="B184" s="243" t="s">
        <v>363</v>
      </c>
      <c r="C184" s="243" t="s">
        <v>364</v>
      </c>
      <c r="D184" s="243" t="s">
        <v>544</v>
      </c>
      <c r="E184" s="230">
        <v>33001</v>
      </c>
      <c r="F184" s="244">
        <v>3.12</v>
      </c>
      <c r="G184" s="244">
        <v>3.12</v>
      </c>
      <c r="H184" s="244"/>
      <c r="I184" s="244">
        <v>0</v>
      </c>
      <c r="J184" s="244">
        <v>0</v>
      </c>
      <c r="K184" s="244">
        <v>0</v>
      </c>
      <c r="L184" s="244">
        <v>0</v>
      </c>
      <c r="M184" s="244">
        <v>0</v>
      </c>
      <c r="N184" s="244">
        <v>0</v>
      </c>
      <c r="O184" s="244">
        <v>0</v>
      </c>
      <c r="P184" s="244">
        <v>0</v>
      </c>
      <c r="Q184" s="244">
        <v>0</v>
      </c>
      <c r="R184" s="244">
        <v>0</v>
      </c>
      <c r="S184" s="244">
        <v>0</v>
      </c>
      <c r="T184" s="244">
        <v>0</v>
      </c>
      <c r="U184" s="244"/>
      <c r="V184" s="408">
        <f t="shared" si="40"/>
        <v>0</v>
      </c>
      <c r="W184" s="245"/>
      <c r="X184" s="420">
        <f t="shared" si="41"/>
        <v>0</v>
      </c>
      <c r="Y184" s="421">
        <f t="shared" si="41"/>
        <v>0</v>
      </c>
      <c r="Z184" s="421">
        <f t="shared" si="41"/>
        <v>0</v>
      </c>
      <c r="AA184" s="420">
        <f t="shared" si="39"/>
        <v>0</v>
      </c>
      <c r="AB184" s="420">
        <f t="shared" si="39"/>
        <v>0</v>
      </c>
      <c r="AC184" s="420">
        <f t="shared" si="39"/>
        <v>0</v>
      </c>
      <c r="AD184" s="420">
        <f t="shared" si="39"/>
        <v>0</v>
      </c>
      <c r="AE184" s="420">
        <f t="shared" si="39"/>
        <v>0</v>
      </c>
      <c r="AF184" s="420">
        <f t="shared" si="39"/>
        <v>0</v>
      </c>
      <c r="AG184" s="420">
        <f t="shared" si="39"/>
        <v>0</v>
      </c>
      <c r="AH184" s="420">
        <f t="shared" si="39"/>
        <v>0</v>
      </c>
      <c r="AI184" s="420">
        <f t="shared" si="39"/>
        <v>0</v>
      </c>
    </row>
    <row r="185" spans="1:35">
      <c r="A185" s="231" t="str">
        <f t="shared" si="42"/>
        <v>PIERCE UTCCommercialEXTRA-COMM</v>
      </c>
      <c r="B185" s="243" t="s">
        <v>365</v>
      </c>
      <c r="C185" s="243" t="s">
        <v>366</v>
      </c>
      <c r="D185" s="243" t="s">
        <v>544</v>
      </c>
      <c r="E185" s="230">
        <v>33001</v>
      </c>
      <c r="F185" s="244">
        <v>3.21</v>
      </c>
      <c r="G185" s="244">
        <v>3.34</v>
      </c>
      <c r="H185" s="244"/>
      <c r="I185" s="244">
        <v>702.99</v>
      </c>
      <c r="J185" s="244">
        <v>776.82</v>
      </c>
      <c r="K185" s="244">
        <v>211.86</v>
      </c>
      <c r="L185" s="244">
        <v>685.87</v>
      </c>
      <c r="M185" s="244">
        <v>460.92</v>
      </c>
      <c r="N185" s="244">
        <v>604.54</v>
      </c>
      <c r="O185" s="244">
        <v>671.34</v>
      </c>
      <c r="P185" s="244">
        <v>938.54</v>
      </c>
      <c r="Q185" s="244">
        <v>941.88</v>
      </c>
      <c r="R185" s="244">
        <v>939.59</v>
      </c>
      <c r="S185" s="244">
        <v>885.1</v>
      </c>
      <c r="T185" s="244">
        <v>738.14</v>
      </c>
      <c r="U185" s="244"/>
      <c r="V185" s="408">
        <f t="shared" si="40"/>
        <v>8557.59</v>
      </c>
      <c r="W185" s="245"/>
      <c r="X185" s="420">
        <f t="shared" si="41"/>
        <v>219</v>
      </c>
      <c r="Y185" s="421">
        <f t="shared" si="41"/>
        <v>242.00000000000003</v>
      </c>
      <c r="Z185" s="421">
        <f t="shared" si="41"/>
        <v>66</v>
      </c>
      <c r="AA185" s="420">
        <f t="shared" si="39"/>
        <v>205.35029940119762</v>
      </c>
      <c r="AB185" s="420">
        <f t="shared" si="39"/>
        <v>138</v>
      </c>
      <c r="AC185" s="420">
        <f t="shared" si="39"/>
        <v>181</v>
      </c>
      <c r="AD185" s="420">
        <f t="shared" si="39"/>
        <v>201.00000000000003</v>
      </c>
      <c r="AE185" s="420">
        <f t="shared" si="39"/>
        <v>281</v>
      </c>
      <c r="AF185" s="420">
        <f t="shared" si="39"/>
        <v>282</v>
      </c>
      <c r="AG185" s="420">
        <f t="shared" si="39"/>
        <v>281.31437125748505</v>
      </c>
      <c r="AH185" s="420">
        <f t="shared" si="39"/>
        <v>265</v>
      </c>
      <c r="AI185" s="420">
        <f t="shared" si="39"/>
        <v>221</v>
      </c>
    </row>
    <row r="186" spans="1:35">
      <c r="A186" s="231" t="str">
        <f t="shared" si="42"/>
        <v>PIERCE UTCCommercialEXTRAGWC-COMM</v>
      </c>
      <c r="B186" s="243" t="s">
        <v>545</v>
      </c>
      <c r="C186" s="243" t="s">
        <v>546</v>
      </c>
      <c r="D186" s="243" t="s">
        <v>544</v>
      </c>
      <c r="E186" s="230">
        <v>33001</v>
      </c>
      <c r="F186" s="244">
        <v>2</v>
      </c>
      <c r="G186" s="244">
        <v>2</v>
      </c>
      <c r="H186" s="244"/>
      <c r="I186" s="244">
        <v>0</v>
      </c>
      <c r="J186" s="244">
        <v>6</v>
      </c>
      <c r="K186" s="244">
        <v>0</v>
      </c>
      <c r="L186" s="244">
        <v>0</v>
      </c>
      <c r="M186" s="244">
        <v>0</v>
      </c>
      <c r="N186" s="244">
        <v>0</v>
      </c>
      <c r="O186" s="244">
        <v>38</v>
      </c>
      <c r="P186" s="244">
        <v>8</v>
      </c>
      <c r="Q186" s="244">
        <v>4</v>
      </c>
      <c r="R186" s="244">
        <v>0</v>
      </c>
      <c r="S186" s="244">
        <v>0</v>
      </c>
      <c r="T186" s="244">
        <v>0</v>
      </c>
      <c r="U186" s="244"/>
      <c r="V186" s="408">
        <f t="shared" si="40"/>
        <v>56</v>
      </c>
      <c r="W186" s="245"/>
      <c r="X186" s="420">
        <f t="shared" si="41"/>
        <v>0</v>
      </c>
      <c r="Y186" s="421">
        <f t="shared" si="41"/>
        <v>3</v>
      </c>
      <c r="Z186" s="421">
        <f t="shared" si="41"/>
        <v>0</v>
      </c>
      <c r="AA186" s="420">
        <f t="shared" si="39"/>
        <v>0</v>
      </c>
      <c r="AB186" s="420">
        <f t="shared" si="39"/>
        <v>0</v>
      </c>
      <c r="AC186" s="420">
        <f t="shared" si="39"/>
        <v>0</v>
      </c>
      <c r="AD186" s="420">
        <f t="shared" si="39"/>
        <v>19</v>
      </c>
      <c r="AE186" s="420">
        <f t="shared" si="39"/>
        <v>4</v>
      </c>
      <c r="AF186" s="420">
        <f t="shared" si="39"/>
        <v>2</v>
      </c>
      <c r="AG186" s="420">
        <f t="shared" si="39"/>
        <v>0</v>
      </c>
      <c r="AH186" s="420">
        <f t="shared" si="39"/>
        <v>0</v>
      </c>
      <c r="AI186" s="420">
        <f t="shared" si="39"/>
        <v>0</v>
      </c>
    </row>
    <row r="187" spans="1:35">
      <c r="A187" s="231" t="str">
        <f t="shared" si="42"/>
        <v>PIERCE UTCCommercialEXTRAYDG-COM</v>
      </c>
      <c r="B187" s="243" t="s">
        <v>367</v>
      </c>
      <c r="C187" s="243" t="s">
        <v>368</v>
      </c>
      <c r="D187" s="243" t="s">
        <v>544</v>
      </c>
      <c r="E187" s="230">
        <v>33001</v>
      </c>
      <c r="F187" s="244">
        <v>31.67</v>
      </c>
      <c r="G187" s="244">
        <v>32.04</v>
      </c>
      <c r="H187" s="244"/>
      <c r="I187" s="244">
        <v>570.05999999999995</v>
      </c>
      <c r="J187" s="244">
        <v>1298.47</v>
      </c>
      <c r="K187" s="244">
        <v>633.4</v>
      </c>
      <c r="L187" s="244">
        <v>928.79</v>
      </c>
      <c r="M187" s="244">
        <v>801</v>
      </c>
      <c r="N187" s="244">
        <v>1602</v>
      </c>
      <c r="O187" s="244">
        <v>1409.76</v>
      </c>
      <c r="P187" s="244">
        <v>1025.28</v>
      </c>
      <c r="Q187" s="244">
        <v>1473.84</v>
      </c>
      <c r="R187" s="244">
        <v>544.67999999999995</v>
      </c>
      <c r="S187" s="244">
        <v>560.70000000000005</v>
      </c>
      <c r="T187" s="244">
        <v>576.72</v>
      </c>
      <c r="U187" s="244"/>
      <c r="V187" s="408">
        <f t="shared" si="40"/>
        <v>11424.7</v>
      </c>
      <c r="W187" s="245"/>
      <c r="X187" s="420">
        <f t="shared" si="41"/>
        <v>17.999999999999996</v>
      </c>
      <c r="Y187" s="421">
        <f t="shared" si="41"/>
        <v>41</v>
      </c>
      <c r="Z187" s="421">
        <f t="shared" si="41"/>
        <v>19.999999999999996</v>
      </c>
      <c r="AA187" s="420">
        <f t="shared" si="39"/>
        <v>28.988451935081148</v>
      </c>
      <c r="AB187" s="420">
        <f t="shared" si="39"/>
        <v>25</v>
      </c>
      <c r="AC187" s="420">
        <f t="shared" si="39"/>
        <v>50</v>
      </c>
      <c r="AD187" s="420">
        <f t="shared" si="39"/>
        <v>44</v>
      </c>
      <c r="AE187" s="420">
        <f t="shared" si="39"/>
        <v>32</v>
      </c>
      <c r="AF187" s="420">
        <f t="shared" si="39"/>
        <v>46</v>
      </c>
      <c r="AG187" s="420">
        <f t="shared" si="39"/>
        <v>17</v>
      </c>
      <c r="AH187" s="420">
        <f t="shared" si="39"/>
        <v>17.500000000000004</v>
      </c>
      <c r="AI187" s="420">
        <f t="shared" si="39"/>
        <v>18</v>
      </c>
    </row>
    <row r="188" spans="1:35">
      <c r="A188" s="231" t="str">
        <f t="shared" si="42"/>
        <v>PIERCE UTCCommercialOC-COMM</v>
      </c>
      <c r="B188" s="243" t="s">
        <v>547</v>
      </c>
      <c r="C188" s="243" t="s">
        <v>548</v>
      </c>
      <c r="D188" s="243" t="s">
        <v>544</v>
      </c>
      <c r="E188" s="230">
        <v>33001</v>
      </c>
      <c r="F188" s="244">
        <v>0</v>
      </c>
      <c r="G188" s="244">
        <v>0</v>
      </c>
      <c r="H188" s="244"/>
      <c r="I188" s="244">
        <v>0</v>
      </c>
      <c r="J188" s="244">
        <v>0</v>
      </c>
      <c r="K188" s="244">
        <v>0</v>
      </c>
      <c r="L188" s="244">
        <v>0</v>
      </c>
      <c r="M188" s="244">
        <v>0</v>
      </c>
      <c r="N188" s="244">
        <v>0</v>
      </c>
      <c r="O188" s="244">
        <v>0</v>
      </c>
      <c r="P188" s="244">
        <v>0</v>
      </c>
      <c r="Q188" s="244">
        <v>0</v>
      </c>
      <c r="R188" s="244">
        <v>0</v>
      </c>
      <c r="S188" s="244">
        <v>0</v>
      </c>
      <c r="T188" s="244">
        <v>0</v>
      </c>
      <c r="U188" s="244"/>
      <c r="V188" s="408">
        <f t="shared" si="40"/>
        <v>0</v>
      </c>
      <c r="W188" s="245"/>
      <c r="X188" s="420">
        <f t="shared" si="41"/>
        <v>0</v>
      </c>
      <c r="Y188" s="421">
        <f t="shared" si="41"/>
        <v>0</v>
      </c>
      <c r="Z188" s="421">
        <f t="shared" si="41"/>
        <v>0</v>
      </c>
      <c r="AA188" s="420">
        <f t="shared" si="39"/>
        <v>0</v>
      </c>
      <c r="AB188" s="420">
        <f t="shared" si="39"/>
        <v>0</v>
      </c>
      <c r="AC188" s="420">
        <f t="shared" si="39"/>
        <v>0</v>
      </c>
      <c r="AD188" s="420">
        <f t="shared" si="39"/>
        <v>0</v>
      </c>
      <c r="AE188" s="420">
        <f t="shared" si="39"/>
        <v>0</v>
      </c>
      <c r="AF188" s="420">
        <f t="shared" si="39"/>
        <v>0</v>
      </c>
      <c r="AG188" s="420">
        <f t="shared" si="39"/>
        <v>0</v>
      </c>
      <c r="AH188" s="420">
        <f t="shared" si="39"/>
        <v>0</v>
      </c>
      <c r="AI188" s="420">
        <f t="shared" si="39"/>
        <v>0</v>
      </c>
    </row>
    <row r="189" spans="1:35">
      <c r="A189" s="231" t="str">
        <f t="shared" si="42"/>
        <v>PIERCE UTCCommercialOFOWCONT-COMM</v>
      </c>
      <c r="B189" s="243" t="s">
        <v>549</v>
      </c>
      <c r="C189" s="243" t="s">
        <v>433</v>
      </c>
      <c r="D189" s="243" t="s">
        <v>544</v>
      </c>
      <c r="E189" s="230">
        <v>33001</v>
      </c>
      <c r="F189" s="244">
        <v>7.62</v>
      </c>
      <c r="G189" s="244">
        <v>7.74</v>
      </c>
      <c r="H189" s="244"/>
      <c r="I189" s="244">
        <v>0</v>
      </c>
      <c r="J189" s="244">
        <v>0</v>
      </c>
      <c r="K189" s="244">
        <v>0</v>
      </c>
      <c r="L189" s="244">
        <v>0</v>
      </c>
      <c r="M189" s="244">
        <v>0</v>
      </c>
      <c r="N189" s="244">
        <v>0</v>
      </c>
      <c r="O189" s="244">
        <v>0</v>
      </c>
      <c r="P189" s="244">
        <v>0</v>
      </c>
      <c r="Q189" s="244">
        <v>0</v>
      </c>
      <c r="R189" s="244">
        <v>0</v>
      </c>
      <c r="S189" s="244">
        <v>0</v>
      </c>
      <c r="T189" s="244">
        <v>0</v>
      </c>
      <c r="U189" s="244"/>
      <c r="V189" s="408">
        <f t="shared" si="40"/>
        <v>0</v>
      </c>
      <c r="W189" s="245"/>
      <c r="X189" s="420">
        <f t="shared" si="41"/>
        <v>0</v>
      </c>
      <c r="Y189" s="421">
        <f t="shared" si="41"/>
        <v>0</v>
      </c>
      <c r="Z189" s="421">
        <f t="shared" si="41"/>
        <v>0</v>
      </c>
      <c r="AA189" s="420">
        <f t="shared" si="39"/>
        <v>0</v>
      </c>
      <c r="AB189" s="420">
        <f t="shared" si="39"/>
        <v>0</v>
      </c>
      <c r="AC189" s="420">
        <f t="shared" si="39"/>
        <v>0</v>
      </c>
      <c r="AD189" s="420">
        <f t="shared" si="39"/>
        <v>0</v>
      </c>
      <c r="AE189" s="420">
        <f t="shared" si="39"/>
        <v>0</v>
      </c>
      <c r="AF189" s="420">
        <f t="shared" si="39"/>
        <v>0</v>
      </c>
      <c r="AG189" s="420">
        <f t="shared" si="39"/>
        <v>0</v>
      </c>
      <c r="AH189" s="420">
        <f t="shared" si="39"/>
        <v>0</v>
      </c>
      <c r="AI189" s="420">
        <f t="shared" si="39"/>
        <v>0</v>
      </c>
    </row>
    <row r="190" spans="1:35">
      <c r="A190" s="231" t="str">
        <f t="shared" si="42"/>
        <v>PIERCE UTCCommercialOS-COMM</v>
      </c>
      <c r="B190" s="243" t="s">
        <v>550</v>
      </c>
      <c r="C190" s="243" t="s">
        <v>551</v>
      </c>
      <c r="D190" s="243" t="s">
        <v>544</v>
      </c>
      <c r="E190" s="230">
        <v>33001</v>
      </c>
      <c r="F190" s="244">
        <v>7.62</v>
      </c>
      <c r="G190" s="244">
        <v>7.74</v>
      </c>
      <c r="H190" s="244"/>
      <c r="I190" s="244">
        <v>0</v>
      </c>
      <c r="J190" s="244">
        <v>0</v>
      </c>
      <c r="K190" s="244">
        <v>0</v>
      </c>
      <c r="L190" s="244">
        <v>0</v>
      </c>
      <c r="M190" s="244">
        <v>0</v>
      </c>
      <c r="N190" s="244">
        <v>0</v>
      </c>
      <c r="O190" s="244">
        <v>0</v>
      </c>
      <c r="P190" s="244">
        <v>0</v>
      </c>
      <c r="Q190" s="244">
        <v>0</v>
      </c>
      <c r="R190" s="244">
        <v>0</v>
      </c>
      <c r="S190" s="244">
        <v>0</v>
      </c>
      <c r="T190" s="244">
        <v>0</v>
      </c>
      <c r="U190" s="244"/>
      <c r="V190" s="408">
        <f t="shared" si="40"/>
        <v>0</v>
      </c>
      <c r="W190" s="245"/>
      <c r="X190" s="420">
        <f t="shared" si="41"/>
        <v>0</v>
      </c>
      <c r="Y190" s="421">
        <f t="shared" si="41"/>
        <v>0</v>
      </c>
      <c r="Z190" s="421">
        <f t="shared" si="41"/>
        <v>0</v>
      </c>
      <c r="AA190" s="420">
        <f t="shared" si="39"/>
        <v>0</v>
      </c>
      <c r="AB190" s="420">
        <f t="shared" si="39"/>
        <v>0</v>
      </c>
      <c r="AC190" s="420">
        <f t="shared" si="39"/>
        <v>0</v>
      </c>
      <c r="AD190" s="420">
        <f t="shared" si="39"/>
        <v>0</v>
      </c>
      <c r="AE190" s="420">
        <f t="shared" si="39"/>
        <v>0</v>
      </c>
      <c r="AF190" s="420">
        <f t="shared" si="39"/>
        <v>0</v>
      </c>
      <c r="AG190" s="420">
        <f t="shared" si="39"/>
        <v>0</v>
      </c>
      <c r="AH190" s="420">
        <f t="shared" si="39"/>
        <v>0</v>
      </c>
      <c r="AI190" s="420">
        <f t="shared" si="39"/>
        <v>0</v>
      </c>
    </row>
    <row r="191" spans="1:35">
      <c r="A191" s="231" t="str">
        <f t="shared" si="42"/>
        <v>PIERCE UTCCommercialACCESS-COMM</v>
      </c>
      <c r="B191" s="243" t="s">
        <v>552</v>
      </c>
      <c r="C191" s="243" t="s">
        <v>553</v>
      </c>
      <c r="D191" s="243" t="s">
        <v>528</v>
      </c>
      <c r="E191" s="230">
        <v>33000</v>
      </c>
      <c r="F191" s="244">
        <v>4.76</v>
      </c>
      <c r="G191" s="244">
        <v>4.76</v>
      </c>
      <c r="H191" s="244"/>
      <c r="I191" s="244">
        <v>2403.31</v>
      </c>
      <c r="J191" s="244">
        <v>2282.6999999999998</v>
      </c>
      <c r="K191" s="244">
        <v>2570.39</v>
      </c>
      <c r="L191" s="244">
        <v>2530.65</v>
      </c>
      <c r="M191" s="244">
        <v>2587.5300000000002</v>
      </c>
      <c r="N191" s="244">
        <v>2648.27</v>
      </c>
      <c r="O191" s="244">
        <v>2671.56</v>
      </c>
      <c r="P191" s="244">
        <v>2509.08</v>
      </c>
      <c r="Q191" s="244">
        <v>2718.2200000000003</v>
      </c>
      <c r="R191" s="244">
        <v>2737.2500000000005</v>
      </c>
      <c r="S191" s="244">
        <v>2755.0200000000004</v>
      </c>
      <c r="T191" s="244">
        <v>2804.7400000000007</v>
      </c>
      <c r="U191" s="244"/>
      <c r="V191" s="408">
        <f t="shared" si="40"/>
        <v>31218.720000000001</v>
      </c>
      <c r="W191" s="245"/>
      <c r="X191" s="420">
        <f t="shared" si="41"/>
        <v>504.89705882352945</v>
      </c>
      <c r="Y191" s="421">
        <f t="shared" si="41"/>
        <v>479.55882352941177</v>
      </c>
      <c r="Z191" s="421">
        <f t="shared" si="41"/>
        <v>539.99789915966392</v>
      </c>
      <c r="AA191" s="420">
        <f t="shared" si="39"/>
        <v>531.64915966386559</v>
      </c>
      <c r="AB191" s="420">
        <f t="shared" si="39"/>
        <v>543.59873949579844</v>
      </c>
      <c r="AC191" s="420">
        <f t="shared" si="39"/>
        <v>556.35924369747897</v>
      </c>
      <c r="AD191" s="420">
        <f t="shared" si="39"/>
        <v>561.2521008403362</v>
      </c>
      <c r="AE191" s="420">
        <f t="shared" si="39"/>
        <v>527.11764705882354</v>
      </c>
      <c r="AF191" s="420">
        <f t="shared" si="39"/>
        <v>571.05462184873954</v>
      </c>
      <c r="AG191" s="420">
        <f t="shared" si="39"/>
        <v>575.05252100840346</v>
      </c>
      <c r="AH191" s="420">
        <f t="shared" si="39"/>
        <v>578.78571428571445</v>
      </c>
      <c r="AI191" s="420">
        <f t="shared" si="39"/>
        <v>589.23109243697502</v>
      </c>
    </row>
    <row r="192" spans="1:35">
      <c r="A192" s="231" t="str">
        <f t="shared" si="42"/>
        <v>PIERCE UTCCommercialACCESS-MF</v>
      </c>
      <c r="B192" s="243" t="s">
        <v>554</v>
      </c>
      <c r="C192" s="243" t="s">
        <v>555</v>
      </c>
      <c r="D192" s="243" t="s">
        <v>528</v>
      </c>
      <c r="E192" s="230">
        <v>33000</v>
      </c>
      <c r="F192" s="244">
        <v>0</v>
      </c>
      <c r="G192" s="244">
        <v>0</v>
      </c>
      <c r="H192" s="244"/>
      <c r="I192" s="244">
        <v>0</v>
      </c>
      <c r="J192" s="244">
        <v>0</v>
      </c>
      <c r="K192" s="244">
        <v>0</v>
      </c>
      <c r="L192" s="244">
        <v>0</v>
      </c>
      <c r="M192" s="244">
        <v>0</v>
      </c>
      <c r="N192" s="244">
        <v>0</v>
      </c>
      <c r="O192" s="244">
        <v>0</v>
      </c>
      <c r="P192" s="244">
        <v>0</v>
      </c>
      <c r="Q192" s="244">
        <v>0</v>
      </c>
      <c r="R192" s="244">
        <v>0</v>
      </c>
      <c r="S192" s="244">
        <v>0</v>
      </c>
      <c r="T192" s="244">
        <v>0</v>
      </c>
      <c r="U192" s="244"/>
      <c r="V192" s="408">
        <f t="shared" si="40"/>
        <v>0</v>
      </c>
      <c r="W192" s="245"/>
      <c r="X192" s="420">
        <f t="shared" si="41"/>
        <v>0</v>
      </c>
      <c r="Y192" s="421">
        <f t="shared" si="41"/>
        <v>0</v>
      </c>
      <c r="Z192" s="421">
        <f t="shared" si="41"/>
        <v>0</v>
      </c>
      <c r="AA192" s="420">
        <f t="shared" si="39"/>
        <v>0</v>
      </c>
      <c r="AB192" s="420">
        <f t="shared" si="39"/>
        <v>0</v>
      </c>
      <c r="AC192" s="420">
        <f t="shared" si="39"/>
        <v>0</v>
      </c>
      <c r="AD192" s="420">
        <f t="shared" si="39"/>
        <v>0</v>
      </c>
      <c r="AE192" s="420">
        <f t="shared" si="39"/>
        <v>0</v>
      </c>
      <c r="AF192" s="420">
        <f t="shared" si="39"/>
        <v>0</v>
      </c>
      <c r="AG192" s="420">
        <f t="shared" si="39"/>
        <v>0</v>
      </c>
      <c r="AH192" s="420">
        <f t="shared" si="39"/>
        <v>0</v>
      </c>
      <c r="AI192" s="420">
        <f t="shared" si="39"/>
        <v>0</v>
      </c>
    </row>
    <row r="193" spans="1:36">
      <c r="A193" s="231" t="str">
        <f t="shared" si="42"/>
        <v>PIERCE UTCCommercialAPPLIANCEC</v>
      </c>
      <c r="B193" s="243" t="s">
        <v>556</v>
      </c>
      <c r="C193" s="243" t="s">
        <v>557</v>
      </c>
      <c r="D193" s="243" t="s">
        <v>528</v>
      </c>
      <c r="E193" s="230">
        <v>33000</v>
      </c>
      <c r="F193" s="244">
        <v>0</v>
      </c>
      <c r="G193" s="244">
        <v>0</v>
      </c>
      <c r="H193" s="244"/>
      <c r="I193" s="244">
        <v>0</v>
      </c>
      <c r="J193" s="244">
        <v>0</v>
      </c>
      <c r="K193" s="244">
        <v>0</v>
      </c>
      <c r="L193" s="244">
        <v>0</v>
      </c>
      <c r="M193" s="244">
        <v>0</v>
      </c>
      <c r="N193" s="244">
        <v>0</v>
      </c>
      <c r="O193" s="244">
        <v>0</v>
      </c>
      <c r="P193" s="244">
        <v>0</v>
      </c>
      <c r="Q193" s="244">
        <v>0</v>
      </c>
      <c r="R193" s="244">
        <v>0</v>
      </c>
      <c r="S193" s="244">
        <v>0</v>
      </c>
      <c r="T193" s="244">
        <v>0</v>
      </c>
      <c r="U193" s="244"/>
      <c r="V193" s="408">
        <f t="shared" si="40"/>
        <v>0</v>
      </c>
      <c r="W193" s="245"/>
      <c r="X193" s="420">
        <f t="shared" si="41"/>
        <v>0</v>
      </c>
      <c r="Y193" s="421">
        <f t="shared" si="41"/>
        <v>0</v>
      </c>
      <c r="Z193" s="421">
        <f t="shared" si="41"/>
        <v>0</v>
      </c>
      <c r="AA193" s="420">
        <f t="shared" si="39"/>
        <v>0</v>
      </c>
      <c r="AB193" s="420">
        <f t="shared" si="39"/>
        <v>0</v>
      </c>
      <c r="AC193" s="420">
        <f t="shared" si="39"/>
        <v>0</v>
      </c>
      <c r="AD193" s="420">
        <f t="shared" si="39"/>
        <v>0</v>
      </c>
      <c r="AE193" s="420">
        <f t="shared" si="39"/>
        <v>0</v>
      </c>
      <c r="AF193" s="420">
        <f t="shared" si="39"/>
        <v>0</v>
      </c>
      <c r="AG193" s="420">
        <f t="shared" si="39"/>
        <v>0</v>
      </c>
      <c r="AH193" s="420">
        <f t="shared" si="39"/>
        <v>0</v>
      </c>
      <c r="AI193" s="420">
        <f t="shared" si="39"/>
        <v>0</v>
      </c>
    </row>
    <row r="194" spans="1:36" s="229" customFormat="1">
      <c r="A194" s="231" t="str">
        <f t="shared" si="42"/>
        <v>PIERCE UTCCommercialDISP-COMM</v>
      </c>
      <c r="B194" s="243" t="s">
        <v>558</v>
      </c>
      <c r="C194" s="243" t="s">
        <v>559</v>
      </c>
      <c r="D194" s="243" t="s">
        <v>528</v>
      </c>
      <c r="E194" s="230">
        <v>33000</v>
      </c>
      <c r="F194" s="244">
        <v>157.38</v>
      </c>
      <c r="G194" s="244">
        <v>164.34</v>
      </c>
      <c r="H194" s="244"/>
      <c r="I194" s="244">
        <v>1137.8599999999999</v>
      </c>
      <c r="J194" s="244">
        <v>305.32</v>
      </c>
      <c r="K194" s="244">
        <v>0</v>
      </c>
      <c r="L194" s="244">
        <v>1017.1</v>
      </c>
      <c r="M194" s="244">
        <v>603.13</v>
      </c>
      <c r="N194" s="244">
        <v>655.72</v>
      </c>
      <c r="O194" s="244">
        <v>4910.5</v>
      </c>
      <c r="P194" s="244">
        <v>10146.36</v>
      </c>
      <c r="Q194" s="244">
        <v>381.27</v>
      </c>
      <c r="R194" s="244">
        <v>341.81</v>
      </c>
      <c r="S194" s="244">
        <v>5686.17</v>
      </c>
      <c r="T194" s="244">
        <v>0</v>
      </c>
      <c r="U194" s="244"/>
      <c r="V194" s="408">
        <f t="shared" si="40"/>
        <v>25185.240000000005</v>
      </c>
      <c r="W194" s="245"/>
      <c r="X194" s="420">
        <f t="shared" si="41"/>
        <v>7.2300165205235727</v>
      </c>
      <c r="Y194" s="421">
        <f t="shared" si="41"/>
        <v>1.9400177913330792</v>
      </c>
      <c r="Z194" s="421">
        <f t="shared" si="41"/>
        <v>0</v>
      </c>
      <c r="AA194" s="420">
        <f t="shared" si="39"/>
        <v>6.1889984179140809</v>
      </c>
      <c r="AB194" s="420">
        <f t="shared" si="39"/>
        <v>3.6700133868808567</v>
      </c>
      <c r="AC194" s="420">
        <f t="shared" si="39"/>
        <v>3.9900206888158696</v>
      </c>
      <c r="AD194" s="420">
        <f t="shared" si="39"/>
        <v>29.880126566873553</v>
      </c>
      <c r="AE194" s="420">
        <f t="shared" si="39"/>
        <v>61.740051113545093</v>
      </c>
      <c r="AF194" s="420">
        <f t="shared" si="39"/>
        <v>2.3200073019350125</v>
      </c>
      <c r="AG194" s="420">
        <f t="shared" si="39"/>
        <v>2.0798953389314834</v>
      </c>
      <c r="AH194" s="420">
        <f t="shared" si="39"/>
        <v>34.600036509675064</v>
      </c>
      <c r="AI194" s="420">
        <f t="shared" si="39"/>
        <v>0</v>
      </c>
      <c r="AJ194" s="421"/>
    </row>
    <row r="195" spans="1:36">
      <c r="A195" s="231" t="str">
        <f t="shared" si="42"/>
        <v>PIERCE UTCCommercialDRIVEIN1-COMM</v>
      </c>
      <c r="B195" s="243" t="s">
        <v>560</v>
      </c>
      <c r="C195" s="243" t="s">
        <v>561</v>
      </c>
      <c r="D195" s="243" t="s">
        <v>528</v>
      </c>
      <c r="E195" s="230">
        <v>33000</v>
      </c>
      <c r="F195" s="244">
        <v>7.01</v>
      </c>
      <c r="G195" s="244">
        <v>7.01</v>
      </c>
      <c r="H195" s="244"/>
      <c r="I195" s="244">
        <v>559.03</v>
      </c>
      <c r="J195" s="244">
        <v>539.76</v>
      </c>
      <c r="K195" s="244">
        <v>520.48</v>
      </c>
      <c r="L195" s="244">
        <v>543.25</v>
      </c>
      <c r="M195" s="244">
        <v>560.07000000000005</v>
      </c>
      <c r="N195" s="244">
        <v>569.89</v>
      </c>
      <c r="O195" s="244">
        <v>588.83000000000004</v>
      </c>
      <c r="P195" s="244">
        <v>607.74</v>
      </c>
      <c r="Q195" s="244">
        <v>624.22</v>
      </c>
      <c r="R195" s="244">
        <v>639.64</v>
      </c>
      <c r="S195" s="244">
        <v>679.94999999999993</v>
      </c>
      <c r="T195" s="244">
        <v>662.42</v>
      </c>
      <c r="U195" s="244"/>
      <c r="V195" s="408">
        <f t="shared" si="40"/>
        <v>7095.2800000000007</v>
      </c>
      <c r="W195" s="245"/>
      <c r="X195" s="420">
        <f t="shared" si="41"/>
        <v>79.747503566333805</v>
      </c>
      <c r="Y195" s="421">
        <f t="shared" si="41"/>
        <v>76.998573466476458</v>
      </c>
      <c r="Z195" s="421">
        <f t="shared" si="41"/>
        <v>74.248216833095583</v>
      </c>
      <c r="AA195" s="420">
        <f t="shared" si="39"/>
        <v>77.496433666191152</v>
      </c>
      <c r="AB195" s="420">
        <f t="shared" si="39"/>
        <v>79.895863052781749</v>
      </c>
      <c r="AC195" s="420">
        <f t="shared" si="39"/>
        <v>81.29671897289586</v>
      </c>
      <c r="AD195" s="420">
        <f t="shared" si="39"/>
        <v>83.998573466476472</v>
      </c>
      <c r="AE195" s="420">
        <f t="shared" si="39"/>
        <v>86.696148359486457</v>
      </c>
      <c r="AF195" s="420">
        <f t="shared" si="39"/>
        <v>89.047075606276749</v>
      </c>
      <c r="AG195" s="420">
        <f t="shared" si="39"/>
        <v>91.246790299572041</v>
      </c>
      <c r="AH195" s="420">
        <f t="shared" si="39"/>
        <v>96.997146932952916</v>
      </c>
      <c r="AI195" s="420">
        <f t="shared" si="39"/>
        <v>94.496433666191152</v>
      </c>
    </row>
    <row r="196" spans="1:36">
      <c r="A196" s="231" t="str">
        <f t="shared" si="42"/>
        <v>PIERCE UTCCommercialDRIVEIN2-COMM</v>
      </c>
      <c r="B196" s="243" t="s">
        <v>562</v>
      </c>
      <c r="C196" s="243" t="s">
        <v>563</v>
      </c>
      <c r="D196" s="243" t="s">
        <v>528</v>
      </c>
      <c r="E196" s="230">
        <v>33000</v>
      </c>
      <c r="F196" s="244">
        <v>8.44</v>
      </c>
      <c r="G196" s="244">
        <v>8.44</v>
      </c>
      <c r="H196" s="244"/>
      <c r="I196" s="244">
        <v>4.22</v>
      </c>
      <c r="J196" s="244">
        <v>0</v>
      </c>
      <c r="K196" s="244">
        <v>0</v>
      </c>
      <c r="L196" s="244">
        <v>0</v>
      </c>
      <c r="M196" s="244">
        <v>0</v>
      </c>
      <c r="N196" s="244">
        <v>0</v>
      </c>
      <c r="O196" s="244">
        <v>0</v>
      </c>
      <c r="P196" s="244">
        <v>0</v>
      </c>
      <c r="Q196" s="244">
        <v>0</v>
      </c>
      <c r="R196" s="244">
        <v>0</v>
      </c>
      <c r="S196" s="244">
        <v>0</v>
      </c>
      <c r="T196" s="244">
        <v>0</v>
      </c>
      <c r="U196" s="244"/>
      <c r="V196" s="408">
        <f t="shared" si="40"/>
        <v>4.22</v>
      </c>
      <c r="W196" s="245"/>
      <c r="X196" s="420">
        <f t="shared" si="41"/>
        <v>0.5</v>
      </c>
      <c r="Y196" s="421">
        <f t="shared" si="41"/>
        <v>0</v>
      </c>
      <c r="Z196" s="421">
        <f t="shared" si="41"/>
        <v>0</v>
      </c>
      <c r="AA196" s="420">
        <f t="shared" si="39"/>
        <v>0</v>
      </c>
      <c r="AB196" s="420">
        <f t="shared" si="39"/>
        <v>0</v>
      </c>
      <c r="AC196" s="420">
        <f t="shared" si="39"/>
        <v>0</v>
      </c>
      <c r="AD196" s="420">
        <f t="shared" si="39"/>
        <v>0</v>
      </c>
      <c r="AE196" s="420">
        <f t="shared" si="39"/>
        <v>0</v>
      </c>
      <c r="AF196" s="420">
        <f t="shared" si="39"/>
        <v>0</v>
      </c>
      <c r="AG196" s="420">
        <f t="shared" si="39"/>
        <v>0</v>
      </c>
      <c r="AH196" s="420">
        <f t="shared" si="39"/>
        <v>0</v>
      </c>
      <c r="AI196" s="420">
        <f t="shared" si="39"/>
        <v>0</v>
      </c>
    </row>
    <row r="197" spans="1:36" s="229" customFormat="1">
      <c r="A197" s="231" t="str">
        <f t="shared" si="42"/>
        <v>PIERCE UTCCommercialEQUIP-COMM</v>
      </c>
      <c r="B197" s="243" t="s">
        <v>564</v>
      </c>
      <c r="C197" s="243" t="s">
        <v>565</v>
      </c>
      <c r="D197" s="243" t="s">
        <v>528</v>
      </c>
      <c r="E197" s="230">
        <v>33000</v>
      </c>
      <c r="F197" s="244">
        <v>0</v>
      </c>
      <c r="G197" s="244">
        <v>0</v>
      </c>
      <c r="H197" s="244"/>
      <c r="I197" s="244">
        <v>0</v>
      </c>
      <c r="J197" s="244">
        <v>0</v>
      </c>
      <c r="K197" s="244">
        <v>0</v>
      </c>
      <c r="L197" s="244">
        <v>0</v>
      </c>
      <c r="M197" s="244">
        <v>0</v>
      </c>
      <c r="N197" s="244">
        <v>0</v>
      </c>
      <c r="O197" s="244">
        <v>0</v>
      </c>
      <c r="P197" s="244">
        <v>0</v>
      </c>
      <c r="Q197" s="244">
        <v>0</v>
      </c>
      <c r="R197" s="244">
        <v>0</v>
      </c>
      <c r="S197" s="244">
        <v>0</v>
      </c>
      <c r="T197" s="244">
        <v>0</v>
      </c>
      <c r="U197" s="244"/>
      <c r="V197" s="408">
        <f t="shared" si="40"/>
        <v>0</v>
      </c>
      <c r="W197" s="245"/>
      <c r="X197" s="420">
        <f t="shared" si="41"/>
        <v>0</v>
      </c>
      <c r="Y197" s="421">
        <f t="shared" si="41"/>
        <v>0</v>
      </c>
      <c r="Z197" s="421">
        <f t="shared" si="41"/>
        <v>0</v>
      </c>
      <c r="AA197" s="420">
        <f t="shared" si="39"/>
        <v>0</v>
      </c>
      <c r="AB197" s="420">
        <f t="shared" si="39"/>
        <v>0</v>
      </c>
      <c r="AC197" s="420">
        <f t="shared" si="39"/>
        <v>0</v>
      </c>
      <c r="AD197" s="420">
        <f t="shared" si="39"/>
        <v>0</v>
      </c>
      <c r="AE197" s="420">
        <f t="shared" si="39"/>
        <v>0</v>
      </c>
      <c r="AF197" s="420">
        <f t="shared" si="39"/>
        <v>0</v>
      </c>
      <c r="AG197" s="420">
        <f t="shared" si="39"/>
        <v>0</v>
      </c>
      <c r="AH197" s="420">
        <f t="shared" si="39"/>
        <v>0</v>
      </c>
      <c r="AI197" s="420">
        <f t="shared" si="39"/>
        <v>0</v>
      </c>
      <c r="AJ197" s="421"/>
    </row>
    <row r="198" spans="1:36">
      <c r="A198" s="231" t="str">
        <f t="shared" si="42"/>
        <v>PIERCE UTCCommercialROLL-COMM</v>
      </c>
      <c r="B198" s="243" t="s">
        <v>566</v>
      </c>
      <c r="C198" s="243" t="s">
        <v>567</v>
      </c>
      <c r="D198" s="243" t="s">
        <v>528</v>
      </c>
      <c r="E198" s="230">
        <v>33000</v>
      </c>
      <c r="F198" s="244">
        <v>16.45</v>
      </c>
      <c r="G198" s="244">
        <v>16.45</v>
      </c>
      <c r="H198" s="244"/>
      <c r="I198" s="244">
        <v>264.3</v>
      </c>
      <c r="J198" s="244">
        <v>247.3</v>
      </c>
      <c r="K198" s="244">
        <v>247.3</v>
      </c>
      <c r="L198" s="244">
        <v>247.3</v>
      </c>
      <c r="M198" s="244">
        <v>247.3</v>
      </c>
      <c r="N198" s="244">
        <v>247.3</v>
      </c>
      <c r="O198" s="244">
        <v>230.85</v>
      </c>
      <c r="P198" s="244">
        <v>230.85</v>
      </c>
      <c r="Q198" s="244">
        <v>230.85</v>
      </c>
      <c r="R198" s="244">
        <v>230.85</v>
      </c>
      <c r="S198" s="244">
        <v>230.85</v>
      </c>
      <c r="T198" s="244">
        <v>214.4</v>
      </c>
      <c r="U198" s="244"/>
      <c r="V198" s="408">
        <f t="shared" si="40"/>
        <v>2869.45</v>
      </c>
      <c r="W198" s="245"/>
      <c r="X198" s="420">
        <f t="shared" si="41"/>
        <v>16.066869300911854</v>
      </c>
      <c r="Y198" s="421">
        <f t="shared" si="41"/>
        <v>15.033434650455929</v>
      </c>
      <c r="Z198" s="421">
        <f t="shared" si="41"/>
        <v>15.033434650455929</v>
      </c>
      <c r="AA198" s="420">
        <f t="shared" si="39"/>
        <v>15.033434650455929</v>
      </c>
      <c r="AB198" s="420">
        <f t="shared" si="39"/>
        <v>15.033434650455929</v>
      </c>
      <c r="AC198" s="420">
        <f t="shared" si="39"/>
        <v>15.033434650455929</v>
      </c>
      <c r="AD198" s="420">
        <f t="shared" si="39"/>
        <v>14.033434650455927</v>
      </c>
      <c r="AE198" s="420">
        <f t="shared" si="39"/>
        <v>14.033434650455927</v>
      </c>
      <c r="AF198" s="420">
        <f t="shared" si="39"/>
        <v>14.033434650455927</v>
      </c>
      <c r="AG198" s="420">
        <f t="shared" si="39"/>
        <v>14.033434650455927</v>
      </c>
      <c r="AH198" s="420">
        <f t="shared" si="39"/>
        <v>14.033434650455927</v>
      </c>
      <c r="AI198" s="420">
        <f t="shared" si="39"/>
        <v>13.033434650455927</v>
      </c>
    </row>
    <row r="199" spans="1:36">
      <c r="A199" s="231" t="str">
        <f t="shared" si="42"/>
        <v>PIERCE UTCCommercialWI1-COMM</v>
      </c>
      <c r="B199" s="243" t="s">
        <v>568</v>
      </c>
      <c r="C199" s="243" t="s">
        <v>569</v>
      </c>
      <c r="D199" s="243" t="s">
        <v>528</v>
      </c>
      <c r="E199" s="230">
        <v>33000</v>
      </c>
      <c r="F199" s="244">
        <v>2.08</v>
      </c>
      <c r="G199" s="244">
        <v>2.08</v>
      </c>
      <c r="H199" s="244"/>
      <c r="I199" s="244">
        <v>16.059999999999999</v>
      </c>
      <c r="J199" s="244">
        <v>16.059999999999999</v>
      </c>
      <c r="K199" s="244">
        <v>16.059999999999999</v>
      </c>
      <c r="L199" s="244">
        <v>16.059999999999999</v>
      </c>
      <c r="M199" s="244">
        <v>16.059999999999999</v>
      </c>
      <c r="N199" s="244">
        <v>16.059999999999999</v>
      </c>
      <c r="O199" s="244">
        <v>16.059999999999999</v>
      </c>
      <c r="P199" s="244">
        <v>20.22</v>
      </c>
      <c r="Q199" s="244">
        <v>16.059999999999999</v>
      </c>
      <c r="R199" s="244">
        <v>16.059999999999999</v>
      </c>
      <c r="S199" s="244">
        <v>20.22</v>
      </c>
      <c r="T199" s="244">
        <v>20.22</v>
      </c>
      <c r="U199" s="244"/>
      <c r="V199" s="408">
        <f t="shared" si="40"/>
        <v>205.2</v>
      </c>
      <c r="W199" s="245"/>
      <c r="X199" s="420">
        <f t="shared" si="41"/>
        <v>7.7211538461538449</v>
      </c>
      <c r="Y199" s="421">
        <f t="shared" si="41"/>
        <v>7.7211538461538449</v>
      </c>
      <c r="Z199" s="421">
        <f t="shared" si="41"/>
        <v>7.7211538461538449</v>
      </c>
      <c r="AA199" s="420">
        <f t="shared" si="39"/>
        <v>7.7211538461538449</v>
      </c>
      <c r="AB199" s="420">
        <f t="shared" si="39"/>
        <v>7.7211538461538449</v>
      </c>
      <c r="AC199" s="420">
        <f t="shared" si="39"/>
        <v>7.7211538461538449</v>
      </c>
      <c r="AD199" s="420">
        <f t="shared" si="39"/>
        <v>7.7211538461538449</v>
      </c>
      <c r="AE199" s="420">
        <f t="shared" si="39"/>
        <v>9.7211538461538449</v>
      </c>
      <c r="AF199" s="420">
        <f t="shared" si="39"/>
        <v>7.7211538461538449</v>
      </c>
      <c r="AG199" s="420">
        <f t="shared" si="39"/>
        <v>7.7211538461538449</v>
      </c>
      <c r="AH199" s="420">
        <f t="shared" si="39"/>
        <v>9.7211538461538449</v>
      </c>
      <c r="AI199" s="420">
        <f t="shared" si="39"/>
        <v>9.7211538461538449</v>
      </c>
    </row>
    <row r="200" spans="1:36">
      <c r="A200" s="231" t="str">
        <f t="shared" si="42"/>
        <v>PIERCE UTCCommercialWI2-COMM</v>
      </c>
      <c r="B200" s="243" t="s">
        <v>570</v>
      </c>
      <c r="C200" s="243" t="s">
        <v>571</v>
      </c>
      <c r="D200" s="243" t="s">
        <v>528</v>
      </c>
      <c r="E200" s="230">
        <v>33000</v>
      </c>
      <c r="F200" s="244">
        <v>3.42</v>
      </c>
      <c r="G200" s="244">
        <v>3.42</v>
      </c>
      <c r="H200" s="244"/>
      <c r="I200" s="244">
        <v>3.42</v>
      </c>
      <c r="J200" s="244">
        <v>3.42</v>
      </c>
      <c r="K200" s="244">
        <v>3.42</v>
      </c>
      <c r="L200" s="244">
        <v>3.42</v>
      </c>
      <c r="M200" s="244">
        <v>3.42</v>
      </c>
      <c r="N200" s="244">
        <v>3.42</v>
      </c>
      <c r="O200" s="244">
        <v>3.42</v>
      </c>
      <c r="P200" s="244">
        <v>3.42</v>
      </c>
      <c r="Q200" s="244">
        <v>3.42</v>
      </c>
      <c r="R200" s="244">
        <v>3.42</v>
      </c>
      <c r="S200" s="244">
        <v>3.42</v>
      </c>
      <c r="T200" s="244">
        <v>3.42</v>
      </c>
      <c r="U200" s="244"/>
      <c r="V200" s="408">
        <f t="shared" si="40"/>
        <v>41.040000000000013</v>
      </c>
      <c r="W200" s="245"/>
      <c r="X200" s="420">
        <f t="shared" si="41"/>
        <v>1</v>
      </c>
      <c r="Y200" s="421">
        <f t="shared" si="41"/>
        <v>1</v>
      </c>
      <c r="Z200" s="421">
        <f t="shared" si="41"/>
        <v>1</v>
      </c>
      <c r="AA200" s="420">
        <f t="shared" si="39"/>
        <v>1</v>
      </c>
      <c r="AB200" s="420">
        <f t="shared" si="39"/>
        <v>1</v>
      </c>
      <c r="AC200" s="420">
        <f t="shared" si="39"/>
        <v>1</v>
      </c>
      <c r="AD200" s="420">
        <f t="shared" si="39"/>
        <v>1</v>
      </c>
      <c r="AE200" s="420">
        <f t="shared" si="39"/>
        <v>1</v>
      </c>
      <c r="AF200" s="420">
        <f t="shared" si="39"/>
        <v>1</v>
      </c>
      <c r="AG200" s="420">
        <f t="shared" si="39"/>
        <v>1</v>
      </c>
      <c r="AH200" s="420">
        <f t="shared" si="39"/>
        <v>1</v>
      </c>
      <c r="AI200" s="420">
        <f t="shared" si="39"/>
        <v>1</v>
      </c>
    </row>
    <row r="201" spans="1:36">
      <c r="A201" s="231" t="str">
        <f t="shared" si="42"/>
        <v>PIERCE UTCCommercialWI4-COMM</v>
      </c>
      <c r="B201" s="243" t="s">
        <v>572</v>
      </c>
      <c r="C201" s="243" t="s">
        <v>573</v>
      </c>
      <c r="D201" s="243" t="s">
        <v>528</v>
      </c>
      <c r="E201" s="230">
        <v>33000</v>
      </c>
      <c r="F201" s="244">
        <v>6.11</v>
      </c>
      <c r="G201" s="244">
        <v>6.11</v>
      </c>
      <c r="H201" s="244"/>
      <c r="I201" s="244">
        <v>6.11</v>
      </c>
      <c r="J201" s="244">
        <v>6.11</v>
      </c>
      <c r="K201" s="244">
        <v>6.11</v>
      </c>
      <c r="L201" s="244">
        <v>6.11</v>
      </c>
      <c r="M201" s="244">
        <v>6.11</v>
      </c>
      <c r="N201" s="244">
        <v>6.11</v>
      </c>
      <c r="O201" s="244">
        <v>6.11</v>
      </c>
      <c r="P201" s="244">
        <v>6.11</v>
      </c>
      <c r="Q201" s="244">
        <v>6.11</v>
      </c>
      <c r="R201" s="244">
        <v>6.11</v>
      </c>
      <c r="S201" s="244">
        <v>6.11</v>
      </c>
      <c r="T201" s="244">
        <v>6.11</v>
      </c>
      <c r="U201" s="244"/>
      <c r="V201" s="408">
        <f t="shared" si="40"/>
        <v>73.320000000000007</v>
      </c>
      <c r="W201" s="245"/>
      <c r="X201" s="420">
        <f t="shared" si="41"/>
        <v>1</v>
      </c>
      <c r="Y201" s="421">
        <f t="shared" si="41"/>
        <v>1</v>
      </c>
      <c r="Z201" s="421">
        <f t="shared" si="41"/>
        <v>1</v>
      </c>
      <c r="AA201" s="420">
        <f t="shared" si="39"/>
        <v>1</v>
      </c>
      <c r="AB201" s="420">
        <f t="shared" si="39"/>
        <v>1</v>
      </c>
      <c r="AC201" s="420">
        <f t="shared" si="39"/>
        <v>1</v>
      </c>
      <c r="AD201" s="420">
        <f t="shared" si="39"/>
        <v>1</v>
      </c>
      <c r="AE201" s="420">
        <f t="shared" si="39"/>
        <v>1</v>
      </c>
      <c r="AF201" s="420">
        <f t="shared" si="39"/>
        <v>1</v>
      </c>
      <c r="AG201" s="420">
        <f t="shared" si="39"/>
        <v>1</v>
      </c>
      <c r="AH201" s="420">
        <f t="shared" si="39"/>
        <v>1</v>
      </c>
      <c r="AI201" s="420">
        <f t="shared" si="39"/>
        <v>1</v>
      </c>
    </row>
    <row r="202" spans="1:36">
      <c r="A202" s="231" t="str">
        <f t="shared" si="42"/>
        <v>PIERCE UTCCommercialWI5-COMM</v>
      </c>
      <c r="B202" s="243" t="s">
        <v>574</v>
      </c>
      <c r="C202" s="243" t="s">
        <v>575</v>
      </c>
      <c r="D202" s="243" t="s">
        <v>528</v>
      </c>
      <c r="E202" s="230">
        <v>33000</v>
      </c>
      <c r="F202" s="244">
        <v>7.45</v>
      </c>
      <c r="G202" s="244">
        <v>7.45</v>
      </c>
      <c r="H202" s="244"/>
      <c r="I202" s="244">
        <v>0</v>
      </c>
      <c r="J202" s="244">
        <v>0</v>
      </c>
      <c r="K202" s="244">
        <v>0</v>
      </c>
      <c r="L202" s="244">
        <v>0</v>
      </c>
      <c r="M202" s="244">
        <v>0</v>
      </c>
      <c r="N202" s="244">
        <v>0</v>
      </c>
      <c r="O202" s="244">
        <v>0</v>
      </c>
      <c r="P202" s="244">
        <v>0</v>
      </c>
      <c r="Q202" s="244">
        <v>0</v>
      </c>
      <c r="R202" s="244">
        <v>0</v>
      </c>
      <c r="S202" s="244">
        <v>0</v>
      </c>
      <c r="T202" s="244">
        <v>0</v>
      </c>
      <c r="U202" s="244"/>
      <c r="V202" s="408">
        <f t="shared" si="40"/>
        <v>0</v>
      </c>
      <c r="W202" s="245"/>
      <c r="X202" s="420">
        <f t="shared" si="41"/>
        <v>0</v>
      </c>
      <c r="Y202" s="421">
        <f t="shared" si="41"/>
        <v>0</v>
      </c>
      <c r="Z202" s="421">
        <f t="shared" si="41"/>
        <v>0</v>
      </c>
      <c r="AA202" s="420">
        <f t="shared" si="39"/>
        <v>0</v>
      </c>
      <c r="AB202" s="420">
        <f t="shared" si="39"/>
        <v>0</v>
      </c>
      <c r="AC202" s="420">
        <f t="shared" si="39"/>
        <v>0</v>
      </c>
      <c r="AD202" s="420">
        <f t="shared" ref="AD202:AI233" si="43">IFERROR(O202/$G202,0)</f>
        <v>0</v>
      </c>
      <c r="AE202" s="420">
        <f t="shared" si="43"/>
        <v>0</v>
      </c>
      <c r="AF202" s="420">
        <f t="shared" si="43"/>
        <v>0</v>
      </c>
      <c r="AG202" s="420">
        <f t="shared" si="43"/>
        <v>0</v>
      </c>
      <c r="AH202" s="420">
        <f t="shared" si="43"/>
        <v>0</v>
      </c>
      <c r="AI202" s="420">
        <f t="shared" si="43"/>
        <v>0</v>
      </c>
    </row>
    <row r="203" spans="1:36">
      <c r="A203" s="231" t="str">
        <f t="shared" si="42"/>
        <v>PIERCE UTCCommercialCLEAN1.5-COMM</v>
      </c>
      <c r="B203" s="243" t="s">
        <v>576</v>
      </c>
      <c r="C203" s="243" t="s">
        <v>577</v>
      </c>
      <c r="D203" s="243" t="s">
        <v>544</v>
      </c>
      <c r="E203" s="230">
        <v>33001</v>
      </c>
      <c r="F203" s="244">
        <v>19</v>
      </c>
      <c r="G203" s="244">
        <v>19</v>
      </c>
      <c r="H203" s="244"/>
      <c r="I203" s="244">
        <v>-2.1800000000000002</v>
      </c>
      <c r="J203" s="244">
        <v>38</v>
      </c>
      <c r="K203" s="244">
        <v>0</v>
      </c>
      <c r="L203" s="244">
        <v>76</v>
      </c>
      <c r="M203" s="244">
        <v>190</v>
      </c>
      <c r="N203" s="244">
        <v>361</v>
      </c>
      <c r="O203" s="244">
        <v>133</v>
      </c>
      <c r="P203" s="244">
        <v>228</v>
      </c>
      <c r="Q203" s="244">
        <v>152</v>
      </c>
      <c r="R203" s="244">
        <v>152</v>
      </c>
      <c r="S203" s="244">
        <v>380</v>
      </c>
      <c r="T203" s="244">
        <v>114</v>
      </c>
      <c r="U203" s="244"/>
      <c r="V203" s="408">
        <f t="shared" si="40"/>
        <v>1821.82</v>
      </c>
      <c r="W203" s="245"/>
      <c r="X203" s="420">
        <f t="shared" si="41"/>
        <v>-0.11473684210526316</v>
      </c>
      <c r="Y203" s="421">
        <f t="shared" si="41"/>
        <v>2</v>
      </c>
      <c r="Z203" s="421">
        <f t="shared" si="41"/>
        <v>0</v>
      </c>
      <c r="AA203" s="420">
        <f t="shared" ref="AA203:AI234" si="44">IFERROR(L203/$G203,0)</f>
        <v>4</v>
      </c>
      <c r="AB203" s="420">
        <f t="shared" si="44"/>
        <v>10</v>
      </c>
      <c r="AC203" s="420">
        <f t="shared" si="44"/>
        <v>19</v>
      </c>
      <c r="AD203" s="420">
        <f t="shared" si="43"/>
        <v>7</v>
      </c>
      <c r="AE203" s="420">
        <f t="shared" si="43"/>
        <v>12</v>
      </c>
      <c r="AF203" s="420">
        <f t="shared" si="43"/>
        <v>8</v>
      </c>
      <c r="AG203" s="420">
        <f t="shared" si="43"/>
        <v>8</v>
      </c>
      <c r="AH203" s="420">
        <f t="shared" si="43"/>
        <v>20</v>
      </c>
      <c r="AI203" s="420">
        <f t="shared" si="43"/>
        <v>6</v>
      </c>
    </row>
    <row r="204" spans="1:36">
      <c r="A204" s="231" t="str">
        <f t="shared" si="42"/>
        <v>PIERCE UTCCommercialCLEAN1-COMM</v>
      </c>
      <c r="B204" s="243" t="s">
        <v>578</v>
      </c>
      <c r="C204" s="243" t="s">
        <v>579</v>
      </c>
      <c r="D204" s="243" t="s">
        <v>544</v>
      </c>
      <c r="E204" s="230">
        <v>33001</v>
      </c>
      <c r="F204" s="244">
        <v>19</v>
      </c>
      <c r="G204" s="244">
        <v>19</v>
      </c>
      <c r="H204" s="244"/>
      <c r="I204" s="244">
        <v>19</v>
      </c>
      <c r="J204" s="244">
        <v>19</v>
      </c>
      <c r="K204" s="244">
        <v>0</v>
      </c>
      <c r="L204" s="244">
        <v>19</v>
      </c>
      <c r="M204" s="244">
        <v>38</v>
      </c>
      <c r="N204" s="244">
        <v>0</v>
      </c>
      <c r="O204" s="244">
        <v>38</v>
      </c>
      <c r="P204" s="244">
        <v>19</v>
      </c>
      <c r="Q204" s="244">
        <v>19</v>
      </c>
      <c r="R204" s="244">
        <v>19</v>
      </c>
      <c r="S204" s="244">
        <v>57</v>
      </c>
      <c r="T204" s="244">
        <v>0</v>
      </c>
      <c r="U204" s="244"/>
      <c r="V204" s="408">
        <f t="shared" si="40"/>
        <v>247</v>
      </c>
      <c r="W204" s="245"/>
      <c r="X204" s="420">
        <f t="shared" si="41"/>
        <v>1</v>
      </c>
      <c r="Y204" s="421">
        <f t="shared" si="41"/>
        <v>1</v>
      </c>
      <c r="Z204" s="421">
        <f t="shared" si="41"/>
        <v>0</v>
      </c>
      <c r="AA204" s="420">
        <f t="shared" si="44"/>
        <v>1</v>
      </c>
      <c r="AB204" s="420">
        <f t="shared" si="44"/>
        <v>2</v>
      </c>
      <c r="AC204" s="420">
        <f t="shared" si="44"/>
        <v>0</v>
      </c>
      <c r="AD204" s="420">
        <f t="shared" si="43"/>
        <v>2</v>
      </c>
      <c r="AE204" s="420">
        <f t="shared" si="43"/>
        <v>1</v>
      </c>
      <c r="AF204" s="420">
        <f t="shared" si="43"/>
        <v>1</v>
      </c>
      <c r="AG204" s="420">
        <f t="shared" si="43"/>
        <v>1</v>
      </c>
      <c r="AH204" s="420">
        <f t="shared" si="43"/>
        <v>3</v>
      </c>
      <c r="AI204" s="420">
        <f t="shared" si="43"/>
        <v>0</v>
      </c>
    </row>
    <row r="205" spans="1:36">
      <c r="A205" s="231" t="str">
        <f t="shared" si="42"/>
        <v>PIERCE UTCCommercialCLEAN2-COMM</v>
      </c>
      <c r="B205" s="243" t="s">
        <v>580</v>
      </c>
      <c r="C205" s="243" t="s">
        <v>581</v>
      </c>
      <c r="D205" s="243" t="s">
        <v>544</v>
      </c>
      <c r="E205" s="230">
        <v>33001</v>
      </c>
      <c r="F205" s="244">
        <v>19</v>
      </c>
      <c r="G205" s="244">
        <v>19</v>
      </c>
      <c r="H205" s="244"/>
      <c r="I205" s="244">
        <v>323</v>
      </c>
      <c r="J205" s="244">
        <v>380</v>
      </c>
      <c r="K205" s="244">
        <v>114</v>
      </c>
      <c r="L205" s="244">
        <v>361</v>
      </c>
      <c r="M205" s="244">
        <v>342</v>
      </c>
      <c r="N205" s="244">
        <v>532</v>
      </c>
      <c r="O205" s="244">
        <v>399</v>
      </c>
      <c r="P205" s="244">
        <v>722</v>
      </c>
      <c r="Q205" s="244">
        <v>399</v>
      </c>
      <c r="R205" s="244">
        <v>323</v>
      </c>
      <c r="S205" s="244">
        <v>456</v>
      </c>
      <c r="T205" s="244">
        <v>361</v>
      </c>
      <c r="U205" s="244"/>
      <c r="V205" s="408">
        <f t="shared" si="40"/>
        <v>4712</v>
      </c>
      <c r="W205" s="245"/>
      <c r="X205" s="420">
        <f t="shared" si="41"/>
        <v>17</v>
      </c>
      <c r="Y205" s="421">
        <f t="shared" si="41"/>
        <v>20</v>
      </c>
      <c r="Z205" s="421">
        <f t="shared" si="41"/>
        <v>6</v>
      </c>
      <c r="AA205" s="420">
        <f t="shared" si="44"/>
        <v>19</v>
      </c>
      <c r="AB205" s="420">
        <f t="shared" si="44"/>
        <v>18</v>
      </c>
      <c r="AC205" s="420">
        <f t="shared" si="44"/>
        <v>28</v>
      </c>
      <c r="AD205" s="420">
        <f t="shared" si="43"/>
        <v>21</v>
      </c>
      <c r="AE205" s="420">
        <f t="shared" si="43"/>
        <v>38</v>
      </c>
      <c r="AF205" s="420">
        <f t="shared" si="43"/>
        <v>21</v>
      </c>
      <c r="AG205" s="420">
        <f t="shared" si="43"/>
        <v>17</v>
      </c>
      <c r="AH205" s="420">
        <f t="shared" si="43"/>
        <v>24</v>
      </c>
      <c r="AI205" s="420">
        <f t="shared" si="43"/>
        <v>19</v>
      </c>
    </row>
    <row r="206" spans="1:36">
      <c r="A206" s="231" t="str">
        <f t="shared" si="42"/>
        <v>PIERCE UTCCommercialCLEAN3-COMM</v>
      </c>
      <c r="B206" s="243" t="s">
        <v>582</v>
      </c>
      <c r="C206" s="243" t="s">
        <v>583</v>
      </c>
      <c r="D206" s="243" t="s">
        <v>544</v>
      </c>
      <c r="E206" s="230">
        <v>33001</v>
      </c>
      <c r="F206" s="244">
        <v>19</v>
      </c>
      <c r="G206" s="244">
        <v>19</v>
      </c>
      <c r="H206" s="244"/>
      <c r="I206" s="244">
        <v>0</v>
      </c>
      <c r="J206" s="244">
        <v>0</v>
      </c>
      <c r="K206" s="244">
        <v>0</v>
      </c>
      <c r="L206" s="244">
        <v>0</v>
      </c>
      <c r="M206" s="244">
        <v>0</v>
      </c>
      <c r="N206" s="244">
        <v>0</v>
      </c>
      <c r="O206" s="244">
        <v>0</v>
      </c>
      <c r="P206" s="244">
        <v>0</v>
      </c>
      <c r="Q206" s="244">
        <v>19</v>
      </c>
      <c r="R206" s="244">
        <v>0</v>
      </c>
      <c r="S206" s="244">
        <v>0</v>
      </c>
      <c r="T206" s="244">
        <v>0</v>
      </c>
      <c r="U206" s="244"/>
      <c r="V206" s="408">
        <f t="shared" si="40"/>
        <v>19</v>
      </c>
      <c r="W206" s="245"/>
      <c r="X206" s="420">
        <f t="shared" si="41"/>
        <v>0</v>
      </c>
      <c r="Y206" s="421">
        <f t="shared" si="41"/>
        <v>0</v>
      </c>
      <c r="Z206" s="421">
        <f t="shared" si="41"/>
        <v>0</v>
      </c>
      <c r="AA206" s="420">
        <f t="shared" si="44"/>
        <v>0</v>
      </c>
      <c r="AB206" s="420">
        <f t="shared" si="44"/>
        <v>0</v>
      </c>
      <c r="AC206" s="420">
        <f t="shared" si="44"/>
        <v>0</v>
      </c>
      <c r="AD206" s="420">
        <f t="shared" si="43"/>
        <v>0</v>
      </c>
      <c r="AE206" s="420">
        <f t="shared" si="43"/>
        <v>0</v>
      </c>
      <c r="AF206" s="420">
        <f t="shared" si="43"/>
        <v>1</v>
      </c>
      <c r="AG206" s="420">
        <f t="shared" si="43"/>
        <v>0</v>
      </c>
      <c r="AH206" s="420">
        <f t="shared" si="43"/>
        <v>0</v>
      </c>
      <c r="AI206" s="420">
        <f t="shared" si="43"/>
        <v>0</v>
      </c>
    </row>
    <row r="207" spans="1:36">
      <c r="A207" s="231" t="str">
        <f t="shared" si="42"/>
        <v>PIERCE UTCCommercialCLEAN4-COMM</v>
      </c>
      <c r="B207" s="243" t="s">
        <v>584</v>
      </c>
      <c r="C207" s="243" t="s">
        <v>585</v>
      </c>
      <c r="D207" s="243" t="s">
        <v>544</v>
      </c>
      <c r="E207" s="230">
        <v>33001</v>
      </c>
      <c r="F207" s="244">
        <v>19</v>
      </c>
      <c r="G207" s="244">
        <v>19</v>
      </c>
      <c r="H207" s="244"/>
      <c r="I207" s="244">
        <v>0</v>
      </c>
      <c r="J207" s="244">
        <v>0</v>
      </c>
      <c r="K207" s="244">
        <v>0</v>
      </c>
      <c r="L207" s="244">
        <v>0</v>
      </c>
      <c r="M207" s="244">
        <v>0</v>
      </c>
      <c r="N207" s="244">
        <v>57</v>
      </c>
      <c r="O207" s="244">
        <v>0</v>
      </c>
      <c r="P207" s="244">
        <v>0</v>
      </c>
      <c r="Q207" s="244">
        <v>19</v>
      </c>
      <c r="R207" s="244">
        <v>19</v>
      </c>
      <c r="S207" s="244">
        <v>0</v>
      </c>
      <c r="T207" s="244">
        <v>0</v>
      </c>
      <c r="U207" s="244"/>
      <c r="V207" s="408">
        <f t="shared" si="40"/>
        <v>95</v>
      </c>
      <c r="W207" s="245"/>
      <c r="X207" s="420">
        <f t="shared" si="41"/>
        <v>0</v>
      </c>
      <c r="Y207" s="421">
        <f t="shared" si="41"/>
        <v>0</v>
      </c>
      <c r="Z207" s="421">
        <f t="shared" si="41"/>
        <v>0</v>
      </c>
      <c r="AA207" s="420">
        <f t="shared" si="44"/>
        <v>0</v>
      </c>
      <c r="AB207" s="420">
        <f t="shared" si="44"/>
        <v>0</v>
      </c>
      <c r="AC207" s="420">
        <f t="shared" si="44"/>
        <v>3</v>
      </c>
      <c r="AD207" s="420">
        <f t="shared" si="43"/>
        <v>0</v>
      </c>
      <c r="AE207" s="420">
        <f t="shared" si="43"/>
        <v>0</v>
      </c>
      <c r="AF207" s="420">
        <f t="shared" si="43"/>
        <v>1</v>
      </c>
      <c r="AG207" s="420">
        <f t="shared" si="43"/>
        <v>1</v>
      </c>
      <c r="AH207" s="420">
        <f t="shared" si="43"/>
        <v>0</v>
      </c>
      <c r="AI207" s="420">
        <f t="shared" si="43"/>
        <v>0</v>
      </c>
    </row>
    <row r="208" spans="1:36">
      <c r="A208" s="231" t="str">
        <f t="shared" si="42"/>
        <v>PIERCE UTCCommercialCLEAN6-COMM</v>
      </c>
      <c r="B208" s="243" t="s">
        <v>586</v>
      </c>
      <c r="C208" s="243" t="s">
        <v>587</v>
      </c>
      <c r="D208" s="243" t="s">
        <v>544</v>
      </c>
      <c r="E208" s="230">
        <v>33001</v>
      </c>
      <c r="F208" s="244">
        <v>28.5</v>
      </c>
      <c r="G208" s="244">
        <v>28.5</v>
      </c>
      <c r="H208" s="244"/>
      <c r="I208" s="244">
        <v>0</v>
      </c>
      <c r="J208" s="244">
        <v>85.5</v>
      </c>
      <c r="K208" s="244">
        <v>28.5</v>
      </c>
      <c r="L208" s="244">
        <v>0</v>
      </c>
      <c r="M208" s="244">
        <v>0</v>
      </c>
      <c r="N208" s="244">
        <v>0</v>
      </c>
      <c r="O208" s="244">
        <v>57</v>
      </c>
      <c r="P208" s="244">
        <v>28.5</v>
      </c>
      <c r="Q208" s="244">
        <v>165.75</v>
      </c>
      <c r="R208" s="244">
        <v>74.25</v>
      </c>
      <c r="S208" s="244">
        <v>57</v>
      </c>
      <c r="T208" s="244">
        <v>0</v>
      </c>
      <c r="U208" s="244"/>
      <c r="V208" s="408">
        <f t="shared" si="40"/>
        <v>496.5</v>
      </c>
      <c r="W208" s="245"/>
      <c r="X208" s="420">
        <f t="shared" si="41"/>
        <v>0</v>
      </c>
      <c r="Y208" s="421">
        <f t="shared" si="41"/>
        <v>3</v>
      </c>
      <c r="Z208" s="421">
        <f t="shared" si="41"/>
        <v>1</v>
      </c>
      <c r="AA208" s="420">
        <f t="shared" si="44"/>
        <v>0</v>
      </c>
      <c r="AB208" s="420">
        <f t="shared" si="44"/>
        <v>0</v>
      </c>
      <c r="AC208" s="420">
        <f t="shared" si="44"/>
        <v>0</v>
      </c>
      <c r="AD208" s="420">
        <f t="shared" si="43"/>
        <v>2</v>
      </c>
      <c r="AE208" s="420">
        <f t="shared" si="43"/>
        <v>1</v>
      </c>
      <c r="AF208" s="420">
        <f t="shared" si="43"/>
        <v>5.8157894736842106</v>
      </c>
      <c r="AG208" s="420">
        <f t="shared" si="43"/>
        <v>2.6052631578947367</v>
      </c>
      <c r="AH208" s="420">
        <f t="shared" si="43"/>
        <v>2</v>
      </c>
      <c r="AI208" s="420">
        <f t="shared" si="43"/>
        <v>0</v>
      </c>
    </row>
    <row r="209" spans="1:36">
      <c r="A209" s="231" t="str">
        <f t="shared" si="42"/>
        <v>PIERCE UTCCommercialCLEAN-COMM</v>
      </c>
      <c r="B209" s="243" t="s">
        <v>588</v>
      </c>
      <c r="C209" s="243" t="s">
        <v>589</v>
      </c>
      <c r="D209" s="243" t="s">
        <v>544</v>
      </c>
      <c r="E209" s="230">
        <v>33001</v>
      </c>
      <c r="F209" s="244">
        <v>4.75</v>
      </c>
      <c r="G209" s="244">
        <v>4.75</v>
      </c>
      <c r="H209" s="244"/>
      <c r="I209" s="244">
        <v>4.75</v>
      </c>
      <c r="J209" s="244">
        <v>0</v>
      </c>
      <c r="K209" s="244">
        <v>0</v>
      </c>
      <c r="L209" s="244">
        <v>0</v>
      </c>
      <c r="M209" s="244">
        <v>4.75</v>
      </c>
      <c r="N209" s="244">
        <v>0</v>
      </c>
      <c r="O209" s="244">
        <v>4.75</v>
      </c>
      <c r="P209" s="244">
        <v>0</v>
      </c>
      <c r="Q209" s="244">
        <v>0</v>
      </c>
      <c r="R209" s="244">
        <v>4.75</v>
      </c>
      <c r="S209" s="244">
        <v>0</v>
      </c>
      <c r="T209" s="244">
        <v>4.75</v>
      </c>
      <c r="U209" s="244"/>
      <c r="V209" s="408">
        <f t="shared" si="40"/>
        <v>23.75</v>
      </c>
      <c r="W209" s="245"/>
      <c r="X209" s="420">
        <f t="shared" ref="X209:Z242" si="45">IFERROR(I209/$F209,0)</f>
        <v>1</v>
      </c>
      <c r="Y209" s="421">
        <f t="shared" si="45"/>
        <v>0</v>
      </c>
      <c r="Z209" s="421">
        <f t="shared" si="45"/>
        <v>0</v>
      </c>
      <c r="AA209" s="420">
        <f t="shared" si="44"/>
        <v>0</v>
      </c>
      <c r="AB209" s="420">
        <f t="shared" si="44"/>
        <v>1</v>
      </c>
      <c r="AC209" s="420">
        <f t="shared" si="44"/>
        <v>0</v>
      </c>
      <c r="AD209" s="420">
        <f t="shared" si="43"/>
        <v>1</v>
      </c>
      <c r="AE209" s="420">
        <f t="shared" si="43"/>
        <v>0</v>
      </c>
      <c r="AF209" s="420">
        <f t="shared" si="43"/>
        <v>0</v>
      </c>
      <c r="AG209" s="420">
        <f t="shared" si="43"/>
        <v>1</v>
      </c>
      <c r="AH209" s="420">
        <f t="shared" si="43"/>
        <v>0</v>
      </c>
      <c r="AI209" s="420">
        <f t="shared" si="43"/>
        <v>1</v>
      </c>
    </row>
    <row r="210" spans="1:36">
      <c r="A210" s="231" t="str">
        <f t="shared" si="42"/>
        <v>PIERCE UTCCommercialDEL1.5TEMP-COMM</v>
      </c>
      <c r="B210" s="243" t="s">
        <v>590</v>
      </c>
      <c r="C210" s="243" t="s">
        <v>591</v>
      </c>
      <c r="D210" s="243" t="s">
        <v>544</v>
      </c>
      <c r="E210" s="230">
        <v>33001</v>
      </c>
      <c r="F210" s="244">
        <v>22.71</v>
      </c>
      <c r="G210" s="244">
        <v>22.71</v>
      </c>
      <c r="H210" s="244"/>
      <c r="I210" s="244">
        <v>45.42</v>
      </c>
      <c r="J210" s="244">
        <v>45.42</v>
      </c>
      <c r="K210" s="244">
        <v>45.42</v>
      </c>
      <c r="L210" s="244">
        <v>204.39</v>
      </c>
      <c r="M210" s="244">
        <v>317.94</v>
      </c>
      <c r="N210" s="244">
        <v>317.94</v>
      </c>
      <c r="O210" s="244">
        <v>68.13</v>
      </c>
      <c r="P210" s="244">
        <v>613.17000000000007</v>
      </c>
      <c r="Q210" s="244">
        <v>204.39000000000001</v>
      </c>
      <c r="R210" s="244">
        <v>136.26</v>
      </c>
      <c r="S210" s="244">
        <v>158.97</v>
      </c>
      <c r="T210" s="244">
        <v>68.13</v>
      </c>
      <c r="U210" s="244"/>
      <c r="V210" s="408">
        <f t="shared" si="40"/>
        <v>2225.58</v>
      </c>
      <c r="W210" s="245"/>
      <c r="X210" s="420">
        <f t="shared" si="45"/>
        <v>2</v>
      </c>
      <c r="Y210" s="421">
        <f t="shared" si="45"/>
        <v>2</v>
      </c>
      <c r="Z210" s="421">
        <f t="shared" si="45"/>
        <v>2</v>
      </c>
      <c r="AA210" s="420">
        <f t="shared" si="44"/>
        <v>8.9999999999999982</v>
      </c>
      <c r="AB210" s="420">
        <f t="shared" si="44"/>
        <v>14</v>
      </c>
      <c r="AC210" s="420">
        <f t="shared" si="44"/>
        <v>14</v>
      </c>
      <c r="AD210" s="420">
        <f t="shared" si="43"/>
        <v>2.9999999999999996</v>
      </c>
      <c r="AE210" s="420">
        <f t="shared" si="43"/>
        <v>27.000000000000004</v>
      </c>
      <c r="AF210" s="420">
        <f t="shared" si="43"/>
        <v>9</v>
      </c>
      <c r="AG210" s="420">
        <f t="shared" si="43"/>
        <v>5.9999999999999991</v>
      </c>
      <c r="AH210" s="420">
        <f t="shared" si="43"/>
        <v>7</v>
      </c>
      <c r="AI210" s="420">
        <f t="shared" si="43"/>
        <v>2.9999999999999996</v>
      </c>
    </row>
    <row r="211" spans="1:36">
      <c r="A211" s="231" t="str">
        <f t="shared" si="42"/>
        <v>PIERCE UTCCommercialDEL1TEMP-COMM</v>
      </c>
      <c r="B211" s="243" t="s">
        <v>592</v>
      </c>
      <c r="C211" s="243" t="s">
        <v>593</v>
      </c>
      <c r="D211" s="243" t="s">
        <v>544</v>
      </c>
      <c r="E211" s="230">
        <v>33001</v>
      </c>
      <c r="F211" s="244">
        <v>22.71</v>
      </c>
      <c r="G211" s="244">
        <v>22.71</v>
      </c>
      <c r="H211" s="244"/>
      <c r="I211" s="244">
        <v>22.71</v>
      </c>
      <c r="J211" s="244">
        <v>45.42</v>
      </c>
      <c r="K211" s="244">
        <v>0</v>
      </c>
      <c r="L211" s="244">
        <v>45.42</v>
      </c>
      <c r="M211" s="244">
        <v>22.71</v>
      </c>
      <c r="N211" s="244">
        <v>68.13</v>
      </c>
      <c r="O211" s="244">
        <v>22.71</v>
      </c>
      <c r="P211" s="244">
        <v>22.71</v>
      </c>
      <c r="Q211" s="244">
        <v>22.71</v>
      </c>
      <c r="R211" s="244">
        <v>22.71</v>
      </c>
      <c r="S211" s="244">
        <v>22.71</v>
      </c>
      <c r="T211" s="244">
        <v>0</v>
      </c>
      <c r="U211" s="244"/>
      <c r="V211" s="408">
        <f t="shared" si="40"/>
        <v>317.93999999999994</v>
      </c>
      <c r="W211" s="245"/>
      <c r="X211" s="420">
        <f t="shared" si="45"/>
        <v>1</v>
      </c>
      <c r="Y211" s="421">
        <f t="shared" si="45"/>
        <v>2</v>
      </c>
      <c r="Z211" s="421">
        <f t="shared" si="45"/>
        <v>0</v>
      </c>
      <c r="AA211" s="420">
        <f t="shared" si="44"/>
        <v>2</v>
      </c>
      <c r="AB211" s="420">
        <f t="shared" si="44"/>
        <v>1</v>
      </c>
      <c r="AC211" s="420">
        <f t="shared" si="44"/>
        <v>2.9999999999999996</v>
      </c>
      <c r="AD211" s="420">
        <f t="shared" si="43"/>
        <v>1</v>
      </c>
      <c r="AE211" s="420">
        <f t="shared" si="43"/>
        <v>1</v>
      </c>
      <c r="AF211" s="420">
        <f t="shared" si="43"/>
        <v>1</v>
      </c>
      <c r="AG211" s="420">
        <f t="shared" si="43"/>
        <v>1</v>
      </c>
      <c r="AH211" s="420">
        <f t="shared" si="43"/>
        <v>1</v>
      </c>
      <c r="AI211" s="420">
        <f t="shared" si="43"/>
        <v>0</v>
      </c>
    </row>
    <row r="212" spans="1:36">
      <c r="A212" s="231" t="str">
        <f t="shared" si="42"/>
        <v>PIERCE UTCCommercialDEL2TEMP-COMM</v>
      </c>
      <c r="B212" s="243" t="s">
        <v>594</v>
      </c>
      <c r="C212" s="243" t="s">
        <v>595</v>
      </c>
      <c r="D212" s="243" t="s">
        <v>544</v>
      </c>
      <c r="E212" s="230">
        <v>33001</v>
      </c>
      <c r="F212" s="244">
        <v>22.71</v>
      </c>
      <c r="G212" s="244">
        <v>22.71</v>
      </c>
      <c r="H212" s="244"/>
      <c r="I212" s="244">
        <v>272.52</v>
      </c>
      <c r="J212" s="244">
        <v>545.04</v>
      </c>
      <c r="K212" s="244">
        <v>272.52</v>
      </c>
      <c r="L212" s="244">
        <v>704.01</v>
      </c>
      <c r="M212" s="244">
        <v>363.35999999999996</v>
      </c>
      <c r="N212" s="244">
        <v>545.04000000000008</v>
      </c>
      <c r="O212" s="244">
        <v>908.40000000000009</v>
      </c>
      <c r="P212" s="244">
        <v>658.59</v>
      </c>
      <c r="Q212" s="244">
        <v>431.49</v>
      </c>
      <c r="R212" s="244">
        <v>408.78</v>
      </c>
      <c r="S212" s="244">
        <v>476.91</v>
      </c>
      <c r="T212" s="244">
        <v>295.23</v>
      </c>
      <c r="U212" s="244"/>
      <c r="V212" s="408">
        <f t="shared" si="40"/>
        <v>5881.8899999999994</v>
      </c>
      <c r="W212" s="245"/>
      <c r="X212" s="420">
        <f t="shared" si="45"/>
        <v>11.999999999999998</v>
      </c>
      <c r="Y212" s="421">
        <f t="shared" si="45"/>
        <v>23.999999999999996</v>
      </c>
      <c r="Z212" s="421">
        <f t="shared" si="45"/>
        <v>11.999999999999998</v>
      </c>
      <c r="AA212" s="420">
        <f t="shared" si="44"/>
        <v>31</v>
      </c>
      <c r="AB212" s="420">
        <f t="shared" si="44"/>
        <v>15.999999999999998</v>
      </c>
      <c r="AC212" s="420">
        <f t="shared" si="44"/>
        <v>24.000000000000004</v>
      </c>
      <c r="AD212" s="420">
        <f t="shared" si="43"/>
        <v>40</v>
      </c>
      <c r="AE212" s="420">
        <f t="shared" si="43"/>
        <v>29</v>
      </c>
      <c r="AF212" s="420">
        <f t="shared" si="43"/>
        <v>19</v>
      </c>
      <c r="AG212" s="420">
        <f t="shared" si="43"/>
        <v>17.999999999999996</v>
      </c>
      <c r="AH212" s="420">
        <f t="shared" si="43"/>
        <v>21</v>
      </c>
      <c r="AI212" s="420">
        <f t="shared" si="43"/>
        <v>13</v>
      </c>
    </row>
    <row r="213" spans="1:36">
      <c r="A213" s="231" t="str">
        <f t="shared" si="42"/>
        <v>PIERCE UTCCommercialDEL3TEMP-COMM</v>
      </c>
      <c r="B213" s="243" t="s">
        <v>596</v>
      </c>
      <c r="C213" s="243" t="s">
        <v>597</v>
      </c>
      <c r="D213" s="243" t="s">
        <v>544</v>
      </c>
      <c r="E213" s="230">
        <v>33001</v>
      </c>
      <c r="F213" s="244">
        <v>22.71</v>
      </c>
      <c r="G213" s="244">
        <v>22.71</v>
      </c>
      <c r="H213" s="244"/>
      <c r="I213" s="244">
        <v>0</v>
      </c>
      <c r="J213" s="244">
        <v>0</v>
      </c>
      <c r="K213" s="244">
        <v>0</v>
      </c>
      <c r="L213" s="244">
        <v>0</v>
      </c>
      <c r="M213" s="244">
        <v>0</v>
      </c>
      <c r="N213" s="244">
        <v>0</v>
      </c>
      <c r="O213" s="244">
        <v>0</v>
      </c>
      <c r="P213" s="244">
        <v>0</v>
      </c>
      <c r="Q213" s="244">
        <v>22.71</v>
      </c>
      <c r="R213" s="244">
        <v>0</v>
      </c>
      <c r="S213" s="244">
        <v>0</v>
      </c>
      <c r="T213" s="244">
        <v>0</v>
      </c>
      <c r="U213" s="244"/>
      <c r="V213" s="408">
        <f t="shared" si="40"/>
        <v>22.71</v>
      </c>
      <c r="W213" s="245"/>
      <c r="X213" s="420">
        <f t="shared" si="45"/>
        <v>0</v>
      </c>
      <c r="Y213" s="421">
        <f t="shared" si="45"/>
        <v>0</v>
      </c>
      <c r="Z213" s="421">
        <f t="shared" si="45"/>
        <v>0</v>
      </c>
      <c r="AA213" s="420">
        <f t="shared" si="44"/>
        <v>0</v>
      </c>
      <c r="AB213" s="420">
        <f t="shared" si="44"/>
        <v>0</v>
      </c>
      <c r="AC213" s="420">
        <f t="shared" si="44"/>
        <v>0</v>
      </c>
      <c r="AD213" s="420">
        <f t="shared" si="43"/>
        <v>0</v>
      </c>
      <c r="AE213" s="420">
        <f t="shared" si="43"/>
        <v>0</v>
      </c>
      <c r="AF213" s="420">
        <f t="shared" si="43"/>
        <v>1</v>
      </c>
      <c r="AG213" s="420">
        <f t="shared" si="43"/>
        <v>0</v>
      </c>
      <c r="AH213" s="420">
        <f t="shared" si="43"/>
        <v>0</v>
      </c>
      <c r="AI213" s="420">
        <f t="shared" si="43"/>
        <v>0</v>
      </c>
    </row>
    <row r="214" spans="1:36">
      <c r="A214" s="231" t="str">
        <f t="shared" si="42"/>
        <v>PIERCE UTCCommercialDEL4TEMP-COMM</v>
      </c>
      <c r="B214" s="243" t="s">
        <v>598</v>
      </c>
      <c r="C214" s="243" t="s">
        <v>599</v>
      </c>
      <c r="D214" s="243" t="s">
        <v>544</v>
      </c>
      <c r="E214" s="230">
        <v>33001</v>
      </c>
      <c r="F214" s="244">
        <v>22.71</v>
      </c>
      <c r="G214" s="244">
        <v>22.71</v>
      </c>
      <c r="H214" s="244"/>
      <c r="I214" s="244">
        <v>0</v>
      </c>
      <c r="J214" s="244">
        <v>0</v>
      </c>
      <c r="K214" s="244">
        <v>0</v>
      </c>
      <c r="L214" s="244">
        <v>0</v>
      </c>
      <c r="M214" s="244">
        <v>22.71</v>
      </c>
      <c r="N214" s="244">
        <v>45.42</v>
      </c>
      <c r="O214" s="244">
        <v>0</v>
      </c>
      <c r="P214" s="244">
        <v>0</v>
      </c>
      <c r="Q214" s="244">
        <v>45.42</v>
      </c>
      <c r="R214" s="244">
        <v>0</v>
      </c>
      <c r="S214" s="244">
        <v>0</v>
      </c>
      <c r="T214" s="244">
        <v>0</v>
      </c>
      <c r="U214" s="244"/>
      <c r="V214" s="408">
        <f t="shared" si="40"/>
        <v>113.55</v>
      </c>
      <c r="W214" s="245"/>
      <c r="X214" s="420">
        <f t="shared" si="45"/>
        <v>0</v>
      </c>
      <c r="Y214" s="421">
        <f t="shared" si="45"/>
        <v>0</v>
      </c>
      <c r="Z214" s="421">
        <f t="shared" si="45"/>
        <v>0</v>
      </c>
      <c r="AA214" s="420">
        <f t="shared" si="44"/>
        <v>0</v>
      </c>
      <c r="AB214" s="420">
        <f t="shared" si="44"/>
        <v>1</v>
      </c>
      <c r="AC214" s="420">
        <f t="shared" si="44"/>
        <v>2</v>
      </c>
      <c r="AD214" s="420">
        <f t="shared" si="43"/>
        <v>0</v>
      </c>
      <c r="AE214" s="420">
        <f t="shared" si="43"/>
        <v>0</v>
      </c>
      <c r="AF214" s="420">
        <f t="shared" si="43"/>
        <v>2</v>
      </c>
      <c r="AG214" s="420">
        <f t="shared" si="43"/>
        <v>0</v>
      </c>
      <c r="AH214" s="420">
        <f t="shared" si="43"/>
        <v>0</v>
      </c>
      <c r="AI214" s="420">
        <f t="shared" si="43"/>
        <v>0</v>
      </c>
    </row>
    <row r="215" spans="1:36">
      <c r="A215" s="231" t="str">
        <f t="shared" si="42"/>
        <v>PIERCE UTCCommercialDEL6TEMP-COMM</v>
      </c>
      <c r="B215" s="243" t="s">
        <v>600</v>
      </c>
      <c r="C215" s="243" t="s">
        <v>601</v>
      </c>
      <c r="D215" s="243" t="s">
        <v>544</v>
      </c>
      <c r="E215" s="230">
        <v>33001</v>
      </c>
      <c r="F215" s="244">
        <v>42.77</v>
      </c>
      <c r="G215" s="244">
        <v>42.77</v>
      </c>
      <c r="H215" s="244"/>
      <c r="I215" s="244">
        <v>171.08</v>
      </c>
      <c r="J215" s="244">
        <v>85.54</v>
      </c>
      <c r="K215" s="244">
        <v>0</v>
      </c>
      <c r="L215" s="244">
        <v>42.77</v>
      </c>
      <c r="M215" s="244">
        <v>-42.77</v>
      </c>
      <c r="N215" s="244">
        <v>0</v>
      </c>
      <c r="O215" s="244">
        <v>85.54</v>
      </c>
      <c r="P215" s="244">
        <v>42.77</v>
      </c>
      <c r="Q215" s="244">
        <v>0</v>
      </c>
      <c r="R215" s="244">
        <v>0</v>
      </c>
      <c r="S215" s="244">
        <v>85.54</v>
      </c>
      <c r="T215" s="244">
        <v>0</v>
      </c>
      <c r="U215" s="244"/>
      <c r="V215" s="408">
        <f t="shared" si="40"/>
        <v>470.47</v>
      </c>
      <c r="W215" s="245"/>
      <c r="X215" s="420">
        <f t="shared" si="45"/>
        <v>4</v>
      </c>
      <c r="Y215" s="421">
        <f t="shared" si="45"/>
        <v>2</v>
      </c>
      <c r="Z215" s="421">
        <f t="shared" si="45"/>
        <v>0</v>
      </c>
      <c r="AA215" s="420">
        <f t="shared" si="44"/>
        <v>1</v>
      </c>
      <c r="AB215" s="420">
        <f t="shared" si="44"/>
        <v>-1</v>
      </c>
      <c r="AC215" s="420">
        <f t="shared" si="44"/>
        <v>0</v>
      </c>
      <c r="AD215" s="420">
        <f t="shared" si="43"/>
        <v>2</v>
      </c>
      <c r="AE215" s="420">
        <f t="shared" si="43"/>
        <v>1</v>
      </c>
      <c r="AF215" s="420">
        <f t="shared" si="43"/>
        <v>0</v>
      </c>
      <c r="AG215" s="420">
        <f t="shared" si="43"/>
        <v>0</v>
      </c>
      <c r="AH215" s="420">
        <f t="shared" si="43"/>
        <v>2</v>
      </c>
      <c r="AI215" s="420">
        <f t="shared" si="43"/>
        <v>0</v>
      </c>
    </row>
    <row r="216" spans="1:36" s="229" customFormat="1">
      <c r="A216" s="231" t="str">
        <f t="shared" si="42"/>
        <v>PIERCE UTCCommercialDEL-COMM</v>
      </c>
      <c r="B216" s="243" t="s">
        <v>602</v>
      </c>
      <c r="C216" s="243" t="s">
        <v>603</v>
      </c>
      <c r="D216" s="243" t="s">
        <v>544</v>
      </c>
      <c r="E216" s="230">
        <v>33001</v>
      </c>
      <c r="F216" s="244">
        <v>0</v>
      </c>
      <c r="G216" s="244">
        <v>0</v>
      </c>
      <c r="H216" s="244"/>
      <c r="I216" s="244">
        <v>0</v>
      </c>
      <c r="J216" s="244">
        <v>0</v>
      </c>
      <c r="K216" s="244">
        <v>0</v>
      </c>
      <c r="L216" s="244">
        <v>0</v>
      </c>
      <c r="M216" s="244">
        <v>0</v>
      </c>
      <c r="N216" s="244">
        <v>0</v>
      </c>
      <c r="O216" s="244">
        <v>0</v>
      </c>
      <c r="P216" s="244">
        <v>0</v>
      </c>
      <c r="Q216" s="244">
        <v>0</v>
      </c>
      <c r="R216" s="244">
        <v>0</v>
      </c>
      <c r="S216" s="244">
        <v>0</v>
      </c>
      <c r="T216" s="244">
        <v>0</v>
      </c>
      <c r="U216" s="244"/>
      <c r="V216" s="408">
        <f t="shared" si="40"/>
        <v>0</v>
      </c>
      <c r="W216" s="245"/>
      <c r="X216" s="420">
        <f t="shared" si="45"/>
        <v>0</v>
      </c>
      <c r="Y216" s="421">
        <f t="shared" si="45"/>
        <v>0</v>
      </c>
      <c r="Z216" s="421">
        <f t="shared" si="45"/>
        <v>0</v>
      </c>
      <c r="AA216" s="420">
        <f t="shared" si="44"/>
        <v>0</v>
      </c>
      <c r="AB216" s="420">
        <f t="shared" si="44"/>
        <v>0</v>
      </c>
      <c r="AC216" s="420">
        <f t="shared" si="44"/>
        <v>0</v>
      </c>
      <c r="AD216" s="420">
        <f t="shared" si="43"/>
        <v>0</v>
      </c>
      <c r="AE216" s="420">
        <f t="shared" si="43"/>
        <v>0</v>
      </c>
      <c r="AF216" s="420">
        <f t="shared" si="43"/>
        <v>0</v>
      </c>
      <c r="AG216" s="420">
        <f t="shared" si="43"/>
        <v>0</v>
      </c>
      <c r="AH216" s="420">
        <f t="shared" si="43"/>
        <v>0</v>
      </c>
      <c r="AI216" s="420">
        <f t="shared" si="43"/>
        <v>0</v>
      </c>
      <c r="AJ216" s="421"/>
    </row>
    <row r="217" spans="1:36">
      <c r="A217" s="231" t="str">
        <f t="shared" si="42"/>
        <v>PIERCE UTCCommercialREINSTATE-COMM</v>
      </c>
      <c r="B217" s="243" t="s">
        <v>604</v>
      </c>
      <c r="C217" s="243" t="s">
        <v>605</v>
      </c>
      <c r="D217" s="243" t="s">
        <v>544</v>
      </c>
      <c r="E217" s="230">
        <v>33001</v>
      </c>
      <c r="F217" s="244">
        <v>12.65</v>
      </c>
      <c r="G217" s="244">
        <v>12.65</v>
      </c>
      <c r="H217" s="244"/>
      <c r="I217" s="244">
        <v>227.7</v>
      </c>
      <c r="J217" s="244">
        <v>303.60000000000002</v>
      </c>
      <c r="K217" s="244">
        <v>379.5</v>
      </c>
      <c r="L217" s="244">
        <v>417.45</v>
      </c>
      <c r="M217" s="244">
        <v>290.95</v>
      </c>
      <c r="N217" s="244">
        <v>240.35</v>
      </c>
      <c r="O217" s="244">
        <v>366.85</v>
      </c>
      <c r="P217" s="244">
        <v>354.2</v>
      </c>
      <c r="Q217" s="244">
        <v>240.35</v>
      </c>
      <c r="R217" s="244">
        <v>366.85</v>
      </c>
      <c r="S217" s="244">
        <v>265.64999999999998</v>
      </c>
      <c r="T217" s="244">
        <v>278.3</v>
      </c>
      <c r="U217" s="244"/>
      <c r="V217" s="408">
        <f t="shared" si="40"/>
        <v>3731.75</v>
      </c>
      <c r="W217" s="245"/>
      <c r="X217" s="420">
        <f t="shared" si="45"/>
        <v>18</v>
      </c>
      <c r="Y217" s="421">
        <f t="shared" si="45"/>
        <v>24</v>
      </c>
      <c r="Z217" s="421">
        <f t="shared" si="45"/>
        <v>30</v>
      </c>
      <c r="AA217" s="420">
        <f t="shared" si="44"/>
        <v>33</v>
      </c>
      <c r="AB217" s="420">
        <f t="shared" si="44"/>
        <v>23</v>
      </c>
      <c r="AC217" s="420">
        <f t="shared" si="44"/>
        <v>19</v>
      </c>
      <c r="AD217" s="420">
        <f t="shared" si="43"/>
        <v>29</v>
      </c>
      <c r="AE217" s="420">
        <f t="shared" si="43"/>
        <v>28</v>
      </c>
      <c r="AF217" s="420">
        <f t="shared" si="43"/>
        <v>19</v>
      </c>
      <c r="AG217" s="420">
        <f t="shared" si="43"/>
        <v>29</v>
      </c>
      <c r="AH217" s="420">
        <f t="shared" si="43"/>
        <v>20.999999999999996</v>
      </c>
      <c r="AI217" s="420">
        <f t="shared" si="43"/>
        <v>22</v>
      </c>
    </row>
    <row r="218" spans="1:36">
      <c r="A218" s="231" t="str">
        <f t="shared" si="42"/>
        <v>PIERCE UTCCommercialRTRNCAN-COMM</v>
      </c>
      <c r="B218" s="243" t="s">
        <v>606</v>
      </c>
      <c r="C218" s="243" t="s">
        <v>607</v>
      </c>
      <c r="D218" s="243" t="s">
        <v>544</v>
      </c>
      <c r="E218" s="230">
        <v>33001</v>
      </c>
      <c r="F218" s="244">
        <v>6.35</v>
      </c>
      <c r="G218" s="244">
        <v>6.35</v>
      </c>
      <c r="H218" s="244"/>
      <c r="I218" s="244">
        <v>0</v>
      </c>
      <c r="J218" s="244">
        <v>0</v>
      </c>
      <c r="K218" s="244">
        <v>0</v>
      </c>
      <c r="L218" s="244">
        <v>0</v>
      </c>
      <c r="M218" s="244">
        <v>0</v>
      </c>
      <c r="N218" s="244">
        <v>0</v>
      </c>
      <c r="O218" s="244">
        <v>6.35</v>
      </c>
      <c r="P218" s="244">
        <v>0</v>
      </c>
      <c r="Q218" s="244">
        <v>0</v>
      </c>
      <c r="R218" s="244">
        <v>0</v>
      </c>
      <c r="S218" s="244">
        <v>0</v>
      </c>
      <c r="T218" s="244">
        <v>0</v>
      </c>
      <c r="U218" s="244"/>
      <c r="V218" s="408">
        <f t="shared" si="40"/>
        <v>6.35</v>
      </c>
      <c r="W218" s="245"/>
      <c r="X218" s="420">
        <f t="shared" si="45"/>
        <v>0</v>
      </c>
      <c r="Y218" s="421">
        <f t="shared" si="45"/>
        <v>0</v>
      </c>
      <c r="Z218" s="421">
        <f t="shared" si="45"/>
        <v>0</v>
      </c>
      <c r="AA218" s="420">
        <f t="shared" si="44"/>
        <v>0</v>
      </c>
      <c r="AB218" s="420">
        <f t="shared" si="44"/>
        <v>0</v>
      </c>
      <c r="AC218" s="420">
        <f t="shared" si="44"/>
        <v>0</v>
      </c>
      <c r="AD218" s="420">
        <f t="shared" si="43"/>
        <v>1</v>
      </c>
      <c r="AE218" s="420">
        <f t="shared" si="43"/>
        <v>0</v>
      </c>
      <c r="AF218" s="420">
        <f t="shared" si="43"/>
        <v>0</v>
      </c>
      <c r="AG218" s="420">
        <f t="shared" si="43"/>
        <v>0</v>
      </c>
      <c r="AH218" s="420">
        <f t="shared" si="43"/>
        <v>0</v>
      </c>
      <c r="AI218" s="420">
        <f t="shared" si="43"/>
        <v>0</v>
      </c>
    </row>
    <row r="219" spans="1:36">
      <c r="A219" s="231" t="str">
        <f t="shared" si="42"/>
        <v>PIERCE UTCCommercialRTRNCART65-COMM</v>
      </c>
      <c r="B219" s="243" t="s">
        <v>608</v>
      </c>
      <c r="C219" s="243" t="s">
        <v>609</v>
      </c>
      <c r="D219" s="243" t="s">
        <v>544</v>
      </c>
      <c r="E219" s="230">
        <v>33001</v>
      </c>
      <c r="F219" s="244">
        <v>7.4</v>
      </c>
      <c r="G219" s="244">
        <v>7.4</v>
      </c>
      <c r="H219" s="244"/>
      <c r="I219" s="244">
        <v>7.4</v>
      </c>
      <c r="J219" s="244">
        <v>0</v>
      </c>
      <c r="K219" s="244">
        <v>0</v>
      </c>
      <c r="L219" s="244">
        <v>7.4</v>
      </c>
      <c r="M219" s="244">
        <v>0</v>
      </c>
      <c r="N219" s="244">
        <v>0</v>
      </c>
      <c r="O219" s="244">
        <v>7.4</v>
      </c>
      <c r="P219" s="244">
        <v>14.8</v>
      </c>
      <c r="Q219" s="244">
        <v>0</v>
      </c>
      <c r="R219" s="244">
        <v>0</v>
      </c>
      <c r="S219" s="244">
        <v>0</v>
      </c>
      <c r="T219" s="244">
        <v>0</v>
      </c>
      <c r="U219" s="244"/>
      <c r="V219" s="408">
        <f t="shared" si="40"/>
        <v>37</v>
      </c>
      <c r="W219" s="245"/>
      <c r="X219" s="420">
        <f t="shared" si="45"/>
        <v>1</v>
      </c>
      <c r="Y219" s="421">
        <f t="shared" si="45"/>
        <v>0</v>
      </c>
      <c r="Z219" s="421">
        <f t="shared" si="45"/>
        <v>0</v>
      </c>
      <c r="AA219" s="420">
        <f t="shared" si="44"/>
        <v>1</v>
      </c>
      <c r="AB219" s="420">
        <f t="shared" si="44"/>
        <v>0</v>
      </c>
      <c r="AC219" s="420">
        <f t="shared" si="44"/>
        <v>0</v>
      </c>
      <c r="AD219" s="420">
        <f t="shared" si="43"/>
        <v>1</v>
      </c>
      <c r="AE219" s="420">
        <f t="shared" si="43"/>
        <v>2</v>
      </c>
      <c r="AF219" s="420">
        <f t="shared" si="43"/>
        <v>0</v>
      </c>
      <c r="AG219" s="420">
        <f t="shared" si="43"/>
        <v>0</v>
      </c>
      <c r="AH219" s="420">
        <f t="shared" si="43"/>
        <v>0</v>
      </c>
      <c r="AI219" s="420">
        <f t="shared" si="43"/>
        <v>0</v>
      </c>
    </row>
    <row r="220" spans="1:36">
      <c r="A220" s="231" t="str">
        <f t="shared" si="42"/>
        <v>PIERCE UTCCommercialRTRNCART95-COMM</v>
      </c>
      <c r="B220" s="243" t="s">
        <v>610</v>
      </c>
      <c r="C220" s="243" t="s">
        <v>611</v>
      </c>
      <c r="D220" s="243" t="s">
        <v>544</v>
      </c>
      <c r="E220" s="230">
        <v>33001</v>
      </c>
      <c r="F220" s="244">
        <v>9.5</v>
      </c>
      <c r="G220" s="244">
        <v>9.5</v>
      </c>
      <c r="H220" s="244"/>
      <c r="I220" s="244">
        <v>0</v>
      </c>
      <c r="J220" s="244">
        <v>0</v>
      </c>
      <c r="K220" s="244">
        <v>0</v>
      </c>
      <c r="L220" s="244">
        <v>0</v>
      </c>
      <c r="M220" s="244">
        <v>0</v>
      </c>
      <c r="N220" s="244">
        <v>0</v>
      </c>
      <c r="O220" s="244">
        <v>0</v>
      </c>
      <c r="P220" s="244">
        <v>9.5</v>
      </c>
      <c r="Q220" s="244">
        <v>19</v>
      </c>
      <c r="R220" s="244">
        <v>-9.5</v>
      </c>
      <c r="S220" s="244">
        <v>28.5</v>
      </c>
      <c r="T220" s="244">
        <v>0</v>
      </c>
      <c r="U220" s="244"/>
      <c r="V220" s="408">
        <f t="shared" si="40"/>
        <v>47.5</v>
      </c>
      <c r="W220" s="245"/>
      <c r="X220" s="420">
        <f t="shared" si="45"/>
        <v>0</v>
      </c>
      <c r="Y220" s="421">
        <f t="shared" si="45"/>
        <v>0</v>
      </c>
      <c r="Z220" s="421">
        <f t="shared" si="45"/>
        <v>0</v>
      </c>
      <c r="AA220" s="420">
        <f t="shared" si="44"/>
        <v>0</v>
      </c>
      <c r="AB220" s="420">
        <f t="shared" si="44"/>
        <v>0</v>
      </c>
      <c r="AC220" s="420">
        <f t="shared" si="44"/>
        <v>0</v>
      </c>
      <c r="AD220" s="420">
        <f t="shared" si="43"/>
        <v>0</v>
      </c>
      <c r="AE220" s="420">
        <f t="shared" si="43"/>
        <v>1</v>
      </c>
      <c r="AF220" s="420">
        <f t="shared" si="43"/>
        <v>2</v>
      </c>
      <c r="AG220" s="420">
        <f t="shared" si="43"/>
        <v>-1</v>
      </c>
      <c r="AH220" s="420">
        <f t="shared" si="43"/>
        <v>3</v>
      </c>
      <c r="AI220" s="420">
        <f t="shared" si="43"/>
        <v>0</v>
      </c>
    </row>
    <row r="221" spans="1:36">
      <c r="A221" s="231" t="str">
        <f t="shared" si="42"/>
        <v>PIERCE UTCCommercialRTRNTRIP-COMM</v>
      </c>
      <c r="B221" s="243" t="s">
        <v>612</v>
      </c>
      <c r="C221" s="243" t="s">
        <v>613</v>
      </c>
      <c r="D221" s="243" t="s">
        <v>544</v>
      </c>
      <c r="E221" s="230">
        <v>33001</v>
      </c>
      <c r="F221" s="244">
        <v>16.8</v>
      </c>
      <c r="G221" s="244">
        <v>16.8</v>
      </c>
      <c r="H221" s="244"/>
      <c r="I221" s="244">
        <v>50.4</v>
      </c>
      <c r="J221" s="244">
        <v>33.6</v>
      </c>
      <c r="K221" s="244">
        <v>100.8</v>
      </c>
      <c r="L221" s="244">
        <v>16.8</v>
      </c>
      <c r="M221" s="244">
        <v>117.6</v>
      </c>
      <c r="N221" s="244">
        <v>168</v>
      </c>
      <c r="O221" s="244">
        <v>33.6</v>
      </c>
      <c r="P221" s="244">
        <v>67.2</v>
      </c>
      <c r="Q221" s="244">
        <v>168</v>
      </c>
      <c r="R221" s="244">
        <v>33.6</v>
      </c>
      <c r="S221" s="244">
        <v>84</v>
      </c>
      <c r="T221" s="244">
        <v>16.8</v>
      </c>
      <c r="U221" s="244"/>
      <c r="V221" s="408">
        <f t="shared" si="40"/>
        <v>890.40000000000009</v>
      </c>
      <c r="W221" s="245"/>
      <c r="X221" s="420">
        <f t="shared" si="45"/>
        <v>3</v>
      </c>
      <c r="Y221" s="421">
        <f t="shared" si="45"/>
        <v>2</v>
      </c>
      <c r="Z221" s="421">
        <f t="shared" si="45"/>
        <v>6</v>
      </c>
      <c r="AA221" s="420">
        <f t="shared" si="44"/>
        <v>1</v>
      </c>
      <c r="AB221" s="420">
        <f t="shared" si="44"/>
        <v>6.9999999999999991</v>
      </c>
      <c r="AC221" s="420">
        <f t="shared" si="44"/>
        <v>10</v>
      </c>
      <c r="AD221" s="420">
        <f t="shared" si="43"/>
        <v>2</v>
      </c>
      <c r="AE221" s="420">
        <f t="shared" si="43"/>
        <v>4</v>
      </c>
      <c r="AF221" s="420">
        <f t="shared" si="43"/>
        <v>10</v>
      </c>
      <c r="AG221" s="420">
        <f t="shared" si="43"/>
        <v>2</v>
      </c>
      <c r="AH221" s="420">
        <f t="shared" si="43"/>
        <v>5</v>
      </c>
      <c r="AI221" s="420">
        <f t="shared" si="43"/>
        <v>1</v>
      </c>
    </row>
    <row r="222" spans="1:36">
      <c r="A222" s="231" t="str">
        <f t="shared" si="42"/>
        <v>PIERCE UTCCommercialSP1.5-COMM</v>
      </c>
      <c r="B222" s="243" t="s">
        <v>614</v>
      </c>
      <c r="C222" s="307" t="s">
        <v>615</v>
      </c>
      <c r="D222" s="243" t="s">
        <v>544</v>
      </c>
      <c r="E222" s="230">
        <v>33001</v>
      </c>
      <c r="F222" s="244">
        <v>70.36</v>
      </c>
      <c r="G222" s="244">
        <v>71.09</v>
      </c>
      <c r="H222" s="244"/>
      <c r="I222" s="244">
        <v>140.72</v>
      </c>
      <c r="J222" s="244">
        <v>211.08</v>
      </c>
      <c r="K222" s="244">
        <v>0</v>
      </c>
      <c r="L222" s="244">
        <v>142.18</v>
      </c>
      <c r="M222" s="244">
        <v>0</v>
      </c>
      <c r="N222" s="244">
        <v>0</v>
      </c>
      <c r="O222" s="244">
        <v>142.18</v>
      </c>
      <c r="P222" s="244">
        <v>213.27</v>
      </c>
      <c r="Q222" s="244">
        <v>213.27</v>
      </c>
      <c r="R222" s="244">
        <v>142.18</v>
      </c>
      <c r="S222" s="244">
        <v>142.18</v>
      </c>
      <c r="T222" s="244">
        <v>142.18</v>
      </c>
      <c r="U222" s="244"/>
      <c r="V222" s="408">
        <f t="shared" si="40"/>
        <v>1489.2400000000002</v>
      </c>
      <c r="W222" s="245"/>
      <c r="X222" s="420">
        <f t="shared" si="45"/>
        <v>2</v>
      </c>
      <c r="Y222" s="421">
        <f t="shared" si="45"/>
        <v>3</v>
      </c>
      <c r="Z222" s="421">
        <f t="shared" si="45"/>
        <v>0</v>
      </c>
      <c r="AA222" s="420">
        <f t="shared" si="44"/>
        <v>2</v>
      </c>
      <c r="AB222" s="420">
        <f t="shared" si="44"/>
        <v>0</v>
      </c>
      <c r="AC222" s="420">
        <f t="shared" si="44"/>
        <v>0</v>
      </c>
      <c r="AD222" s="420">
        <f t="shared" si="43"/>
        <v>2</v>
      </c>
      <c r="AE222" s="420">
        <f t="shared" si="43"/>
        <v>3</v>
      </c>
      <c r="AF222" s="420">
        <f t="shared" si="43"/>
        <v>3</v>
      </c>
      <c r="AG222" s="420">
        <f t="shared" si="43"/>
        <v>2</v>
      </c>
      <c r="AH222" s="420">
        <f t="shared" si="43"/>
        <v>2</v>
      </c>
      <c r="AI222" s="420">
        <f t="shared" si="43"/>
        <v>2</v>
      </c>
      <c r="AJ222" s="408">
        <f t="shared" ref="AJ222:AJ227" si="46">SUM(X222:AI222)</f>
        <v>21</v>
      </c>
    </row>
    <row r="223" spans="1:36">
      <c r="A223" s="231" t="str">
        <f t="shared" si="42"/>
        <v>PIERCE UTCCommercialSP1-COMM</v>
      </c>
      <c r="B223" s="243" t="s">
        <v>616</v>
      </c>
      <c r="C223" s="307" t="s">
        <v>617</v>
      </c>
      <c r="D223" s="243" t="s">
        <v>544</v>
      </c>
      <c r="E223" s="230">
        <v>33001</v>
      </c>
      <c r="F223" s="244">
        <v>63.32</v>
      </c>
      <c r="G223" s="244">
        <v>63.83</v>
      </c>
      <c r="H223" s="244"/>
      <c r="I223" s="244">
        <v>189.96</v>
      </c>
      <c r="J223" s="244">
        <v>126.64</v>
      </c>
      <c r="K223" s="244">
        <v>126.64</v>
      </c>
      <c r="L223" s="244">
        <v>191.49</v>
      </c>
      <c r="M223" s="244">
        <v>255.32</v>
      </c>
      <c r="N223" s="244">
        <v>472.52</v>
      </c>
      <c r="O223" s="244">
        <v>191.49</v>
      </c>
      <c r="P223" s="244">
        <v>702.13</v>
      </c>
      <c r="Q223" s="244">
        <v>382.98</v>
      </c>
      <c r="R223" s="244">
        <v>382.98</v>
      </c>
      <c r="S223" s="244">
        <v>319.14999999999998</v>
      </c>
      <c r="T223" s="244">
        <v>191.49</v>
      </c>
      <c r="U223" s="244"/>
      <c r="V223" s="408">
        <f t="shared" si="40"/>
        <v>3532.79</v>
      </c>
      <c r="W223" s="245"/>
      <c r="X223" s="420">
        <f t="shared" si="45"/>
        <v>3</v>
      </c>
      <c r="Y223" s="421">
        <f t="shared" si="45"/>
        <v>2</v>
      </c>
      <c r="Z223" s="421">
        <f t="shared" si="45"/>
        <v>2</v>
      </c>
      <c r="AA223" s="420">
        <f t="shared" si="44"/>
        <v>3.0000000000000004</v>
      </c>
      <c r="AB223" s="420">
        <f t="shared" si="44"/>
        <v>4</v>
      </c>
      <c r="AC223" s="420">
        <f t="shared" si="44"/>
        <v>7.4027886573711417</v>
      </c>
      <c r="AD223" s="420">
        <f t="shared" si="43"/>
        <v>3.0000000000000004</v>
      </c>
      <c r="AE223" s="420">
        <f t="shared" si="43"/>
        <v>11</v>
      </c>
      <c r="AF223" s="420">
        <f t="shared" si="43"/>
        <v>6.0000000000000009</v>
      </c>
      <c r="AG223" s="420">
        <f t="shared" si="43"/>
        <v>6.0000000000000009</v>
      </c>
      <c r="AH223" s="420">
        <f t="shared" si="43"/>
        <v>5</v>
      </c>
      <c r="AI223" s="420">
        <f t="shared" si="43"/>
        <v>3.0000000000000004</v>
      </c>
      <c r="AJ223" s="408">
        <f t="shared" si="46"/>
        <v>55.40278865737114</v>
      </c>
    </row>
    <row r="224" spans="1:36">
      <c r="A224" s="231" t="str">
        <f t="shared" si="42"/>
        <v>PIERCE UTCCommercialSP2-COMM</v>
      </c>
      <c r="B224" s="243" t="s">
        <v>618</v>
      </c>
      <c r="C224" s="307" t="s">
        <v>619</v>
      </c>
      <c r="D224" s="243" t="s">
        <v>544</v>
      </c>
      <c r="E224" s="230">
        <v>33001</v>
      </c>
      <c r="F224" s="244">
        <v>78.459999999999994</v>
      </c>
      <c r="G224" s="244">
        <v>79.41</v>
      </c>
      <c r="H224" s="244"/>
      <c r="I224" s="244">
        <v>235.38</v>
      </c>
      <c r="J224" s="244">
        <v>392.3</v>
      </c>
      <c r="K224" s="244">
        <v>0.04</v>
      </c>
      <c r="L224" s="244">
        <v>476.46</v>
      </c>
      <c r="M224" s="244">
        <v>238.23</v>
      </c>
      <c r="N224" s="244">
        <v>238.23</v>
      </c>
      <c r="O224" s="244">
        <v>238.23</v>
      </c>
      <c r="P224" s="244">
        <v>476.46</v>
      </c>
      <c r="Q224" s="244">
        <v>158.82</v>
      </c>
      <c r="R224" s="244">
        <v>79.41</v>
      </c>
      <c r="S224" s="244">
        <v>476.46</v>
      </c>
      <c r="T224" s="244">
        <v>714.69</v>
      </c>
      <c r="U224" s="244"/>
      <c r="V224" s="408">
        <f t="shared" si="40"/>
        <v>3724.71</v>
      </c>
      <c r="W224" s="245"/>
      <c r="X224" s="420">
        <f t="shared" si="45"/>
        <v>3</v>
      </c>
      <c r="Y224" s="421">
        <f t="shared" si="45"/>
        <v>5.0000000000000009</v>
      </c>
      <c r="Z224" s="421">
        <f t="shared" si="45"/>
        <v>5.0981391791995925E-4</v>
      </c>
      <c r="AA224" s="420">
        <f t="shared" si="44"/>
        <v>6</v>
      </c>
      <c r="AB224" s="420">
        <f t="shared" si="44"/>
        <v>3</v>
      </c>
      <c r="AC224" s="420">
        <f t="shared" si="44"/>
        <v>3</v>
      </c>
      <c r="AD224" s="420">
        <f t="shared" si="43"/>
        <v>3</v>
      </c>
      <c r="AE224" s="420">
        <f t="shared" si="43"/>
        <v>6</v>
      </c>
      <c r="AF224" s="420">
        <f t="shared" si="43"/>
        <v>2</v>
      </c>
      <c r="AG224" s="420">
        <f t="shared" si="43"/>
        <v>1</v>
      </c>
      <c r="AH224" s="420">
        <f t="shared" si="43"/>
        <v>6</v>
      </c>
      <c r="AI224" s="420">
        <f t="shared" si="43"/>
        <v>9.0000000000000018</v>
      </c>
      <c r="AJ224" s="408">
        <f t="shared" si="46"/>
        <v>47.000509813917922</v>
      </c>
    </row>
    <row r="225" spans="1:36">
      <c r="A225" s="231" t="str">
        <f t="shared" si="42"/>
        <v>PIERCE UTCCommercialSP3-COMM</v>
      </c>
      <c r="B225" s="243" t="s">
        <v>620</v>
      </c>
      <c r="C225" s="307" t="s">
        <v>621</v>
      </c>
      <c r="D225" s="243" t="s">
        <v>544</v>
      </c>
      <c r="E225" s="230">
        <v>33001</v>
      </c>
      <c r="F225" s="244">
        <v>90.51</v>
      </c>
      <c r="G225" s="244">
        <v>91.89</v>
      </c>
      <c r="H225" s="244"/>
      <c r="I225" s="244">
        <v>90.51</v>
      </c>
      <c r="J225" s="244">
        <v>0</v>
      </c>
      <c r="K225" s="244">
        <v>0</v>
      </c>
      <c r="L225" s="244">
        <v>0</v>
      </c>
      <c r="M225" s="244">
        <v>91.89</v>
      </c>
      <c r="N225" s="244">
        <v>91.89</v>
      </c>
      <c r="O225" s="244">
        <v>183.78</v>
      </c>
      <c r="P225" s="244">
        <v>183.78</v>
      </c>
      <c r="Q225" s="244">
        <v>91.89</v>
      </c>
      <c r="R225" s="244">
        <v>0</v>
      </c>
      <c r="S225" s="244">
        <v>0</v>
      </c>
      <c r="T225" s="244">
        <v>91.89</v>
      </c>
      <c r="U225" s="244"/>
      <c r="V225" s="408">
        <f t="shared" si="40"/>
        <v>825.63</v>
      </c>
      <c r="W225" s="245"/>
      <c r="X225" s="420">
        <f t="shared" si="45"/>
        <v>1</v>
      </c>
      <c r="Y225" s="421">
        <f t="shared" si="45"/>
        <v>0</v>
      </c>
      <c r="Z225" s="421">
        <f t="shared" si="45"/>
        <v>0</v>
      </c>
      <c r="AA225" s="420">
        <f t="shared" si="44"/>
        <v>0</v>
      </c>
      <c r="AB225" s="420">
        <f t="shared" si="44"/>
        <v>1</v>
      </c>
      <c r="AC225" s="420">
        <f t="shared" si="44"/>
        <v>1</v>
      </c>
      <c r="AD225" s="420">
        <f t="shared" si="43"/>
        <v>2</v>
      </c>
      <c r="AE225" s="420">
        <f t="shared" si="43"/>
        <v>2</v>
      </c>
      <c r="AF225" s="420">
        <f t="shared" si="43"/>
        <v>1</v>
      </c>
      <c r="AG225" s="420">
        <f t="shared" si="43"/>
        <v>0</v>
      </c>
      <c r="AH225" s="420">
        <f t="shared" si="43"/>
        <v>0</v>
      </c>
      <c r="AI225" s="420">
        <f t="shared" si="43"/>
        <v>1</v>
      </c>
      <c r="AJ225" s="408">
        <f t="shared" si="46"/>
        <v>9</v>
      </c>
    </row>
    <row r="226" spans="1:36">
      <c r="A226" s="231" t="str">
        <f t="shared" si="42"/>
        <v>PIERCE UTCCommercialSP4-COMM</v>
      </c>
      <c r="B226" s="243" t="s">
        <v>622</v>
      </c>
      <c r="C226" s="307" t="s">
        <v>623</v>
      </c>
      <c r="D226" s="243" t="s">
        <v>544</v>
      </c>
      <c r="E226" s="230">
        <v>33001</v>
      </c>
      <c r="F226" s="244">
        <v>104.35</v>
      </c>
      <c r="G226" s="244">
        <v>106.14</v>
      </c>
      <c r="H226" s="244"/>
      <c r="I226" s="244">
        <v>0</v>
      </c>
      <c r="J226" s="244">
        <v>0</v>
      </c>
      <c r="K226" s="244">
        <v>0</v>
      </c>
      <c r="L226" s="244">
        <v>106.14</v>
      </c>
      <c r="M226" s="244">
        <v>849.12</v>
      </c>
      <c r="N226" s="244">
        <v>318.42</v>
      </c>
      <c r="O226" s="244">
        <v>636.84</v>
      </c>
      <c r="P226" s="244">
        <v>424.56</v>
      </c>
      <c r="Q226" s="244">
        <v>849.12</v>
      </c>
      <c r="R226" s="244">
        <v>212.28</v>
      </c>
      <c r="S226" s="244">
        <v>318.42</v>
      </c>
      <c r="T226" s="244">
        <v>212.28</v>
      </c>
      <c r="U226" s="244"/>
      <c r="V226" s="408">
        <f t="shared" si="40"/>
        <v>3927.1800000000003</v>
      </c>
      <c r="W226" s="245"/>
      <c r="X226" s="420">
        <f t="shared" si="45"/>
        <v>0</v>
      </c>
      <c r="Y226" s="421">
        <f t="shared" si="45"/>
        <v>0</v>
      </c>
      <c r="Z226" s="421">
        <f t="shared" si="45"/>
        <v>0</v>
      </c>
      <c r="AA226" s="420">
        <f t="shared" si="44"/>
        <v>1</v>
      </c>
      <c r="AB226" s="420">
        <f t="shared" si="44"/>
        <v>8</v>
      </c>
      <c r="AC226" s="420">
        <f t="shared" si="44"/>
        <v>3</v>
      </c>
      <c r="AD226" s="420">
        <f t="shared" si="43"/>
        <v>6</v>
      </c>
      <c r="AE226" s="420">
        <f t="shared" si="43"/>
        <v>4</v>
      </c>
      <c r="AF226" s="420">
        <f t="shared" si="43"/>
        <v>8</v>
      </c>
      <c r="AG226" s="420">
        <f t="shared" si="43"/>
        <v>2</v>
      </c>
      <c r="AH226" s="420">
        <f t="shared" si="43"/>
        <v>3</v>
      </c>
      <c r="AI226" s="420">
        <f t="shared" si="43"/>
        <v>2</v>
      </c>
      <c r="AJ226" s="408">
        <f t="shared" si="46"/>
        <v>37</v>
      </c>
    </row>
    <row r="227" spans="1:36">
      <c r="A227" s="231" t="str">
        <f t="shared" si="42"/>
        <v>PIERCE UTCCommercialSP6-COMM</v>
      </c>
      <c r="B227" s="243" t="s">
        <v>624</v>
      </c>
      <c r="C227" s="307" t="s">
        <v>625</v>
      </c>
      <c r="D227" s="243" t="s">
        <v>544</v>
      </c>
      <c r="E227" s="230">
        <v>33001</v>
      </c>
      <c r="F227" s="244">
        <v>123.76</v>
      </c>
      <c r="G227" s="244">
        <v>126.22</v>
      </c>
      <c r="H227" s="244"/>
      <c r="I227" s="244">
        <v>742.56</v>
      </c>
      <c r="J227" s="244">
        <v>247.52</v>
      </c>
      <c r="K227" s="244">
        <v>371.28</v>
      </c>
      <c r="L227" s="244">
        <v>1009.76</v>
      </c>
      <c r="M227" s="244">
        <v>2271.96</v>
      </c>
      <c r="N227" s="244">
        <v>2524.4</v>
      </c>
      <c r="O227" s="244">
        <v>2650.62</v>
      </c>
      <c r="P227" s="244">
        <v>2903.06</v>
      </c>
      <c r="Q227" s="244">
        <v>2650.62</v>
      </c>
      <c r="R227" s="244">
        <v>757.32</v>
      </c>
      <c r="S227" s="244">
        <v>757.32</v>
      </c>
      <c r="T227" s="244">
        <v>883.54</v>
      </c>
      <c r="U227" s="244"/>
      <c r="V227" s="408">
        <f t="shared" si="40"/>
        <v>17769.96</v>
      </c>
      <c r="W227" s="245"/>
      <c r="X227" s="420">
        <f t="shared" si="45"/>
        <v>5.9999999999999991</v>
      </c>
      <c r="Y227" s="421">
        <f t="shared" si="45"/>
        <v>2</v>
      </c>
      <c r="Z227" s="421">
        <f t="shared" si="45"/>
        <v>2.9999999999999996</v>
      </c>
      <c r="AA227" s="420">
        <f t="shared" si="44"/>
        <v>8</v>
      </c>
      <c r="AB227" s="420">
        <f t="shared" si="44"/>
        <v>18</v>
      </c>
      <c r="AC227" s="420">
        <f t="shared" si="44"/>
        <v>20</v>
      </c>
      <c r="AD227" s="420">
        <f t="shared" si="43"/>
        <v>21</v>
      </c>
      <c r="AE227" s="420">
        <f t="shared" si="43"/>
        <v>23</v>
      </c>
      <c r="AF227" s="420">
        <f t="shared" si="43"/>
        <v>21</v>
      </c>
      <c r="AG227" s="420">
        <f t="shared" si="43"/>
        <v>6.0000000000000009</v>
      </c>
      <c r="AH227" s="420">
        <f t="shared" si="43"/>
        <v>6.0000000000000009</v>
      </c>
      <c r="AI227" s="420">
        <f t="shared" si="43"/>
        <v>7</v>
      </c>
      <c r="AJ227" s="408">
        <f t="shared" si="46"/>
        <v>141</v>
      </c>
    </row>
    <row r="228" spans="1:36">
      <c r="A228" s="231" t="str">
        <f t="shared" si="42"/>
        <v>PIERCE UTCCommercialSPCL65-COMM</v>
      </c>
      <c r="B228" s="243" t="s">
        <v>626</v>
      </c>
      <c r="C228" s="243" t="s">
        <v>627</v>
      </c>
      <c r="D228" s="243" t="s">
        <v>544</v>
      </c>
      <c r="E228" s="230">
        <v>33001</v>
      </c>
      <c r="F228" s="244">
        <v>0</v>
      </c>
      <c r="G228" s="244">
        <v>0</v>
      </c>
      <c r="H228" s="244"/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/>
      <c r="V228" s="408">
        <f t="shared" si="40"/>
        <v>0</v>
      </c>
      <c r="W228" s="245"/>
      <c r="X228" s="420">
        <f t="shared" si="45"/>
        <v>0</v>
      </c>
      <c r="Y228" s="421">
        <f t="shared" si="45"/>
        <v>0</v>
      </c>
      <c r="Z228" s="421">
        <f t="shared" si="45"/>
        <v>0</v>
      </c>
      <c r="AA228" s="420">
        <f t="shared" si="44"/>
        <v>0</v>
      </c>
      <c r="AB228" s="420">
        <f t="shared" si="44"/>
        <v>0</v>
      </c>
      <c r="AC228" s="420">
        <f t="shared" si="44"/>
        <v>0</v>
      </c>
      <c r="AD228" s="420">
        <f t="shared" si="43"/>
        <v>0</v>
      </c>
      <c r="AE228" s="420">
        <f t="shared" si="43"/>
        <v>0</v>
      </c>
      <c r="AF228" s="420">
        <f t="shared" si="43"/>
        <v>0</v>
      </c>
      <c r="AG228" s="420">
        <f t="shared" si="43"/>
        <v>0</v>
      </c>
      <c r="AH228" s="420">
        <f t="shared" si="43"/>
        <v>0</v>
      </c>
      <c r="AI228" s="420">
        <f t="shared" si="43"/>
        <v>0</v>
      </c>
    </row>
    <row r="229" spans="1:36">
      <c r="A229" s="231" t="str">
        <f t="shared" si="42"/>
        <v>PIERCE UTCCommercialSPCL95-COMM</v>
      </c>
      <c r="B229" s="243" t="s">
        <v>628</v>
      </c>
      <c r="C229" s="243" t="s">
        <v>629</v>
      </c>
      <c r="D229" s="243" t="s">
        <v>544</v>
      </c>
      <c r="E229" s="230">
        <v>33001</v>
      </c>
      <c r="F229" s="244">
        <v>0</v>
      </c>
      <c r="G229" s="244">
        <v>0</v>
      </c>
      <c r="H229" s="244"/>
      <c r="I229" s="244">
        <v>0</v>
      </c>
      <c r="J229" s="244">
        <v>0</v>
      </c>
      <c r="K229" s="244">
        <v>0</v>
      </c>
      <c r="L229" s="244">
        <v>0</v>
      </c>
      <c r="M229" s="244">
        <v>0</v>
      </c>
      <c r="N229" s="244">
        <v>0</v>
      </c>
      <c r="O229" s="244">
        <v>0</v>
      </c>
      <c r="P229" s="244">
        <v>0</v>
      </c>
      <c r="Q229" s="244">
        <v>0</v>
      </c>
      <c r="R229" s="244">
        <v>0</v>
      </c>
      <c r="S229" s="244">
        <v>0</v>
      </c>
      <c r="T229" s="244">
        <v>0</v>
      </c>
      <c r="U229" s="244"/>
      <c r="V229" s="408">
        <f t="shared" si="40"/>
        <v>0</v>
      </c>
      <c r="W229" s="245"/>
      <c r="X229" s="420">
        <f t="shared" si="45"/>
        <v>0</v>
      </c>
      <c r="Y229" s="421">
        <f t="shared" si="45"/>
        <v>0</v>
      </c>
      <c r="Z229" s="421">
        <f t="shared" si="45"/>
        <v>0</v>
      </c>
      <c r="AA229" s="420">
        <f t="shared" si="44"/>
        <v>0</v>
      </c>
      <c r="AB229" s="420">
        <f t="shared" si="44"/>
        <v>0</v>
      </c>
      <c r="AC229" s="420">
        <f t="shared" si="44"/>
        <v>0</v>
      </c>
      <c r="AD229" s="420">
        <f t="shared" si="43"/>
        <v>0</v>
      </c>
      <c r="AE229" s="420">
        <f t="shared" si="43"/>
        <v>0</v>
      </c>
      <c r="AF229" s="420">
        <f t="shared" si="43"/>
        <v>0</v>
      </c>
      <c r="AG229" s="420">
        <f t="shared" si="43"/>
        <v>0</v>
      </c>
      <c r="AH229" s="420">
        <f t="shared" si="43"/>
        <v>0</v>
      </c>
      <c r="AI229" s="420">
        <f t="shared" si="43"/>
        <v>0</v>
      </c>
    </row>
    <row r="230" spans="1:36">
      <c r="A230" s="231" t="str">
        <f t="shared" si="42"/>
        <v>PIERCE UTCCommercialSPCLREC-COMM</v>
      </c>
      <c r="B230" s="243" t="s">
        <v>630</v>
      </c>
      <c r="C230" s="243" t="s">
        <v>631</v>
      </c>
      <c r="D230" s="243" t="s">
        <v>544</v>
      </c>
      <c r="E230" s="230">
        <v>33001</v>
      </c>
      <c r="F230" s="244">
        <v>0</v>
      </c>
      <c r="G230" s="244">
        <v>0</v>
      </c>
      <c r="H230" s="244"/>
      <c r="I230" s="244">
        <v>0</v>
      </c>
      <c r="J230" s="244">
        <v>0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4"/>
      <c r="V230" s="408">
        <f t="shared" si="40"/>
        <v>0</v>
      </c>
      <c r="W230" s="245"/>
      <c r="X230" s="420">
        <f t="shared" si="45"/>
        <v>0</v>
      </c>
      <c r="Y230" s="421">
        <f t="shared" si="45"/>
        <v>0</v>
      </c>
      <c r="Z230" s="421">
        <f t="shared" si="45"/>
        <v>0</v>
      </c>
      <c r="AA230" s="420">
        <f t="shared" si="44"/>
        <v>0</v>
      </c>
      <c r="AB230" s="420">
        <f t="shared" si="44"/>
        <v>0</v>
      </c>
      <c r="AC230" s="420">
        <f t="shared" si="44"/>
        <v>0</v>
      </c>
      <c r="AD230" s="420">
        <f t="shared" si="43"/>
        <v>0</v>
      </c>
      <c r="AE230" s="420">
        <f t="shared" si="43"/>
        <v>0</v>
      </c>
      <c r="AF230" s="420">
        <f t="shared" si="43"/>
        <v>0</v>
      </c>
      <c r="AG230" s="420">
        <f t="shared" si="43"/>
        <v>0</v>
      </c>
      <c r="AH230" s="420">
        <f t="shared" si="43"/>
        <v>0</v>
      </c>
      <c r="AI230" s="420">
        <f t="shared" si="43"/>
        <v>0</v>
      </c>
    </row>
    <row r="231" spans="1:36">
      <c r="A231" s="231" t="str">
        <f t="shared" si="42"/>
        <v>PIERCE UTCCommercialSPGRAD1S-COMM</v>
      </c>
      <c r="B231" s="243" t="s">
        <v>632</v>
      </c>
      <c r="C231" s="243"/>
      <c r="D231" s="243"/>
      <c r="F231" s="244">
        <v>10.83</v>
      </c>
      <c r="G231" s="244">
        <v>10.83</v>
      </c>
      <c r="H231" s="244"/>
      <c r="I231" s="244">
        <v>36.39</v>
      </c>
      <c r="J231" s="244">
        <v>10.83</v>
      </c>
      <c r="K231" s="244">
        <v>12.13</v>
      </c>
      <c r="L231" s="244">
        <v>10.83</v>
      </c>
      <c r="M231" s="244">
        <v>0</v>
      </c>
      <c r="N231" s="244">
        <v>0</v>
      </c>
      <c r="O231" s="244">
        <v>27.59</v>
      </c>
      <c r="P231" s="244">
        <v>0</v>
      </c>
      <c r="Q231" s="244">
        <v>43.32</v>
      </c>
      <c r="R231" s="244">
        <v>0</v>
      </c>
      <c r="S231" s="244">
        <v>10.83</v>
      </c>
      <c r="T231" s="244">
        <v>24.26</v>
      </c>
      <c r="U231" s="244"/>
      <c r="V231" s="408">
        <f t="shared" si="40"/>
        <v>176.18</v>
      </c>
      <c r="W231" s="245"/>
      <c r="X231" s="420">
        <f t="shared" si="45"/>
        <v>3.3601108033240998</v>
      </c>
      <c r="Y231" s="421">
        <f t="shared" si="45"/>
        <v>1</v>
      </c>
      <c r="Z231" s="421">
        <f t="shared" si="45"/>
        <v>1.1200369344413665</v>
      </c>
      <c r="AA231" s="420">
        <f t="shared" si="44"/>
        <v>1</v>
      </c>
      <c r="AB231" s="420">
        <f t="shared" si="44"/>
        <v>0</v>
      </c>
      <c r="AC231" s="420">
        <f t="shared" si="44"/>
        <v>0</v>
      </c>
      <c r="AD231" s="420">
        <f t="shared" si="43"/>
        <v>2.5475530932594643</v>
      </c>
      <c r="AE231" s="420">
        <f t="shared" si="43"/>
        <v>0</v>
      </c>
      <c r="AF231" s="420">
        <f t="shared" si="43"/>
        <v>4</v>
      </c>
      <c r="AG231" s="420">
        <f t="shared" si="43"/>
        <v>0</v>
      </c>
      <c r="AH231" s="420">
        <f t="shared" si="43"/>
        <v>1</v>
      </c>
      <c r="AI231" s="420">
        <f t="shared" si="43"/>
        <v>2.2400738688827331</v>
      </c>
    </row>
    <row r="232" spans="1:36">
      <c r="A232" s="231" t="str">
        <f t="shared" si="42"/>
        <v>PIERCE UTCCommercialSPGRAD2S-COMM</v>
      </c>
      <c r="B232" s="243" t="s">
        <v>633</v>
      </c>
      <c r="C232" s="243"/>
      <c r="D232" s="243"/>
      <c r="F232" s="244">
        <v>3.97</v>
      </c>
      <c r="G232" s="244">
        <v>3.97</v>
      </c>
      <c r="H232" s="244"/>
      <c r="I232" s="244">
        <v>40.299999999999997</v>
      </c>
      <c r="J232" s="244">
        <v>24.54</v>
      </c>
      <c r="K232" s="244">
        <v>36.81</v>
      </c>
      <c r="L232" s="244">
        <v>31.76</v>
      </c>
      <c r="M232" s="244">
        <v>0</v>
      </c>
      <c r="N232" s="244">
        <v>0</v>
      </c>
      <c r="O232" s="244">
        <v>451.35</v>
      </c>
      <c r="P232" s="244">
        <v>0</v>
      </c>
      <c r="Q232" s="244">
        <v>67.489999999999995</v>
      </c>
      <c r="R232" s="244">
        <v>0</v>
      </c>
      <c r="S232" s="244">
        <v>0</v>
      </c>
      <c r="T232" s="244">
        <v>36.81</v>
      </c>
      <c r="U232" s="244"/>
      <c r="V232" s="408">
        <f t="shared" si="40"/>
        <v>689.06</v>
      </c>
      <c r="W232" s="245"/>
      <c r="X232" s="420">
        <f t="shared" si="45"/>
        <v>10.151133501259444</v>
      </c>
      <c r="Y232" s="421">
        <f t="shared" si="45"/>
        <v>6.1813602015113345</v>
      </c>
      <c r="Z232" s="421">
        <f t="shared" si="45"/>
        <v>9.272040302267003</v>
      </c>
      <c r="AA232" s="420">
        <f t="shared" si="44"/>
        <v>8</v>
      </c>
      <c r="AB232" s="420">
        <f t="shared" si="44"/>
        <v>0</v>
      </c>
      <c r="AC232" s="420">
        <f t="shared" si="44"/>
        <v>0</v>
      </c>
      <c r="AD232" s="420">
        <f t="shared" si="43"/>
        <v>113.69017632241814</v>
      </c>
      <c r="AE232" s="420">
        <f t="shared" si="43"/>
        <v>0</v>
      </c>
      <c r="AF232" s="420">
        <f t="shared" si="43"/>
        <v>16.999999999999996</v>
      </c>
      <c r="AG232" s="420">
        <f t="shared" si="43"/>
        <v>0</v>
      </c>
      <c r="AH232" s="420">
        <f t="shared" si="43"/>
        <v>0</v>
      </c>
      <c r="AI232" s="420">
        <f t="shared" si="43"/>
        <v>9.272040302267003</v>
      </c>
    </row>
    <row r="233" spans="1:36">
      <c r="A233" s="231" t="str">
        <f t="shared" si="42"/>
        <v>PIERCE UTCCommercialSPGRAD1-COMM</v>
      </c>
      <c r="B233" s="243" t="s">
        <v>634</v>
      </c>
      <c r="C233" s="243"/>
      <c r="D233" s="243"/>
      <c r="F233" s="244">
        <v>12.25</v>
      </c>
      <c r="G233" s="244">
        <v>12.25</v>
      </c>
      <c r="H233" s="244"/>
      <c r="I233" s="244">
        <v>12.25</v>
      </c>
      <c r="J233" s="244">
        <v>36.75</v>
      </c>
      <c r="K233" s="244">
        <v>0</v>
      </c>
      <c r="L233" s="244">
        <v>73.5</v>
      </c>
      <c r="M233" s="244">
        <v>0</v>
      </c>
      <c r="N233" s="244">
        <v>24.5</v>
      </c>
      <c r="O233" s="244">
        <v>24.5</v>
      </c>
      <c r="P233" s="244">
        <v>24.5</v>
      </c>
      <c r="Q233" s="244">
        <v>88.33</v>
      </c>
      <c r="R233" s="244">
        <v>12.25</v>
      </c>
      <c r="S233" s="244">
        <v>0</v>
      </c>
      <c r="T233" s="244">
        <v>0</v>
      </c>
      <c r="U233" s="244"/>
      <c r="V233" s="408">
        <f t="shared" si="40"/>
        <v>296.58</v>
      </c>
      <c r="W233" s="245"/>
      <c r="X233" s="420">
        <f t="shared" si="45"/>
        <v>1</v>
      </c>
      <c r="Y233" s="421">
        <f t="shared" si="45"/>
        <v>3</v>
      </c>
      <c r="Z233" s="421">
        <f t="shared" si="45"/>
        <v>0</v>
      </c>
      <c r="AA233" s="420">
        <f t="shared" si="44"/>
        <v>6</v>
      </c>
      <c r="AB233" s="420">
        <f t="shared" si="44"/>
        <v>0</v>
      </c>
      <c r="AC233" s="420">
        <f t="shared" si="44"/>
        <v>2</v>
      </c>
      <c r="AD233" s="420">
        <f t="shared" si="43"/>
        <v>2</v>
      </c>
      <c r="AE233" s="420">
        <f t="shared" si="43"/>
        <v>2</v>
      </c>
      <c r="AF233" s="420">
        <f t="shared" si="43"/>
        <v>7.210612244897959</v>
      </c>
      <c r="AG233" s="420">
        <f t="shared" si="43"/>
        <v>1</v>
      </c>
      <c r="AH233" s="420">
        <f t="shared" si="43"/>
        <v>0</v>
      </c>
      <c r="AI233" s="420">
        <f t="shared" si="43"/>
        <v>0</v>
      </c>
    </row>
    <row r="234" spans="1:36">
      <c r="A234" s="231" t="str">
        <f t="shared" si="42"/>
        <v>PIERCE UTCCommercialSPGRAD2-COMM</v>
      </c>
      <c r="B234" s="243" t="s">
        <v>635</v>
      </c>
      <c r="C234" s="243"/>
      <c r="D234" s="243"/>
      <c r="F234" s="244">
        <v>4.2300000000000004</v>
      </c>
      <c r="G234" s="244">
        <v>4.2300000000000004</v>
      </c>
      <c r="H234" s="244"/>
      <c r="I234" s="244">
        <v>0</v>
      </c>
      <c r="J234" s="244">
        <v>0</v>
      </c>
      <c r="K234" s="244">
        <v>0</v>
      </c>
      <c r="L234" s="244">
        <v>0</v>
      </c>
      <c r="M234" s="244">
        <v>0</v>
      </c>
      <c r="N234" s="244">
        <v>0</v>
      </c>
      <c r="O234" s="244">
        <v>25.38</v>
      </c>
      <c r="P234" s="244">
        <v>12.69</v>
      </c>
      <c r="Q234" s="244">
        <v>80.37</v>
      </c>
      <c r="R234" s="244">
        <v>0</v>
      </c>
      <c r="S234" s="244">
        <v>21.15</v>
      </c>
      <c r="T234" s="244">
        <v>36.81</v>
      </c>
      <c r="U234" s="244"/>
      <c r="V234" s="408">
        <f t="shared" si="40"/>
        <v>176.4</v>
      </c>
      <c r="W234" s="245"/>
      <c r="X234" s="420">
        <f t="shared" si="45"/>
        <v>0</v>
      </c>
      <c r="Y234" s="421">
        <f t="shared" si="45"/>
        <v>0</v>
      </c>
      <c r="Z234" s="421">
        <f t="shared" si="45"/>
        <v>0</v>
      </c>
      <c r="AA234" s="420">
        <f t="shared" si="44"/>
        <v>0</v>
      </c>
      <c r="AB234" s="420">
        <f t="shared" si="44"/>
        <v>0</v>
      </c>
      <c r="AC234" s="420">
        <f t="shared" si="44"/>
        <v>0</v>
      </c>
      <c r="AD234" s="420">
        <f t="shared" si="44"/>
        <v>5.9999999999999991</v>
      </c>
      <c r="AE234" s="420">
        <f t="shared" si="44"/>
        <v>2.9999999999999996</v>
      </c>
      <c r="AF234" s="420">
        <f t="shared" si="44"/>
        <v>19</v>
      </c>
      <c r="AG234" s="420">
        <f t="shared" si="44"/>
        <v>0</v>
      </c>
      <c r="AH234" s="420">
        <f t="shared" si="44"/>
        <v>4.9999999999999991</v>
      </c>
      <c r="AI234" s="420">
        <f t="shared" si="44"/>
        <v>8.702127659574467</v>
      </c>
    </row>
    <row r="235" spans="1:36">
      <c r="A235" s="231" t="str">
        <f t="shared" si="42"/>
        <v>PIERCE UTCCommercialTIME-COMM</v>
      </c>
      <c r="B235" s="243" t="s">
        <v>636</v>
      </c>
      <c r="C235" s="243" t="s">
        <v>637</v>
      </c>
      <c r="D235" s="243" t="s">
        <v>544</v>
      </c>
      <c r="E235" s="230">
        <v>33001</v>
      </c>
      <c r="F235" s="244">
        <v>106</v>
      </c>
      <c r="G235" s="244">
        <v>106</v>
      </c>
      <c r="H235" s="244"/>
      <c r="I235" s="244">
        <v>1378</v>
      </c>
      <c r="J235" s="244">
        <v>2067</v>
      </c>
      <c r="K235" s="244">
        <v>26.5</v>
      </c>
      <c r="L235" s="244">
        <v>2067</v>
      </c>
      <c r="M235" s="244">
        <v>1404.5</v>
      </c>
      <c r="N235" s="244">
        <v>742</v>
      </c>
      <c r="O235" s="244">
        <v>5315.5</v>
      </c>
      <c r="P235" s="244">
        <v>6996</v>
      </c>
      <c r="Q235" s="244">
        <v>1404.5</v>
      </c>
      <c r="R235" s="244">
        <v>1378</v>
      </c>
      <c r="S235" s="244">
        <v>5361.48</v>
      </c>
      <c r="T235" s="244">
        <v>0</v>
      </c>
      <c r="U235" s="244"/>
      <c r="V235" s="408">
        <f t="shared" si="40"/>
        <v>28140.48</v>
      </c>
      <c r="W235" s="245"/>
      <c r="X235" s="420">
        <f t="shared" si="45"/>
        <v>13</v>
      </c>
      <c r="Y235" s="421">
        <f t="shared" si="45"/>
        <v>19.5</v>
      </c>
      <c r="Z235" s="421">
        <f t="shared" si="45"/>
        <v>0.25</v>
      </c>
      <c r="AA235" s="420">
        <f t="shared" ref="AA235:AI242" si="47">IFERROR(L235/$G235,0)</f>
        <v>19.5</v>
      </c>
      <c r="AB235" s="420">
        <f t="shared" si="47"/>
        <v>13.25</v>
      </c>
      <c r="AC235" s="420">
        <f t="shared" si="47"/>
        <v>7</v>
      </c>
      <c r="AD235" s="420">
        <f t="shared" si="47"/>
        <v>50.14622641509434</v>
      </c>
      <c r="AE235" s="420">
        <f t="shared" si="47"/>
        <v>66</v>
      </c>
      <c r="AF235" s="420">
        <f t="shared" si="47"/>
        <v>13.25</v>
      </c>
      <c r="AG235" s="420">
        <f t="shared" si="47"/>
        <v>13</v>
      </c>
      <c r="AH235" s="420">
        <f t="shared" si="47"/>
        <v>50.58</v>
      </c>
      <c r="AI235" s="420">
        <f t="shared" si="47"/>
        <v>0</v>
      </c>
    </row>
    <row r="236" spans="1:36">
      <c r="A236" s="231" t="str">
        <f t="shared" si="42"/>
        <v>PIERCE UTCCommercialUNRETURN-COMM</v>
      </c>
      <c r="B236" s="243" t="s">
        <v>638</v>
      </c>
      <c r="C236" s="243" t="s">
        <v>493</v>
      </c>
      <c r="D236" s="243" t="s">
        <v>544</v>
      </c>
      <c r="E236" s="230">
        <v>33001</v>
      </c>
      <c r="F236" s="244">
        <v>95</v>
      </c>
      <c r="G236" s="244">
        <v>95</v>
      </c>
      <c r="H236" s="244"/>
      <c r="I236" s="244">
        <v>0</v>
      </c>
      <c r="J236" s="244">
        <v>0</v>
      </c>
      <c r="K236" s="244">
        <v>0</v>
      </c>
      <c r="L236" s="244">
        <v>0</v>
      </c>
      <c r="M236" s="244">
        <v>0</v>
      </c>
      <c r="N236" s="244">
        <v>0</v>
      </c>
      <c r="O236" s="244">
        <v>0</v>
      </c>
      <c r="P236" s="244">
        <v>0</v>
      </c>
      <c r="Q236" s="244">
        <v>0</v>
      </c>
      <c r="R236" s="244">
        <v>0</v>
      </c>
      <c r="S236" s="244">
        <v>0</v>
      </c>
      <c r="T236" s="244">
        <v>0</v>
      </c>
      <c r="U236" s="244"/>
      <c r="V236" s="408">
        <f t="shared" si="40"/>
        <v>0</v>
      </c>
      <c r="W236" s="245"/>
      <c r="X236" s="420">
        <f t="shared" si="45"/>
        <v>0</v>
      </c>
      <c r="Y236" s="421">
        <f t="shared" si="45"/>
        <v>0</v>
      </c>
      <c r="Z236" s="421">
        <f t="shared" si="45"/>
        <v>0</v>
      </c>
      <c r="AA236" s="420">
        <f t="shared" si="47"/>
        <v>0</v>
      </c>
      <c r="AB236" s="420">
        <f t="shared" si="47"/>
        <v>0</v>
      </c>
      <c r="AC236" s="420">
        <f t="shared" si="47"/>
        <v>0</v>
      </c>
      <c r="AD236" s="420">
        <f t="shared" si="47"/>
        <v>0</v>
      </c>
      <c r="AE236" s="420">
        <f t="shared" si="47"/>
        <v>0</v>
      </c>
      <c r="AF236" s="420">
        <f t="shared" si="47"/>
        <v>0</v>
      </c>
      <c r="AG236" s="420">
        <f t="shared" si="47"/>
        <v>0</v>
      </c>
      <c r="AH236" s="420">
        <f t="shared" si="47"/>
        <v>0</v>
      </c>
      <c r="AI236" s="420">
        <f t="shared" si="47"/>
        <v>0</v>
      </c>
    </row>
    <row r="237" spans="1:36">
      <c r="A237" s="231" t="str">
        <f t="shared" si="42"/>
        <v>PIERCE UTCCommercialLCKC</v>
      </c>
      <c r="B237" s="243" t="s">
        <v>639</v>
      </c>
      <c r="C237" s="243" t="s">
        <v>640</v>
      </c>
      <c r="D237" s="243" t="s">
        <v>528</v>
      </c>
      <c r="E237" s="230">
        <v>33000</v>
      </c>
      <c r="F237" s="244">
        <v>0</v>
      </c>
      <c r="G237" s="244">
        <v>0</v>
      </c>
      <c r="H237" s="244"/>
      <c r="I237" s="244">
        <v>0</v>
      </c>
      <c r="J237" s="244">
        <v>0</v>
      </c>
      <c r="K237" s="244">
        <v>0</v>
      </c>
      <c r="L237" s="244">
        <v>0</v>
      </c>
      <c r="M237" s="244">
        <v>0</v>
      </c>
      <c r="N237" s="244">
        <v>37.950000000000003</v>
      </c>
      <c r="O237" s="244">
        <v>50.6</v>
      </c>
      <c r="P237" s="244">
        <v>0</v>
      </c>
      <c r="Q237" s="244">
        <v>0</v>
      </c>
      <c r="R237" s="244">
        <v>0</v>
      </c>
      <c r="S237" s="244">
        <v>0</v>
      </c>
      <c r="T237" s="244">
        <v>0</v>
      </c>
      <c r="U237" s="244"/>
      <c r="V237" s="408">
        <f t="shared" si="40"/>
        <v>88.550000000000011</v>
      </c>
      <c r="W237" s="245"/>
      <c r="X237" s="420">
        <f t="shared" si="45"/>
        <v>0</v>
      </c>
      <c r="Y237" s="421">
        <f t="shared" si="45"/>
        <v>0</v>
      </c>
      <c r="Z237" s="421">
        <f t="shared" si="45"/>
        <v>0</v>
      </c>
      <c r="AA237" s="420">
        <f t="shared" si="47"/>
        <v>0</v>
      </c>
      <c r="AB237" s="420">
        <f t="shared" si="47"/>
        <v>0</v>
      </c>
      <c r="AC237" s="420">
        <f t="shared" si="47"/>
        <v>0</v>
      </c>
      <c r="AD237" s="420">
        <f t="shared" si="47"/>
        <v>0</v>
      </c>
      <c r="AE237" s="420">
        <f t="shared" si="47"/>
        <v>0</v>
      </c>
      <c r="AF237" s="420">
        <f t="shared" si="47"/>
        <v>0</v>
      </c>
      <c r="AG237" s="420">
        <f t="shared" si="47"/>
        <v>0</v>
      </c>
      <c r="AH237" s="420">
        <f t="shared" si="47"/>
        <v>0</v>
      </c>
      <c r="AI237" s="420">
        <f t="shared" si="47"/>
        <v>0</v>
      </c>
    </row>
    <row r="238" spans="1:36">
      <c r="A238" s="231" t="str">
        <f t="shared" si="42"/>
        <v>PIERCE UTCCommercialREDEL-COMM</v>
      </c>
      <c r="B238" s="243" t="s">
        <v>641</v>
      </c>
      <c r="C238" s="243" t="s">
        <v>642</v>
      </c>
      <c r="D238" s="243" t="s">
        <v>528</v>
      </c>
      <c r="E238" s="230">
        <v>33000</v>
      </c>
      <c r="F238" s="244">
        <v>17.25</v>
      </c>
      <c r="G238" s="244">
        <v>17.25</v>
      </c>
      <c r="H238" s="244"/>
      <c r="I238" s="244">
        <v>103.5</v>
      </c>
      <c r="J238" s="244">
        <v>34.5</v>
      </c>
      <c r="K238" s="244">
        <v>17.25</v>
      </c>
      <c r="L238" s="244">
        <v>138</v>
      </c>
      <c r="M238" s="244">
        <v>17.25</v>
      </c>
      <c r="N238" s="244">
        <v>51.75</v>
      </c>
      <c r="O238" s="244">
        <v>48.2</v>
      </c>
      <c r="P238" s="244">
        <v>69</v>
      </c>
      <c r="Q238" s="244">
        <v>34.5</v>
      </c>
      <c r="R238" s="244">
        <v>34.5</v>
      </c>
      <c r="S238" s="244">
        <v>69</v>
      </c>
      <c r="T238" s="244">
        <v>44.65</v>
      </c>
      <c r="U238" s="244"/>
      <c r="V238" s="408">
        <f t="shared" si="40"/>
        <v>662.1</v>
      </c>
      <c r="W238" s="245"/>
      <c r="X238" s="420">
        <f t="shared" si="45"/>
        <v>6</v>
      </c>
      <c r="Y238" s="421">
        <f t="shared" si="45"/>
        <v>2</v>
      </c>
      <c r="Z238" s="421">
        <f t="shared" si="45"/>
        <v>1</v>
      </c>
      <c r="AA238" s="420">
        <f t="shared" si="47"/>
        <v>8</v>
      </c>
      <c r="AB238" s="420">
        <f t="shared" si="47"/>
        <v>1</v>
      </c>
      <c r="AC238" s="420">
        <f t="shared" si="47"/>
        <v>3</v>
      </c>
      <c r="AD238" s="420">
        <f t="shared" si="47"/>
        <v>2.7942028985507248</v>
      </c>
      <c r="AE238" s="420">
        <f t="shared" si="47"/>
        <v>4</v>
      </c>
      <c r="AF238" s="420">
        <f t="shared" si="47"/>
        <v>2</v>
      </c>
      <c r="AG238" s="420">
        <f t="shared" si="47"/>
        <v>2</v>
      </c>
      <c r="AH238" s="420">
        <f t="shared" si="47"/>
        <v>4</v>
      </c>
      <c r="AI238" s="420">
        <f t="shared" si="47"/>
        <v>2.5884057971014491</v>
      </c>
    </row>
    <row r="239" spans="1:36">
      <c r="A239" s="231" t="str">
        <f>$A$3&amp;"Commercial"&amp;B239</f>
        <v>PIERCE UTCCommercialADJ-COMM</v>
      </c>
      <c r="B239" s="243" t="s">
        <v>643</v>
      </c>
      <c r="C239" s="243"/>
      <c r="D239" s="243"/>
      <c r="F239" s="244">
        <v>0</v>
      </c>
      <c r="G239" s="244">
        <v>0</v>
      </c>
      <c r="H239" s="244"/>
      <c r="I239" s="244">
        <v>0</v>
      </c>
      <c r="J239" s="244">
        <v>-42.36</v>
      </c>
      <c r="K239" s="244">
        <v>0</v>
      </c>
      <c r="L239" s="244">
        <v>-232.76000000000002</v>
      </c>
      <c r="M239" s="244">
        <v>-4.08</v>
      </c>
      <c r="N239" s="244">
        <v>-22.45</v>
      </c>
      <c r="O239" s="244">
        <v>0</v>
      </c>
      <c r="P239" s="244">
        <v>0</v>
      </c>
      <c r="Q239" s="244">
        <v>0</v>
      </c>
      <c r="R239" s="244">
        <v>-15.36</v>
      </c>
      <c r="S239" s="244">
        <v>-4.28</v>
      </c>
      <c r="T239" s="244">
        <v>0</v>
      </c>
      <c r="U239" s="244"/>
      <c r="V239" s="408">
        <f t="shared" si="40"/>
        <v>-321.28999999999996</v>
      </c>
      <c r="W239" s="245"/>
      <c r="X239" s="420">
        <f t="shared" si="45"/>
        <v>0</v>
      </c>
      <c r="Y239" s="421">
        <f t="shared" si="45"/>
        <v>0</v>
      </c>
      <c r="Z239" s="421">
        <f t="shared" si="45"/>
        <v>0</v>
      </c>
      <c r="AA239" s="420">
        <f t="shared" si="47"/>
        <v>0</v>
      </c>
      <c r="AB239" s="420">
        <f t="shared" si="47"/>
        <v>0</v>
      </c>
      <c r="AC239" s="420">
        <f t="shared" si="47"/>
        <v>0</v>
      </c>
      <c r="AD239" s="420">
        <f t="shared" si="47"/>
        <v>0</v>
      </c>
      <c r="AE239" s="420">
        <f t="shared" si="47"/>
        <v>0</v>
      </c>
      <c r="AF239" s="420">
        <f t="shared" si="47"/>
        <v>0</v>
      </c>
      <c r="AG239" s="420">
        <f t="shared" si="47"/>
        <v>0</v>
      </c>
      <c r="AH239" s="420">
        <f t="shared" si="47"/>
        <v>0</v>
      </c>
      <c r="AI239" s="420">
        <f t="shared" si="47"/>
        <v>0</v>
      </c>
    </row>
    <row r="240" spans="1:36">
      <c r="A240" s="231" t="str">
        <f>$A$3&amp;"Commercial"&amp;B240</f>
        <v>PIERCE UTCCommercialEXTRAGRAD1-COMM</v>
      </c>
      <c r="B240" s="243" t="s">
        <v>644</v>
      </c>
      <c r="C240" s="243"/>
      <c r="D240" s="243"/>
      <c r="F240" s="244">
        <v>0</v>
      </c>
      <c r="G240" s="244">
        <v>0</v>
      </c>
      <c r="H240" s="244"/>
      <c r="I240" s="244">
        <v>0</v>
      </c>
      <c r="J240" s="244">
        <v>0</v>
      </c>
      <c r="K240" s="244">
        <v>0</v>
      </c>
      <c r="L240" s="244">
        <v>0</v>
      </c>
      <c r="M240" s="244">
        <v>0</v>
      </c>
      <c r="N240" s="244">
        <v>0</v>
      </c>
      <c r="O240" s="244">
        <v>0</v>
      </c>
      <c r="P240" s="244">
        <v>0</v>
      </c>
      <c r="Q240" s="244">
        <v>0</v>
      </c>
      <c r="R240" s="244">
        <v>0</v>
      </c>
      <c r="S240" s="244">
        <v>0</v>
      </c>
      <c r="T240" s="244">
        <v>0</v>
      </c>
      <c r="U240" s="244"/>
      <c r="V240" s="408">
        <f t="shared" si="40"/>
        <v>0</v>
      </c>
      <c r="W240" s="245"/>
      <c r="X240" s="420">
        <f t="shared" si="45"/>
        <v>0</v>
      </c>
      <c r="Y240" s="421">
        <f t="shared" si="45"/>
        <v>0</v>
      </c>
      <c r="Z240" s="421">
        <f t="shared" si="45"/>
        <v>0</v>
      </c>
      <c r="AA240" s="420">
        <f t="shared" si="47"/>
        <v>0</v>
      </c>
      <c r="AB240" s="420">
        <f t="shared" si="47"/>
        <v>0</v>
      </c>
      <c r="AC240" s="420">
        <f t="shared" si="47"/>
        <v>0</v>
      </c>
      <c r="AD240" s="420">
        <f t="shared" si="47"/>
        <v>0</v>
      </c>
      <c r="AE240" s="420">
        <f t="shared" si="47"/>
        <v>0</v>
      </c>
      <c r="AF240" s="420">
        <f t="shared" si="47"/>
        <v>0</v>
      </c>
      <c r="AG240" s="420">
        <f t="shared" si="47"/>
        <v>0</v>
      </c>
      <c r="AH240" s="420">
        <f t="shared" si="47"/>
        <v>0</v>
      </c>
      <c r="AI240" s="420">
        <f t="shared" si="47"/>
        <v>0</v>
      </c>
    </row>
    <row r="241" spans="1:36">
      <c r="A241" s="231" t="str">
        <f>$A$3&amp;"Commercial"&amp;B241</f>
        <v>PIERCE UTCCommercialEXTRAGRAD2-COMM</v>
      </c>
      <c r="B241" s="243" t="s">
        <v>645</v>
      </c>
      <c r="C241" s="243"/>
      <c r="D241" s="243"/>
      <c r="F241" s="244">
        <v>0</v>
      </c>
      <c r="G241" s="244">
        <v>0</v>
      </c>
      <c r="H241" s="244"/>
      <c r="I241" s="244">
        <v>0</v>
      </c>
      <c r="J241" s="244">
        <v>0</v>
      </c>
      <c r="K241" s="244">
        <v>0</v>
      </c>
      <c r="L241" s="244">
        <v>0</v>
      </c>
      <c r="M241" s="244">
        <v>0</v>
      </c>
      <c r="N241" s="244">
        <v>0</v>
      </c>
      <c r="O241" s="244">
        <v>0</v>
      </c>
      <c r="P241" s="244">
        <v>0</v>
      </c>
      <c r="Q241" s="244">
        <v>0</v>
      </c>
      <c r="R241" s="244">
        <v>0</v>
      </c>
      <c r="S241" s="244">
        <v>0</v>
      </c>
      <c r="T241" s="244">
        <v>0</v>
      </c>
      <c r="U241" s="244"/>
      <c r="V241" s="408">
        <f t="shared" ref="V241:V255" si="48">SUM(I241:T241)</f>
        <v>0</v>
      </c>
      <c r="W241" s="245"/>
      <c r="X241" s="420">
        <f t="shared" si="45"/>
        <v>0</v>
      </c>
      <c r="Y241" s="421">
        <f t="shared" si="45"/>
        <v>0</v>
      </c>
      <c r="Z241" s="421">
        <f t="shared" si="45"/>
        <v>0</v>
      </c>
      <c r="AA241" s="420">
        <f t="shared" si="47"/>
        <v>0</v>
      </c>
      <c r="AB241" s="420">
        <f t="shared" si="47"/>
        <v>0</v>
      </c>
      <c r="AC241" s="420">
        <f t="shared" si="47"/>
        <v>0</v>
      </c>
      <c r="AD241" s="420">
        <f t="shared" si="47"/>
        <v>0</v>
      </c>
      <c r="AE241" s="420">
        <f t="shared" si="47"/>
        <v>0</v>
      </c>
      <c r="AF241" s="420">
        <f t="shared" si="47"/>
        <v>0</v>
      </c>
      <c r="AG241" s="420">
        <f t="shared" si="47"/>
        <v>0</v>
      </c>
      <c r="AH241" s="420">
        <f t="shared" si="47"/>
        <v>0</v>
      </c>
      <c r="AI241" s="420">
        <f t="shared" si="47"/>
        <v>0</v>
      </c>
    </row>
    <row r="242" spans="1:36">
      <c r="A242" s="231" t="str">
        <f>$A$3&amp;"Commercial"&amp;B242</f>
        <v>PIERCE UTCCommercialSP2CMP-COMM</v>
      </c>
      <c r="B242" s="243" t="s">
        <v>646</v>
      </c>
      <c r="C242" s="243"/>
      <c r="D242" s="243"/>
      <c r="F242" s="244">
        <v>100.6</v>
      </c>
      <c r="G242" s="244">
        <v>103.21</v>
      </c>
      <c r="H242" s="244"/>
      <c r="I242" s="244">
        <v>0</v>
      </c>
      <c r="J242" s="244">
        <v>0</v>
      </c>
      <c r="K242" s="244">
        <v>0</v>
      </c>
      <c r="L242" s="244">
        <v>0</v>
      </c>
      <c r="M242" s="244">
        <v>0</v>
      </c>
      <c r="N242" s="244">
        <v>0</v>
      </c>
      <c r="O242" s="244">
        <v>0</v>
      </c>
      <c r="P242" s="244">
        <v>103.21</v>
      </c>
      <c r="Q242" s="244">
        <v>0</v>
      </c>
      <c r="R242" s="244">
        <v>0</v>
      </c>
      <c r="S242" s="244">
        <v>0</v>
      </c>
      <c r="T242" s="244">
        <v>0</v>
      </c>
      <c r="U242" s="244"/>
      <c r="V242" s="408">
        <f t="shared" si="48"/>
        <v>103.21</v>
      </c>
      <c r="W242" s="245"/>
      <c r="X242" s="420">
        <f t="shared" si="45"/>
        <v>0</v>
      </c>
      <c r="Y242" s="421">
        <f t="shared" si="45"/>
        <v>0</v>
      </c>
      <c r="Z242" s="421">
        <f t="shared" si="45"/>
        <v>0</v>
      </c>
      <c r="AA242" s="420">
        <f t="shared" si="47"/>
        <v>0</v>
      </c>
      <c r="AB242" s="420">
        <f t="shared" si="47"/>
        <v>0</v>
      </c>
      <c r="AC242" s="420">
        <f t="shared" si="47"/>
        <v>0</v>
      </c>
      <c r="AD242" s="420">
        <f t="shared" si="47"/>
        <v>0</v>
      </c>
      <c r="AE242" s="420">
        <f t="shared" si="47"/>
        <v>1</v>
      </c>
      <c r="AF242" s="420">
        <f t="shared" si="47"/>
        <v>0</v>
      </c>
      <c r="AG242" s="420">
        <f t="shared" si="47"/>
        <v>0</v>
      </c>
      <c r="AH242" s="420">
        <f t="shared" si="47"/>
        <v>0</v>
      </c>
      <c r="AI242" s="420">
        <f t="shared" si="47"/>
        <v>0</v>
      </c>
    </row>
    <row r="243" spans="1:36">
      <c r="A243" s="231" t="s">
        <v>647</v>
      </c>
      <c r="B243" s="243" t="s">
        <v>648</v>
      </c>
      <c r="C243" s="243"/>
      <c r="D243" s="244">
        <v>186.07</v>
      </c>
      <c r="E243" s="244">
        <v>190.99</v>
      </c>
      <c r="F243" s="244"/>
      <c r="G243" s="244">
        <v>0</v>
      </c>
      <c r="H243" s="244">
        <v>0</v>
      </c>
      <c r="I243" s="244">
        <v>0</v>
      </c>
      <c r="J243" s="244">
        <v>0</v>
      </c>
      <c r="K243" s="244">
        <v>0</v>
      </c>
      <c r="L243" s="244">
        <v>0</v>
      </c>
      <c r="M243" s="244">
        <v>0</v>
      </c>
      <c r="N243" s="244">
        <v>0</v>
      </c>
      <c r="O243" s="244">
        <v>0</v>
      </c>
      <c r="P243" s="244">
        <v>0</v>
      </c>
      <c r="Q243" s="244">
        <v>0</v>
      </c>
      <c r="R243" s="244">
        <v>0</v>
      </c>
      <c r="S243" s="244">
        <v>0</v>
      </c>
      <c r="T243" s="244"/>
      <c r="U243" s="246"/>
      <c r="V243" s="408">
        <f t="shared" si="48"/>
        <v>0</v>
      </c>
      <c r="W243" s="246">
        <v>0</v>
      </c>
      <c r="Y243" s="420">
        <v>0</v>
      </c>
      <c r="Z243" s="420">
        <v>0</v>
      </c>
      <c r="AA243" s="420">
        <v>0</v>
      </c>
      <c r="AB243" s="420">
        <v>0</v>
      </c>
      <c r="AC243" s="420">
        <v>0</v>
      </c>
      <c r="AD243" s="420">
        <v>0</v>
      </c>
      <c r="AE243" s="420">
        <v>0</v>
      </c>
      <c r="AF243" s="420">
        <v>0</v>
      </c>
      <c r="AG243" s="420">
        <v>0</v>
      </c>
      <c r="AH243" s="420">
        <v>0</v>
      </c>
    </row>
    <row r="244" spans="1:36">
      <c r="A244" s="231" t="s">
        <v>649</v>
      </c>
      <c r="B244" s="243" t="s">
        <v>650</v>
      </c>
      <c r="C244" s="243" t="s">
        <v>1005</v>
      </c>
      <c r="D244" s="243"/>
      <c r="F244" s="244">
        <v>4.5</v>
      </c>
      <c r="G244" s="244">
        <v>4.5</v>
      </c>
      <c r="H244" s="244"/>
      <c r="I244" s="244">
        <v>279</v>
      </c>
      <c r="J244" s="244">
        <v>355.5</v>
      </c>
      <c r="K244" s="244">
        <v>274.36</v>
      </c>
      <c r="L244" s="244">
        <v>355.5</v>
      </c>
      <c r="M244" s="244">
        <v>40.5</v>
      </c>
      <c r="N244" s="244">
        <v>0</v>
      </c>
      <c r="O244" s="244">
        <v>0</v>
      </c>
      <c r="P244" s="244">
        <v>0</v>
      </c>
      <c r="Q244" s="244">
        <v>0</v>
      </c>
      <c r="R244" s="244">
        <v>0</v>
      </c>
      <c r="S244" s="244">
        <v>0</v>
      </c>
      <c r="T244" s="244">
        <v>0</v>
      </c>
      <c r="U244" s="244"/>
      <c r="V244" s="408">
        <f t="shared" si="48"/>
        <v>1304.8600000000001</v>
      </c>
      <c r="W244" s="245"/>
      <c r="X244" s="420">
        <f t="shared" ref="X244:Z255" si="49">IFERROR(I244/$F244,0)</f>
        <v>62</v>
      </c>
      <c r="Y244" s="421">
        <f t="shared" si="49"/>
        <v>79</v>
      </c>
      <c r="Z244" s="421">
        <f t="shared" si="49"/>
        <v>60.968888888888891</v>
      </c>
      <c r="AA244" s="420">
        <f t="shared" ref="AA244:AI255" si="50">IFERROR(L244/$G244,0)</f>
        <v>79</v>
      </c>
      <c r="AB244" s="420">
        <f t="shared" si="50"/>
        <v>9</v>
      </c>
      <c r="AC244" s="420">
        <f t="shared" si="50"/>
        <v>0</v>
      </c>
      <c r="AD244" s="420">
        <f t="shared" si="50"/>
        <v>0</v>
      </c>
      <c r="AE244" s="420">
        <f t="shared" si="50"/>
        <v>0</v>
      </c>
      <c r="AF244" s="420">
        <f t="shared" si="50"/>
        <v>0</v>
      </c>
      <c r="AG244" s="420">
        <f t="shared" si="50"/>
        <v>0</v>
      </c>
      <c r="AH244" s="420">
        <f t="shared" si="50"/>
        <v>0</v>
      </c>
      <c r="AI244" s="420">
        <f t="shared" si="50"/>
        <v>0</v>
      </c>
    </row>
    <row r="245" spans="1:36">
      <c r="A245" s="231" t="str">
        <f t="shared" ref="A245:A252" si="51">$A$3&amp;"Commercial"&amp;B245</f>
        <v>PIERCE UTCCommercialFL001.0YEO001</v>
      </c>
      <c r="B245" s="243" t="s">
        <v>651</v>
      </c>
      <c r="C245" s="243" t="s">
        <v>966</v>
      </c>
      <c r="D245" s="243"/>
      <c r="F245" s="244"/>
      <c r="G245" s="244">
        <v>53.48</v>
      </c>
      <c r="H245" s="244"/>
      <c r="I245" s="244">
        <v>0</v>
      </c>
      <c r="J245" s="244">
        <v>0</v>
      </c>
      <c r="K245" s="244">
        <v>0</v>
      </c>
      <c r="L245" s="244">
        <v>0</v>
      </c>
      <c r="M245" s="244">
        <v>0</v>
      </c>
      <c r="N245" s="244">
        <v>0</v>
      </c>
      <c r="O245" s="244">
        <v>53.48</v>
      </c>
      <c r="P245" s="244">
        <v>53.48</v>
      </c>
      <c r="Q245" s="244">
        <v>53.48</v>
      </c>
      <c r="R245" s="244">
        <v>106.96</v>
      </c>
      <c r="S245" s="244">
        <v>106.96</v>
      </c>
      <c r="T245" s="244">
        <v>106.96</v>
      </c>
      <c r="U245" s="244"/>
      <c r="V245" s="408">
        <f t="shared" si="48"/>
        <v>481.31999999999994</v>
      </c>
      <c r="W245" s="245"/>
      <c r="X245" s="420">
        <f t="shared" si="49"/>
        <v>0</v>
      </c>
      <c r="Y245" s="421">
        <f t="shared" si="49"/>
        <v>0</v>
      </c>
      <c r="Z245" s="421">
        <f t="shared" si="49"/>
        <v>0</v>
      </c>
      <c r="AA245" s="420">
        <f t="shared" si="50"/>
        <v>0</v>
      </c>
      <c r="AB245" s="420">
        <f t="shared" si="50"/>
        <v>0</v>
      </c>
      <c r="AC245" s="420">
        <f t="shared" si="50"/>
        <v>0</v>
      </c>
      <c r="AD245" s="420">
        <f t="shared" si="50"/>
        <v>1</v>
      </c>
      <c r="AE245" s="420">
        <f t="shared" si="50"/>
        <v>1</v>
      </c>
      <c r="AF245" s="420">
        <f t="shared" si="50"/>
        <v>1</v>
      </c>
      <c r="AG245" s="420">
        <f t="shared" si="50"/>
        <v>2</v>
      </c>
      <c r="AH245" s="420">
        <f t="shared" si="50"/>
        <v>2</v>
      </c>
      <c r="AI245" s="420">
        <f t="shared" si="50"/>
        <v>2</v>
      </c>
      <c r="AJ245" s="408">
        <f t="shared" ref="AJ245:AJ248" si="52">SUM(X245:AI245)</f>
        <v>9</v>
      </c>
    </row>
    <row r="246" spans="1:36">
      <c r="A246" s="231" t="str">
        <f t="shared" si="51"/>
        <v>PIERCE UTCCommercialFL003.0Y4W001</v>
      </c>
      <c r="B246" s="243" t="s">
        <v>652</v>
      </c>
      <c r="C246" s="243" t="s">
        <v>967</v>
      </c>
      <c r="D246" s="243"/>
      <c r="F246" s="244">
        <v>823.07</v>
      </c>
      <c r="G246" s="244">
        <v>846.97</v>
      </c>
      <c r="H246" s="244"/>
      <c r="I246" s="244">
        <v>1646.14</v>
      </c>
      <c r="J246" s="244">
        <v>1508.96</v>
      </c>
      <c r="K246" s="244">
        <v>823.07</v>
      </c>
      <c r="L246" s="244">
        <v>846.97</v>
      </c>
      <c r="M246" s="244">
        <v>846.97</v>
      </c>
      <c r="N246" s="244">
        <v>846.97</v>
      </c>
      <c r="O246" s="244">
        <v>846.97</v>
      </c>
      <c r="P246" s="244">
        <v>846.97</v>
      </c>
      <c r="Q246" s="244">
        <v>0</v>
      </c>
      <c r="R246" s="244">
        <v>0</v>
      </c>
      <c r="S246" s="244">
        <v>0</v>
      </c>
      <c r="T246" s="244">
        <v>0</v>
      </c>
      <c r="U246" s="244"/>
      <c r="V246" s="408">
        <f t="shared" si="48"/>
        <v>8213.02</v>
      </c>
      <c r="W246" s="245"/>
      <c r="X246" s="420">
        <f t="shared" si="49"/>
        <v>2</v>
      </c>
      <c r="Y246" s="421">
        <f t="shared" si="49"/>
        <v>1.8333313083941827</v>
      </c>
      <c r="Z246" s="421">
        <f t="shared" si="49"/>
        <v>1</v>
      </c>
      <c r="AA246" s="420">
        <f t="shared" si="50"/>
        <v>1</v>
      </c>
      <c r="AB246" s="420">
        <f t="shared" si="50"/>
        <v>1</v>
      </c>
      <c r="AC246" s="420">
        <f t="shared" si="50"/>
        <v>1</v>
      </c>
      <c r="AD246" s="420">
        <f t="shared" si="50"/>
        <v>1</v>
      </c>
      <c r="AE246" s="420">
        <f t="shared" si="50"/>
        <v>1</v>
      </c>
      <c r="AF246" s="420">
        <f t="shared" si="50"/>
        <v>0</v>
      </c>
      <c r="AG246" s="420">
        <f t="shared" si="50"/>
        <v>0</v>
      </c>
      <c r="AH246" s="420">
        <f t="shared" si="50"/>
        <v>0</v>
      </c>
      <c r="AI246" s="420">
        <f t="shared" si="50"/>
        <v>0</v>
      </c>
      <c r="AJ246" s="408">
        <f t="shared" si="52"/>
        <v>9.8333313083941825</v>
      </c>
    </row>
    <row r="247" spans="1:36">
      <c r="A247" s="231" t="str">
        <f t="shared" si="51"/>
        <v>PIERCE UTCCommercialFL006.0Y2W001CMP</v>
      </c>
      <c r="B247" s="243" t="s">
        <v>653</v>
      </c>
      <c r="C247" s="243" t="s">
        <v>968</v>
      </c>
      <c r="D247" s="243"/>
      <c r="F247" s="244">
        <v>2211.5</v>
      </c>
      <c r="G247" s="244">
        <v>2270.13</v>
      </c>
      <c r="H247" s="244"/>
      <c r="I247" s="244">
        <v>2211.5</v>
      </c>
      <c r="J247" s="244">
        <v>2211.5</v>
      </c>
      <c r="K247" s="244">
        <v>2211.5</v>
      </c>
      <c r="L247" s="244">
        <v>2270.13</v>
      </c>
      <c r="M247" s="244">
        <v>2270.13</v>
      </c>
      <c r="N247" s="244">
        <v>2270.13</v>
      </c>
      <c r="O247" s="244">
        <v>2270.13</v>
      </c>
      <c r="P247" s="244">
        <v>2270.13</v>
      </c>
      <c r="Q247" s="244">
        <v>2270.13</v>
      </c>
      <c r="R247" s="244">
        <v>2270.13</v>
      </c>
      <c r="S247" s="244">
        <v>2270.13</v>
      </c>
      <c r="T247" s="244">
        <v>2270.13</v>
      </c>
      <c r="U247" s="244"/>
      <c r="V247" s="408">
        <f t="shared" si="48"/>
        <v>27065.670000000009</v>
      </c>
      <c r="W247" s="245"/>
      <c r="X247" s="420">
        <f t="shared" si="49"/>
        <v>1</v>
      </c>
      <c r="Y247" s="421">
        <f t="shared" si="49"/>
        <v>1</v>
      </c>
      <c r="Z247" s="426">
        <f t="shared" si="49"/>
        <v>1</v>
      </c>
      <c r="AA247" s="426">
        <f t="shared" si="50"/>
        <v>1</v>
      </c>
      <c r="AB247" s="426">
        <f t="shared" si="50"/>
        <v>1</v>
      </c>
      <c r="AC247" s="426">
        <f t="shared" si="50"/>
        <v>1</v>
      </c>
      <c r="AD247" s="426">
        <f t="shared" si="50"/>
        <v>1</v>
      </c>
      <c r="AE247" s="426">
        <f t="shared" si="50"/>
        <v>1</v>
      </c>
      <c r="AF247" s="426">
        <f t="shared" si="50"/>
        <v>1</v>
      </c>
      <c r="AG247" s="426">
        <f t="shared" si="50"/>
        <v>1</v>
      </c>
      <c r="AH247" s="426">
        <f t="shared" si="50"/>
        <v>1</v>
      </c>
      <c r="AI247" s="426">
        <f t="shared" si="50"/>
        <v>1</v>
      </c>
      <c r="AJ247" s="408">
        <f t="shared" si="52"/>
        <v>12</v>
      </c>
    </row>
    <row r="248" spans="1:36">
      <c r="A248" s="231" t="str">
        <f t="shared" si="51"/>
        <v>PIERCE UTCCommercialRL035.0G1W001WRECC</v>
      </c>
      <c r="B248" s="243" t="s">
        <v>654</v>
      </c>
      <c r="C248" s="243" t="s">
        <v>969</v>
      </c>
      <c r="D248" s="243"/>
      <c r="F248" s="244">
        <v>17.440000000000001</v>
      </c>
      <c r="G248" s="244">
        <v>17.809999999999999</v>
      </c>
      <c r="H248" s="244"/>
      <c r="I248" s="244">
        <v>0</v>
      </c>
      <c r="J248" s="244">
        <v>0</v>
      </c>
      <c r="K248" s="244">
        <v>0</v>
      </c>
      <c r="L248" s="244">
        <v>0</v>
      </c>
      <c r="M248" s="244">
        <v>0</v>
      </c>
      <c r="N248" s="244">
        <v>699.04</v>
      </c>
      <c r="O248" s="244">
        <v>694.59</v>
      </c>
      <c r="P248" s="244">
        <v>1447.0500000000002</v>
      </c>
      <c r="Q248" s="244">
        <v>2849.6</v>
      </c>
      <c r="R248" s="244">
        <v>2981.45</v>
      </c>
      <c r="S248" s="244">
        <v>3081.13</v>
      </c>
      <c r="T248" s="244">
        <v>3081.13</v>
      </c>
      <c r="U248" s="244"/>
      <c r="V248" s="408">
        <f t="shared" si="48"/>
        <v>14833.990000000002</v>
      </c>
      <c r="W248" s="245"/>
      <c r="X248" s="420">
        <f t="shared" si="49"/>
        <v>0</v>
      </c>
      <c r="Y248" s="421">
        <f t="shared" si="49"/>
        <v>0</v>
      </c>
      <c r="Z248" s="426">
        <f t="shared" si="49"/>
        <v>0</v>
      </c>
      <c r="AA248" s="426">
        <f t="shared" si="50"/>
        <v>0</v>
      </c>
      <c r="AB248" s="426">
        <f t="shared" si="50"/>
        <v>0</v>
      </c>
      <c r="AC248" s="426">
        <f t="shared" si="50"/>
        <v>39.249859629421671</v>
      </c>
      <c r="AD248" s="426">
        <f t="shared" si="50"/>
        <v>39.000000000000007</v>
      </c>
      <c r="AE248" s="426">
        <f t="shared" si="50"/>
        <v>81.249298147108377</v>
      </c>
      <c r="AF248" s="426">
        <f t="shared" si="50"/>
        <v>160</v>
      </c>
      <c r="AG248" s="426">
        <f t="shared" si="50"/>
        <v>167.40314430095452</v>
      </c>
      <c r="AH248" s="426">
        <f t="shared" si="50"/>
        <v>173.00000000000003</v>
      </c>
      <c r="AI248" s="426">
        <f t="shared" si="50"/>
        <v>173.00000000000003</v>
      </c>
      <c r="AJ248" s="408">
        <f t="shared" si="52"/>
        <v>832.90230207748459</v>
      </c>
    </row>
    <row r="249" spans="1:36">
      <c r="A249" s="231" t="str">
        <f t="shared" si="51"/>
        <v>PIERCE UTCCommercialRTRNCART32-COMM</v>
      </c>
      <c r="B249" s="243" t="s">
        <v>655</v>
      </c>
      <c r="C249" s="243" t="s">
        <v>1006</v>
      </c>
      <c r="D249" s="243"/>
      <c r="F249" s="244">
        <v>6.35</v>
      </c>
      <c r="G249" s="244">
        <v>6.35</v>
      </c>
      <c r="H249" s="244"/>
      <c r="I249" s="244">
        <v>0</v>
      </c>
      <c r="J249" s="244">
        <v>6.35</v>
      </c>
      <c r="K249" s="244">
        <v>0</v>
      </c>
      <c r="L249" s="244">
        <v>0</v>
      </c>
      <c r="M249" s="244">
        <v>0</v>
      </c>
      <c r="N249" s="244">
        <v>0</v>
      </c>
      <c r="O249" s="244">
        <v>0</v>
      </c>
      <c r="P249" s="244">
        <v>0</v>
      </c>
      <c r="Q249" s="244">
        <v>0</v>
      </c>
      <c r="R249" s="244">
        <v>0</v>
      </c>
      <c r="S249" s="244">
        <v>0</v>
      </c>
      <c r="T249" s="244">
        <v>0</v>
      </c>
      <c r="U249" s="244"/>
      <c r="V249" s="408">
        <f t="shared" si="48"/>
        <v>6.35</v>
      </c>
      <c r="W249" s="245"/>
      <c r="X249" s="420">
        <f t="shared" si="49"/>
        <v>0</v>
      </c>
      <c r="Y249" s="421">
        <f t="shared" si="49"/>
        <v>1</v>
      </c>
      <c r="Z249" s="421">
        <f t="shared" si="49"/>
        <v>0</v>
      </c>
      <c r="AA249" s="420">
        <f t="shared" si="50"/>
        <v>0</v>
      </c>
      <c r="AB249" s="420">
        <f t="shared" si="50"/>
        <v>0</v>
      </c>
      <c r="AC249" s="420">
        <f t="shared" si="50"/>
        <v>0</v>
      </c>
      <c r="AD249" s="420">
        <f t="shared" si="50"/>
        <v>0</v>
      </c>
      <c r="AE249" s="420">
        <f t="shared" si="50"/>
        <v>0</v>
      </c>
      <c r="AF249" s="420">
        <f t="shared" si="50"/>
        <v>0</v>
      </c>
      <c r="AG249" s="420">
        <f t="shared" si="50"/>
        <v>0</v>
      </c>
      <c r="AH249" s="420">
        <f t="shared" si="50"/>
        <v>0</v>
      </c>
      <c r="AI249" s="420">
        <f t="shared" si="50"/>
        <v>0</v>
      </c>
    </row>
    <row r="250" spans="1:36">
      <c r="A250" s="231" t="str">
        <f t="shared" si="51"/>
        <v>PIERCE UTCCommercialRTRNCART35-COMM</v>
      </c>
      <c r="B250" s="243" t="s">
        <v>656</v>
      </c>
      <c r="C250" s="243" t="s">
        <v>1007</v>
      </c>
      <c r="D250" s="243"/>
      <c r="F250" s="244">
        <v>6.35</v>
      </c>
      <c r="G250" s="244">
        <v>6.35</v>
      </c>
      <c r="H250" s="244"/>
      <c r="I250" s="244">
        <v>0</v>
      </c>
      <c r="J250" s="244">
        <v>0</v>
      </c>
      <c r="K250" s="244">
        <v>0</v>
      </c>
      <c r="L250" s="244">
        <v>0</v>
      </c>
      <c r="M250" s="244">
        <v>0</v>
      </c>
      <c r="N250" s="244">
        <v>0</v>
      </c>
      <c r="O250" s="244">
        <v>0</v>
      </c>
      <c r="P250" s="244">
        <v>6.35</v>
      </c>
      <c r="Q250" s="244">
        <v>0</v>
      </c>
      <c r="R250" s="244">
        <v>0</v>
      </c>
      <c r="S250" s="244">
        <v>0</v>
      </c>
      <c r="T250" s="244">
        <v>0</v>
      </c>
      <c r="U250" s="244"/>
      <c r="V250" s="408">
        <f t="shared" si="48"/>
        <v>6.35</v>
      </c>
      <c r="W250" s="245"/>
      <c r="X250" s="420">
        <f t="shared" si="49"/>
        <v>0</v>
      </c>
      <c r="Y250" s="421">
        <f t="shared" si="49"/>
        <v>0</v>
      </c>
      <c r="Z250" s="421">
        <f t="shared" si="49"/>
        <v>0</v>
      </c>
      <c r="AA250" s="420">
        <f t="shared" si="50"/>
        <v>0</v>
      </c>
      <c r="AB250" s="420">
        <f t="shared" si="50"/>
        <v>0</v>
      </c>
      <c r="AC250" s="420">
        <f t="shared" si="50"/>
        <v>0</v>
      </c>
      <c r="AD250" s="420">
        <f t="shared" si="50"/>
        <v>0</v>
      </c>
      <c r="AE250" s="420">
        <f t="shared" si="50"/>
        <v>1</v>
      </c>
      <c r="AF250" s="420">
        <f t="shared" si="50"/>
        <v>0</v>
      </c>
      <c r="AG250" s="420">
        <f t="shared" si="50"/>
        <v>0</v>
      </c>
      <c r="AH250" s="420">
        <f t="shared" si="50"/>
        <v>0</v>
      </c>
      <c r="AI250" s="420">
        <f t="shared" si="50"/>
        <v>0</v>
      </c>
    </row>
    <row r="251" spans="1:36">
      <c r="A251" s="231" t="str">
        <f t="shared" si="51"/>
        <v>PIERCE UTCCommercialSP5CMP-COMM</v>
      </c>
      <c r="B251" s="243" t="s">
        <v>657</v>
      </c>
      <c r="C251" s="243" t="s">
        <v>1008</v>
      </c>
      <c r="D251" s="243"/>
      <c r="F251" s="244"/>
      <c r="G251" s="244">
        <v>0</v>
      </c>
      <c r="H251" s="244"/>
      <c r="I251" s="244">
        <v>0</v>
      </c>
      <c r="J251" s="244">
        <v>0</v>
      </c>
      <c r="K251" s="244">
        <v>0</v>
      </c>
      <c r="L251" s="244">
        <v>0</v>
      </c>
      <c r="M251" s="244">
        <v>0</v>
      </c>
      <c r="N251" s="244">
        <v>0</v>
      </c>
      <c r="O251" s="244">
        <v>0</v>
      </c>
      <c r="P251" s="244">
        <v>0</v>
      </c>
      <c r="Q251" s="244">
        <v>61.6</v>
      </c>
      <c r="R251" s="244">
        <v>0</v>
      </c>
      <c r="S251" s="244">
        <v>0</v>
      </c>
      <c r="T251" s="244">
        <v>0</v>
      </c>
      <c r="U251" s="244"/>
      <c r="V251" s="408">
        <f t="shared" si="48"/>
        <v>61.6</v>
      </c>
      <c r="W251" s="245"/>
      <c r="X251" s="420">
        <f t="shared" si="49"/>
        <v>0</v>
      </c>
      <c r="Y251" s="421">
        <f t="shared" si="49"/>
        <v>0</v>
      </c>
      <c r="Z251" s="421">
        <f t="shared" si="49"/>
        <v>0</v>
      </c>
      <c r="AA251" s="420">
        <f t="shared" si="50"/>
        <v>0</v>
      </c>
      <c r="AB251" s="420">
        <f t="shared" si="50"/>
        <v>0</v>
      </c>
      <c r="AC251" s="420">
        <f t="shared" si="50"/>
        <v>0</v>
      </c>
      <c r="AD251" s="420">
        <f t="shared" si="50"/>
        <v>0</v>
      </c>
      <c r="AE251" s="420">
        <f t="shared" si="50"/>
        <v>0</v>
      </c>
      <c r="AF251" s="420">
        <f t="shared" si="50"/>
        <v>0</v>
      </c>
      <c r="AG251" s="420">
        <f t="shared" si="50"/>
        <v>0</v>
      </c>
      <c r="AH251" s="420">
        <f t="shared" si="50"/>
        <v>0</v>
      </c>
      <c r="AI251" s="420">
        <f t="shared" si="50"/>
        <v>0</v>
      </c>
    </row>
    <row r="252" spans="1:36">
      <c r="A252" s="231" t="str">
        <f t="shared" si="51"/>
        <v>PIERCE UTCCommercialSURCHGC</v>
      </c>
      <c r="B252" s="243" t="s">
        <v>658</v>
      </c>
      <c r="C252" s="243" t="s">
        <v>1009</v>
      </c>
      <c r="D252" s="243"/>
      <c r="F252" s="244"/>
      <c r="G252" s="244">
        <v>0.19</v>
      </c>
      <c r="H252" s="244"/>
      <c r="I252" s="244">
        <v>0</v>
      </c>
      <c r="J252" s="244">
        <v>0</v>
      </c>
      <c r="K252" s="244">
        <v>0</v>
      </c>
      <c r="L252" s="244">
        <v>0</v>
      </c>
      <c r="M252" s="244">
        <v>0</v>
      </c>
      <c r="N252" s="244">
        <v>0</v>
      </c>
      <c r="O252" s="244">
        <v>7.6</v>
      </c>
      <c r="P252" s="244">
        <v>0</v>
      </c>
      <c r="Q252" s="244">
        <v>0</v>
      </c>
      <c r="R252" s="244">
        <v>0</v>
      </c>
      <c r="S252" s="244">
        <v>0</v>
      </c>
      <c r="T252" s="244">
        <v>0</v>
      </c>
      <c r="U252" s="244"/>
      <c r="V252" s="408">
        <f t="shared" si="48"/>
        <v>7.6</v>
      </c>
      <c r="W252" s="245"/>
      <c r="X252" s="420">
        <f t="shared" si="49"/>
        <v>0</v>
      </c>
      <c r="Y252" s="421">
        <f t="shared" si="49"/>
        <v>0</v>
      </c>
      <c r="Z252" s="421">
        <f t="shared" si="49"/>
        <v>0</v>
      </c>
      <c r="AA252" s="420">
        <f t="shared" si="50"/>
        <v>0</v>
      </c>
      <c r="AB252" s="420">
        <f t="shared" si="50"/>
        <v>0</v>
      </c>
      <c r="AC252" s="420">
        <f t="shared" si="50"/>
        <v>0</v>
      </c>
      <c r="AD252" s="420">
        <f t="shared" si="50"/>
        <v>40</v>
      </c>
      <c r="AE252" s="420">
        <f t="shared" si="50"/>
        <v>0</v>
      </c>
      <c r="AF252" s="420">
        <f t="shared" si="50"/>
        <v>0</v>
      </c>
      <c r="AG252" s="420">
        <f t="shared" si="50"/>
        <v>0</v>
      </c>
      <c r="AH252" s="420">
        <f t="shared" si="50"/>
        <v>0</v>
      </c>
      <c r="AI252" s="420">
        <f t="shared" si="50"/>
        <v>0</v>
      </c>
    </row>
    <row r="253" spans="1:36">
      <c r="B253" s="243"/>
      <c r="C253" s="243"/>
      <c r="D253" s="243"/>
      <c r="F253" s="244"/>
      <c r="G253" s="244">
        <v>0</v>
      </c>
      <c r="H253" s="244"/>
      <c r="I253" s="244">
        <v>0</v>
      </c>
      <c r="J253" s="244">
        <v>0</v>
      </c>
      <c r="K253" s="244">
        <v>0</v>
      </c>
      <c r="L253" s="244">
        <v>0</v>
      </c>
      <c r="M253" s="244">
        <v>0</v>
      </c>
      <c r="N253" s="244">
        <v>0</v>
      </c>
      <c r="O253" s="244">
        <v>0</v>
      </c>
      <c r="P253" s="244">
        <v>0</v>
      </c>
      <c r="Q253" s="244">
        <v>0</v>
      </c>
      <c r="R253" s="244">
        <v>0</v>
      </c>
      <c r="S253" s="244">
        <v>0</v>
      </c>
      <c r="T253" s="244">
        <v>0</v>
      </c>
      <c r="U253" s="244"/>
      <c r="V253" s="408">
        <f t="shared" si="48"/>
        <v>0</v>
      </c>
      <c r="W253" s="245"/>
      <c r="X253" s="420">
        <f t="shared" si="49"/>
        <v>0</v>
      </c>
      <c r="Y253" s="421">
        <f t="shared" si="49"/>
        <v>0</v>
      </c>
      <c r="Z253" s="421">
        <f t="shared" si="49"/>
        <v>0</v>
      </c>
      <c r="AA253" s="420">
        <f t="shared" si="50"/>
        <v>0</v>
      </c>
      <c r="AB253" s="420">
        <f t="shared" si="50"/>
        <v>0</v>
      </c>
      <c r="AC253" s="420">
        <f t="shared" si="50"/>
        <v>0</v>
      </c>
      <c r="AD253" s="420">
        <f t="shared" si="50"/>
        <v>0</v>
      </c>
      <c r="AE253" s="420">
        <f t="shared" si="50"/>
        <v>0</v>
      </c>
      <c r="AF253" s="420">
        <f t="shared" si="50"/>
        <v>0</v>
      </c>
      <c r="AG253" s="420">
        <f t="shared" si="50"/>
        <v>0</v>
      </c>
      <c r="AH253" s="420">
        <f t="shared" si="50"/>
        <v>0</v>
      </c>
      <c r="AI253" s="420">
        <f t="shared" si="50"/>
        <v>0</v>
      </c>
    </row>
    <row r="254" spans="1:36">
      <c r="B254" s="243"/>
      <c r="C254" s="243"/>
      <c r="D254" s="243"/>
      <c r="F254" s="244"/>
      <c r="G254" s="244">
        <v>0</v>
      </c>
      <c r="H254" s="244"/>
      <c r="I254" s="244">
        <v>0</v>
      </c>
      <c r="J254" s="244">
        <v>0</v>
      </c>
      <c r="K254" s="244">
        <v>0</v>
      </c>
      <c r="L254" s="244">
        <v>0</v>
      </c>
      <c r="M254" s="244">
        <v>0</v>
      </c>
      <c r="N254" s="244">
        <v>0</v>
      </c>
      <c r="O254" s="244">
        <v>0</v>
      </c>
      <c r="P254" s="244">
        <v>0</v>
      </c>
      <c r="Q254" s="244">
        <v>0</v>
      </c>
      <c r="R254" s="244">
        <v>0</v>
      </c>
      <c r="S254" s="244">
        <v>0</v>
      </c>
      <c r="T254" s="244">
        <v>0</v>
      </c>
      <c r="U254" s="244"/>
      <c r="V254" s="408">
        <f t="shared" si="48"/>
        <v>0</v>
      </c>
      <c r="W254" s="245"/>
      <c r="X254" s="420">
        <f t="shared" si="49"/>
        <v>0</v>
      </c>
      <c r="Y254" s="421">
        <f t="shared" si="49"/>
        <v>0</v>
      </c>
      <c r="Z254" s="421">
        <f t="shared" si="49"/>
        <v>0</v>
      </c>
      <c r="AA254" s="420">
        <f t="shared" si="50"/>
        <v>0</v>
      </c>
      <c r="AB254" s="420">
        <f t="shared" si="50"/>
        <v>0</v>
      </c>
      <c r="AC254" s="420">
        <f t="shared" si="50"/>
        <v>0</v>
      </c>
      <c r="AD254" s="420">
        <f t="shared" si="50"/>
        <v>0</v>
      </c>
      <c r="AE254" s="420">
        <f t="shared" si="50"/>
        <v>0</v>
      </c>
      <c r="AF254" s="420">
        <f t="shared" si="50"/>
        <v>0</v>
      </c>
      <c r="AG254" s="420">
        <f t="shared" si="50"/>
        <v>0</v>
      </c>
      <c r="AH254" s="420">
        <f t="shared" si="50"/>
        <v>0</v>
      </c>
      <c r="AI254" s="420">
        <f t="shared" si="50"/>
        <v>0</v>
      </c>
    </row>
    <row r="255" spans="1:36">
      <c r="B255" s="243"/>
      <c r="C255" s="243"/>
      <c r="D255" s="243"/>
      <c r="F255" s="244"/>
      <c r="G255" s="244">
        <v>0</v>
      </c>
      <c r="H255" s="244"/>
      <c r="I255" s="244">
        <v>0</v>
      </c>
      <c r="J255" s="244">
        <v>0</v>
      </c>
      <c r="K255" s="244">
        <v>0</v>
      </c>
      <c r="L255" s="244">
        <v>0</v>
      </c>
      <c r="M255" s="244">
        <v>0</v>
      </c>
      <c r="N255" s="244">
        <v>0</v>
      </c>
      <c r="O255" s="244">
        <v>0</v>
      </c>
      <c r="P255" s="244">
        <v>0</v>
      </c>
      <c r="Q255" s="244">
        <v>0</v>
      </c>
      <c r="R255" s="244">
        <v>0</v>
      </c>
      <c r="S255" s="244">
        <v>0</v>
      </c>
      <c r="T255" s="244">
        <v>0</v>
      </c>
      <c r="U255" s="244"/>
      <c r="V255" s="408">
        <f t="shared" si="48"/>
        <v>0</v>
      </c>
      <c r="W255" s="245"/>
      <c r="X255" s="420">
        <f t="shared" si="49"/>
        <v>0</v>
      </c>
      <c r="Y255" s="421">
        <f t="shared" si="49"/>
        <v>0</v>
      </c>
      <c r="Z255" s="421">
        <f t="shared" si="49"/>
        <v>0</v>
      </c>
      <c r="AA255" s="420">
        <f t="shared" si="50"/>
        <v>0</v>
      </c>
      <c r="AB255" s="420">
        <f t="shared" si="50"/>
        <v>0</v>
      </c>
      <c r="AC255" s="420">
        <f t="shared" si="50"/>
        <v>0</v>
      </c>
      <c r="AD255" s="420">
        <f t="shared" si="50"/>
        <v>0</v>
      </c>
      <c r="AE255" s="420">
        <f t="shared" si="50"/>
        <v>0</v>
      </c>
      <c r="AF255" s="420">
        <f t="shared" si="50"/>
        <v>0</v>
      </c>
      <c r="AG255" s="420">
        <f t="shared" si="50"/>
        <v>0</v>
      </c>
      <c r="AH255" s="420">
        <f t="shared" si="50"/>
        <v>0</v>
      </c>
      <c r="AI255" s="420">
        <f t="shared" si="50"/>
        <v>0</v>
      </c>
    </row>
    <row r="256" spans="1:36" ht="14.25">
      <c r="B256" s="266"/>
      <c r="C256" s="243"/>
      <c r="D256" s="243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W256" s="245"/>
      <c r="Z256" s="421"/>
    </row>
    <row r="257" spans="1:36">
      <c r="B257" s="243"/>
      <c r="C257" s="248" t="s">
        <v>150</v>
      </c>
      <c r="D257" s="243"/>
      <c r="E257" s="267"/>
      <c r="F257" s="244"/>
      <c r="G257" s="244"/>
      <c r="H257" s="249"/>
      <c r="I257" s="250">
        <f>SUM(I113:I255)</f>
        <v>628988.37</v>
      </c>
      <c r="J257" s="250">
        <f t="shared" ref="J257:T257" si="53">SUM(J113:J255)</f>
        <v>632742.20499999973</v>
      </c>
      <c r="K257" s="250">
        <f t="shared" si="53"/>
        <v>622854.82500000007</v>
      </c>
      <c r="L257" s="250">
        <f t="shared" si="53"/>
        <v>656793.65000000026</v>
      </c>
      <c r="M257" s="250">
        <f t="shared" si="53"/>
        <v>663031.74999999977</v>
      </c>
      <c r="N257" s="250">
        <f t="shared" si="53"/>
        <v>671140.7900000005</v>
      </c>
      <c r="O257" s="250">
        <f t="shared" si="53"/>
        <v>675527.67999999993</v>
      </c>
      <c r="P257" s="250">
        <f t="shared" si="53"/>
        <v>667355.57000000007</v>
      </c>
      <c r="Q257" s="250">
        <f t="shared" si="53"/>
        <v>665778.2799999998</v>
      </c>
      <c r="R257" s="250">
        <f t="shared" si="53"/>
        <v>675659.14000000025</v>
      </c>
      <c r="S257" s="250">
        <f t="shared" si="53"/>
        <v>687774.34999999974</v>
      </c>
      <c r="T257" s="250">
        <f t="shared" si="53"/>
        <v>666950.86000000068</v>
      </c>
      <c r="U257" s="250"/>
      <c r="V257" s="413">
        <f>SUM(V113:V255)</f>
        <v>7914597.4699999951</v>
      </c>
      <c r="W257" s="251"/>
      <c r="X257" s="421">
        <f>+SUM(X113:X164)</f>
        <v>4002.7756571113532</v>
      </c>
      <c r="Y257" s="421">
        <f t="shared" ref="Y257:AJ257" si="54">+SUM(Y113:Y164)</f>
        <v>3994.3395756255163</v>
      </c>
      <c r="Z257" s="421">
        <f t="shared" si="54"/>
        <v>3982.06997701096</v>
      </c>
      <c r="AA257" s="421">
        <f t="shared" si="54"/>
        <v>4018.1627334771611</v>
      </c>
      <c r="AB257" s="421">
        <f t="shared" si="54"/>
        <v>4039.9885755842311</v>
      </c>
      <c r="AC257" s="421">
        <f t="shared" si="54"/>
        <v>4222.419990415251</v>
      </c>
      <c r="AD257" s="421">
        <f t="shared" si="54"/>
        <v>4228.2160278597066</v>
      </c>
      <c r="AE257" s="421">
        <f t="shared" si="54"/>
        <v>4178.3748689078166</v>
      </c>
      <c r="AF257" s="421">
        <f t="shared" si="54"/>
        <v>4253.8097865464679</v>
      </c>
      <c r="AG257" s="421">
        <f t="shared" si="54"/>
        <v>4259.4482098836943</v>
      </c>
      <c r="AH257" s="421">
        <f t="shared" si="54"/>
        <v>4307.3939771187415</v>
      </c>
      <c r="AI257" s="421">
        <f t="shared" si="54"/>
        <v>4202.4417341188155</v>
      </c>
      <c r="AJ257" s="421">
        <f t="shared" si="54"/>
        <v>49689.441113659712</v>
      </c>
    </row>
    <row r="258" spans="1:36">
      <c r="B258" s="243"/>
      <c r="C258" s="248"/>
      <c r="D258" s="243"/>
      <c r="E258" s="267"/>
      <c r="F258" s="244"/>
      <c r="G258" s="244"/>
      <c r="H258" s="249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W258" s="254"/>
      <c r="Z258" s="421"/>
    </row>
    <row r="259" spans="1:36">
      <c r="B259" s="252" t="s">
        <v>151</v>
      </c>
      <c r="C259" s="248"/>
      <c r="D259" s="243"/>
      <c r="E259" s="267"/>
      <c r="F259" s="244"/>
      <c r="G259" s="244"/>
      <c r="H259" s="249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W259" s="254"/>
      <c r="Z259" s="421"/>
    </row>
    <row r="260" spans="1:36">
      <c r="A260" s="231" t="str">
        <f>$A$3&amp;"Commercial Recycle"&amp;B260</f>
        <v>PIERCE UTCCommercial RecycleMFNBINS</v>
      </c>
      <c r="B260" s="243" t="s">
        <v>659</v>
      </c>
      <c r="C260" s="243" t="s">
        <v>660</v>
      </c>
      <c r="D260" s="243" t="s">
        <v>528</v>
      </c>
      <c r="E260" s="230">
        <v>33000</v>
      </c>
      <c r="F260" s="244">
        <v>2.4500000000000002</v>
      </c>
      <c r="G260" s="244">
        <v>2.4500000000000002</v>
      </c>
      <c r="H260" s="244"/>
      <c r="I260" s="244">
        <v>2768.52</v>
      </c>
      <c r="J260" s="244">
        <v>2773.4</v>
      </c>
      <c r="K260" s="244">
        <v>2773.4</v>
      </c>
      <c r="L260" s="244">
        <v>2690.1</v>
      </c>
      <c r="M260" s="244">
        <v>2687.65</v>
      </c>
      <c r="N260" s="244">
        <v>2558.79</v>
      </c>
      <c r="O260" s="244">
        <v>2648.45</v>
      </c>
      <c r="P260" s="244">
        <v>2648.45</v>
      </c>
      <c r="Q260" s="244">
        <v>2640.13</v>
      </c>
      <c r="R260" s="244">
        <v>2629.46</v>
      </c>
      <c r="S260" s="244">
        <v>2637.21</v>
      </c>
      <c r="T260" s="244">
        <v>2638.65</v>
      </c>
      <c r="U260" s="244"/>
      <c r="V260" s="408">
        <f t="shared" ref="V260:V261" si="55">SUM(I260:T260)</f>
        <v>32094.210000000003</v>
      </c>
      <c r="W260" s="245"/>
      <c r="X260" s="420">
        <f t="shared" ref="X260:Z261" si="56">IFERROR(I260/$F260,0)</f>
        <v>1130.0081632653059</v>
      </c>
      <c r="Y260" s="421">
        <f t="shared" si="56"/>
        <v>1132</v>
      </c>
      <c r="Z260" s="421">
        <f t="shared" si="56"/>
        <v>1132</v>
      </c>
      <c r="AA260" s="420">
        <f t="shared" ref="AA260:AI261" si="57">IFERROR(L260/$G260,0)</f>
        <v>1097.9999999999998</v>
      </c>
      <c r="AB260" s="420">
        <f t="shared" si="57"/>
        <v>1097</v>
      </c>
      <c r="AC260" s="420">
        <f t="shared" si="57"/>
        <v>1044.4040816326531</v>
      </c>
      <c r="AD260" s="420">
        <f t="shared" si="57"/>
        <v>1080.9999999999998</v>
      </c>
      <c r="AE260" s="420">
        <f t="shared" si="57"/>
        <v>1080.9999999999998</v>
      </c>
      <c r="AF260" s="420">
        <f t="shared" si="57"/>
        <v>1077.6040816326531</v>
      </c>
      <c r="AG260" s="420">
        <f t="shared" si="57"/>
        <v>1073.2489795918366</v>
      </c>
      <c r="AH260" s="420">
        <f t="shared" si="57"/>
        <v>1076.4122448979592</v>
      </c>
      <c r="AI260" s="420">
        <f t="shared" si="57"/>
        <v>1077</v>
      </c>
      <c r="AJ260" s="408">
        <f t="shared" ref="AJ260:AJ261" si="58">SUM(X260:AI260)</f>
        <v>13099.677551020408</v>
      </c>
    </row>
    <row r="261" spans="1:36">
      <c r="A261" s="231" t="str">
        <f>$A$3&amp;"Commercial Recycle"&amp;B261</f>
        <v>PIERCE UTCCommercial RecycleMFWBINS</v>
      </c>
      <c r="B261" s="243" t="s">
        <v>661</v>
      </c>
      <c r="C261" s="243" t="s">
        <v>662</v>
      </c>
      <c r="D261" s="243" t="s">
        <v>663</v>
      </c>
      <c r="E261" s="267">
        <v>33020</v>
      </c>
      <c r="F261" s="244">
        <v>1.7</v>
      </c>
      <c r="G261" s="244">
        <v>1.7</v>
      </c>
      <c r="H261" s="244"/>
      <c r="I261" s="244">
        <v>17378.099999999999</v>
      </c>
      <c r="J261" s="244">
        <v>17164.900000000001</v>
      </c>
      <c r="K261" s="244">
        <v>17163.18</v>
      </c>
      <c r="L261" s="244">
        <v>17193.740000000002</v>
      </c>
      <c r="M261" s="244">
        <v>15079.509999999998</v>
      </c>
      <c r="N261" s="244">
        <v>17048.37</v>
      </c>
      <c r="O261" s="244">
        <v>17009.759999999998</v>
      </c>
      <c r="P261" s="244">
        <v>17000.89</v>
      </c>
      <c r="Q261" s="244">
        <v>17042.18</v>
      </c>
      <c r="R261" s="244">
        <v>17000.91</v>
      </c>
      <c r="S261" s="244">
        <v>16974.16</v>
      </c>
      <c r="T261" s="244">
        <v>17081.46</v>
      </c>
      <c r="U261" s="244"/>
      <c r="V261" s="408">
        <f t="shared" si="55"/>
        <v>203137.15999999997</v>
      </c>
      <c r="W261" s="245"/>
      <c r="X261" s="420">
        <f t="shared" si="56"/>
        <v>10222.411764705881</v>
      </c>
      <c r="Y261" s="421">
        <f t="shared" si="56"/>
        <v>10097.000000000002</v>
      </c>
      <c r="Z261" s="421">
        <f t="shared" si="56"/>
        <v>10095.988235294119</v>
      </c>
      <c r="AA261" s="420">
        <f t="shared" si="57"/>
        <v>10113.964705882354</v>
      </c>
      <c r="AB261" s="420">
        <f t="shared" si="57"/>
        <v>8870.2999999999993</v>
      </c>
      <c r="AC261" s="420">
        <f t="shared" si="57"/>
        <v>10028.452941176471</v>
      </c>
      <c r="AD261" s="420">
        <f t="shared" si="57"/>
        <v>10005.741176470587</v>
      </c>
      <c r="AE261" s="420">
        <f t="shared" si="57"/>
        <v>10000.523529411765</v>
      </c>
      <c r="AF261" s="420">
        <f t="shared" si="57"/>
        <v>10024.811764705883</v>
      </c>
      <c r="AG261" s="420">
        <f t="shared" si="57"/>
        <v>10000.535294117648</v>
      </c>
      <c r="AH261" s="420">
        <f t="shared" si="57"/>
        <v>9984.7999999999993</v>
      </c>
      <c r="AI261" s="420">
        <f t="shared" si="57"/>
        <v>10047.917647058823</v>
      </c>
      <c r="AJ261" s="408">
        <f t="shared" si="58"/>
        <v>119492.44705882354</v>
      </c>
    </row>
    <row r="262" spans="1:36">
      <c r="B262" s="243"/>
      <c r="C262" s="248"/>
      <c r="D262" s="243"/>
      <c r="E262" s="267"/>
      <c r="F262" s="244"/>
      <c r="G262" s="244"/>
      <c r="H262" s="249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W262" s="254"/>
      <c r="Z262" s="421"/>
    </row>
    <row r="263" spans="1:36">
      <c r="B263" s="243"/>
      <c r="C263" s="248" t="s">
        <v>152</v>
      </c>
      <c r="D263" s="243"/>
      <c r="E263" s="267"/>
      <c r="F263" s="244"/>
      <c r="G263" s="244"/>
      <c r="H263" s="249"/>
      <c r="I263" s="250">
        <f>SUM(I260:I262)</f>
        <v>20146.62</v>
      </c>
      <c r="J263" s="250">
        <f t="shared" ref="J263:T263" si="59">SUM(J260:J262)</f>
        <v>19938.300000000003</v>
      </c>
      <c r="K263" s="250">
        <f t="shared" si="59"/>
        <v>19936.580000000002</v>
      </c>
      <c r="L263" s="250">
        <f t="shared" si="59"/>
        <v>19883.84</v>
      </c>
      <c r="M263" s="250">
        <f t="shared" si="59"/>
        <v>17767.16</v>
      </c>
      <c r="N263" s="250">
        <f t="shared" si="59"/>
        <v>19607.16</v>
      </c>
      <c r="O263" s="250">
        <f>SUM(O260:O262)</f>
        <v>19658.21</v>
      </c>
      <c r="P263" s="250">
        <f>SUM(P260:P262)</f>
        <v>19649.34</v>
      </c>
      <c r="Q263" s="250">
        <f t="shared" si="59"/>
        <v>19682.310000000001</v>
      </c>
      <c r="R263" s="250">
        <f t="shared" si="59"/>
        <v>19630.37</v>
      </c>
      <c r="S263" s="250">
        <f t="shared" si="59"/>
        <v>19611.37</v>
      </c>
      <c r="T263" s="250">
        <f t="shared" si="59"/>
        <v>19720.11</v>
      </c>
      <c r="U263" s="250"/>
      <c r="V263" s="413">
        <f>SUM(V260:V262)</f>
        <v>235231.36999999997</v>
      </c>
      <c r="W263" s="251"/>
      <c r="X263" s="413">
        <f>SUM(X260:X262)</f>
        <v>11352.419927971187</v>
      </c>
      <c r="Y263" s="413">
        <f t="shared" ref="Y263:AJ263" si="60">SUM(Y260:Y262)</f>
        <v>11229.000000000002</v>
      </c>
      <c r="Z263" s="413">
        <f t="shared" si="60"/>
        <v>11227.988235294119</v>
      </c>
      <c r="AA263" s="413">
        <f t="shared" si="60"/>
        <v>11211.964705882354</v>
      </c>
      <c r="AB263" s="413">
        <f t="shared" si="60"/>
        <v>9967.2999999999993</v>
      </c>
      <c r="AC263" s="413">
        <f t="shared" si="60"/>
        <v>11072.857022809123</v>
      </c>
      <c r="AD263" s="413">
        <f t="shared" si="60"/>
        <v>11086.741176470587</v>
      </c>
      <c r="AE263" s="413">
        <f t="shared" si="60"/>
        <v>11081.523529411765</v>
      </c>
      <c r="AF263" s="413">
        <f t="shared" si="60"/>
        <v>11102.415846338536</v>
      </c>
      <c r="AG263" s="413">
        <f t="shared" si="60"/>
        <v>11073.784273709485</v>
      </c>
      <c r="AH263" s="413">
        <f t="shared" si="60"/>
        <v>11061.212244897959</v>
      </c>
      <c r="AI263" s="413">
        <f t="shared" si="60"/>
        <v>11124.917647058823</v>
      </c>
      <c r="AJ263" s="413">
        <f t="shared" si="60"/>
        <v>132592.12460984394</v>
      </c>
    </row>
    <row r="264" spans="1:36">
      <c r="B264" s="243"/>
      <c r="C264" s="248"/>
      <c r="D264" s="243"/>
      <c r="E264" s="267"/>
      <c r="F264" s="244"/>
      <c r="G264" s="244"/>
      <c r="H264" s="249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W264" s="254"/>
      <c r="Z264" s="421"/>
    </row>
    <row r="265" spans="1:36">
      <c r="B265" s="243"/>
      <c r="C265" s="243"/>
      <c r="D265" s="243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W265" s="245"/>
      <c r="X265" s="420">
        <f>IFERROR(I265/$F265,0)</f>
        <v>0</v>
      </c>
      <c r="Y265" s="421">
        <f>IFERROR(J265/$F265,0)</f>
        <v>0</v>
      </c>
      <c r="Z265" s="421">
        <f>IFERROR(K265/$F265,0)</f>
        <v>0</v>
      </c>
      <c r="AA265" s="420">
        <f t="shared" ref="AA265:AI265" si="61">IFERROR(L265/$G265,0)</f>
        <v>0</v>
      </c>
      <c r="AB265" s="420">
        <f t="shared" si="61"/>
        <v>0</v>
      </c>
      <c r="AC265" s="420">
        <f t="shared" si="61"/>
        <v>0</v>
      </c>
      <c r="AD265" s="420">
        <f t="shared" si="61"/>
        <v>0</v>
      </c>
      <c r="AE265" s="420">
        <f t="shared" si="61"/>
        <v>0</v>
      </c>
      <c r="AF265" s="420">
        <f t="shared" si="61"/>
        <v>0</v>
      </c>
      <c r="AG265" s="420">
        <f t="shared" si="61"/>
        <v>0</v>
      </c>
      <c r="AH265" s="420">
        <f t="shared" si="61"/>
        <v>0</v>
      </c>
      <c r="AI265" s="420">
        <f t="shared" si="61"/>
        <v>0</v>
      </c>
    </row>
    <row r="266" spans="1:36">
      <c r="B266" s="252" t="s">
        <v>664</v>
      </c>
      <c r="C266" s="243"/>
      <c r="D266" s="243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W266" s="245"/>
      <c r="Z266" s="421"/>
    </row>
    <row r="267" spans="1:36">
      <c r="A267" s="231" t="str">
        <f>$A$3&amp;"Commercial"&amp;B267</f>
        <v>PIERCE UTCCommercialGWCOMM</v>
      </c>
      <c r="B267" s="243" t="s">
        <v>665</v>
      </c>
      <c r="C267" s="243" t="s">
        <v>666</v>
      </c>
      <c r="D267" s="243" t="s">
        <v>528</v>
      </c>
      <c r="E267" s="230">
        <v>33000</v>
      </c>
      <c r="F267" s="244">
        <v>5.53</v>
      </c>
      <c r="G267" s="244">
        <v>5.53</v>
      </c>
      <c r="H267" s="244"/>
      <c r="I267" s="250">
        <v>3268.23</v>
      </c>
      <c r="J267" s="250">
        <v>3276.53</v>
      </c>
      <c r="K267" s="250">
        <v>3210.16</v>
      </c>
      <c r="L267" s="250">
        <v>3235.06</v>
      </c>
      <c r="M267" s="250">
        <v>3254.41</v>
      </c>
      <c r="N267" s="250">
        <v>3278.73</v>
      </c>
      <c r="O267" s="250">
        <v>3282.41</v>
      </c>
      <c r="P267" s="250">
        <v>3331.82</v>
      </c>
      <c r="Q267" s="250">
        <v>3359.5</v>
      </c>
      <c r="R267" s="250">
        <v>3341.04</v>
      </c>
      <c r="S267" s="250">
        <v>4467.32</v>
      </c>
      <c r="T267" s="250">
        <v>3359.93</v>
      </c>
      <c r="U267" s="250"/>
      <c r="V267" s="413">
        <f>SUM(J267:T267)</f>
        <v>37396.909999999996</v>
      </c>
      <c r="W267" s="245"/>
      <c r="Z267" s="421"/>
    </row>
    <row r="268" spans="1:36">
      <c r="B268" s="243"/>
      <c r="C268" s="248"/>
      <c r="D268" s="243"/>
      <c r="E268" s="267"/>
      <c r="F268" s="244"/>
      <c r="G268" s="244"/>
      <c r="H268" s="249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W268" s="254"/>
      <c r="Z268" s="421"/>
    </row>
    <row r="269" spans="1:36">
      <c r="B269" s="243"/>
      <c r="C269" s="243"/>
      <c r="D269" s="243"/>
      <c r="E269" s="267"/>
      <c r="F269" s="244"/>
      <c r="G269" s="244"/>
      <c r="H269" s="249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W269" s="249"/>
      <c r="Z269" s="421"/>
    </row>
    <row r="270" spans="1:36">
      <c r="B270" s="252" t="s">
        <v>667</v>
      </c>
      <c r="C270" s="243"/>
      <c r="D270" s="243"/>
      <c r="E270" s="267"/>
      <c r="F270" s="244"/>
      <c r="G270" s="244"/>
      <c r="H270" s="249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W270" s="249"/>
      <c r="Z270" s="421"/>
    </row>
    <row r="271" spans="1:36" s="229" customFormat="1">
      <c r="A271" s="231" t="str">
        <f>$A$3&amp;"Commercial Recycle"&amp;B271</f>
        <v>PIERCE UTCCommercial RecycleACCESSCREC-COMM</v>
      </c>
      <c r="B271" s="243" t="s">
        <v>668</v>
      </c>
      <c r="C271" s="243" t="s">
        <v>1010</v>
      </c>
      <c r="D271" s="243"/>
      <c r="E271" s="230"/>
      <c r="F271" s="244">
        <v>4</v>
      </c>
      <c r="G271" s="244">
        <v>2.06</v>
      </c>
      <c r="H271" s="244"/>
      <c r="I271" s="244">
        <v>403.76</v>
      </c>
      <c r="J271" s="244">
        <v>383.52</v>
      </c>
      <c r="K271" s="244">
        <v>390.73</v>
      </c>
      <c r="L271" s="244">
        <v>375.28</v>
      </c>
      <c r="M271" s="244">
        <v>429.45</v>
      </c>
      <c r="N271" s="244">
        <v>431.93</v>
      </c>
      <c r="O271" s="244">
        <v>437.08</v>
      </c>
      <c r="P271" s="244">
        <v>420.6</v>
      </c>
      <c r="Q271" s="244">
        <v>420.6</v>
      </c>
      <c r="R271" s="244">
        <v>420.6</v>
      </c>
      <c r="S271" s="244">
        <v>409.89</v>
      </c>
      <c r="T271" s="244">
        <v>431.12</v>
      </c>
      <c r="U271" s="244"/>
      <c r="V271" s="408">
        <f t="shared" ref="V271:V334" si="62">SUM(I271:T271)</f>
        <v>4954.5600000000004</v>
      </c>
      <c r="W271" s="245"/>
      <c r="X271" s="420">
        <f t="shared" ref="X271:Z302" si="63">IFERROR(I271/$F271,0)</f>
        <v>100.94</v>
      </c>
      <c r="Y271" s="421">
        <f t="shared" si="63"/>
        <v>95.88</v>
      </c>
      <c r="Z271" s="421">
        <f t="shared" si="63"/>
        <v>97.682500000000005</v>
      </c>
      <c r="AA271" s="420">
        <f t="shared" ref="AA271:AI299" si="64">IFERROR(L271/$G271,0)</f>
        <v>182.17475728155338</v>
      </c>
      <c r="AB271" s="420">
        <f t="shared" si="64"/>
        <v>208.47087378640776</v>
      </c>
      <c r="AC271" s="420">
        <f t="shared" si="64"/>
        <v>209.67475728155338</v>
      </c>
      <c r="AD271" s="420">
        <f t="shared" si="64"/>
        <v>212.17475728155338</v>
      </c>
      <c r="AE271" s="420">
        <f t="shared" si="64"/>
        <v>204.17475728155341</v>
      </c>
      <c r="AF271" s="420">
        <f t="shared" si="64"/>
        <v>204.17475728155341</v>
      </c>
      <c r="AG271" s="420">
        <f t="shared" si="64"/>
        <v>204.17475728155341</v>
      </c>
      <c r="AH271" s="420">
        <f t="shared" si="64"/>
        <v>198.97572815533979</v>
      </c>
      <c r="AI271" s="420">
        <f t="shared" si="64"/>
        <v>209.28155339805824</v>
      </c>
      <c r="AJ271" s="408">
        <f t="shared" ref="AJ271:AJ334" si="65">SUM(X271:AI271)</f>
        <v>2127.7791990291262</v>
      </c>
    </row>
    <row r="272" spans="1:36" s="229" customFormat="1">
      <c r="A272" s="231" t="str">
        <f t="shared" ref="A272:A335" si="66">$A$3&amp;"Commercial Recycle"&amp;B272</f>
        <v>PIERCE UTCCommercial RecycleCOMDESKREC</v>
      </c>
      <c r="B272" s="243" t="s">
        <v>669</v>
      </c>
      <c r="C272" s="243" t="e">
        <v>#N/A</v>
      </c>
      <c r="D272" s="243"/>
      <c r="E272" s="230"/>
      <c r="F272" s="244">
        <v>0</v>
      </c>
      <c r="G272" s="244">
        <v>0</v>
      </c>
      <c r="H272" s="244"/>
      <c r="I272" s="244">
        <v>7.5</v>
      </c>
      <c r="J272" s="244">
        <v>7.5</v>
      </c>
      <c r="K272" s="244">
        <v>7.5</v>
      </c>
      <c r="L272" s="244">
        <v>7.5</v>
      </c>
      <c r="M272" s="244">
        <v>7.5</v>
      </c>
      <c r="N272" s="244">
        <v>7.5</v>
      </c>
      <c r="O272" s="244">
        <v>7.5</v>
      </c>
      <c r="P272" s="244">
        <v>7.5</v>
      </c>
      <c r="Q272" s="244">
        <v>0</v>
      </c>
      <c r="R272" s="244">
        <v>0</v>
      </c>
      <c r="S272" s="244">
        <v>0</v>
      </c>
      <c r="T272" s="244">
        <v>0</v>
      </c>
      <c r="U272" s="244"/>
      <c r="V272" s="408">
        <f t="shared" si="62"/>
        <v>60</v>
      </c>
      <c r="W272" s="245"/>
      <c r="X272" s="420">
        <f t="shared" si="63"/>
        <v>0</v>
      </c>
      <c r="Y272" s="421">
        <f t="shared" si="63"/>
        <v>0</v>
      </c>
      <c r="Z272" s="421">
        <f t="shared" si="63"/>
        <v>0</v>
      </c>
      <c r="AA272" s="420">
        <f t="shared" si="64"/>
        <v>0</v>
      </c>
      <c r="AB272" s="420">
        <f t="shared" si="64"/>
        <v>0</v>
      </c>
      <c r="AC272" s="420">
        <f t="shared" si="64"/>
        <v>0</v>
      </c>
      <c r="AD272" s="420">
        <f t="shared" si="64"/>
        <v>0</v>
      </c>
      <c r="AE272" s="420">
        <f t="shared" si="64"/>
        <v>0</v>
      </c>
      <c r="AF272" s="420">
        <f t="shared" si="64"/>
        <v>0</v>
      </c>
      <c r="AG272" s="420">
        <f t="shared" si="64"/>
        <v>0</v>
      </c>
      <c r="AH272" s="420">
        <f t="shared" si="64"/>
        <v>0</v>
      </c>
      <c r="AI272" s="420">
        <f t="shared" si="64"/>
        <v>0</v>
      </c>
      <c r="AJ272" s="408">
        <f t="shared" si="65"/>
        <v>0</v>
      </c>
    </row>
    <row r="273" spans="1:36" s="229" customFormat="1">
      <c r="A273" s="231" t="str">
        <f t="shared" si="66"/>
        <v>PIERCE UTCCommercial RecycleFL002.0Y1M001BCMGL</v>
      </c>
      <c r="B273" s="243" t="s">
        <v>670</v>
      </c>
      <c r="C273" s="243" t="s">
        <v>1011</v>
      </c>
      <c r="D273" s="243"/>
      <c r="E273" s="230"/>
      <c r="F273" s="244">
        <v>46</v>
      </c>
      <c r="G273" s="244">
        <v>72.06</v>
      </c>
      <c r="H273" s="244"/>
      <c r="I273" s="244">
        <v>92</v>
      </c>
      <c r="J273" s="244">
        <v>92</v>
      </c>
      <c r="K273" s="244">
        <v>92</v>
      </c>
      <c r="L273" s="244">
        <v>144.12</v>
      </c>
      <c r="M273" s="244">
        <v>144.12</v>
      </c>
      <c r="N273" s="244">
        <v>144.12</v>
      </c>
      <c r="O273" s="244">
        <v>144.12</v>
      </c>
      <c r="P273" s="244">
        <v>144.12</v>
      </c>
      <c r="Q273" s="244">
        <v>144.12</v>
      </c>
      <c r="R273" s="244">
        <v>144.12</v>
      </c>
      <c r="S273" s="244">
        <v>144.12</v>
      </c>
      <c r="T273" s="244">
        <v>144.12</v>
      </c>
      <c r="U273" s="244"/>
      <c r="V273" s="408">
        <f t="shared" si="62"/>
        <v>1573.08</v>
      </c>
      <c r="W273" s="245"/>
      <c r="X273" s="420">
        <f t="shared" si="63"/>
        <v>2</v>
      </c>
      <c r="Y273" s="421">
        <f t="shared" si="63"/>
        <v>2</v>
      </c>
      <c r="Z273" s="421">
        <f t="shared" si="63"/>
        <v>2</v>
      </c>
      <c r="AA273" s="420">
        <f t="shared" si="64"/>
        <v>2</v>
      </c>
      <c r="AB273" s="420">
        <f t="shared" si="64"/>
        <v>2</v>
      </c>
      <c r="AC273" s="420">
        <f t="shared" si="64"/>
        <v>2</v>
      </c>
      <c r="AD273" s="420">
        <f t="shared" si="64"/>
        <v>2</v>
      </c>
      <c r="AE273" s="420">
        <f t="shared" si="64"/>
        <v>2</v>
      </c>
      <c r="AF273" s="420">
        <f t="shared" si="64"/>
        <v>2</v>
      </c>
      <c r="AG273" s="420">
        <f t="shared" si="64"/>
        <v>2</v>
      </c>
      <c r="AH273" s="420">
        <f t="shared" si="64"/>
        <v>2</v>
      </c>
      <c r="AI273" s="420">
        <f t="shared" si="64"/>
        <v>2</v>
      </c>
      <c r="AJ273" s="408">
        <f t="shared" si="65"/>
        <v>24</v>
      </c>
    </row>
    <row r="274" spans="1:36" s="229" customFormat="1">
      <c r="A274" s="231" t="str">
        <f t="shared" si="66"/>
        <v>PIERCE UTCCommercial RecycleFL002.0Y1W001BCMGL</v>
      </c>
      <c r="B274" s="243" t="s">
        <v>671</v>
      </c>
      <c r="C274" s="243" t="s">
        <v>1012</v>
      </c>
      <c r="D274" s="243"/>
      <c r="E274" s="230"/>
      <c r="F274" s="244">
        <v>93</v>
      </c>
      <c r="G274" s="244">
        <v>52.685000000000002</v>
      </c>
      <c r="H274" s="244"/>
      <c r="I274" s="244">
        <v>7375.83</v>
      </c>
      <c r="J274" s="244">
        <v>7581.78</v>
      </c>
      <c r="K274" s="244">
        <v>7639.26</v>
      </c>
      <c r="L274" s="244">
        <v>8546.94</v>
      </c>
      <c r="M274" s="244">
        <v>8678.65</v>
      </c>
      <c r="N274" s="244">
        <v>8609.2000000000007</v>
      </c>
      <c r="O274" s="244">
        <v>8925.32</v>
      </c>
      <c r="P274" s="244">
        <v>8798.8799999999992</v>
      </c>
      <c r="Q274" s="244">
        <v>8956.4500000000007</v>
      </c>
      <c r="R274" s="244">
        <v>9473.24</v>
      </c>
      <c r="S274" s="244">
        <v>9209.4800000000014</v>
      </c>
      <c r="T274" s="244">
        <v>9287.9</v>
      </c>
      <c r="U274" s="244"/>
      <c r="V274" s="408">
        <f t="shared" si="62"/>
        <v>103082.93</v>
      </c>
      <c r="W274" s="245"/>
      <c r="X274" s="420">
        <f t="shared" si="63"/>
        <v>79.31</v>
      </c>
      <c r="Y274" s="421">
        <f t="shared" si="63"/>
        <v>81.52451612903225</v>
      </c>
      <c r="Z274" s="421">
        <f t="shared" si="63"/>
        <v>82.142580645161289</v>
      </c>
      <c r="AA274" s="420">
        <f t="shared" si="64"/>
        <v>162.22719939261648</v>
      </c>
      <c r="AB274" s="420">
        <f t="shared" si="64"/>
        <v>164.72715194078009</v>
      </c>
      <c r="AC274" s="420">
        <f t="shared" si="64"/>
        <v>163.40893992597515</v>
      </c>
      <c r="AD274" s="420">
        <f t="shared" si="64"/>
        <v>169.40912973332067</v>
      </c>
      <c r="AE274" s="420">
        <f t="shared" si="64"/>
        <v>167.00920565625887</v>
      </c>
      <c r="AF274" s="420">
        <f t="shared" si="64"/>
        <v>170</v>
      </c>
      <c r="AG274" s="420">
        <f t="shared" si="64"/>
        <v>179.80905381038244</v>
      </c>
      <c r="AH274" s="420">
        <f t="shared" si="64"/>
        <v>174.80269526430675</v>
      </c>
      <c r="AI274" s="420">
        <f t="shared" si="64"/>
        <v>176.29116446806489</v>
      </c>
      <c r="AJ274" s="408">
        <f t="shared" si="65"/>
        <v>1770.6616369658989</v>
      </c>
    </row>
    <row r="275" spans="1:36" s="229" customFormat="1">
      <c r="A275" s="231" t="str">
        <f t="shared" si="66"/>
        <v>PIERCE UTCCommercial RecycleFL002.0Y1W001BOCC</v>
      </c>
      <c r="B275" s="243" t="s">
        <v>672</v>
      </c>
      <c r="C275" s="243" t="s">
        <v>1013</v>
      </c>
      <c r="D275" s="243"/>
      <c r="E275" s="230"/>
      <c r="F275" s="244">
        <v>58</v>
      </c>
      <c r="G275" s="244">
        <v>0</v>
      </c>
      <c r="H275" s="244"/>
      <c r="I275" s="244">
        <v>7187.04</v>
      </c>
      <c r="J275" s="244">
        <v>6893.8</v>
      </c>
      <c r="K275" s="244">
        <v>6855.27</v>
      </c>
      <c r="L275" s="244">
        <v>7290.87</v>
      </c>
      <c r="M275" s="244">
        <v>7206.1</v>
      </c>
      <c r="N275" s="244">
        <v>7206.1</v>
      </c>
      <c r="O275" s="244">
        <v>7109.9400000000005</v>
      </c>
      <c r="P275" s="244">
        <v>6978.56</v>
      </c>
      <c r="Q275" s="244">
        <v>6835.97</v>
      </c>
      <c r="R275" s="244">
        <v>6831.73</v>
      </c>
      <c r="S275" s="244">
        <v>6730.01</v>
      </c>
      <c r="T275" s="244">
        <v>6746.96</v>
      </c>
      <c r="U275" s="244"/>
      <c r="V275" s="408">
        <f t="shared" si="62"/>
        <v>83872.350000000006</v>
      </c>
      <c r="W275" s="245"/>
      <c r="X275" s="420">
        <f t="shared" si="63"/>
        <v>123.91448275862069</v>
      </c>
      <c r="Y275" s="421">
        <f t="shared" si="63"/>
        <v>118.85862068965517</v>
      </c>
      <c r="Z275" s="421">
        <f t="shared" si="63"/>
        <v>118.1943103448276</v>
      </c>
      <c r="AA275" s="420">
        <f t="shared" si="64"/>
        <v>0</v>
      </c>
      <c r="AB275" s="420">
        <f t="shared" si="64"/>
        <v>0</v>
      </c>
      <c r="AC275" s="420">
        <f t="shared" si="64"/>
        <v>0</v>
      </c>
      <c r="AD275" s="420">
        <f t="shared" si="64"/>
        <v>0</v>
      </c>
      <c r="AE275" s="420">
        <f t="shared" si="64"/>
        <v>0</v>
      </c>
      <c r="AF275" s="420">
        <f t="shared" si="64"/>
        <v>0</v>
      </c>
      <c r="AG275" s="420">
        <f t="shared" si="64"/>
        <v>0</v>
      </c>
      <c r="AH275" s="420">
        <f t="shared" si="64"/>
        <v>0</v>
      </c>
      <c r="AI275" s="420">
        <f t="shared" si="64"/>
        <v>0</v>
      </c>
      <c r="AJ275" s="408">
        <f t="shared" si="65"/>
        <v>360.96741379310345</v>
      </c>
    </row>
    <row r="276" spans="1:36" s="229" customFormat="1">
      <c r="A276" s="231" t="str">
        <f t="shared" si="66"/>
        <v>PIERCE UTCCommercial RecycleFL002.0Y3W001BOCC</v>
      </c>
      <c r="B276" s="243" t="s">
        <v>673</v>
      </c>
      <c r="C276" s="243" t="s">
        <v>1014</v>
      </c>
      <c r="D276" s="243"/>
      <c r="E276" s="230"/>
      <c r="F276" s="244">
        <v>113</v>
      </c>
      <c r="G276" s="244">
        <v>0</v>
      </c>
      <c r="H276" s="244"/>
      <c r="I276" s="244">
        <v>0</v>
      </c>
      <c r="J276" s="244">
        <v>0</v>
      </c>
      <c r="K276" s="244">
        <v>0</v>
      </c>
      <c r="L276" s="244">
        <v>0</v>
      </c>
      <c r="M276" s="244">
        <v>0</v>
      </c>
      <c r="N276" s="244">
        <v>0</v>
      </c>
      <c r="O276" s="244">
        <v>0</v>
      </c>
      <c r="P276" s="244">
        <v>0</v>
      </c>
      <c r="Q276" s="244">
        <v>0</v>
      </c>
      <c r="R276" s="244">
        <v>0</v>
      </c>
      <c r="S276" s="244">
        <v>0</v>
      </c>
      <c r="T276" s="244">
        <v>0</v>
      </c>
      <c r="U276" s="244"/>
      <c r="V276" s="408">
        <f t="shared" si="62"/>
        <v>0</v>
      </c>
      <c r="W276" s="245"/>
      <c r="X276" s="420">
        <f t="shared" si="63"/>
        <v>0</v>
      </c>
      <c r="Y276" s="421">
        <f t="shared" si="63"/>
        <v>0</v>
      </c>
      <c r="Z276" s="421">
        <f t="shared" si="63"/>
        <v>0</v>
      </c>
      <c r="AA276" s="420">
        <f t="shared" si="64"/>
        <v>0</v>
      </c>
      <c r="AB276" s="420">
        <f t="shared" si="64"/>
        <v>0</v>
      </c>
      <c r="AC276" s="420">
        <f t="shared" si="64"/>
        <v>0</v>
      </c>
      <c r="AD276" s="420">
        <f t="shared" si="64"/>
        <v>0</v>
      </c>
      <c r="AE276" s="420">
        <f t="shared" si="64"/>
        <v>0</v>
      </c>
      <c r="AF276" s="420">
        <f t="shared" si="64"/>
        <v>0</v>
      </c>
      <c r="AG276" s="420">
        <f t="shared" si="64"/>
        <v>0</v>
      </c>
      <c r="AH276" s="420">
        <f t="shared" si="64"/>
        <v>0</v>
      </c>
      <c r="AI276" s="420">
        <f t="shared" si="64"/>
        <v>0</v>
      </c>
      <c r="AJ276" s="408">
        <f t="shared" si="65"/>
        <v>0</v>
      </c>
    </row>
    <row r="277" spans="1:36" s="229" customFormat="1">
      <c r="A277" s="231" t="str">
        <f t="shared" si="66"/>
        <v>PIERCE UTCCommercial RecycleFL002.0Y1W001SCMGL</v>
      </c>
      <c r="B277" s="243" t="s">
        <v>674</v>
      </c>
      <c r="C277" s="243" t="s">
        <v>1015</v>
      </c>
      <c r="D277" s="243"/>
      <c r="E277" s="230"/>
      <c r="F277" s="244">
        <v>85.5</v>
      </c>
      <c r="G277" s="244">
        <v>48.44</v>
      </c>
      <c r="H277" s="244"/>
      <c r="I277" s="244">
        <v>264.20999999999998</v>
      </c>
      <c r="J277" s="244">
        <v>264.20999999999998</v>
      </c>
      <c r="K277" s="244">
        <v>264.20999999999998</v>
      </c>
      <c r="L277" s="244">
        <v>290.64</v>
      </c>
      <c r="M277" s="244">
        <v>290.64</v>
      </c>
      <c r="N277" s="244">
        <v>290.64</v>
      </c>
      <c r="O277" s="244">
        <v>290.64</v>
      </c>
      <c r="P277" s="244">
        <v>290.64</v>
      </c>
      <c r="Q277" s="244">
        <v>353.61</v>
      </c>
      <c r="R277" s="244">
        <v>629.72</v>
      </c>
      <c r="S277" s="244">
        <v>658.78</v>
      </c>
      <c r="T277" s="244">
        <v>678.16</v>
      </c>
      <c r="U277" s="244"/>
      <c r="V277" s="408">
        <f t="shared" si="62"/>
        <v>4566.0999999999995</v>
      </c>
      <c r="W277" s="245"/>
      <c r="X277" s="420">
        <f t="shared" si="63"/>
        <v>3.090175438596491</v>
      </c>
      <c r="Y277" s="421">
        <f t="shared" si="63"/>
        <v>3.090175438596491</v>
      </c>
      <c r="Z277" s="421">
        <f t="shared" si="63"/>
        <v>3.090175438596491</v>
      </c>
      <c r="AA277" s="420">
        <f t="shared" si="64"/>
        <v>6</v>
      </c>
      <c r="AB277" s="420">
        <f t="shared" si="64"/>
        <v>6</v>
      </c>
      <c r="AC277" s="420">
        <f t="shared" si="64"/>
        <v>6</v>
      </c>
      <c r="AD277" s="420">
        <f t="shared" si="64"/>
        <v>6</v>
      </c>
      <c r="AE277" s="420">
        <f t="shared" si="64"/>
        <v>6</v>
      </c>
      <c r="AF277" s="420">
        <f t="shared" si="64"/>
        <v>7.299958711808423</v>
      </c>
      <c r="AG277" s="420">
        <f t="shared" si="64"/>
        <v>13.000000000000002</v>
      </c>
      <c r="AH277" s="420">
        <f t="shared" si="64"/>
        <v>13.599917423616846</v>
      </c>
      <c r="AI277" s="420">
        <f t="shared" si="64"/>
        <v>14</v>
      </c>
      <c r="AJ277" s="408">
        <f t="shared" si="65"/>
        <v>87.170402451214741</v>
      </c>
    </row>
    <row r="278" spans="1:36" s="229" customFormat="1">
      <c r="A278" s="231" t="str">
        <f t="shared" si="66"/>
        <v>PIERCE UTCCommercial RecycleFL002.0Y1W001SOCC</v>
      </c>
      <c r="B278" s="243" t="s">
        <v>675</v>
      </c>
      <c r="C278" s="243" t="s">
        <v>1016</v>
      </c>
      <c r="D278" s="243"/>
      <c r="E278" s="230"/>
      <c r="F278" s="244">
        <v>52</v>
      </c>
      <c r="G278" s="244">
        <v>0</v>
      </c>
      <c r="H278" s="244"/>
      <c r="I278" s="244">
        <v>557.4</v>
      </c>
      <c r="J278" s="244">
        <v>557.4</v>
      </c>
      <c r="K278" s="244">
        <v>542.49</v>
      </c>
      <c r="L278" s="244">
        <v>667.7</v>
      </c>
      <c r="M278" s="244">
        <v>667.7</v>
      </c>
      <c r="N278" s="244">
        <v>667.7</v>
      </c>
      <c r="O278" s="244">
        <v>667.7</v>
      </c>
      <c r="P278" s="244">
        <v>227.01</v>
      </c>
      <c r="Q278" s="244">
        <v>320.51</v>
      </c>
      <c r="R278" s="244">
        <v>801.24</v>
      </c>
      <c r="S278" s="244">
        <v>801.24</v>
      </c>
      <c r="T278" s="244">
        <v>801.24</v>
      </c>
      <c r="U278" s="244"/>
      <c r="V278" s="408">
        <f t="shared" si="62"/>
        <v>7279.329999999999</v>
      </c>
      <c r="W278" s="245"/>
      <c r="X278" s="420">
        <f t="shared" si="63"/>
        <v>10.719230769230769</v>
      </c>
      <c r="Y278" s="421">
        <f t="shared" si="63"/>
        <v>10.719230769230769</v>
      </c>
      <c r="Z278" s="421">
        <f t="shared" si="63"/>
        <v>10.432500000000001</v>
      </c>
      <c r="AA278" s="420">
        <f t="shared" si="64"/>
        <v>0</v>
      </c>
      <c r="AB278" s="420">
        <f t="shared" si="64"/>
        <v>0</v>
      </c>
      <c r="AC278" s="420">
        <f t="shared" si="64"/>
        <v>0</v>
      </c>
      <c r="AD278" s="420">
        <f t="shared" si="64"/>
        <v>0</v>
      </c>
      <c r="AE278" s="420">
        <f t="shared" si="64"/>
        <v>0</v>
      </c>
      <c r="AF278" s="420">
        <f t="shared" si="64"/>
        <v>0</v>
      </c>
      <c r="AG278" s="420">
        <f t="shared" si="64"/>
        <v>0</v>
      </c>
      <c r="AH278" s="420">
        <f t="shared" si="64"/>
        <v>0</v>
      </c>
      <c r="AI278" s="420">
        <f t="shared" si="64"/>
        <v>0</v>
      </c>
      <c r="AJ278" s="408">
        <f t="shared" si="65"/>
        <v>31.87096153846154</v>
      </c>
    </row>
    <row r="279" spans="1:36" s="229" customFormat="1">
      <c r="A279" s="231" t="str">
        <f t="shared" si="66"/>
        <v>PIERCE UTCCommercial RecycleFL002.0Y2W001BCMGL</v>
      </c>
      <c r="B279" s="243" t="s">
        <v>676</v>
      </c>
      <c r="C279" s="243" t="s">
        <v>1017</v>
      </c>
      <c r="D279" s="243"/>
      <c r="E279" s="230"/>
      <c r="F279" s="244">
        <v>133</v>
      </c>
      <c r="G279" s="244">
        <v>75.344999999999999</v>
      </c>
      <c r="H279" s="244"/>
      <c r="I279" s="244">
        <v>547.96</v>
      </c>
      <c r="J279" s="244">
        <v>658.23</v>
      </c>
      <c r="K279" s="244">
        <v>778.1</v>
      </c>
      <c r="L279" s="244">
        <v>719.88</v>
      </c>
      <c r="M279" s="244">
        <v>1021.26</v>
      </c>
      <c r="N279" s="244">
        <v>1021.26</v>
      </c>
      <c r="O279" s="244">
        <v>1096.5999999999999</v>
      </c>
      <c r="P279" s="244">
        <v>1322.64</v>
      </c>
      <c r="Q279" s="244">
        <v>1435.66</v>
      </c>
      <c r="R279" s="244">
        <v>1473.33</v>
      </c>
      <c r="S279" s="244">
        <v>1473.33</v>
      </c>
      <c r="T279" s="244">
        <v>1511</v>
      </c>
      <c r="U279" s="244"/>
      <c r="V279" s="408">
        <f t="shared" si="62"/>
        <v>13059.250000000002</v>
      </c>
      <c r="W279" s="245"/>
      <c r="X279" s="420">
        <f t="shared" si="63"/>
        <v>4.12</v>
      </c>
      <c r="Y279" s="421">
        <f t="shared" si="63"/>
        <v>4.9490977443609028</v>
      </c>
      <c r="Z279" s="421">
        <f t="shared" si="63"/>
        <v>5.8503759398496245</v>
      </c>
      <c r="AA279" s="420">
        <f t="shared" si="64"/>
        <v>9.5544495321521001</v>
      </c>
      <c r="AB279" s="420">
        <f t="shared" si="64"/>
        <v>13.5544495321521</v>
      </c>
      <c r="AC279" s="420">
        <f t="shared" si="64"/>
        <v>13.5544495321521</v>
      </c>
      <c r="AD279" s="420">
        <f t="shared" si="64"/>
        <v>14.554383170747892</v>
      </c>
      <c r="AE279" s="420">
        <f t="shared" si="64"/>
        <v>17.554449532152102</v>
      </c>
      <c r="AF279" s="420">
        <f t="shared" si="64"/>
        <v>19.054482712854206</v>
      </c>
      <c r="AG279" s="420">
        <f t="shared" si="64"/>
        <v>19.554449532152098</v>
      </c>
      <c r="AH279" s="420">
        <f t="shared" si="64"/>
        <v>19.554449532152098</v>
      </c>
      <c r="AI279" s="420">
        <f t="shared" si="64"/>
        <v>20.054416351449998</v>
      </c>
      <c r="AJ279" s="408">
        <f t="shared" si="65"/>
        <v>161.90945311217521</v>
      </c>
    </row>
    <row r="280" spans="1:36" s="229" customFormat="1">
      <c r="A280" s="231" t="str">
        <f t="shared" si="66"/>
        <v>PIERCE UTCCommercial RecycleFL002.0Y2W001BOCC</v>
      </c>
      <c r="B280" s="243" t="s">
        <v>677</v>
      </c>
      <c r="C280" s="243" t="s">
        <v>1018</v>
      </c>
      <c r="D280" s="243"/>
      <c r="E280" s="230"/>
      <c r="F280" s="244">
        <v>68</v>
      </c>
      <c r="G280" s="244">
        <v>0</v>
      </c>
      <c r="H280" s="244"/>
      <c r="I280" s="244">
        <v>338.28</v>
      </c>
      <c r="J280" s="244">
        <v>338.28</v>
      </c>
      <c r="K280" s="244">
        <v>338.28</v>
      </c>
      <c r="L280" s="244">
        <v>372.12</v>
      </c>
      <c r="M280" s="244">
        <v>372.12</v>
      </c>
      <c r="N280" s="244">
        <v>372.12</v>
      </c>
      <c r="O280" s="244">
        <v>372.12</v>
      </c>
      <c r="P280" s="244">
        <v>541.66</v>
      </c>
      <c r="Q280" s="244">
        <v>541.66</v>
      </c>
      <c r="R280" s="244">
        <v>541.66</v>
      </c>
      <c r="S280" s="244">
        <v>541.66</v>
      </c>
      <c r="T280" s="244">
        <v>510.65</v>
      </c>
      <c r="U280" s="244"/>
      <c r="V280" s="408">
        <f t="shared" si="62"/>
        <v>5180.6099999999988</v>
      </c>
      <c r="W280" s="245"/>
      <c r="X280" s="420">
        <f t="shared" si="63"/>
        <v>4.9747058823529411</v>
      </c>
      <c r="Y280" s="421">
        <f t="shared" si="63"/>
        <v>4.9747058823529411</v>
      </c>
      <c r="Z280" s="421">
        <f t="shared" si="63"/>
        <v>4.9747058823529411</v>
      </c>
      <c r="AA280" s="420">
        <f t="shared" si="64"/>
        <v>0</v>
      </c>
      <c r="AB280" s="420">
        <f t="shared" si="64"/>
        <v>0</v>
      </c>
      <c r="AC280" s="420">
        <f t="shared" si="64"/>
        <v>0</v>
      </c>
      <c r="AD280" s="420">
        <f t="shared" si="64"/>
        <v>0</v>
      </c>
      <c r="AE280" s="420">
        <f t="shared" si="64"/>
        <v>0</v>
      </c>
      <c r="AF280" s="420">
        <f t="shared" si="64"/>
        <v>0</v>
      </c>
      <c r="AG280" s="420">
        <f t="shared" si="64"/>
        <v>0</v>
      </c>
      <c r="AH280" s="420">
        <f t="shared" si="64"/>
        <v>0</v>
      </c>
      <c r="AI280" s="420">
        <f t="shared" si="64"/>
        <v>0</v>
      </c>
      <c r="AJ280" s="408">
        <f t="shared" si="65"/>
        <v>14.924117647058823</v>
      </c>
    </row>
    <row r="281" spans="1:36" s="229" customFormat="1">
      <c r="A281" s="231" t="str">
        <f t="shared" si="66"/>
        <v>PIERCE UTCCommercial RecycleFL002.0Y2W001SCMGL</v>
      </c>
      <c r="B281" s="243" t="s">
        <v>678</v>
      </c>
      <c r="C281" s="243" t="s">
        <v>1019</v>
      </c>
      <c r="D281" s="243"/>
      <c r="E281" s="230"/>
      <c r="F281" s="244">
        <v>105.5</v>
      </c>
      <c r="G281" s="244">
        <v>59.77</v>
      </c>
      <c r="H281" s="244"/>
      <c r="I281" s="244">
        <v>543.35</v>
      </c>
      <c r="J281" s="244">
        <v>543.35</v>
      </c>
      <c r="K281" s="244">
        <v>543.35</v>
      </c>
      <c r="L281" s="244">
        <v>597.70000000000005</v>
      </c>
      <c r="M281" s="244">
        <v>597.70000000000005</v>
      </c>
      <c r="N281" s="244">
        <v>597.70000000000005</v>
      </c>
      <c r="O281" s="244">
        <v>463.22</v>
      </c>
      <c r="P281" s="244">
        <v>145.16</v>
      </c>
      <c r="Q281" s="244">
        <v>142.68</v>
      </c>
      <c r="R281" s="244">
        <v>358.62</v>
      </c>
      <c r="S281" s="244">
        <v>358.62</v>
      </c>
      <c r="T281" s="244">
        <v>358.62</v>
      </c>
      <c r="U281" s="244"/>
      <c r="V281" s="408">
        <f t="shared" si="62"/>
        <v>5250.07</v>
      </c>
      <c r="W281" s="245"/>
      <c r="X281" s="420">
        <f t="shared" si="63"/>
        <v>5.1502369668246448</v>
      </c>
      <c r="Y281" s="421">
        <f t="shared" si="63"/>
        <v>5.1502369668246448</v>
      </c>
      <c r="Z281" s="421">
        <f t="shared" si="63"/>
        <v>5.1502369668246448</v>
      </c>
      <c r="AA281" s="420">
        <f t="shared" si="64"/>
        <v>10</v>
      </c>
      <c r="AB281" s="420">
        <f t="shared" si="64"/>
        <v>10</v>
      </c>
      <c r="AC281" s="420">
        <f t="shared" si="64"/>
        <v>10</v>
      </c>
      <c r="AD281" s="420">
        <f t="shared" si="64"/>
        <v>7.7500418270035132</v>
      </c>
      <c r="AE281" s="420">
        <f t="shared" si="64"/>
        <v>2.4286431320060231</v>
      </c>
      <c r="AF281" s="420">
        <f t="shared" si="64"/>
        <v>2.3871507445206626</v>
      </c>
      <c r="AG281" s="420">
        <f t="shared" si="64"/>
        <v>6</v>
      </c>
      <c r="AH281" s="420">
        <f t="shared" si="64"/>
        <v>6</v>
      </c>
      <c r="AI281" s="420">
        <f t="shared" si="64"/>
        <v>6</v>
      </c>
      <c r="AJ281" s="408">
        <f t="shared" si="65"/>
        <v>76.016546604004134</v>
      </c>
    </row>
    <row r="282" spans="1:36" s="229" customFormat="1">
      <c r="A282" s="231" t="str">
        <f t="shared" si="66"/>
        <v>PIERCE UTCCommercial RecycleFL002.0Y2W001SOCC</v>
      </c>
      <c r="B282" s="243" t="s">
        <v>679</v>
      </c>
      <c r="C282" s="243" t="s">
        <v>1020</v>
      </c>
      <c r="D282" s="243"/>
      <c r="E282" s="230"/>
      <c r="F282" s="244">
        <v>55.5</v>
      </c>
      <c r="G282" s="244">
        <f>+F282*1.1</f>
        <v>61.050000000000004</v>
      </c>
      <c r="H282" s="244"/>
      <c r="I282" s="244">
        <v>59.39</v>
      </c>
      <c r="J282" s="244">
        <v>59.39</v>
      </c>
      <c r="K282" s="244">
        <v>59.39</v>
      </c>
      <c r="L282" s="244">
        <v>71.27</v>
      </c>
      <c r="M282" s="244">
        <v>71.27</v>
      </c>
      <c r="N282" s="244">
        <v>71.27</v>
      </c>
      <c r="O282" s="244">
        <v>71.27</v>
      </c>
      <c r="P282" s="244">
        <v>71.27</v>
      </c>
      <c r="Q282" s="244">
        <v>71.27</v>
      </c>
      <c r="R282" s="244">
        <v>71.27</v>
      </c>
      <c r="S282" s="244">
        <v>71.27</v>
      </c>
      <c r="T282" s="244">
        <v>71.27</v>
      </c>
      <c r="U282" s="244"/>
      <c r="V282" s="408">
        <f t="shared" si="62"/>
        <v>819.59999999999991</v>
      </c>
      <c r="W282" s="245"/>
      <c r="X282" s="420">
        <f t="shared" si="63"/>
        <v>1.07009009009009</v>
      </c>
      <c r="Y282" s="421">
        <f t="shared" si="63"/>
        <v>1.07009009009009</v>
      </c>
      <c r="Z282" s="421">
        <f t="shared" si="63"/>
        <v>1.07009009009009</v>
      </c>
      <c r="AA282" s="420">
        <f t="shared" si="64"/>
        <v>1.1674037674037672</v>
      </c>
      <c r="AB282" s="420">
        <f t="shared" si="64"/>
        <v>1.1674037674037672</v>
      </c>
      <c r="AC282" s="420">
        <f t="shared" si="64"/>
        <v>1.1674037674037672</v>
      </c>
      <c r="AD282" s="420">
        <f t="shared" si="64"/>
        <v>1.1674037674037672</v>
      </c>
      <c r="AE282" s="420">
        <f t="shared" si="64"/>
        <v>1.1674037674037672</v>
      </c>
      <c r="AF282" s="420">
        <f t="shared" si="64"/>
        <v>1.1674037674037672</v>
      </c>
      <c r="AG282" s="420">
        <f t="shared" si="64"/>
        <v>1.1674037674037672</v>
      </c>
      <c r="AH282" s="420">
        <f t="shared" si="64"/>
        <v>1.1674037674037672</v>
      </c>
      <c r="AI282" s="420">
        <f t="shared" si="64"/>
        <v>1.1674037674037672</v>
      </c>
      <c r="AJ282" s="408">
        <f t="shared" si="65"/>
        <v>13.716904176904176</v>
      </c>
    </row>
    <row r="283" spans="1:36" s="229" customFormat="1">
      <c r="A283" s="231" t="str">
        <f t="shared" si="66"/>
        <v>PIERCE UTCCommercial RecycleFL002.0Y5W001BOCC</v>
      </c>
      <c r="B283" s="243" t="s">
        <v>680</v>
      </c>
      <c r="C283" s="243" t="s">
        <v>1021</v>
      </c>
      <c r="D283" s="243"/>
      <c r="E283" s="230"/>
      <c r="F283" s="244">
        <v>168</v>
      </c>
      <c r="G283" s="244">
        <f t="shared" ref="G283:G290" si="67">+F283*1.1</f>
        <v>184.8</v>
      </c>
      <c r="H283" s="244"/>
      <c r="I283" s="244">
        <v>0</v>
      </c>
      <c r="J283" s="244">
        <v>0</v>
      </c>
      <c r="K283" s="244">
        <v>0</v>
      </c>
      <c r="L283" s="244">
        <v>0</v>
      </c>
      <c r="M283" s="244">
        <v>0</v>
      </c>
      <c r="N283" s="244">
        <v>0</v>
      </c>
      <c r="O283" s="244">
        <v>0</v>
      </c>
      <c r="P283" s="244">
        <v>0</v>
      </c>
      <c r="Q283" s="244">
        <v>0</v>
      </c>
      <c r="R283" s="244">
        <v>0</v>
      </c>
      <c r="S283" s="244">
        <v>0</v>
      </c>
      <c r="T283" s="244">
        <v>0</v>
      </c>
      <c r="U283" s="244"/>
      <c r="V283" s="408">
        <f t="shared" si="62"/>
        <v>0</v>
      </c>
      <c r="W283" s="245"/>
      <c r="X283" s="420">
        <f t="shared" si="63"/>
        <v>0</v>
      </c>
      <c r="Y283" s="421">
        <f t="shared" si="63"/>
        <v>0</v>
      </c>
      <c r="Z283" s="421">
        <f t="shared" si="63"/>
        <v>0</v>
      </c>
      <c r="AA283" s="420">
        <f t="shared" si="64"/>
        <v>0</v>
      </c>
      <c r="AB283" s="420">
        <f t="shared" si="64"/>
        <v>0</v>
      </c>
      <c r="AC283" s="420">
        <f t="shared" si="64"/>
        <v>0</v>
      </c>
      <c r="AD283" s="420">
        <f t="shared" si="64"/>
        <v>0</v>
      </c>
      <c r="AE283" s="420">
        <f t="shared" si="64"/>
        <v>0</v>
      </c>
      <c r="AF283" s="420">
        <f t="shared" si="64"/>
        <v>0</v>
      </c>
      <c r="AG283" s="420">
        <f t="shared" si="64"/>
        <v>0</v>
      </c>
      <c r="AH283" s="420">
        <f t="shared" si="64"/>
        <v>0</v>
      </c>
      <c r="AI283" s="420">
        <f t="shared" si="64"/>
        <v>0</v>
      </c>
      <c r="AJ283" s="408">
        <f t="shared" si="65"/>
        <v>0</v>
      </c>
    </row>
    <row r="284" spans="1:36" s="229" customFormat="1">
      <c r="A284" s="231" t="str">
        <f t="shared" si="66"/>
        <v>PIERCE UTCCommercial RecycleFL005.0Y1W001BOCC</v>
      </c>
      <c r="B284" s="243" t="s">
        <v>681</v>
      </c>
      <c r="C284" s="243" t="s">
        <v>1022</v>
      </c>
      <c r="D284" s="243"/>
      <c r="E284" s="230"/>
      <c r="F284" s="244">
        <v>58.5</v>
      </c>
      <c r="G284" s="244">
        <f t="shared" si="67"/>
        <v>64.350000000000009</v>
      </c>
      <c r="H284" s="244"/>
      <c r="I284" s="244">
        <v>16019.57</v>
      </c>
      <c r="J284" s="244">
        <v>15291.81</v>
      </c>
      <c r="K284" s="244">
        <v>15165.19</v>
      </c>
      <c r="L284" s="244">
        <v>16483.05</v>
      </c>
      <c r="M284" s="244">
        <v>16021.94</v>
      </c>
      <c r="N284" s="244">
        <v>15927.08</v>
      </c>
      <c r="O284" s="244">
        <v>16034.63</v>
      </c>
      <c r="P284" s="244">
        <v>15431.86</v>
      </c>
      <c r="Q284" s="244">
        <v>15519.61</v>
      </c>
      <c r="R284" s="244">
        <v>15408.39</v>
      </c>
      <c r="S284" s="244">
        <v>12456.01</v>
      </c>
      <c r="T284" s="244">
        <v>14885.23</v>
      </c>
      <c r="U284" s="244"/>
      <c r="V284" s="408">
        <f t="shared" si="62"/>
        <v>184644.37000000002</v>
      </c>
      <c r="W284" s="245"/>
      <c r="X284" s="420">
        <f t="shared" si="63"/>
        <v>273.83880341880342</v>
      </c>
      <c r="Y284" s="421">
        <f t="shared" si="63"/>
        <v>261.3984615384615</v>
      </c>
      <c r="Z284" s="421">
        <f t="shared" si="63"/>
        <v>259.23401709401708</v>
      </c>
      <c r="AA284" s="420">
        <f t="shared" si="64"/>
        <v>256.14685314685312</v>
      </c>
      <c r="AB284" s="420">
        <f t="shared" si="64"/>
        <v>248.98119658119654</v>
      </c>
      <c r="AC284" s="420">
        <f t="shared" si="64"/>
        <v>247.50707070707068</v>
      </c>
      <c r="AD284" s="420">
        <f t="shared" si="64"/>
        <v>249.17839937839932</v>
      </c>
      <c r="AE284" s="420">
        <f t="shared" si="64"/>
        <v>239.81134421134419</v>
      </c>
      <c r="AF284" s="420">
        <f t="shared" si="64"/>
        <v>241.17498057498057</v>
      </c>
      <c r="AG284" s="420">
        <f t="shared" si="64"/>
        <v>239.44662004662001</v>
      </c>
      <c r="AH284" s="420">
        <f t="shared" si="64"/>
        <v>193.56658896658894</v>
      </c>
      <c r="AI284" s="420">
        <f t="shared" si="64"/>
        <v>231.31670551670547</v>
      </c>
      <c r="AJ284" s="408">
        <f t="shared" si="65"/>
        <v>2941.6010411810407</v>
      </c>
    </row>
    <row r="285" spans="1:36" s="229" customFormat="1">
      <c r="A285" s="231" t="str">
        <f t="shared" si="66"/>
        <v>PIERCE UTCCommercial RecycleFL005.0Y1W001SOCC</v>
      </c>
      <c r="B285" s="243" t="s">
        <v>682</v>
      </c>
      <c r="C285" s="243" t="s">
        <v>1023</v>
      </c>
      <c r="D285" s="243"/>
      <c r="E285" s="230"/>
      <c r="F285" s="244">
        <v>52.5</v>
      </c>
      <c r="G285" s="244">
        <f t="shared" si="67"/>
        <v>57.750000000000007</v>
      </c>
      <c r="H285" s="244"/>
      <c r="I285" s="244">
        <v>1127.68</v>
      </c>
      <c r="J285" s="244">
        <v>1127.68</v>
      </c>
      <c r="K285" s="244">
        <v>999.6</v>
      </c>
      <c r="L285" s="244">
        <v>1481.76</v>
      </c>
      <c r="M285" s="244">
        <v>1481.76</v>
      </c>
      <c r="N285" s="244">
        <v>1481.76</v>
      </c>
      <c r="O285" s="244">
        <v>1411.2</v>
      </c>
      <c r="P285" s="244">
        <v>465.69</v>
      </c>
      <c r="Q285" s="244">
        <v>688.71</v>
      </c>
      <c r="R285" s="244">
        <v>1705.2</v>
      </c>
      <c r="S285" s="244">
        <v>1705.2</v>
      </c>
      <c r="T285" s="244">
        <v>1705.2</v>
      </c>
      <c r="U285" s="244"/>
      <c r="V285" s="408">
        <f t="shared" si="62"/>
        <v>15381.440000000002</v>
      </c>
      <c r="W285" s="245"/>
      <c r="X285" s="420">
        <f t="shared" si="63"/>
        <v>21.47961904761905</v>
      </c>
      <c r="Y285" s="421">
        <f t="shared" si="63"/>
        <v>21.47961904761905</v>
      </c>
      <c r="Z285" s="421">
        <f t="shared" si="63"/>
        <v>19.04</v>
      </c>
      <c r="AA285" s="420">
        <f t="shared" si="64"/>
        <v>25.658181818181816</v>
      </c>
      <c r="AB285" s="420">
        <f t="shared" si="64"/>
        <v>25.658181818181816</v>
      </c>
      <c r="AC285" s="420">
        <f t="shared" si="64"/>
        <v>25.658181818181816</v>
      </c>
      <c r="AD285" s="420">
        <f t="shared" si="64"/>
        <v>24.436363636363634</v>
      </c>
      <c r="AE285" s="420">
        <f t="shared" si="64"/>
        <v>8.0638961038961021</v>
      </c>
      <c r="AF285" s="420">
        <f t="shared" si="64"/>
        <v>11.925714285714285</v>
      </c>
      <c r="AG285" s="420">
        <f t="shared" si="64"/>
        <v>29.527272727272724</v>
      </c>
      <c r="AH285" s="420">
        <f t="shared" si="64"/>
        <v>29.527272727272724</v>
      </c>
      <c r="AI285" s="420">
        <f t="shared" si="64"/>
        <v>29.527272727272724</v>
      </c>
      <c r="AJ285" s="408">
        <f t="shared" si="65"/>
        <v>271.98157575757574</v>
      </c>
    </row>
    <row r="286" spans="1:36" s="229" customFormat="1">
      <c r="A286" s="231" t="str">
        <f t="shared" si="66"/>
        <v>PIERCE UTCCommercial RecycleFL005.0Y2W001BOCC</v>
      </c>
      <c r="B286" s="243" t="s">
        <v>683</v>
      </c>
      <c r="C286" s="243" t="s">
        <v>1024</v>
      </c>
      <c r="D286" s="243"/>
      <c r="E286" s="230"/>
      <c r="F286" s="244">
        <v>68.5</v>
      </c>
      <c r="G286" s="244">
        <f t="shared" si="67"/>
        <v>75.350000000000009</v>
      </c>
      <c r="H286" s="244"/>
      <c r="I286" s="244">
        <v>7553.56</v>
      </c>
      <c r="J286" s="244">
        <v>6640.54</v>
      </c>
      <c r="K286" s="244">
        <v>6923.98</v>
      </c>
      <c r="L286" s="244">
        <v>7582.28</v>
      </c>
      <c r="M286" s="244">
        <v>7379.15</v>
      </c>
      <c r="N286" s="244">
        <v>7286.79</v>
      </c>
      <c r="O286" s="244">
        <v>7291.03</v>
      </c>
      <c r="P286" s="244">
        <v>7215.77</v>
      </c>
      <c r="Q286" s="244">
        <v>7215.77</v>
      </c>
      <c r="R286" s="244">
        <v>7020.92</v>
      </c>
      <c r="S286" s="244">
        <v>7059.88</v>
      </c>
      <c r="T286" s="244">
        <v>6820.53</v>
      </c>
      <c r="U286" s="244"/>
      <c r="V286" s="408">
        <f t="shared" si="62"/>
        <v>85990.200000000012</v>
      </c>
      <c r="W286" s="245"/>
      <c r="X286" s="420">
        <f t="shared" si="63"/>
        <v>110.27094890510949</v>
      </c>
      <c r="Y286" s="421">
        <f t="shared" si="63"/>
        <v>96.942189781021895</v>
      </c>
      <c r="Z286" s="421">
        <f t="shared" si="63"/>
        <v>101.08</v>
      </c>
      <c r="AA286" s="420">
        <f t="shared" si="64"/>
        <v>100.6274717982747</v>
      </c>
      <c r="AB286" s="420">
        <f t="shared" si="64"/>
        <v>97.931652289316503</v>
      </c>
      <c r="AC286" s="420">
        <f t="shared" si="64"/>
        <v>96.705905773059044</v>
      </c>
      <c r="AD286" s="420">
        <f t="shared" si="64"/>
        <v>96.762176509621753</v>
      </c>
      <c r="AE286" s="420">
        <f t="shared" si="64"/>
        <v>95.763370935633702</v>
      </c>
      <c r="AF286" s="420">
        <f t="shared" si="64"/>
        <v>95.763370935633702</v>
      </c>
      <c r="AG286" s="420">
        <f t="shared" si="64"/>
        <v>93.177438619774378</v>
      </c>
      <c r="AH286" s="420">
        <f t="shared" si="64"/>
        <v>93.694492368944921</v>
      </c>
      <c r="AI286" s="420">
        <f t="shared" si="64"/>
        <v>90.517982747179815</v>
      </c>
      <c r="AJ286" s="408">
        <f t="shared" si="65"/>
        <v>1169.2370006635699</v>
      </c>
    </row>
    <row r="287" spans="1:36" s="229" customFormat="1">
      <c r="A287" s="231" t="str">
        <f t="shared" si="66"/>
        <v>PIERCE UTCCommercial RecycleFL005.0Y2W001SOCC</v>
      </c>
      <c r="B287" s="243" t="s">
        <v>684</v>
      </c>
      <c r="C287" s="243" t="s">
        <v>1025</v>
      </c>
      <c r="D287" s="243"/>
      <c r="E287" s="230"/>
      <c r="F287" s="244">
        <v>56</v>
      </c>
      <c r="G287" s="244">
        <f t="shared" si="67"/>
        <v>61.600000000000009</v>
      </c>
      <c r="H287" s="244"/>
      <c r="I287" s="244">
        <v>0</v>
      </c>
      <c r="J287" s="244">
        <v>0</v>
      </c>
      <c r="K287" s="244">
        <v>0</v>
      </c>
      <c r="L287" s="244">
        <v>0</v>
      </c>
      <c r="M287" s="244">
        <v>0</v>
      </c>
      <c r="N287" s="244">
        <v>0</v>
      </c>
      <c r="O287" s="244">
        <v>0</v>
      </c>
      <c r="P287" s="244">
        <v>0</v>
      </c>
      <c r="Q287" s="244">
        <v>62.36</v>
      </c>
      <c r="R287" s="244">
        <v>209.29</v>
      </c>
      <c r="S287" s="244">
        <v>209.29</v>
      </c>
      <c r="T287" s="244">
        <v>209.29</v>
      </c>
      <c r="U287" s="244"/>
      <c r="V287" s="408">
        <f t="shared" si="62"/>
        <v>690.2299999999999</v>
      </c>
      <c r="W287" s="245"/>
      <c r="X287" s="420">
        <f t="shared" si="63"/>
        <v>0</v>
      </c>
      <c r="Y287" s="421">
        <f t="shared" si="63"/>
        <v>0</v>
      </c>
      <c r="Z287" s="421">
        <f t="shared" si="63"/>
        <v>0</v>
      </c>
      <c r="AA287" s="420">
        <f t="shared" si="64"/>
        <v>0</v>
      </c>
      <c r="AB287" s="420">
        <f t="shared" si="64"/>
        <v>0</v>
      </c>
      <c r="AC287" s="420">
        <f t="shared" si="64"/>
        <v>0</v>
      </c>
      <c r="AD287" s="420">
        <f t="shared" si="64"/>
        <v>0</v>
      </c>
      <c r="AE287" s="420">
        <f t="shared" si="64"/>
        <v>0</v>
      </c>
      <c r="AF287" s="420">
        <f t="shared" si="64"/>
        <v>1.0123376623376621</v>
      </c>
      <c r="AG287" s="420">
        <f t="shared" si="64"/>
        <v>3.3975649350649344</v>
      </c>
      <c r="AH287" s="420">
        <f t="shared" si="64"/>
        <v>3.3975649350649344</v>
      </c>
      <c r="AI287" s="420">
        <f t="shared" si="64"/>
        <v>3.3975649350649344</v>
      </c>
      <c r="AJ287" s="408">
        <f t="shared" si="65"/>
        <v>11.205032467532465</v>
      </c>
    </row>
    <row r="288" spans="1:36" s="229" customFormat="1">
      <c r="A288" s="231" t="str">
        <f t="shared" si="66"/>
        <v>PIERCE UTCCommercial RecycleFL005.0Y3W001BOCC</v>
      </c>
      <c r="B288" s="243" t="s">
        <v>685</v>
      </c>
      <c r="C288" s="243" t="s">
        <v>1026</v>
      </c>
      <c r="D288" s="243"/>
      <c r="E288" s="230"/>
      <c r="F288" s="244">
        <v>113.5</v>
      </c>
      <c r="G288" s="244">
        <f t="shared" si="67"/>
        <v>124.85000000000001</v>
      </c>
      <c r="H288" s="244"/>
      <c r="I288" s="244">
        <v>1576.96</v>
      </c>
      <c r="J288" s="244">
        <v>1449.84</v>
      </c>
      <c r="K288" s="244">
        <v>1449.84</v>
      </c>
      <c r="L288" s="244">
        <v>1594.81</v>
      </c>
      <c r="M288" s="244">
        <v>1594.81</v>
      </c>
      <c r="N288" s="244">
        <v>1594.81</v>
      </c>
      <c r="O288" s="244">
        <v>1594.81</v>
      </c>
      <c r="P288" s="244">
        <v>1594.81</v>
      </c>
      <c r="Q288" s="244">
        <v>1594.81</v>
      </c>
      <c r="R288" s="244">
        <v>1594.81</v>
      </c>
      <c r="S288" s="244">
        <v>1542.22</v>
      </c>
      <c r="T288" s="244">
        <v>1594.81</v>
      </c>
      <c r="U288" s="244"/>
      <c r="V288" s="408">
        <f t="shared" si="62"/>
        <v>18777.34</v>
      </c>
      <c r="W288" s="245"/>
      <c r="X288" s="420">
        <f t="shared" si="63"/>
        <v>13.893920704845815</v>
      </c>
      <c r="Y288" s="421">
        <f t="shared" si="63"/>
        <v>12.773920704845814</v>
      </c>
      <c r="Z288" s="421">
        <f t="shared" si="63"/>
        <v>12.773920704845814</v>
      </c>
      <c r="AA288" s="420">
        <f t="shared" si="64"/>
        <v>12.77380857028434</v>
      </c>
      <c r="AB288" s="420">
        <f t="shared" si="64"/>
        <v>12.77380857028434</v>
      </c>
      <c r="AC288" s="420">
        <f t="shared" si="64"/>
        <v>12.77380857028434</v>
      </c>
      <c r="AD288" s="420">
        <f t="shared" si="64"/>
        <v>12.77380857028434</v>
      </c>
      <c r="AE288" s="420">
        <f t="shared" si="64"/>
        <v>12.77380857028434</v>
      </c>
      <c r="AF288" s="420">
        <f t="shared" si="64"/>
        <v>12.77380857028434</v>
      </c>
      <c r="AG288" s="420">
        <f t="shared" si="64"/>
        <v>12.77380857028434</v>
      </c>
      <c r="AH288" s="420">
        <f t="shared" si="64"/>
        <v>12.352583099719663</v>
      </c>
      <c r="AI288" s="420">
        <f t="shared" si="64"/>
        <v>12.77380857028434</v>
      </c>
      <c r="AJ288" s="408">
        <f t="shared" si="65"/>
        <v>153.98481377653181</v>
      </c>
    </row>
    <row r="289" spans="1:36" s="229" customFormat="1">
      <c r="A289" s="231" t="str">
        <f t="shared" si="66"/>
        <v>PIERCE UTCCommercial RecycleFL005.0Y4W001BOCC</v>
      </c>
      <c r="B289" s="243" t="s">
        <v>686</v>
      </c>
      <c r="C289" s="243" t="s">
        <v>1027</v>
      </c>
      <c r="D289" s="243"/>
      <c r="E289" s="230"/>
      <c r="F289" s="244">
        <v>128.5</v>
      </c>
      <c r="G289" s="244">
        <f t="shared" si="67"/>
        <v>141.35000000000002</v>
      </c>
      <c r="H289" s="244"/>
      <c r="I289" s="244">
        <v>965.68</v>
      </c>
      <c r="J289" s="244">
        <v>956.68</v>
      </c>
      <c r="K289" s="244">
        <v>965.68</v>
      </c>
      <c r="L289" s="244">
        <v>445.23</v>
      </c>
      <c r="M289" s="244">
        <v>445.23</v>
      </c>
      <c r="N289" s="244">
        <v>445.23</v>
      </c>
      <c r="O289" s="244">
        <v>445.23</v>
      </c>
      <c r="P289" s="244">
        <v>445.23</v>
      </c>
      <c r="Q289" s="244">
        <v>445.23</v>
      </c>
      <c r="R289" s="244">
        <v>294.58</v>
      </c>
      <c r="S289" s="244">
        <v>143.91999999999999</v>
      </c>
      <c r="T289" s="244">
        <v>143.91999999999999</v>
      </c>
      <c r="U289" s="244"/>
      <c r="V289" s="408">
        <f t="shared" si="62"/>
        <v>6141.8399999999983</v>
      </c>
      <c r="W289" s="245"/>
      <c r="X289" s="420">
        <f t="shared" si="63"/>
        <v>7.5150194552529177</v>
      </c>
      <c r="Y289" s="421">
        <f t="shared" si="63"/>
        <v>7.4449805447470814</v>
      </c>
      <c r="Z289" s="421">
        <f t="shared" si="63"/>
        <v>7.5150194552529177</v>
      </c>
      <c r="AA289" s="420">
        <f t="shared" si="64"/>
        <v>3.1498408206579409</v>
      </c>
      <c r="AB289" s="420">
        <f t="shared" si="64"/>
        <v>3.1498408206579409</v>
      </c>
      <c r="AC289" s="420">
        <f t="shared" si="64"/>
        <v>3.1498408206579409</v>
      </c>
      <c r="AD289" s="420">
        <f t="shared" si="64"/>
        <v>3.1498408206579409</v>
      </c>
      <c r="AE289" s="420">
        <f t="shared" si="64"/>
        <v>3.1498408206579409</v>
      </c>
      <c r="AF289" s="420">
        <f t="shared" si="64"/>
        <v>3.1498408206579409</v>
      </c>
      <c r="AG289" s="420">
        <f t="shared" si="64"/>
        <v>2.0840466926070036</v>
      </c>
      <c r="AH289" s="420">
        <f t="shared" si="64"/>
        <v>1.0181818181818179</v>
      </c>
      <c r="AI289" s="420">
        <f t="shared" si="64"/>
        <v>1.0181818181818179</v>
      </c>
      <c r="AJ289" s="408">
        <f t="shared" si="65"/>
        <v>45.494474708171204</v>
      </c>
    </row>
    <row r="290" spans="1:36" s="229" customFormat="1">
      <c r="A290" s="231" t="str">
        <f t="shared" si="66"/>
        <v>PIERCE UTCCommercial RecycleFL005.0Y5W001BOCC</v>
      </c>
      <c r="B290" s="243" t="s">
        <v>687</v>
      </c>
      <c r="C290" s="243" t="s">
        <v>1028</v>
      </c>
      <c r="D290" s="243"/>
      <c r="E290" s="230"/>
      <c r="F290" s="244">
        <v>168.5</v>
      </c>
      <c r="G290" s="244">
        <f t="shared" si="67"/>
        <v>185.35000000000002</v>
      </c>
      <c r="H290" s="244"/>
      <c r="I290" s="244">
        <v>165.5</v>
      </c>
      <c r="J290" s="244">
        <v>59.11</v>
      </c>
      <c r="K290" s="244">
        <v>0</v>
      </c>
      <c r="L290" s="244">
        <v>0</v>
      </c>
      <c r="M290" s="244">
        <v>0</v>
      </c>
      <c r="N290" s="244">
        <v>0</v>
      </c>
      <c r="O290" s="244">
        <v>0</v>
      </c>
      <c r="P290" s="244">
        <v>0</v>
      </c>
      <c r="Q290" s="244">
        <v>0</v>
      </c>
      <c r="R290" s="244">
        <v>0</v>
      </c>
      <c r="S290" s="244">
        <v>0</v>
      </c>
      <c r="T290" s="244">
        <v>0</v>
      </c>
      <c r="U290" s="244"/>
      <c r="V290" s="408">
        <f t="shared" si="62"/>
        <v>224.61</v>
      </c>
      <c r="W290" s="245"/>
      <c r="X290" s="420">
        <f t="shared" si="63"/>
        <v>0.98219584569732943</v>
      </c>
      <c r="Y290" s="421">
        <f t="shared" si="63"/>
        <v>0.35080118694362017</v>
      </c>
      <c r="Z290" s="421">
        <f t="shared" si="63"/>
        <v>0</v>
      </c>
      <c r="AA290" s="420">
        <f t="shared" si="64"/>
        <v>0</v>
      </c>
      <c r="AB290" s="420">
        <f t="shared" si="64"/>
        <v>0</v>
      </c>
      <c r="AC290" s="420">
        <f t="shared" si="64"/>
        <v>0</v>
      </c>
      <c r="AD290" s="420">
        <f t="shared" si="64"/>
        <v>0</v>
      </c>
      <c r="AE290" s="420">
        <f t="shared" si="64"/>
        <v>0</v>
      </c>
      <c r="AF290" s="420">
        <f t="shared" si="64"/>
        <v>0</v>
      </c>
      <c r="AG290" s="420">
        <f t="shared" si="64"/>
        <v>0</v>
      </c>
      <c r="AH290" s="420">
        <f t="shared" si="64"/>
        <v>0</v>
      </c>
      <c r="AI290" s="420">
        <f t="shared" si="64"/>
        <v>0</v>
      </c>
      <c r="AJ290" s="408">
        <f t="shared" si="65"/>
        <v>1.3329970326409497</v>
      </c>
    </row>
    <row r="291" spans="1:36" s="229" customFormat="1">
      <c r="A291" s="231" t="str">
        <f t="shared" si="66"/>
        <v>PIERCE UTCCommercial RecycleFL006.0Y1W001BCMGL</v>
      </c>
      <c r="B291" s="243" t="s">
        <v>688</v>
      </c>
      <c r="C291" s="243" t="s">
        <v>1029</v>
      </c>
      <c r="D291" s="243"/>
      <c r="E291" s="230"/>
      <c r="F291" s="244">
        <v>221</v>
      </c>
      <c r="G291" s="244">
        <v>142.27000000000001</v>
      </c>
      <c r="H291" s="244"/>
      <c r="I291" s="244">
        <v>1764.13</v>
      </c>
      <c r="J291" s="244">
        <v>2094.1999999999998</v>
      </c>
      <c r="K291" s="244">
        <v>2276.3000000000002</v>
      </c>
      <c r="L291" s="244">
        <v>2788.49</v>
      </c>
      <c r="M291" s="244">
        <v>3425.85</v>
      </c>
      <c r="N291" s="244">
        <v>3471.38</v>
      </c>
      <c r="O291" s="244">
        <v>3471.38</v>
      </c>
      <c r="P291" s="244">
        <v>3471.38</v>
      </c>
      <c r="Q291" s="244">
        <v>3400.24</v>
      </c>
      <c r="R291" s="244">
        <v>3755.92</v>
      </c>
      <c r="S291" s="244">
        <v>3755.92</v>
      </c>
      <c r="T291" s="244">
        <v>5580.97</v>
      </c>
      <c r="U291" s="244"/>
      <c r="V291" s="408">
        <f t="shared" si="62"/>
        <v>39256.159999999996</v>
      </c>
      <c r="W291" s="245"/>
      <c r="X291" s="420">
        <f t="shared" si="63"/>
        <v>7.9824886877828058</v>
      </c>
      <c r="Y291" s="421">
        <f t="shared" si="63"/>
        <v>9.4760180995475096</v>
      </c>
      <c r="Z291" s="421">
        <f t="shared" si="63"/>
        <v>10.3</v>
      </c>
      <c r="AA291" s="420">
        <f t="shared" si="64"/>
        <v>19.599985942222531</v>
      </c>
      <c r="AB291" s="420">
        <f t="shared" si="64"/>
        <v>24.079918464890699</v>
      </c>
      <c r="AC291" s="420">
        <f t="shared" si="64"/>
        <v>24.399943768890136</v>
      </c>
      <c r="AD291" s="420">
        <f t="shared" si="64"/>
        <v>24.399943768890136</v>
      </c>
      <c r="AE291" s="420">
        <f t="shared" si="64"/>
        <v>24.399943768890136</v>
      </c>
      <c r="AF291" s="420">
        <f t="shared" si="64"/>
        <v>23.899908624446471</v>
      </c>
      <c r="AG291" s="420">
        <f t="shared" si="64"/>
        <v>26.399943768890136</v>
      </c>
      <c r="AH291" s="420">
        <f t="shared" si="64"/>
        <v>26.399943768890136</v>
      </c>
      <c r="AI291" s="420">
        <f t="shared" si="64"/>
        <v>39.228017150488505</v>
      </c>
      <c r="AJ291" s="408">
        <f t="shared" si="65"/>
        <v>260.56605581382917</v>
      </c>
    </row>
    <row r="292" spans="1:36" s="229" customFormat="1">
      <c r="A292" s="231" t="str">
        <f t="shared" si="66"/>
        <v>PIERCE UTCCommercial RecycleFL006.0Y1W001SCMGL</v>
      </c>
      <c r="B292" s="243" t="s">
        <v>689</v>
      </c>
      <c r="C292" s="243" t="s">
        <v>1030</v>
      </c>
      <c r="D292" s="243"/>
      <c r="E292" s="230"/>
      <c r="F292" s="244">
        <v>203.5</v>
      </c>
      <c r="G292" s="244">
        <v>131.005</v>
      </c>
      <c r="H292" s="244"/>
      <c r="I292" s="244">
        <v>838.44</v>
      </c>
      <c r="J292" s="244">
        <v>838.44</v>
      </c>
      <c r="K292" s="244">
        <v>838.44</v>
      </c>
      <c r="L292" s="244">
        <v>1048.04</v>
      </c>
      <c r="M292" s="244">
        <v>1048.04</v>
      </c>
      <c r="N292" s="244">
        <v>1048.04</v>
      </c>
      <c r="O292" s="244">
        <v>1048.04</v>
      </c>
      <c r="P292" s="244">
        <v>65.5</v>
      </c>
      <c r="Q292" s="244">
        <v>340.61</v>
      </c>
      <c r="R292" s="244">
        <v>1048.04</v>
      </c>
      <c r="S292" s="244">
        <v>890.83</v>
      </c>
      <c r="T292" s="244">
        <v>786.03</v>
      </c>
      <c r="U292" s="244"/>
      <c r="V292" s="408">
        <f t="shared" si="62"/>
        <v>9838.49</v>
      </c>
      <c r="W292" s="245"/>
      <c r="X292" s="420">
        <f t="shared" si="63"/>
        <v>4.1200982800982802</v>
      </c>
      <c r="Y292" s="421">
        <f t="shared" si="63"/>
        <v>4.1200982800982802</v>
      </c>
      <c r="Z292" s="421">
        <f t="shared" si="63"/>
        <v>4.1200982800982802</v>
      </c>
      <c r="AA292" s="420">
        <f t="shared" si="64"/>
        <v>8</v>
      </c>
      <c r="AB292" s="420">
        <f t="shared" si="64"/>
        <v>8</v>
      </c>
      <c r="AC292" s="420">
        <f t="shared" si="64"/>
        <v>8</v>
      </c>
      <c r="AD292" s="420">
        <f t="shared" si="64"/>
        <v>8</v>
      </c>
      <c r="AE292" s="420">
        <f t="shared" si="64"/>
        <v>0.49998091675890233</v>
      </c>
      <c r="AF292" s="420">
        <f t="shared" si="64"/>
        <v>2.5999771001106828</v>
      </c>
      <c r="AG292" s="420">
        <f t="shared" si="64"/>
        <v>8</v>
      </c>
      <c r="AH292" s="420">
        <f t="shared" si="64"/>
        <v>6.7999694668142441</v>
      </c>
      <c r="AI292" s="420">
        <f t="shared" si="64"/>
        <v>6</v>
      </c>
      <c r="AJ292" s="408">
        <f t="shared" si="65"/>
        <v>68.260222323978667</v>
      </c>
    </row>
    <row r="293" spans="1:36" s="229" customFormat="1">
      <c r="A293" s="231" t="str">
        <f t="shared" si="66"/>
        <v>PIERCE UTCCommercial RecycleFL006.0Y2W001BCMGL</v>
      </c>
      <c r="B293" s="243" t="s">
        <v>690</v>
      </c>
      <c r="C293" s="243" t="s">
        <v>1031</v>
      </c>
      <c r="D293" s="243"/>
      <c r="E293" s="230"/>
      <c r="F293" s="244">
        <v>283.5</v>
      </c>
      <c r="G293" s="244">
        <v>182.505</v>
      </c>
      <c r="H293" s="244"/>
      <c r="I293" s="244">
        <v>876.03</v>
      </c>
      <c r="J293" s="244">
        <v>1881.84</v>
      </c>
      <c r="K293" s="244">
        <v>2336.08</v>
      </c>
      <c r="L293" s="244">
        <v>2555.0700000000002</v>
      </c>
      <c r="M293" s="244">
        <v>2960.68</v>
      </c>
      <c r="N293" s="244">
        <v>3336.65</v>
      </c>
      <c r="O293" s="244">
        <v>3433.38</v>
      </c>
      <c r="P293" s="244">
        <v>3753.18</v>
      </c>
      <c r="Q293" s="244">
        <v>4077.63</v>
      </c>
      <c r="R293" s="244">
        <v>3712.62</v>
      </c>
      <c r="S293" s="244">
        <v>3712.62</v>
      </c>
      <c r="T293" s="244">
        <v>1370.2100000000003</v>
      </c>
      <c r="U293" s="244"/>
      <c r="V293" s="408">
        <f t="shared" si="62"/>
        <v>34005.99</v>
      </c>
      <c r="W293" s="245"/>
      <c r="X293" s="420">
        <f t="shared" si="63"/>
        <v>3.0900529100529099</v>
      </c>
      <c r="Y293" s="421">
        <f t="shared" si="63"/>
        <v>6.6378835978835973</v>
      </c>
      <c r="Z293" s="421">
        <f t="shared" si="63"/>
        <v>8.2401410934744259</v>
      </c>
      <c r="AA293" s="420">
        <f t="shared" si="64"/>
        <v>14.000000000000002</v>
      </c>
      <c r="AB293" s="420">
        <f t="shared" si="64"/>
        <v>16.22245965863949</v>
      </c>
      <c r="AC293" s="420">
        <f t="shared" si="64"/>
        <v>18.282512807868279</v>
      </c>
      <c r="AD293" s="420">
        <f t="shared" si="64"/>
        <v>18.812525684227829</v>
      </c>
      <c r="AE293" s="420">
        <f t="shared" si="64"/>
        <v>20.564806443659077</v>
      </c>
      <c r="AF293" s="420">
        <f t="shared" si="64"/>
        <v>22.342565957097069</v>
      </c>
      <c r="AG293" s="420">
        <f t="shared" si="64"/>
        <v>20.342565957097065</v>
      </c>
      <c r="AH293" s="420">
        <f t="shared" si="64"/>
        <v>20.342565957097065</v>
      </c>
      <c r="AI293" s="420">
        <f t="shared" si="64"/>
        <v>7.5077943070052893</v>
      </c>
      <c r="AJ293" s="408">
        <f t="shared" si="65"/>
        <v>176.38587437410212</v>
      </c>
    </row>
    <row r="294" spans="1:36" s="229" customFormat="1">
      <c r="A294" s="231" t="str">
        <f t="shared" si="66"/>
        <v>PIERCE UTCCommercial RecycleFL006.0Y3W001BCMGL</v>
      </c>
      <c r="B294" s="243" t="s">
        <v>691</v>
      </c>
      <c r="C294" s="243" t="s">
        <v>1032</v>
      </c>
      <c r="D294" s="243"/>
      <c r="E294" s="230"/>
      <c r="F294" s="244">
        <v>700</v>
      </c>
      <c r="G294" s="244">
        <v>405.61</v>
      </c>
      <c r="H294" s="244"/>
      <c r="I294" s="244">
        <v>973.47</v>
      </c>
      <c r="J294" s="244">
        <v>973.47</v>
      </c>
      <c r="K294" s="244">
        <v>973.47</v>
      </c>
      <c r="L294" s="244">
        <v>1870.99</v>
      </c>
      <c r="M294" s="244">
        <v>321.90000000000003</v>
      </c>
      <c r="N294" s="244">
        <v>730.1</v>
      </c>
      <c r="O294" s="244">
        <v>730.1</v>
      </c>
      <c r="P294" s="244">
        <v>730.1</v>
      </c>
      <c r="Q294" s="244">
        <v>730.1</v>
      </c>
      <c r="R294" s="244">
        <v>730.1</v>
      </c>
      <c r="S294" s="244">
        <v>730.1</v>
      </c>
      <c r="T294" s="244">
        <v>1135.71</v>
      </c>
      <c r="U294" s="244"/>
      <c r="V294" s="408">
        <f t="shared" si="62"/>
        <v>10629.61</v>
      </c>
      <c r="W294" s="245"/>
      <c r="X294" s="420">
        <f t="shared" si="63"/>
        <v>1.3906714285714286</v>
      </c>
      <c r="Y294" s="421">
        <f t="shared" si="63"/>
        <v>1.3906714285714286</v>
      </c>
      <c r="Z294" s="421">
        <f t="shared" si="63"/>
        <v>1.3906714285714286</v>
      </c>
      <c r="AA294" s="420">
        <f t="shared" si="64"/>
        <v>4.6127807499815088</v>
      </c>
      <c r="AB294" s="420">
        <f t="shared" si="64"/>
        <v>0.79361948669904592</v>
      </c>
      <c r="AC294" s="420">
        <f t="shared" si="64"/>
        <v>1.8000049308449002</v>
      </c>
      <c r="AD294" s="420">
        <f t="shared" si="64"/>
        <v>1.8000049308449002</v>
      </c>
      <c r="AE294" s="420">
        <f t="shared" si="64"/>
        <v>1.8000049308449002</v>
      </c>
      <c r="AF294" s="420">
        <f t="shared" si="64"/>
        <v>1.8000049308449002</v>
      </c>
      <c r="AG294" s="420">
        <f t="shared" si="64"/>
        <v>1.8000049308449002</v>
      </c>
      <c r="AH294" s="420">
        <f t="shared" si="64"/>
        <v>1.8000049308449002</v>
      </c>
      <c r="AI294" s="420">
        <f t="shared" si="64"/>
        <v>2.8000049308449002</v>
      </c>
      <c r="AJ294" s="408">
        <f t="shared" si="65"/>
        <v>23.178449038309136</v>
      </c>
    </row>
    <row r="295" spans="1:36" s="229" customFormat="1">
      <c r="A295" s="231" t="str">
        <f t="shared" si="66"/>
        <v>PIERCE UTCCommercial RecycleRECBINSCOMSVC</v>
      </c>
      <c r="B295" s="243" t="s">
        <v>692</v>
      </c>
      <c r="C295" s="243" t="s">
        <v>1033</v>
      </c>
      <c r="D295" s="243"/>
      <c r="E295" s="230"/>
      <c r="F295" s="244">
        <v>7</v>
      </c>
      <c r="G295" s="244">
        <v>3.61</v>
      </c>
      <c r="H295" s="244"/>
      <c r="I295" s="244">
        <v>0</v>
      </c>
      <c r="J295" s="244">
        <v>0</v>
      </c>
      <c r="K295" s="244">
        <v>0</v>
      </c>
      <c r="L295" s="244">
        <v>0</v>
      </c>
      <c r="M295" s="244">
        <v>0</v>
      </c>
      <c r="N295" s="244">
        <v>0</v>
      </c>
      <c r="O295" s="244">
        <v>0</v>
      </c>
      <c r="P295" s="244">
        <v>0</v>
      </c>
      <c r="Q295" s="244">
        <v>0</v>
      </c>
      <c r="R295" s="244">
        <v>0</v>
      </c>
      <c r="S295" s="244">
        <v>0</v>
      </c>
      <c r="T295" s="244">
        <v>0</v>
      </c>
      <c r="U295" s="244"/>
      <c r="V295" s="408">
        <f t="shared" si="62"/>
        <v>0</v>
      </c>
      <c r="W295" s="245"/>
      <c r="X295" s="420">
        <f t="shared" si="63"/>
        <v>0</v>
      </c>
      <c r="Y295" s="421">
        <f t="shared" si="63"/>
        <v>0</v>
      </c>
      <c r="Z295" s="421">
        <f t="shared" si="63"/>
        <v>0</v>
      </c>
      <c r="AA295" s="420">
        <f t="shared" si="64"/>
        <v>0</v>
      </c>
      <c r="AB295" s="420">
        <f t="shared" si="64"/>
        <v>0</v>
      </c>
      <c r="AC295" s="420">
        <f t="shared" si="64"/>
        <v>0</v>
      </c>
      <c r="AD295" s="420">
        <f t="shared" si="64"/>
        <v>0</v>
      </c>
      <c r="AE295" s="420">
        <f t="shared" si="64"/>
        <v>0</v>
      </c>
      <c r="AF295" s="420">
        <f t="shared" si="64"/>
        <v>0</v>
      </c>
      <c r="AG295" s="420">
        <f t="shared" si="64"/>
        <v>0</v>
      </c>
      <c r="AH295" s="420">
        <f t="shared" si="64"/>
        <v>0</v>
      </c>
      <c r="AI295" s="420">
        <f t="shared" si="64"/>
        <v>0</v>
      </c>
      <c r="AJ295" s="408">
        <f t="shared" si="65"/>
        <v>0</v>
      </c>
    </row>
    <row r="296" spans="1:36" s="229" customFormat="1">
      <c r="A296" s="231" t="str">
        <f t="shared" si="66"/>
        <v>PIERCE UTCCommercial RecycleRECCOMSVC</v>
      </c>
      <c r="B296" s="243" t="s">
        <v>693</v>
      </c>
      <c r="C296" s="243" t="e">
        <v>#N/A</v>
      </c>
      <c r="D296" s="243"/>
      <c r="E296" s="230"/>
      <c r="F296" s="244">
        <v>0</v>
      </c>
      <c r="G296" s="244">
        <v>0</v>
      </c>
      <c r="H296" s="244"/>
      <c r="I296" s="244">
        <v>0</v>
      </c>
      <c r="J296" s="244">
        <v>0</v>
      </c>
      <c r="K296" s="244">
        <v>0</v>
      </c>
      <c r="L296" s="244">
        <v>0</v>
      </c>
      <c r="M296" s="244">
        <v>0</v>
      </c>
      <c r="N296" s="244">
        <v>0</v>
      </c>
      <c r="O296" s="244">
        <v>0</v>
      </c>
      <c r="P296" s="244">
        <v>0</v>
      </c>
      <c r="Q296" s="244">
        <v>0</v>
      </c>
      <c r="R296" s="244">
        <v>0</v>
      </c>
      <c r="S296" s="244">
        <v>0</v>
      </c>
      <c r="T296" s="244">
        <v>0</v>
      </c>
      <c r="U296" s="244"/>
      <c r="V296" s="408">
        <f t="shared" si="62"/>
        <v>0</v>
      </c>
      <c r="W296" s="245"/>
      <c r="X296" s="420">
        <f t="shared" si="63"/>
        <v>0</v>
      </c>
      <c r="Y296" s="421">
        <f t="shared" si="63"/>
        <v>0</v>
      </c>
      <c r="Z296" s="421">
        <f t="shared" si="63"/>
        <v>0</v>
      </c>
      <c r="AA296" s="420">
        <f t="shared" si="64"/>
        <v>0</v>
      </c>
      <c r="AB296" s="420">
        <f t="shared" si="64"/>
        <v>0</v>
      </c>
      <c r="AC296" s="420">
        <f t="shared" si="64"/>
        <v>0</v>
      </c>
      <c r="AD296" s="420">
        <f t="shared" si="64"/>
        <v>0</v>
      </c>
      <c r="AE296" s="420">
        <f t="shared" si="64"/>
        <v>0</v>
      </c>
      <c r="AF296" s="420">
        <f t="shared" si="64"/>
        <v>0</v>
      </c>
      <c r="AG296" s="420">
        <f t="shared" si="64"/>
        <v>0</v>
      </c>
      <c r="AH296" s="420">
        <f t="shared" si="64"/>
        <v>0</v>
      </c>
      <c r="AI296" s="420">
        <f t="shared" si="64"/>
        <v>0</v>
      </c>
      <c r="AJ296" s="408">
        <f t="shared" si="65"/>
        <v>0</v>
      </c>
    </row>
    <row r="297" spans="1:36" s="229" customFormat="1">
      <c r="A297" s="231" t="str">
        <f t="shared" si="66"/>
        <v>PIERCE UTCCommercial RecycleRENTRECCNT-COMM</v>
      </c>
      <c r="B297" s="243" t="s">
        <v>694</v>
      </c>
      <c r="C297" s="243" t="s">
        <v>1034</v>
      </c>
      <c r="D297" s="243"/>
      <c r="E297" s="230"/>
      <c r="F297" s="244">
        <v>3</v>
      </c>
      <c r="G297" s="244">
        <v>1.55</v>
      </c>
      <c r="H297" s="244"/>
      <c r="I297" s="244">
        <v>0</v>
      </c>
      <c r="J297" s="244">
        <v>0</v>
      </c>
      <c r="K297" s="244">
        <v>0</v>
      </c>
      <c r="L297" s="244">
        <v>0</v>
      </c>
      <c r="M297" s="244">
        <v>0</v>
      </c>
      <c r="N297" s="244">
        <v>0</v>
      </c>
      <c r="O297" s="244">
        <v>0</v>
      </c>
      <c r="P297" s="244">
        <v>0</v>
      </c>
      <c r="Q297" s="244">
        <v>0</v>
      </c>
      <c r="R297" s="244">
        <v>0</v>
      </c>
      <c r="S297" s="244">
        <v>0</v>
      </c>
      <c r="T297" s="244">
        <v>0</v>
      </c>
      <c r="U297" s="244"/>
      <c r="V297" s="408">
        <f t="shared" si="62"/>
        <v>0</v>
      </c>
      <c r="W297" s="245"/>
      <c r="X297" s="420">
        <f t="shared" si="63"/>
        <v>0</v>
      </c>
      <c r="Y297" s="421">
        <f t="shared" si="63"/>
        <v>0</v>
      </c>
      <c r="Z297" s="421">
        <f t="shared" si="63"/>
        <v>0</v>
      </c>
      <c r="AA297" s="420">
        <f t="shared" si="64"/>
        <v>0</v>
      </c>
      <c r="AB297" s="420">
        <f t="shared" si="64"/>
        <v>0</v>
      </c>
      <c r="AC297" s="420">
        <f t="shared" si="64"/>
        <v>0</v>
      </c>
      <c r="AD297" s="420">
        <f t="shared" si="64"/>
        <v>0</v>
      </c>
      <c r="AE297" s="420">
        <f t="shared" si="64"/>
        <v>0</v>
      </c>
      <c r="AF297" s="420">
        <f t="shared" si="64"/>
        <v>0</v>
      </c>
      <c r="AG297" s="420">
        <f t="shared" si="64"/>
        <v>0</v>
      </c>
      <c r="AH297" s="420">
        <f t="shared" si="64"/>
        <v>0</v>
      </c>
      <c r="AI297" s="420">
        <f t="shared" si="64"/>
        <v>0</v>
      </c>
      <c r="AJ297" s="408">
        <f t="shared" si="65"/>
        <v>0</v>
      </c>
    </row>
    <row r="298" spans="1:36" s="229" customFormat="1">
      <c r="A298" s="231" t="str">
        <f t="shared" si="66"/>
        <v>PIERCE UTCCommercial RecycleSL064.0G1M001BCMGLIN</v>
      </c>
      <c r="B298" s="243" t="s">
        <v>695</v>
      </c>
      <c r="C298" s="243" t="s">
        <v>1035</v>
      </c>
      <c r="D298" s="243"/>
      <c r="E298" s="230"/>
      <c r="F298" s="244">
        <v>11</v>
      </c>
      <c r="G298" s="244">
        <v>5.95</v>
      </c>
      <c r="H298" s="244"/>
      <c r="I298" s="244">
        <v>11.33</v>
      </c>
      <c r="J298" s="244">
        <v>11.33</v>
      </c>
      <c r="K298" s="244">
        <v>11.33</v>
      </c>
      <c r="L298" s="244">
        <v>11.9</v>
      </c>
      <c r="M298" s="244">
        <v>11.9</v>
      </c>
      <c r="N298" s="244">
        <v>11.9</v>
      </c>
      <c r="O298" s="244">
        <v>11.9</v>
      </c>
      <c r="P298" s="244">
        <v>11.9</v>
      </c>
      <c r="Q298" s="244">
        <v>11.9</v>
      </c>
      <c r="R298" s="244">
        <v>11.9</v>
      </c>
      <c r="S298" s="244">
        <v>11.9</v>
      </c>
      <c r="T298" s="244">
        <v>11.9</v>
      </c>
      <c r="U298" s="244"/>
      <c r="V298" s="408">
        <f t="shared" si="62"/>
        <v>141.09000000000003</v>
      </c>
      <c r="W298" s="245"/>
      <c r="X298" s="420">
        <f t="shared" si="63"/>
        <v>1.03</v>
      </c>
      <c r="Y298" s="421">
        <f t="shared" si="63"/>
        <v>1.03</v>
      </c>
      <c r="Z298" s="421">
        <f t="shared" si="63"/>
        <v>1.03</v>
      </c>
      <c r="AA298" s="420">
        <f t="shared" si="64"/>
        <v>2</v>
      </c>
      <c r="AB298" s="420">
        <f t="shared" si="64"/>
        <v>2</v>
      </c>
      <c r="AC298" s="420">
        <f t="shared" si="64"/>
        <v>2</v>
      </c>
      <c r="AD298" s="420">
        <f t="shared" si="64"/>
        <v>2</v>
      </c>
      <c r="AE298" s="420">
        <f t="shared" si="64"/>
        <v>2</v>
      </c>
      <c r="AF298" s="420">
        <f t="shared" si="64"/>
        <v>2</v>
      </c>
      <c r="AG298" s="420">
        <f t="shared" si="64"/>
        <v>2</v>
      </c>
      <c r="AH298" s="420">
        <f t="shared" si="64"/>
        <v>2</v>
      </c>
      <c r="AI298" s="420">
        <f t="shared" si="64"/>
        <v>2</v>
      </c>
      <c r="AJ298" s="408">
        <f t="shared" si="65"/>
        <v>21.09</v>
      </c>
    </row>
    <row r="299" spans="1:36" s="229" customFormat="1">
      <c r="A299" s="231" t="str">
        <f t="shared" si="66"/>
        <v>PIERCE UTCCommercial RecycleSL064.0G1M001BCMGLOUT</v>
      </c>
      <c r="B299" s="243" t="s">
        <v>696</v>
      </c>
      <c r="C299" s="243" t="s">
        <v>1036</v>
      </c>
      <c r="D299" s="243"/>
      <c r="E299" s="230"/>
      <c r="F299" s="244">
        <v>9</v>
      </c>
      <c r="G299" s="244">
        <v>4.8650000000000002</v>
      </c>
      <c r="H299" s="244"/>
      <c r="I299" s="244">
        <v>0</v>
      </c>
      <c r="J299" s="244">
        <v>0</v>
      </c>
      <c r="K299" s="244">
        <v>0</v>
      </c>
      <c r="L299" s="244">
        <v>0</v>
      </c>
      <c r="M299" s="244">
        <v>0</v>
      </c>
      <c r="N299" s="244">
        <v>0</v>
      </c>
      <c r="O299" s="244">
        <v>0</v>
      </c>
      <c r="P299" s="244">
        <v>0</v>
      </c>
      <c r="Q299" s="244">
        <v>0</v>
      </c>
      <c r="R299" s="244">
        <v>0</v>
      </c>
      <c r="S299" s="244">
        <v>0</v>
      </c>
      <c r="T299" s="244">
        <v>0</v>
      </c>
      <c r="U299" s="244"/>
      <c r="V299" s="408">
        <f t="shared" si="62"/>
        <v>0</v>
      </c>
      <c r="W299" s="245"/>
      <c r="X299" s="420">
        <f t="shared" si="63"/>
        <v>0</v>
      </c>
      <c r="Y299" s="421">
        <f t="shared" si="63"/>
        <v>0</v>
      </c>
      <c r="Z299" s="421">
        <f t="shared" si="63"/>
        <v>0</v>
      </c>
      <c r="AA299" s="420">
        <f t="shared" si="64"/>
        <v>0</v>
      </c>
      <c r="AB299" s="420">
        <f t="shared" si="64"/>
        <v>0</v>
      </c>
      <c r="AC299" s="420">
        <f t="shared" si="64"/>
        <v>0</v>
      </c>
      <c r="AD299" s="420">
        <f t="shared" ref="AD299:AI330" si="68">IFERROR(O299/$G299,0)</f>
        <v>0</v>
      </c>
      <c r="AE299" s="420">
        <f t="shared" si="68"/>
        <v>0</v>
      </c>
      <c r="AF299" s="420">
        <f t="shared" si="68"/>
        <v>0</v>
      </c>
      <c r="AG299" s="420">
        <f t="shared" si="68"/>
        <v>0</v>
      </c>
      <c r="AH299" s="420">
        <f t="shared" si="68"/>
        <v>0</v>
      </c>
      <c r="AI299" s="420">
        <f t="shared" si="68"/>
        <v>0</v>
      </c>
      <c r="AJ299" s="408">
        <f t="shared" si="65"/>
        <v>0</v>
      </c>
    </row>
    <row r="300" spans="1:36" s="229" customFormat="1">
      <c r="A300" s="231" t="str">
        <f t="shared" si="66"/>
        <v>PIERCE UTCCommercial RecycleSL064.0G1W001BCMGLOUT</v>
      </c>
      <c r="B300" s="243" t="s">
        <v>697</v>
      </c>
      <c r="C300" s="243" t="s">
        <v>1037</v>
      </c>
      <c r="D300" s="243"/>
      <c r="E300" s="230"/>
      <c r="F300" s="244">
        <v>18.5</v>
      </c>
      <c r="G300" s="244">
        <v>10.005000000000001</v>
      </c>
      <c r="H300" s="244"/>
      <c r="I300" s="244">
        <v>19.059999999999999</v>
      </c>
      <c r="J300" s="244">
        <v>19.059999999999999</v>
      </c>
      <c r="K300" s="244">
        <v>19.059999999999999</v>
      </c>
      <c r="L300" s="244">
        <v>20.010000000000002</v>
      </c>
      <c r="M300" s="244">
        <v>20.010000000000002</v>
      </c>
      <c r="N300" s="244">
        <v>20.010000000000002</v>
      </c>
      <c r="O300" s="244">
        <v>20.010000000000002</v>
      </c>
      <c r="P300" s="244">
        <v>20.010000000000002</v>
      </c>
      <c r="Q300" s="244">
        <v>20.010000000000002</v>
      </c>
      <c r="R300" s="244">
        <v>20.010000000000002</v>
      </c>
      <c r="S300" s="244">
        <v>20.010000000000002</v>
      </c>
      <c r="T300" s="244">
        <v>20.010000000000002</v>
      </c>
      <c r="U300" s="244"/>
      <c r="V300" s="408">
        <f t="shared" si="62"/>
        <v>237.26999999999995</v>
      </c>
      <c r="W300" s="245"/>
      <c r="X300" s="420">
        <f t="shared" si="63"/>
        <v>1.0302702702702702</v>
      </c>
      <c r="Y300" s="421">
        <f t="shared" si="63"/>
        <v>1.0302702702702702</v>
      </c>
      <c r="Z300" s="421">
        <f t="shared" si="63"/>
        <v>1.0302702702702702</v>
      </c>
      <c r="AA300" s="420">
        <f t="shared" ref="AA300:AI331" si="69">IFERROR(L300/$G300,0)</f>
        <v>2</v>
      </c>
      <c r="AB300" s="420">
        <f t="shared" si="69"/>
        <v>2</v>
      </c>
      <c r="AC300" s="420">
        <f t="shared" si="69"/>
        <v>2</v>
      </c>
      <c r="AD300" s="420">
        <f t="shared" si="68"/>
        <v>2</v>
      </c>
      <c r="AE300" s="420">
        <f t="shared" si="68"/>
        <v>2</v>
      </c>
      <c r="AF300" s="420">
        <f t="shared" si="68"/>
        <v>2</v>
      </c>
      <c r="AG300" s="420">
        <f t="shared" si="68"/>
        <v>2</v>
      </c>
      <c r="AH300" s="420">
        <f t="shared" si="68"/>
        <v>2</v>
      </c>
      <c r="AI300" s="420">
        <f t="shared" si="68"/>
        <v>2</v>
      </c>
      <c r="AJ300" s="408">
        <f t="shared" si="65"/>
        <v>21.090810810810812</v>
      </c>
    </row>
    <row r="301" spans="1:36" s="229" customFormat="1">
      <c r="A301" s="231" t="str">
        <f t="shared" si="66"/>
        <v>PIERCE UTCCommercial RecycleSL064.0G1W001SCMGLOUT</v>
      </c>
      <c r="B301" s="243" t="s">
        <v>698</v>
      </c>
      <c r="C301" s="243" t="s">
        <v>1038</v>
      </c>
      <c r="D301" s="243"/>
      <c r="E301" s="230"/>
      <c r="F301" s="244">
        <v>16</v>
      </c>
      <c r="G301" s="244">
        <v>8.24</v>
      </c>
      <c r="H301" s="244"/>
      <c r="I301" s="244">
        <v>0</v>
      </c>
      <c r="J301" s="244">
        <v>0</v>
      </c>
      <c r="K301" s="244">
        <v>0</v>
      </c>
      <c r="L301" s="244">
        <v>0</v>
      </c>
      <c r="M301" s="244">
        <v>0</v>
      </c>
      <c r="N301" s="244">
        <v>0</v>
      </c>
      <c r="O301" s="244">
        <v>0</v>
      </c>
      <c r="P301" s="244">
        <v>0</v>
      </c>
      <c r="Q301" s="244">
        <v>0</v>
      </c>
      <c r="R301" s="244">
        <v>0</v>
      </c>
      <c r="S301" s="244">
        <v>0</v>
      </c>
      <c r="T301" s="244">
        <v>0</v>
      </c>
      <c r="U301" s="244"/>
      <c r="V301" s="408">
        <f t="shared" si="62"/>
        <v>0</v>
      </c>
      <c r="W301" s="245"/>
      <c r="X301" s="420">
        <f t="shared" si="63"/>
        <v>0</v>
      </c>
      <c r="Y301" s="421">
        <f t="shared" si="63"/>
        <v>0</v>
      </c>
      <c r="Z301" s="421">
        <f t="shared" si="63"/>
        <v>0</v>
      </c>
      <c r="AA301" s="420">
        <f t="shared" si="69"/>
        <v>0</v>
      </c>
      <c r="AB301" s="420">
        <f t="shared" si="69"/>
        <v>0</v>
      </c>
      <c r="AC301" s="420">
        <f t="shared" si="69"/>
        <v>0</v>
      </c>
      <c r="AD301" s="420">
        <f t="shared" si="68"/>
        <v>0</v>
      </c>
      <c r="AE301" s="420">
        <f t="shared" si="68"/>
        <v>0</v>
      </c>
      <c r="AF301" s="420">
        <f t="shared" si="68"/>
        <v>0</v>
      </c>
      <c r="AG301" s="420">
        <f t="shared" si="68"/>
        <v>0</v>
      </c>
      <c r="AH301" s="420">
        <f t="shared" si="68"/>
        <v>0</v>
      </c>
      <c r="AI301" s="420">
        <f t="shared" si="68"/>
        <v>0</v>
      </c>
      <c r="AJ301" s="408">
        <f t="shared" si="65"/>
        <v>0</v>
      </c>
    </row>
    <row r="302" spans="1:36" s="229" customFormat="1">
      <c r="A302" s="231" t="str">
        <f t="shared" si="66"/>
        <v>PIERCE UTCCommercial RecycleSL064.0GEO001BCMGLIN</v>
      </c>
      <c r="B302" s="243" t="s">
        <v>699</v>
      </c>
      <c r="C302" s="243" t="s">
        <v>1039</v>
      </c>
      <c r="D302" s="243"/>
      <c r="E302" s="230"/>
      <c r="F302" s="244">
        <v>15</v>
      </c>
      <c r="G302" s="244">
        <v>7.7249999999999996</v>
      </c>
      <c r="H302" s="244"/>
      <c r="I302" s="244">
        <v>0</v>
      </c>
      <c r="J302" s="244">
        <v>0</v>
      </c>
      <c r="K302" s="244">
        <v>0</v>
      </c>
      <c r="L302" s="244">
        <v>0</v>
      </c>
      <c r="M302" s="244">
        <v>0</v>
      </c>
      <c r="N302" s="244">
        <v>0</v>
      </c>
      <c r="O302" s="244">
        <v>0</v>
      </c>
      <c r="P302" s="244">
        <v>0</v>
      </c>
      <c r="Q302" s="244">
        <v>0</v>
      </c>
      <c r="R302" s="244">
        <v>0</v>
      </c>
      <c r="S302" s="244">
        <v>0</v>
      </c>
      <c r="T302" s="244">
        <v>0</v>
      </c>
      <c r="U302" s="244"/>
      <c r="V302" s="408">
        <f t="shared" si="62"/>
        <v>0</v>
      </c>
      <c r="W302" s="245"/>
      <c r="X302" s="420">
        <f t="shared" si="63"/>
        <v>0</v>
      </c>
      <c r="Y302" s="421">
        <f t="shared" si="63"/>
        <v>0</v>
      </c>
      <c r="Z302" s="421">
        <f t="shared" si="63"/>
        <v>0</v>
      </c>
      <c r="AA302" s="420">
        <f t="shared" si="69"/>
        <v>0</v>
      </c>
      <c r="AB302" s="420">
        <f t="shared" si="69"/>
        <v>0</v>
      </c>
      <c r="AC302" s="420">
        <f t="shared" si="69"/>
        <v>0</v>
      </c>
      <c r="AD302" s="420">
        <f t="shared" si="68"/>
        <v>0</v>
      </c>
      <c r="AE302" s="420">
        <f t="shared" si="68"/>
        <v>0</v>
      </c>
      <c r="AF302" s="420">
        <f t="shared" si="68"/>
        <v>0</v>
      </c>
      <c r="AG302" s="420">
        <f t="shared" si="68"/>
        <v>0</v>
      </c>
      <c r="AH302" s="420">
        <f t="shared" si="68"/>
        <v>0</v>
      </c>
      <c r="AI302" s="420">
        <f t="shared" si="68"/>
        <v>0</v>
      </c>
      <c r="AJ302" s="408">
        <f t="shared" si="65"/>
        <v>0</v>
      </c>
    </row>
    <row r="303" spans="1:36" s="229" customFormat="1">
      <c r="A303" s="231" t="str">
        <f t="shared" si="66"/>
        <v>PIERCE UTCCommercial RecycleSL064.0GEO001BCMGLOUT</v>
      </c>
      <c r="B303" s="243" t="s">
        <v>700</v>
      </c>
      <c r="C303" s="243" t="s">
        <v>1040</v>
      </c>
      <c r="D303" s="243"/>
      <c r="E303" s="230"/>
      <c r="F303" s="244">
        <v>13.5</v>
      </c>
      <c r="G303" s="244">
        <v>7.3049999999999997</v>
      </c>
      <c r="H303" s="244"/>
      <c r="I303" s="244">
        <v>27.82</v>
      </c>
      <c r="J303" s="244">
        <v>27.82</v>
      </c>
      <c r="K303" s="244">
        <v>27.82</v>
      </c>
      <c r="L303" s="244">
        <v>28.52</v>
      </c>
      <c r="M303" s="244">
        <v>29.22</v>
      </c>
      <c r="N303" s="244">
        <v>29.22</v>
      </c>
      <c r="O303" s="244">
        <v>29.22</v>
      </c>
      <c r="P303" s="244">
        <v>29.22</v>
      </c>
      <c r="Q303" s="244">
        <v>14.61</v>
      </c>
      <c r="R303" s="244">
        <v>14.61</v>
      </c>
      <c r="S303" s="244">
        <v>14.61</v>
      </c>
      <c r="T303" s="244">
        <v>14.61</v>
      </c>
      <c r="U303" s="244"/>
      <c r="V303" s="408">
        <f t="shared" si="62"/>
        <v>287.3</v>
      </c>
      <c r="W303" s="245"/>
      <c r="X303" s="420">
        <f t="shared" ref="X303:Z319" si="70">IFERROR(I303/$F303,0)</f>
        <v>2.0607407407407408</v>
      </c>
      <c r="Y303" s="421">
        <f t="shared" si="70"/>
        <v>2.0607407407407408</v>
      </c>
      <c r="Z303" s="421">
        <f t="shared" si="70"/>
        <v>2.0607407407407408</v>
      </c>
      <c r="AA303" s="420">
        <f t="shared" si="69"/>
        <v>3.9041752224503767</v>
      </c>
      <c r="AB303" s="420">
        <f t="shared" si="69"/>
        <v>4</v>
      </c>
      <c r="AC303" s="420">
        <f t="shared" si="69"/>
        <v>4</v>
      </c>
      <c r="AD303" s="420">
        <f t="shared" si="68"/>
        <v>4</v>
      </c>
      <c r="AE303" s="420">
        <f t="shared" si="68"/>
        <v>4</v>
      </c>
      <c r="AF303" s="420">
        <f t="shared" si="68"/>
        <v>2</v>
      </c>
      <c r="AG303" s="420">
        <f t="shared" si="68"/>
        <v>2</v>
      </c>
      <c r="AH303" s="420">
        <f t="shared" si="68"/>
        <v>2</v>
      </c>
      <c r="AI303" s="420">
        <f t="shared" si="68"/>
        <v>2</v>
      </c>
      <c r="AJ303" s="408">
        <f t="shared" si="65"/>
        <v>34.086397444672599</v>
      </c>
    </row>
    <row r="304" spans="1:36" s="229" customFormat="1">
      <c r="A304" s="231" t="str">
        <f t="shared" si="66"/>
        <v>PIERCE UTCCommercial RecycleSL064.0GEO001SCMGLOUT</v>
      </c>
      <c r="B304" s="243" t="s">
        <v>701</v>
      </c>
      <c r="C304" s="243" t="s">
        <v>1041</v>
      </c>
      <c r="D304" s="243"/>
      <c r="E304" s="230"/>
      <c r="F304" s="244">
        <v>12</v>
      </c>
      <c r="G304" s="244">
        <v>6.18</v>
      </c>
      <c r="H304" s="244"/>
      <c r="I304" s="244">
        <v>0</v>
      </c>
      <c r="J304" s="244">
        <v>0</v>
      </c>
      <c r="K304" s="244">
        <v>0</v>
      </c>
      <c r="L304" s="244">
        <v>0</v>
      </c>
      <c r="M304" s="244">
        <v>0</v>
      </c>
      <c r="N304" s="244">
        <v>0</v>
      </c>
      <c r="O304" s="244">
        <v>0</v>
      </c>
      <c r="P304" s="244">
        <v>0</v>
      </c>
      <c r="Q304" s="244">
        <v>0</v>
      </c>
      <c r="R304" s="244">
        <v>0</v>
      </c>
      <c r="S304" s="244">
        <v>0</v>
      </c>
      <c r="T304" s="244">
        <v>0</v>
      </c>
      <c r="U304" s="244"/>
      <c r="V304" s="408">
        <f t="shared" si="62"/>
        <v>0</v>
      </c>
      <c r="W304" s="245"/>
      <c r="X304" s="420">
        <f t="shared" si="70"/>
        <v>0</v>
      </c>
      <c r="Y304" s="421">
        <f t="shared" si="70"/>
        <v>0</v>
      </c>
      <c r="Z304" s="421">
        <f t="shared" si="70"/>
        <v>0</v>
      </c>
      <c r="AA304" s="420">
        <f t="shared" si="69"/>
        <v>0</v>
      </c>
      <c r="AB304" s="420">
        <f t="shared" si="69"/>
        <v>0</v>
      </c>
      <c r="AC304" s="420">
        <f t="shared" si="69"/>
        <v>0</v>
      </c>
      <c r="AD304" s="420">
        <f t="shared" si="68"/>
        <v>0</v>
      </c>
      <c r="AE304" s="420">
        <f t="shared" si="68"/>
        <v>0</v>
      </c>
      <c r="AF304" s="420">
        <f t="shared" si="68"/>
        <v>0</v>
      </c>
      <c r="AG304" s="420">
        <f t="shared" si="68"/>
        <v>0</v>
      </c>
      <c r="AH304" s="420">
        <f t="shared" si="68"/>
        <v>0</v>
      </c>
      <c r="AI304" s="420">
        <f t="shared" si="68"/>
        <v>0</v>
      </c>
      <c r="AJ304" s="408">
        <f t="shared" si="65"/>
        <v>0</v>
      </c>
    </row>
    <row r="305" spans="1:36" s="229" customFormat="1">
      <c r="A305" s="231" t="str">
        <f t="shared" si="66"/>
        <v>PIERCE UTCCommercial RecycleSL096.0G1M001BCMGLIN</v>
      </c>
      <c r="B305" s="243" t="s">
        <v>702</v>
      </c>
      <c r="C305" s="243" t="s">
        <v>1042</v>
      </c>
      <c r="D305" s="243"/>
      <c r="E305" s="230"/>
      <c r="F305" s="244">
        <v>13.5</v>
      </c>
      <c r="G305" s="244">
        <v>7.65</v>
      </c>
      <c r="H305" s="244"/>
      <c r="I305" s="244">
        <v>13.91</v>
      </c>
      <c r="J305" s="244">
        <v>13.91</v>
      </c>
      <c r="K305" s="244">
        <v>13.91</v>
      </c>
      <c r="L305" s="244">
        <v>15.3</v>
      </c>
      <c r="M305" s="244">
        <v>15.3</v>
      </c>
      <c r="N305" s="244">
        <v>0</v>
      </c>
      <c r="O305" s="244">
        <v>15.3</v>
      </c>
      <c r="P305" s="244">
        <v>15.3</v>
      </c>
      <c r="Q305" s="244">
        <v>15.3</v>
      </c>
      <c r="R305" s="244">
        <v>15.3</v>
      </c>
      <c r="S305" s="244">
        <v>15.3</v>
      </c>
      <c r="T305" s="244">
        <v>15.3</v>
      </c>
      <c r="U305" s="244"/>
      <c r="V305" s="408">
        <f t="shared" si="62"/>
        <v>164.13000000000002</v>
      </c>
      <c r="W305" s="245"/>
      <c r="X305" s="420">
        <f t="shared" si="70"/>
        <v>1.0303703703703704</v>
      </c>
      <c r="Y305" s="421">
        <f t="shared" si="70"/>
        <v>1.0303703703703704</v>
      </c>
      <c r="Z305" s="421">
        <f t="shared" si="70"/>
        <v>1.0303703703703704</v>
      </c>
      <c r="AA305" s="420">
        <f t="shared" si="69"/>
        <v>2</v>
      </c>
      <c r="AB305" s="420">
        <f t="shared" si="69"/>
        <v>2</v>
      </c>
      <c r="AC305" s="420">
        <f t="shared" si="69"/>
        <v>0</v>
      </c>
      <c r="AD305" s="420">
        <f t="shared" si="68"/>
        <v>2</v>
      </c>
      <c r="AE305" s="420">
        <f t="shared" si="68"/>
        <v>2</v>
      </c>
      <c r="AF305" s="420">
        <f t="shared" si="68"/>
        <v>2</v>
      </c>
      <c r="AG305" s="420">
        <f t="shared" si="68"/>
        <v>2</v>
      </c>
      <c r="AH305" s="420">
        <f t="shared" si="68"/>
        <v>2</v>
      </c>
      <c r="AI305" s="420">
        <f t="shared" si="68"/>
        <v>2</v>
      </c>
      <c r="AJ305" s="408">
        <f t="shared" si="65"/>
        <v>19.091111111111111</v>
      </c>
    </row>
    <row r="306" spans="1:36" s="229" customFormat="1">
      <c r="A306" s="231" t="str">
        <f t="shared" si="66"/>
        <v>PIERCE UTCCommercial RecycleSL096.0G1M001BCMGLOUT</v>
      </c>
      <c r="B306" s="243" t="s">
        <v>703</v>
      </c>
      <c r="C306" s="243" t="s">
        <v>1043</v>
      </c>
      <c r="D306" s="243"/>
      <c r="E306" s="230"/>
      <c r="F306" s="244">
        <v>12</v>
      </c>
      <c r="G306" s="244">
        <v>6.8</v>
      </c>
      <c r="H306" s="244"/>
      <c r="I306" s="244">
        <v>12.36</v>
      </c>
      <c r="J306" s="244">
        <v>12.36</v>
      </c>
      <c r="K306" s="244">
        <v>12.36</v>
      </c>
      <c r="L306" s="244">
        <v>27.2</v>
      </c>
      <c r="M306" s="244">
        <v>39.56</v>
      </c>
      <c r="N306" s="244">
        <v>39.56</v>
      </c>
      <c r="O306" s="244">
        <v>39.56</v>
      </c>
      <c r="P306" s="244">
        <v>39.56</v>
      </c>
      <c r="Q306" s="244">
        <v>56.22</v>
      </c>
      <c r="R306" s="244">
        <v>95.08</v>
      </c>
      <c r="S306" s="244">
        <v>95.08</v>
      </c>
      <c r="T306" s="244">
        <v>62.18</v>
      </c>
      <c r="U306" s="244"/>
      <c r="V306" s="408">
        <f t="shared" si="62"/>
        <v>531.07999999999993</v>
      </c>
      <c r="W306" s="245"/>
      <c r="X306" s="420">
        <f t="shared" si="70"/>
        <v>1.03</v>
      </c>
      <c r="Y306" s="421">
        <f t="shared" si="70"/>
        <v>1.03</v>
      </c>
      <c r="Z306" s="421">
        <f t="shared" si="70"/>
        <v>1.03</v>
      </c>
      <c r="AA306" s="420">
        <f t="shared" si="69"/>
        <v>4</v>
      </c>
      <c r="AB306" s="420">
        <f t="shared" si="69"/>
        <v>5.8176470588235301</v>
      </c>
      <c r="AC306" s="420">
        <f t="shared" si="69"/>
        <v>5.8176470588235301</v>
      </c>
      <c r="AD306" s="420">
        <f t="shared" si="68"/>
        <v>5.8176470588235301</v>
      </c>
      <c r="AE306" s="420">
        <f t="shared" si="68"/>
        <v>5.8176470588235301</v>
      </c>
      <c r="AF306" s="420">
        <f t="shared" si="68"/>
        <v>8.2676470588235293</v>
      </c>
      <c r="AG306" s="420">
        <f t="shared" si="68"/>
        <v>13.982352941176471</v>
      </c>
      <c r="AH306" s="420">
        <f t="shared" si="68"/>
        <v>13.982352941176471</v>
      </c>
      <c r="AI306" s="420">
        <f t="shared" si="68"/>
        <v>9.1441176470588239</v>
      </c>
      <c r="AJ306" s="408">
        <f t="shared" si="65"/>
        <v>75.737058823529409</v>
      </c>
    </row>
    <row r="307" spans="1:36" s="229" customFormat="1">
      <c r="A307" s="231" t="str">
        <f t="shared" si="66"/>
        <v>PIERCE UTCCommercial RecycleSL096.0G1W001BCMGLIN</v>
      </c>
      <c r="B307" s="243" t="s">
        <v>704</v>
      </c>
      <c r="C307" s="243" t="s">
        <v>1044</v>
      </c>
      <c r="D307" s="243"/>
      <c r="E307" s="230"/>
      <c r="F307" s="244">
        <v>25.5</v>
      </c>
      <c r="G307" s="244">
        <v>14.45</v>
      </c>
      <c r="H307" s="244"/>
      <c r="I307" s="244">
        <v>52.54</v>
      </c>
      <c r="J307" s="244">
        <v>52.54</v>
      </c>
      <c r="K307" s="244">
        <v>52.54</v>
      </c>
      <c r="L307" s="244">
        <v>57.8</v>
      </c>
      <c r="M307" s="244">
        <v>57.8</v>
      </c>
      <c r="N307" s="244">
        <v>57.8</v>
      </c>
      <c r="O307" s="244">
        <v>38.549999999999997</v>
      </c>
      <c r="P307" s="244">
        <v>57.8</v>
      </c>
      <c r="Q307" s="244">
        <v>57.8</v>
      </c>
      <c r="R307" s="244">
        <v>57.8</v>
      </c>
      <c r="S307" s="244">
        <v>57.8</v>
      </c>
      <c r="T307" s="244">
        <v>57.8</v>
      </c>
      <c r="U307" s="244"/>
      <c r="V307" s="408">
        <f t="shared" si="62"/>
        <v>658.56999999999994</v>
      </c>
      <c r="W307" s="245"/>
      <c r="X307" s="420">
        <f t="shared" si="70"/>
        <v>2.0603921568627452</v>
      </c>
      <c r="Y307" s="421">
        <f t="shared" si="70"/>
        <v>2.0603921568627452</v>
      </c>
      <c r="Z307" s="421">
        <f t="shared" si="70"/>
        <v>2.0603921568627452</v>
      </c>
      <c r="AA307" s="420">
        <f t="shared" si="69"/>
        <v>4</v>
      </c>
      <c r="AB307" s="420">
        <f t="shared" si="69"/>
        <v>4</v>
      </c>
      <c r="AC307" s="420">
        <f t="shared" si="69"/>
        <v>4</v>
      </c>
      <c r="AD307" s="420">
        <f t="shared" si="68"/>
        <v>2.667820069204152</v>
      </c>
      <c r="AE307" s="420">
        <f t="shared" si="68"/>
        <v>4</v>
      </c>
      <c r="AF307" s="420">
        <f t="shared" si="68"/>
        <v>4</v>
      </c>
      <c r="AG307" s="420">
        <f t="shared" si="68"/>
        <v>4</v>
      </c>
      <c r="AH307" s="420">
        <f t="shared" si="68"/>
        <v>4</v>
      </c>
      <c r="AI307" s="420">
        <f t="shared" si="68"/>
        <v>4</v>
      </c>
      <c r="AJ307" s="408">
        <f t="shared" si="65"/>
        <v>40.848996539792381</v>
      </c>
    </row>
    <row r="308" spans="1:36" s="229" customFormat="1">
      <c r="A308" s="231" t="str">
        <f t="shared" si="66"/>
        <v>PIERCE UTCCommercial RecycleSL096.0G1W001BCMGLOUT</v>
      </c>
      <c r="B308" s="243" t="s">
        <v>705</v>
      </c>
      <c r="C308" s="243" t="s">
        <v>1045</v>
      </c>
      <c r="D308" s="243"/>
      <c r="E308" s="230"/>
      <c r="F308" s="244">
        <v>24.5</v>
      </c>
      <c r="G308" s="244">
        <v>13.88</v>
      </c>
      <c r="H308" s="244"/>
      <c r="I308" s="244">
        <v>2019.2</v>
      </c>
      <c r="J308" s="244">
        <v>1875.33</v>
      </c>
      <c r="K308" s="244">
        <v>1842.52</v>
      </c>
      <c r="L308" s="244">
        <v>1989.91</v>
      </c>
      <c r="M308" s="244">
        <v>2411.52</v>
      </c>
      <c r="N308" s="244">
        <v>2458.6</v>
      </c>
      <c r="O308" s="244">
        <v>2425.2800000000002</v>
      </c>
      <c r="P308" s="244">
        <v>2073.31</v>
      </c>
      <c r="Q308" s="244">
        <v>2085.8000000000002</v>
      </c>
      <c r="R308" s="244">
        <v>2067.7600000000002</v>
      </c>
      <c r="S308" s="244">
        <v>1938.6699999999998</v>
      </c>
      <c r="T308" s="244">
        <v>2109.14</v>
      </c>
      <c r="U308" s="244"/>
      <c r="V308" s="408">
        <f t="shared" si="62"/>
        <v>25297.040000000001</v>
      </c>
      <c r="W308" s="245"/>
      <c r="X308" s="420">
        <f t="shared" si="70"/>
        <v>82.416326530612253</v>
      </c>
      <c r="Y308" s="421">
        <f t="shared" si="70"/>
        <v>76.544081632653061</v>
      </c>
      <c r="Z308" s="421">
        <f t="shared" si="70"/>
        <v>75.204897959183668</v>
      </c>
      <c r="AA308" s="420">
        <f t="shared" si="69"/>
        <v>143.36527377521614</v>
      </c>
      <c r="AB308" s="420">
        <f t="shared" si="69"/>
        <v>173.74063400576367</v>
      </c>
      <c r="AC308" s="420">
        <f t="shared" si="69"/>
        <v>177.13256484149855</v>
      </c>
      <c r="AD308" s="420">
        <f t="shared" si="68"/>
        <v>174.73198847262248</v>
      </c>
      <c r="AE308" s="420">
        <f t="shared" si="68"/>
        <v>149.37391930835733</v>
      </c>
      <c r="AF308" s="420">
        <f t="shared" si="68"/>
        <v>150.27377521613835</v>
      </c>
      <c r="AG308" s="420">
        <f t="shared" si="68"/>
        <v>148.97406340057637</v>
      </c>
      <c r="AH308" s="420">
        <f t="shared" si="68"/>
        <v>139.67363112391928</v>
      </c>
      <c r="AI308" s="420">
        <f t="shared" si="68"/>
        <v>151.95533141210373</v>
      </c>
      <c r="AJ308" s="408">
        <f t="shared" si="65"/>
        <v>1643.3864876786449</v>
      </c>
    </row>
    <row r="309" spans="1:36" s="229" customFormat="1">
      <c r="A309" s="231" t="str">
        <f t="shared" si="66"/>
        <v>PIERCE UTCCommercial RecycleSL096.0G1W001SCMGLOUT</v>
      </c>
      <c r="B309" s="243" t="s">
        <v>706</v>
      </c>
      <c r="C309" s="243" t="s">
        <v>1046</v>
      </c>
      <c r="D309" s="243"/>
      <c r="E309" s="230"/>
      <c r="F309" s="244">
        <v>21</v>
      </c>
      <c r="G309" s="244">
        <v>11.895</v>
      </c>
      <c r="H309" s="244"/>
      <c r="I309" s="244">
        <v>151.41</v>
      </c>
      <c r="J309" s="244">
        <v>151.41</v>
      </c>
      <c r="K309" s="244">
        <v>151.41</v>
      </c>
      <c r="L309" s="244">
        <v>166.53</v>
      </c>
      <c r="M309" s="244">
        <v>166.53</v>
      </c>
      <c r="N309" s="244">
        <v>421.93</v>
      </c>
      <c r="O309" s="244">
        <v>421.93</v>
      </c>
      <c r="P309" s="244">
        <v>166.53</v>
      </c>
      <c r="Q309" s="244">
        <v>359.31</v>
      </c>
      <c r="R309" s="244">
        <v>808.93</v>
      </c>
      <c r="S309" s="244">
        <v>987.29</v>
      </c>
      <c r="T309" s="244">
        <v>1237.08</v>
      </c>
      <c r="U309" s="244"/>
      <c r="V309" s="408">
        <f t="shared" si="62"/>
        <v>5190.29</v>
      </c>
      <c r="W309" s="245"/>
      <c r="X309" s="420">
        <f t="shared" si="70"/>
        <v>7.21</v>
      </c>
      <c r="Y309" s="421">
        <f t="shared" si="70"/>
        <v>7.21</v>
      </c>
      <c r="Z309" s="421">
        <f t="shared" si="70"/>
        <v>7.21</v>
      </c>
      <c r="AA309" s="420">
        <f t="shared" si="69"/>
        <v>14</v>
      </c>
      <c r="AB309" s="420">
        <f t="shared" si="69"/>
        <v>14</v>
      </c>
      <c r="AC309" s="420">
        <f t="shared" si="69"/>
        <v>35.471206389239178</v>
      </c>
      <c r="AD309" s="420">
        <f t="shared" si="68"/>
        <v>35.471206389239178</v>
      </c>
      <c r="AE309" s="420">
        <f t="shared" si="68"/>
        <v>14</v>
      </c>
      <c r="AF309" s="420">
        <f t="shared" si="68"/>
        <v>30.206809583858764</v>
      </c>
      <c r="AG309" s="420">
        <f t="shared" si="68"/>
        <v>68.005884825556961</v>
      </c>
      <c r="AH309" s="420">
        <f t="shared" si="68"/>
        <v>83.000420344682638</v>
      </c>
      <c r="AI309" s="420">
        <f t="shared" si="68"/>
        <v>104</v>
      </c>
      <c r="AJ309" s="408">
        <f t="shared" si="65"/>
        <v>419.78552753257668</v>
      </c>
    </row>
    <row r="310" spans="1:36" s="229" customFormat="1">
      <c r="A310" s="231" t="str">
        <f t="shared" si="66"/>
        <v>PIERCE UTCCommercial RecycleSL096.0GEO001BCMGLIN</v>
      </c>
      <c r="B310" s="243" t="s">
        <v>707</v>
      </c>
      <c r="C310" s="243" t="s">
        <v>1047</v>
      </c>
      <c r="D310" s="243"/>
      <c r="E310" s="230"/>
      <c r="F310" s="244">
        <v>19</v>
      </c>
      <c r="G310" s="244">
        <v>10.765000000000001</v>
      </c>
      <c r="H310" s="244"/>
      <c r="I310" s="244">
        <v>39.14</v>
      </c>
      <c r="J310" s="244">
        <v>39.14</v>
      </c>
      <c r="K310" s="244">
        <v>39.14</v>
      </c>
      <c r="L310" s="244">
        <v>43.06</v>
      </c>
      <c r="M310" s="244">
        <v>21.53</v>
      </c>
      <c r="N310" s="244">
        <v>21.53</v>
      </c>
      <c r="O310" s="244">
        <v>21.53</v>
      </c>
      <c r="P310" s="244">
        <v>21.53</v>
      </c>
      <c r="Q310" s="244">
        <v>21.53</v>
      </c>
      <c r="R310" s="244">
        <v>21.53</v>
      </c>
      <c r="S310" s="244">
        <v>21.53</v>
      </c>
      <c r="T310" s="244">
        <v>21.53</v>
      </c>
      <c r="U310" s="244"/>
      <c r="V310" s="408">
        <f t="shared" si="62"/>
        <v>332.71999999999991</v>
      </c>
      <c r="W310" s="245"/>
      <c r="X310" s="420">
        <f t="shared" si="70"/>
        <v>2.06</v>
      </c>
      <c r="Y310" s="421">
        <f t="shared" si="70"/>
        <v>2.06</v>
      </c>
      <c r="Z310" s="421">
        <f t="shared" si="70"/>
        <v>2.06</v>
      </c>
      <c r="AA310" s="420">
        <f t="shared" si="69"/>
        <v>4</v>
      </c>
      <c r="AB310" s="420">
        <f t="shared" si="69"/>
        <v>2</v>
      </c>
      <c r="AC310" s="420">
        <f t="shared" si="69"/>
        <v>2</v>
      </c>
      <c r="AD310" s="420">
        <f t="shared" si="68"/>
        <v>2</v>
      </c>
      <c r="AE310" s="420">
        <f t="shared" si="68"/>
        <v>2</v>
      </c>
      <c r="AF310" s="420">
        <f t="shared" si="68"/>
        <v>2</v>
      </c>
      <c r="AG310" s="420">
        <f t="shared" si="68"/>
        <v>2</v>
      </c>
      <c r="AH310" s="420">
        <f t="shared" si="68"/>
        <v>2</v>
      </c>
      <c r="AI310" s="420">
        <f t="shared" si="68"/>
        <v>2</v>
      </c>
      <c r="AJ310" s="408">
        <f t="shared" si="65"/>
        <v>26.18</v>
      </c>
    </row>
    <row r="311" spans="1:36" s="229" customFormat="1">
      <c r="A311" s="231" t="str">
        <f t="shared" si="66"/>
        <v>PIERCE UTCCommercial RecycleSL096.0GEO001BCMGLOUT</v>
      </c>
      <c r="B311" s="243" t="s">
        <v>708</v>
      </c>
      <c r="C311" s="243" t="s">
        <v>1048</v>
      </c>
      <c r="D311" s="243"/>
      <c r="E311" s="230"/>
      <c r="F311" s="244">
        <v>18</v>
      </c>
      <c r="G311" s="244">
        <v>10.195</v>
      </c>
      <c r="H311" s="244"/>
      <c r="I311" s="244">
        <v>6687.87</v>
      </c>
      <c r="J311" s="244">
        <v>6676.67</v>
      </c>
      <c r="K311" s="244">
        <v>6676.05</v>
      </c>
      <c r="L311" s="244">
        <v>7240.4800000000005</v>
      </c>
      <c r="M311" s="244">
        <v>7038.9199999999992</v>
      </c>
      <c r="N311" s="244">
        <v>7169.82</v>
      </c>
      <c r="O311" s="244">
        <v>7509.75</v>
      </c>
      <c r="P311" s="244">
        <v>6693.97</v>
      </c>
      <c r="Q311" s="244">
        <v>6829.46</v>
      </c>
      <c r="R311" s="244">
        <v>6855.03</v>
      </c>
      <c r="S311" s="244">
        <v>6862.47</v>
      </c>
      <c r="T311" s="244">
        <v>6696.78</v>
      </c>
      <c r="U311" s="244"/>
      <c r="V311" s="408">
        <f t="shared" si="62"/>
        <v>82937.27</v>
      </c>
      <c r="W311" s="245"/>
      <c r="X311" s="420">
        <f t="shared" si="70"/>
        <v>371.54833333333335</v>
      </c>
      <c r="Y311" s="421">
        <f t="shared" si="70"/>
        <v>370.92611111111114</v>
      </c>
      <c r="Z311" s="421">
        <f t="shared" si="70"/>
        <v>370.89166666666665</v>
      </c>
      <c r="AA311" s="420">
        <f t="shared" si="69"/>
        <v>710.19911721432072</v>
      </c>
      <c r="AB311" s="420">
        <f t="shared" si="69"/>
        <v>690.42864149092679</v>
      </c>
      <c r="AC311" s="420">
        <f t="shared" si="69"/>
        <v>703.26826875919562</v>
      </c>
      <c r="AD311" s="420">
        <f t="shared" si="68"/>
        <v>736.61108386463945</v>
      </c>
      <c r="AE311" s="420">
        <f t="shared" si="68"/>
        <v>656.59342815105447</v>
      </c>
      <c r="AF311" s="420">
        <f t="shared" si="68"/>
        <v>669.883276115743</v>
      </c>
      <c r="AG311" s="420">
        <f t="shared" si="68"/>
        <v>672.39136831780274</v>
      </c>
      <c r="AH311" s="420">
        <f t="shared" si="68"/>
        <v>673.12113781265327</v>
      </c>
      <c r="AI311" s="420">
        <f t="shared" si="68"/>
        <v>656.86905345757725</v>
      </c>
      <c r="AJ311" s="408">
        <f t="shared" si="65"/>
        <v>7282.7314862950243</v>
      </c>
    </row>
    <row r="312" spans="1:36" s="229" customFormat="1">
      <c r="A312" s="231" t="str">
        <f t="shared" si="66"/>
        <v>PIERCE UTCCommercial RecycleSL096.0GEO001SCMGLIN</v>
      </c>
      <c r="B312" s="243" t="s">
        <v>709</v>
      </c>
      <c r="C312" s="243" t="s">
        <v>1049</v>
      </c>
      <c r="D312" s="243"/>
      <c r="E312" s="230"/>
      <c r="F312" s="244">
        <v>17</v>
      </c>
      <c r="G312" s="244">
        <v>8.7550000000000008</v>
      </c>
      <c r="H312" s="244"/>
      <c r="I312" s="244">
        <v>0</v>
      </c>
      <c r="J312" s="244">
        <v>0</v>
      </c>
      <c r="K312" s="244">
        <v>0</v>
      </c>
      <c r="L312" s="244">
        <v>0</v>
      </c>
      <c r="M312" s="244">
        <v>0</v>
      </c>
      <c r="N312" s="244">
        <v>0</v>
      </c>
      <c r="O312" s="244">
        <v>0</v>
      </c>
      <c r="P312" s="244">
        <v>0</v>
      </c>
      <c r="Q312" s="244">
        <v>0</v>
      </c>
      <c r="R312" s="244">
        <v>0</v>
      </c>
      <c r="S312" s="244">
        <v>0</v>
      </c>
      <c r="T312" s="244">
        <v>0</v>
      </c>
      <c r="U312" s="244"/>
      <c r="V312" s="408">
        <f t="shared" si="62"/>
        <v>0</v>
      </c>
      <c r="W312" s="245"/>
      <c r="X312" s="420">
        <f t="shared" si="70"/>
        <v>0</v>
      </c>
      <c r="Y312" s="421">
        <f t="shared" si="70"/>
        <v>0</v>
      </c>
      <c r="Z312" s="421">
        <f t="shared" si="70"/>
        <v>0</v>
      </c>
      <c r="AA312" s="420">
        <f t="shared" si="69"/>
        <v>0</v>
      </c>
      <c r="AB312" s="420">
        <f t="shared" si="69"/>
        <v>0</v>
      </c>
      <c r="AC312" s="420">
        <f t="shared" si="69"/>
        <v>0</v>
      </c>
      <c r="AD312" s="420">
        <f t="shared" si="68"/>
        <v>0</v>
      </c>
      <c r="AE312" s="420">
        <f t="shared" si="68"/>
        <v>0</v>
      </c>
      <c r="AF312" s="420">
        <f t="shared" si="68"/>
        <v>0</v>
      </c>
      <c r="AG312" s="420">
        <f t="shared" si="68"/>
        <v>0</v>
      </c>
      <c r="AH312" s="420">
        <f t="shared" si="68"/>
        <v>0</v>
      </c>
      <c r="AI312" s="420">
        <f t="shared" si="68"/>
        <v>0</v>
      </c>
      <c r="AJ312" s="408">
        <f t="shared" si="65"/>
        <v>0</v>
      </c>
    </row>
    <row r="313" spans="1:36" s="229" customFormat="1">
      <c r="A313" s="231" t="str">
        <f t="shared" si="66"/>
        <v>PIERCE UTCCommercial RecycleSL096.0GEO001SCMGLOUT</v>
      </c>
      <c r="B313" s="243" t="s">
        <v>710</v>
      </c>
      <c r="C313" s="243" t="s">
        <v>1050</v>
      </c>
      <c r="D313" s="243"/>
      <c r="E313" s="230"/>
      <c r="F313" s="244">
        <v>15.5</v>
      </c>
      <c r="G313" s="244">
        <v>8.7850000000000001</v>
      </c>
      <c r="H313" s="244"/>
      <c r="I313" s="244">
        <v>4998.6099999999997</v>
      </c>
      <c r="J313" s="244">
        <v>5030.55</v>
      </c>
      <c r="K313" s="244">
        <v>5030.55</v>
      </c>
      <c r="L313" s="244">
        <v>5534.55</v>
      </c>
      <c r="M313" s="244">
        <v>5681.63</v>
      </c>
      <c r="N313" s="244">
        <v>6033.03</v>
      </c>
      <c r="O313" s="244">
        <v>5813.43</v>
      </c>
      <c r="P313" s="244">
        <v>1560.79</v>
      </c>
      <c r="Q313" s="244">
        <v>2860.76</v>
      </c>
      <c r="R313" s="244">
        <v>6497.11</v>
      </c>
      <c r="S313" s="244">
        <v>6514.68</v>
      </c>
      <c r="T313" s="244">
        <v>6514.68</v>
      </c>
      <c r="U313" s="244"/>
      <c r="V313" s="408">
        <f t="shared" si="62"/>
        <v>62070.37</v>
      </c>
      <c r="W313" s="245"/>
      <c r="X313" s="420">
        <f t="shared" si="70"/>
        <v>322.49096774193544</v>
      </c>
      <c r="Y313" s="421">
        <f t="shared" si="70"/>
        <v>324.55161290322582</v>
      </c>
      <c r="Z313" s="421">
        <f t="shared" si="70"/>
        <v>324.55161290322582</v>
      </c>
      <c r="AA313" s="420">
        <f t="shared" si="69"/>
        <v>630</v>
      </c>
      <c r="AB313" s="420">
        <f t="shared" si="69"/>
        <v>646.74217416050089</v>
      </c>
      <c r="AC313" s="420">
        <f t="shared" si="69"/>
        <v>686.74217416050078</v>
      </c>
      <c r="AD313" s="420">
        <f t="shared" si="68"/>
        <v>661.74501992031878</v>
      </c>
      <c r="AE313" s="420">
        <f t="shared" si="68"/>
        <v>177.66533864541833</v>
      </c>
      <c r="AF313" s="420">
        <f t="shared" si="68"/>
        <v>325.64143426294822</v>
      </c>
      <c r="AG313" s="420">
        <f t="shared" si="68"/>
        <v>739.56858281161067</v>
      </c>
      <c r="AH313" s="420">
        <f t="shared" si="68"/>
        <v>741.56858281161067</v>
      </c>
      <c r="AI313" s="420">
        <f t="shared" si="68"/>
        <v>741.56858281161067</v>
      </c>
      <c r="AJ313" s="408">
        <f t="shared" si="65"/>
        <v>6322.8360831329064</v>
      </c>
    </row>
    <row r="314" spans="1:36" s="229" customFormat="1">
      <c r="A314" s="231" t="str">
        <f t="shared" si="66"/>
        <v>PIERCE UTCCommercial RecycleRTRNCART96REC-COMM</v>
      </c>
      <c r="B314" s="243" t="s">
        <v>711</v>
      </c>
      <c r="C314" s="243" t="s">
        <v>1051</v>
      </c>
      <c r="D314" s="243"/>
      <c r="E314" s="230"/>
      <c r="F314" s="244">
        <v>8</v>
      </c>
      <c r="G314" s="244">
        <v>8.24</v>
      </c>
      <c r="H314" s="244"/>
      <c r="I314" s="244">
        <v>39.94</v>
      </c>
      <c r="J314" s="244">
        <v>0</v>
      </c>
      <c r="K314" s="244">
        <v>0</v>
      </c>
      <c r="L314" s="244">
        <v>24.72</v>
      </c>
      <c r="M314" s="244">
        <v>0</v>
      </c>
      <c r="N314" s="244">
        <v>0</v>
      </c>
      <c r="O314" s="244">
        <v>0</v>
      </c>
      <c r="P314" s="244">
        <v>41.2</v>
      </c>
      <c r="Q314" s="244">
        <v>0</v>
      </c>
      <c r="R314" s="244">
        <v>8.24</v>
      </c>
      <c r="S314" s="244">
        <v>8.24</v>
      </c>
      <c r="T314" s="244">
        <v>0</v>
      </c>
      <c r="U314" s="244"/>
      <c r="V314" s="408">
        <f t="shared" si="62"/>
        <v>122.33999999999999</v>
      </c>
      <c r="W314" s="245"/>
      <c r="X314" s="420">
        <f t="shared" si="70"/>
        <v>4.9924999999999997</v>
      </c>
      <c r="Y314" s="421">
        <f t="shared" si="70"/>
        <v>0</v>
      </c>
      <c r="Z314" s="421">
        <f t="shared" si="70"/>
        <v>0</v>
      </c>
      <c r="AA314" s="420">
        <f t="shared" si="69"/>
        <v>3</v>
      </c>
      <c r="AB314" s="420">
        <f t="shared" si="69"/>
        <v>0</v>
      </c>
      <c r="AC314" s="420">
        <f t="shared" si="69"/>
        <v>0</v>
      </c>
      <c r="AD314" s="420">
        <f t="shared" si="68"/>
        <v>0</v>
      </c>
      <c r="AE314" s="420">
        <f t="shared" si="68"/>
        <v>5</v>
      </c>
      <c r="AF314" s="420">
        <f t="shared" si="68"/>
        <v>0</v>
      </c>
      <c r="AG314" s="420">
        <f t="shared" si="68"/>
        <v>1</v>
      </c>
      <c r="AH314" s="420">
        <f t="shared" si="68"/>
        <v>1</v>
      </c>
      <c r="AI314" s="420">
        <f t="shared" si="68"/>
        <v>0</v>
      </c>
      <c r="AJ314" s="408">
        <f t="shared" si="65"/>
        <v>14.9925</v>
      </c>
    </row>
    <row r="315" spans="1:36" s="229" customFormat="1">
      <c r="A315" s="231" t="str">
        <f t="shared" si="66"/>
        <v>PIERCE UTCCommercial RecycleSP2BCMGL-COMM</v>
      </c>
      <c r="B315" s="243" t="s">
        <v>712</v>
      </c>
      <c r="C315" s="243" t="s">
        <v>1052</v>
      </c>
      <c r="D315" s="243"/>
      <c r="E315" s="230"/>
      <c r="F315" s="244">
        <v>25</v>
      </c>
      <c r="G315" s="244">
        <v>25.76</v>
      </c>
      <c r="H315" s="244"/>
      <c r="I315" s="244">
        <v>0</v>
      </c>
      <c r="J315" s="244">
        <v>0</v>
      </c>
      <c r="K315" s="244">
        <v>0</v>
      </c>
      <c r="L315" s="244">
        <v>0</v>
      </c>
      <c r="M315" s="244">
        <v>0</v>
      </c>
      <c r="N315" s="244">
        <v>51.52</v>
      </c>
      <c r="O315" s="244">
        <v>0</v>
      </c>
      <c r="P315" s="244">
        <v>51.52</v>
      </c>
      <c r="Q315" s="244">
        <v>104.58</v>
      </c>
      <c r="R315" s="244">
        <v>51.52</v>
      </c>
      <c r="S315" s="244">
        <v>0</v>
      </c>
      <c r="T315" s="244">
        <v>25.76</v>
      </c>
      <c r="U315" s="244"/>
      <c r="V315" s="408">
        <f t="shared" si="62"/>
        <v>284.89999999999998</v>
      </c>
      <c r="W315" s="245"/>
      <c r="X315" s="420">
        <f t="shared" si="70"/>
        <v>0</v>
      </c>
      <c r="Y315" s="421">
        <f t="shared" si="70"/>
        <v>0</v>
      </c>
      <c r="Z315" s="421">
        <f t="shared" si="70"/>
        <v>0</v>
      </c>
      <c r="AA315" s="420">
        <f t="shared" si="69"/>
        <v>0</v>
      </c>
      <c r="AB315" s="420">
        <f t="shared" si="69"/>
        <v>0</v>
      </c>
      <c r="AC315" s="420">
        <f t="shared" si="69"/>
        <v>2</v>
      </c>
      <c r="AD315" s="420">
        <f t="shared" si="68"/>
        <v>0</v>
      </c>
      <c r="AE315" s="420">
        <f t="shared" si="68"/>
        <v>2</v>
      </c>
      <c r="AF315" s="420">
        <f t="shared" si="68"/>
        <v>4.0597826086956514</v>
      </c>
      <c r="AG315" s="420">
        <f t="shared" si="68"/>
        <v>2</v>
      </c>
      <c r="AH315" s="420">
        <f t="shared" si="68"/>
        <v>0</v>
      </c>
      <c r="AI315" s="420">
        <f t="shared" si="68"/>
        <v>1</v>
      </c>
      <c r="AJ315" s="408">
        <f t="shared" si="65"/>
        <v>11.059782608695652</v>
      </c>
    </row>
    <row r="316" spans="1:36" s="229" customFormat="1">
      <c r="A316" s="231" t="str">
        <f t="shared" si="66"/>
        <v>PIERCE UTCCommercial RecycleSP2SCMGL-COMM</v>
      </c>
      <c r="B316" s="243" t="s">
        <v>713</v>
      </c>
      <c r="C316" s="243" t="s">
        <v>1053</v>
      </c>
      <c r="D316" s="243"/>
      <c r="E316" s="230"/>
      <c r="F316" s="244">
        <v>23</v>
      </c>
      <c r="G316" s="244">
        <v>23.7</v>
      </c>
      <c r="H316" s="244"/>
      <c r="I316" s="244">
        <v>0</v>
      </c>
      <c r="J316" s="244">
        <v>0</v>
      </c>
      <c r="K316" s="244">
        <v>0</v>
      </c>
      <c r="L316" s="244">
        <v>0</v>
      </c>
      <c r="M316" s="244">
        <v>0</v>
      </c>
      <c r="N316" s="244">
        <v>0</v>
      </c>
      <c r="O316" s="244">
        <v>0</v>
      </c>
      <c r="P316" s="244">
        <v>23.7</v>
      </c>
      <c r="Q316" s="244">
        <v>73.930000000000007</v>
      </c>
      <c r="R316" s="244">
        <v>23.7</v>
      </c>
      <c r="S316" s="244">
        <v>0</v>
      </c>
      <c r="T316" s="244">
        <v>0</v>
      </c>
      <c r="U316" s="244"/>
      <c r="V316" s="408">
        <f t="shared" si="62"/>
        <v>121.33000000000001</v>
      </c>
      <c r="W316" s="245"/>
      <c r="X316" s="420">
        <f t="shared" si="70"/>
        <v>0</v>
      </c>
      <c r="Y316" s="421">
        <f t="shared" si="70"/>
        <v>0</v>
      </c>
      <c r="Z316" s="421">
        <f t="shared" si="70"/>
        <v>0</v>
      </c>
      <c r="AA316" s="420">
        <f t="shared" si="69"/>
        <v>0</v>
      </c>
      <c r="AB316" s="420">
        <f t="shared" si="69"/>
        <v>0</v>
      </c>
      <c r="AC316" s="420">
        <f t="shared" si="69"/>
        <v>0</v>
      </c>
      <c r="AD316" s="420">
        <f t="shared" si="68"/>
        <v>0</v>
      </c>
      <c r="AE316" s="420">
        <f t="shared" si="68"/>
        <v>1</v>
      </c>
      <c r="AF316" s="420">
        <f t="shared" si="68"/>
        <v>3.1194092827004223</v>
      </c>
      <c r="AG316" s="420">
        <f t="shared" si="68"/>
        <v>1</v>
      </c>
      <c r="AH316" s="420">
        <f t="shared" si="68"/>
        <v>0</v>
      </c>
      <c r="AI316" s="420">
        <f t="shared" si="68"/>
        <v>0</v>
      </c>
      <c r="AJ316" s="408">
        <f t="shared" si="65"/>
        <v>5.1194092827004223</v>
      </c>
    </row>
    <row r="317" spans="1:36" s="229" customFormat="1">
      <c r="A317" s="231" t="str">
        <f t="shared" si="66"/>
        <v>PIERCE UTCCommercial RecycleSP2OCC-COMM</v>
      </c>
      <c r="B317" s="243" t="s">
        <v>714</v>
      </c>
      <c r="C317" s="243" t="s">
        <v>1054</v>
      </c>
      <c r="D317" s="243"/>
      <c r="E317" s="230"/>
      <c r="F317" s="244">
        <v>55</v>
      </c>
      <c r="G317" s="244">
        <v>0</v>
      </c>
      <c r="H317" s="244"/>
      <c r="I317" s="244">
        <v>0</v>
      </c>
      <c r="J317" s="244">
        <v>0</v>
      </c>
      <c r="K317" s="244">
        <v>0</v>
      </c>
      <c r="L317" s="244">
        <v>0</v>
      </c>
      <c r="M317" s="244">
        <v>0</v>
      </c>
      <c r="N317" s="244">
        <v>0</v>
      </c>
      <c r="O317" s="244">
        <v>0</v>
      </c>
      <c r="P317" s="244">
        <v>26.53</v>
      </c>
      <c r="Q317" s="244">
        <v>0</v>
      </c>
      <c r="R317" s="244">
        <v>0</v>
      </c>
      <c r="S317" s="244">
        <v>0</v>
      </c>
      <c r="T317" s="244">
        <v>0</v>
      </c>
      <c r="U317" s="244"/>
      <c r="V317" s="408">
        <f t="shared" si="62"/>
        <v>26.53</v>
      </c>
      <c r="W317" s="245"/>
      <c r="X317" s="420">
        <f t="shared" si="70"/>
        <v>0</v>
      </c>
      <c r="Y317" s="421">
        <f t="shared" si="70"/>
        <v>0</v>
      </c>
      <c r="Z317" s="421">
        <f t="shared" si="70"/>
        <v>0</v>
      </c>
      <c r="AA317" s="420">
        <f t="shared" si="69"/>
        <v>0</v>
      </c>
      <c r="AB317" s="420">
        <f t="shared" si="69"/>
        <v>0</v>
      </c>
      <c r="AC317" s="420">
        <f t="shared" si="69"/>
        <v>0</v>
      </c>
      <c r="AD317" s="420">
        <f t="shared" si="68"/>
        <v>0</v>
      </c>
      <c r="AE317" s="420">
        <f t="shared" si="68"/>
        <v>0</v>
      </c>
      <c r="AF317" s="420">
        <f t="shared" si="68"/>
        <v>0</v>
      </c>
      <c r="AG317" s="420">
        <f t="shared" si="68"/>
        <v>0</v>
      </c>
      <c r="AH317" s="420">
        <f t="shared" si="68"/>
        <v>0</v>
      </c>
      <c r="AI317" s="420">
        <f t="shared" si="68"/>
        <v>0</v>
      </c>
      <c r="AJ317" s="408">
        <f t="shared" si="65"/>
        <v>0</v>
      </c>
    </row>
    <row r="318" spans="1:36" s="229" customFormat="1">
      <c r="A318" s="231" t="str">
        <f t="shared" si="66"/>
        <v>PIERCE UTCCommercial RecycleSP2SOCC-COMM</v>
      </c>
      <c r="B318" s="243" t="s">
        <v>715</v>
      </c>
      <c r="C318" s="243" t="s">
        <v>1055</v>
      </c>
      <c r="D318" s="243"/>
      <c r="E318" s="230"/>
      <c r="F318" s="244">
        <v>50</v>
      </c>
      <c r="G318" s="244">
        <v>25.75</v>
      </c>
      <c r="H318" s="244"/>
      <c r="I318" s="244">
        <v>0</v>
      </c>
      <c r="J318" s="244">
        <v>0</v>
      </c>
      <c r="K318" s="244">
        <v>0</v>
      </c>
      <c r="L318" s="244">
        <v>0</v>
      </c>
      <c r="M318" s="244">
        <v>0</v>
      </c>
      <c r="N318" s="244">
        <v>0</v>
      </c>
      <c r="O318" s="244">
        <v>25.75</v>
      </c>
      <c r="P318" s="244">
        <v>0</v>
      </c>
      <c r="Q318" s="244">
        <v>77.25</v>
      </c>
      <c r="R318" s="244">
        <v>0</v>
      </c>
      <c r="S318" s="244">
        <v>0</v>
      </c>
      <c r="T318" s="244">
        <v>0</v>
      </c>
      <c r="U318" s="244"/>
      <c r="V318" s="408">
        <f t="shared" si="62"/>
        <v>103</v>
      </c>
      <c r="W318" s="245"/>
      <c r="X318" s="420">
        <f t="shared" si="70"/>
        <v>0</v>
      </c>
      <c r="Y318" s="421">
        <f t="shared" si="70"/>
        <v>0</v>
      </c>
      <c r="Z318" s="421">
        <f t="shared" si="70"/>
        <v>0</v>
      </c>
      <c r="AA318" s="420">
        <f t="shared" si="69"/>
        <v>0</v>
      </c>
      <c r="AB318" s="420">
        <f t="shared" si="69"/>
        <v>0</v>
      </c>
      <c r="AC318" s="420">
        <f t="shared" si="69"/>
        <v>0</v>
      </c>
      <c r="AD318" s="420">
        <f t="shared" si="68"/>
        <v>1</v>
      </c>
      <c r="AE318" s="420">
        <f t="shared" si="68"/>
        <v>0</v>
      </c>
      <c r="AF318" s="420">
        <f t="shared" si="68"/>
        <v>3</v>
      </c>
      <c r="AG318" s="420">
        <f t="shared" si="68"/>
        <v>0</v>
      </c>
      <c r="AH318" s="420">
        <f t="shared" si="68"/>
        <v>0</v>
      </c>
      <c r="AI318" s="420">
        <f t="shared" si="68"/>
        <v>0</v>
      </c>
      <c r="AJ318" s="408">
        <f t="shared" si="65"/>
        <v>4</v>
      </c>
    </row>
    <row r="319" spans="1:36" s="229" customFormat="1">
      <c r="A319" s="231" t="str">
        <f t="shared" si="66"/>
        <v>PIERCE UTCCommercial RecycleSP5OCC-COMM</v>
      </c>
      <c r="B319" s="243" t="s">
        <v>716</v>
      </c>
      <c r="C319" s="243" t="s">
        <v>1056</v>
      </c>
      <c r="D319" s="243"/>
      <c r="E319" s="230"/>
      <c r="F319" s="244">
        <v>55</v>
      </c>
      <c r="G319" s="244">
        <v>0</v>
      </c>
      <c r="H319" s="244"/>
      <c r="I319" s="244">
        <v>61.6</v>
      </c>
      <c r="J319" s="244">
        <v>0</v>
      </c>
      <c r="K319" s="244">
        <v>61.6</v>
      </c>
      <c r="L319" s="244">
        <v>61.6</v>
      </c>
      <c r="M319" s="244">
        <v>0</v>
      </c>
      <c r="N319" s="244">
        <v>122.47</v>
      </c>
      <c r="O319" s="244">
        <v>245.08</v>
      </c>
      <c r="P319" s="244">
        <v>116.72</v>
      </c>
      <c r="Q319" s="244">
        <v>298.27999999999997</v>
      </c>
      <c r="R319" s="244">
        <v>178.32</v>
      </c>
      <c r="S319" s="244">
        <v>58.36</v>
      </c>
      <c r="T319" s="244">
        <v>116.72</v>
      </c>
      <c r="U319" s="244"/>
      <c r="V319" s="408">
        <f t="shared" si="62"/>
        <v>1320.75</v>
      </c>
      <c r="W319" s="245"/>
      <c r="X319" s="420">
        <f t="shared" si="70"/>
        <v>1.1200000000000001</v>
      </c>
      <c r="Y319" s="421">
        <f t="shared" si="70"/>
        <v>0</v>
      </c>
      <c r="Z319" s="421">
        <f t="shared" si="70"/>
        <v>1.1200000000000001</v>
      </c>
      <c r="AA319" s="420">
        <f t="shared" si="69"/>
        <v>0</v>
      </c>
      <c r="AB319" s="420">
        <f t="shared" si="69"/>
        <v>0</v>
      </c>
      <c r="AC319" s="420">
        <f t="shared" si="69"/>
        <v>0</v>
      </c>
      <c r="AD319" s="420">
        <f t="shared" si="68"/>
        <v>0</v>
      </c>
      <c r="AE319" s="420">
        <f t="shared" si="68"/>
        <v>0</v>
      </c>
      <c r="AF319" s="420">
        <f t="shared" si="68"/>
        <v>0</v>
      </c>
      <c r="AG319" s="420">
        <f t="shared" si="68"/>
        <v>0</v>
      </c>
      <c r="AH319" s="420">
        <f t="shared" si="68"/>
        <v>0</v>
      </c>
      <c r="AI319" s="420">
        <f t="shared" si="68"/>
        <v>0</v>
      </c>
      <c r="AJ319" s="408">
        <f t="shared" si="65"/>
        <v>2.2400000000000002</v>
      </c>
    </row>
    <row r="320" spans="1:36" s="229" customFormat="1">
      <c r="A320" s="231" t="str">
        <f t="shared" si="66"/>
        <v>PIERCE UTCCommercial RecycleSPGRAD1REC-COMM</v>
      </c>
      <c r="B320" s="243" t="s">
        <v>717</v>
      </c>
      <c r="C320" s="243" t="s">
        <v>1057</v>
      </c>
      <c r="D320" s="243"/>
      <c r="E320" s="230"/>
      <c r="F320" s="244">
        <v>15</v>
      </c>
      <c r="G320" s="244">
        <v>15.46</v>
      </c>
      <c r="H320" s="244"/>
      <c r="I320" s="244">
        <v>15.46</v>
      </c>
      <c r="J320" s="244">
        <v>0</v>
      </c>
      <c r="K320" s="244">
        <v>0</v>
      </c>
      <c r="L320" s="244">
        <v>15.46</v>
      </c>
      <c r="M320" s="244">
        <v>0</v>
      </c>
      <c r="N320" s="244">
        <v>30.92</v>
      </c>
      <c r="O320" s="244">
        <v>170.06</v>
      </c>
      <c r="P320" s="244">
        <v>123.68</v>
      </c>
      <c r="Q320" s="244">
        <v>108.22</v>
      </c>
      <c r="R320" s="244">
        <v>0</v>
      </c>
      <c r="S320" s="244">
        <v>0</v>
      </c>
      <c r="T320" s="244">
        <v>30.92</v>
      </c>
      <c r="U320" s="244"/>
      <c r="V320" s="408">
        <f t="shared" si="62"/>
        <v>494.72000000000008</v>
      </c>
      <c r="W320" s="245"/>
      <c r="X320" s="420"/>
      <c r="Y320" s="421">
        <f t="shared" ref="Y320:Z344" si="71">IFERROR(J320/$F320,0)</f>
        <v>0</v>
      </c>
      <c r="Z320" s="421">
        <f t="shared" si="71"/>
        <v>0</v>
      </c>
      <c r="AA320" s="420">
        <f t="shared" si="69"/>
        <v>1</v>
      </c>
      <c r="AB320" s="420">
        <f t="shared" si="69"/>
        <v>0</v>
      </c>
      <c r="AC320" s="420">
        <f t="shared" si="69"/>
        <v>2</v>
      </c>
      <c r="AD320" s="420">
        <f t="shared" si="68"/>
        <v>11</v>
      </c>
      <c r="AE320" s="420">
        <f t="shared" si="68"/>
        <v>8</v>
      </c>
      <c r="AF320" s="420">
        <f t="shared" si="68"/>
        <v>6.9999999999999991</v>
      </c>
      <c r="AG320" s="420">
        <f t="shared" si="68"/>
        <v>0</v>
      </c>
      <c r="AH320" s="420"/>
      <c r="AI320" s="420"/>
      <c r="AJ320" s="408">
        <f t="shared" si="65"/>
        <v>29</v>
      </c>
    </row>
    <row r="321" spans="1:36" s="229" customFormat="1">
      <c r="A321" s="231" t="str">
        <f t="shared" si="66"/>
        <v>PIERCE UTCCommercial RecycleSPGRAD2REC-COMM</v>
      </c>
      <c r="B321" s="243" t="s">
        <v>718</v>
      </c>
      <c r="C321" s="243" t="s">
        <v>1058</v>
      </c>
      <c r="D321" s="243"/>
      <c r="E321" s="230"/>
      <c r="F321" s="244">
        <v>5</v>
      </c>
      <c r="G321" s="244">
        <v>5.16</v>
      </c>
      <c r="H321" s="244"/>
      <c r="I321" s="244">
        <v>15.48</v>
      </c>
      <c r="J321" s="244">
        <v>0</v>
      </c>
      <c r="K321" s="244">
        <v>0</v>
      </c>
      <c r="L321" s="244">
        <v>36.119999999999997</v>
      </c>
      <c r="M321" s="244">
        <v>0</v>
      </c>
      <c r="N321" s="244">
        <v>30.96</v>
      </c>
      <c r="O321" s="244">
        <v>381.84</v>
      </c>
      <c r="P321" s="244">
        <v>268.32</v>
      </c>
      <c r="Q321" s="244">
        <v>361.2</v>
      </c>
      <c r="R321" s="244">
        <v>0</v>
      </c>
      <c r="S321" s="244">
        <v>0</v>
      </c>
      <c r="T321" s="244">
        <v>56.76</v>
      </c>
      <c r="U321" s="244"/>
      <c r="V321" s="408">
        <f t="shared" si="62"/>
        <v>1150.68</v>
      </c>
      <c r="W321" s="245"/>
      <c r="X321" s="420"/>
      <c r="Y321" s="421">
        <f t="shared" si="71"/>
        <v>0</v>
      </c>
      <c r="Z321" s="421">
        <f t="shared" si="71"/>
        <v>0</v>
      </c>
      <c r="AA321" s="420">
        <f t="shared" si="69"/>
        <v>6.9999999999999991</v>
      </c>
      <c r="AB321" s="420">
        <f t="shared" si="69"/>
        <v>0</v>
      </c>
      <c r="AC321" s="420">
        <f t="shared" si="69"/>
        <v>6</v>
      </c>
      <c r="AD321" s="420">
        <f t="shared" si="68"/>
        <v>74</v>
      </c>
      <c r="AE321" s="420">
        <f t="shared" si="68"/>
        <v>52</v>
      </c>
      <c r="AF321" s="420">
        <f t="shared" si="68"/>
        <v>70</v>
      </c>
      <c r="AG321" s="420">
        <f t="shared" si="68"/>
        <v>0</v>
      </c>
      <c r="AH321" s="420"/>
      <c r="AI321" s="420"/>
      <c r="AJ321" s="408">
        <f t="shared" si="65"/>
        <v>209</v>
      </c>
    </row>
    <row r="322" spans="1:36" s="229" customFormat="1">
      <c r="A322" s="231" t="str">
        <f t="shared" si="66"/>
        <v>PIERCE UTCCommercial RecycleSP6SCMGL-COMM</v>
      </c>
      <c r="B322" s="243" t="s">
        <v>719</v>
      </c>
      <c r="C322" s="243" t="s">
        <v>1059</v>
      </c>
      <c r="D322" s="243"/>
      <c r="E322" s="230"/>
      <c r="F322" s="244">
        <v>50</v>
      </c>
      <c r="G322" s="244">
        <v>51.5</v>
      </c>
      <c r="H322" s="244"/>
      <c r="I322" s="244">
        <v>0</v>
      </c>
      <c r="J322" s="244">
        <v>0</v>
      </c>
      <c r="K322" s="244">
        <v>0</v>
      </c>
      <c r="L322" s="244">
        <v>0</v>
      </c>
      <c r="M322" s="244">
        <v>0</v>
      </c>
      <c r="N322" s="244">
        <v>0</v>
      </c>
      <c r="O322" s="244">
        <v>0</v>
      </c>
      <c r="P322" s="244">
        <v>103</v>
      </c>
      <c r="Q322" s="244">
        <v>618</v>
      </c>
      <c r="R322" s="244">
        <v>103</v>
      </c>
      <c r="S322" s="244">
        <v>51.5</v>
      </c>
      <c r="T322" s="244">
        <v>0</v>
      </c>
      <c r="U322" s="244"/>
      <c r="V322" s="408">
        <f t="shared" si="62"/>
        <v>875.5</v>
      </c>
      <c r="W322" s="245"/>
      <c r="X322" s="420"/>
      <c r="Y322" s="421">
        <f t="shared" si="71"/>
        <v>0</v>
      </c>
      <c r="Z322" s="421">
        <f t="shared" si="71"/>
        <v>0</v>
      </c>
      <c r="AA322" s="420">
        <f t="shared" si="69"/>
        <v>0</v>
      </c>
      <c r="AB322" s="420">
        <f t="shared" si="69"/>
        <v>0</v>
      </c>
      <c r="AC322" s="420">
        <f t="shared" si="69"/>
        <v>0</v>
      </c>
      <c r="AD322" s="420">
        <f t="shared" si="68"/>
        <v>0</v>
      </c>
      <c r="AE322" s="420">
        <f t="shared" si="68"/>
        <v>2</v>
      </c>
      <c r="AF322" s="420">
        <f t="shared" si="68"/>
        <v>12</v>
      </c>
      <c r="AG322" s="420">
        <f t="shared" si="68"/>
        <v>2</v>
      </c>
      <c r="AH322" s="420"/>
      <c r="AI322" s="420"/>
      <c r="AJ322" s="408">
        <f t="shared" si="65"/>
        <v>16</v>
      </c>
    </row>
    <row r="323" spans="1:36" s="229" customFormat="1">
      <c r="A323" s="231" t="str">
        <f t="shared" si="66"/>
        <v>PIERCE UTCCommercial RecycleSP6BCMGL-COMM</v>
      </c>
      <c r="B323" s="243" t="s">
        <v>720</v>
      </c>
      <c r="C323" s="243" t="s">
        <v>1060</v>
      </c>
      <c r="D323" s="243"/>
      <c r="E323" s="230"/>
      <c r="F323" s="244">
        <v>55</v>
      </c>
      <c r="G323" s="244">
        <v>56.66</v>
      </c>
      <c r="H323" s="244"/>
      <c r="I323" s="244">
        <v>56.66</v>
      </c>
      <c r="J323" s="244">
        <v>56.66</v>
      </c>
      <c r="K323" s="244">
        <v>0</v>
      </c>
      <c r="L323" s="244">
        <v>0</v>
      </c>
      <c r="M323" s="244">
        <v>56.66</v>
      </c>
      <c r="N323" s="244">
        <v>56.66</v>
      </c>
      <c r="O323" s="244">
        <v>117.93</v>
      </c>
      <c r="P323" s="244">
        <v>56.66</v>
      </c>
      <c r="Q323" s="244">
        <v>286.7</v>
      </c>
      <c r="R323" s="244">
        <v>0</v>
      </c>
      <c r="S323" s="244">
        <v>0</v>
      </c>
      <c r="T323" s="244">
        <v>0</v>
      </c>
      <c r="U323" s="244"/>
      <c r="V323" s="408">
        <f t="shared" si="62"/>
        <v>687.93000000000006</v>
      </c>
      <c r="W323" s="245"/>
      <c r="X323" s="420">
        <f t="shared" ref="X323:X344" si="72">IFERROR(I323/$F323,0)</f>
        <v>1.0301818181818181</v>
      </c>
      <c r="Y323" s="421">
        <f t="shared" si="71"/>
        <v>1.0301818181818181</v>
      </c>
      <c r="Z323" s="421">
        <f t="shared" si="71"/>
        <v>0</v>
      </c>
      <c r="AA323" s="420">
        <f t="shared" si="69"/>
        <v>0</v>
      </c>
      <c r="AB323" s="420">
        <f t="shared" si="69"/>
        <v>1</v>
      </c>
      <c r="AC323" s="420">
        <f t="shared" si="69"/>
        <v>1</v>
      </c>
      <c r="AD323" s="420">
        <f t="shared" si="68"/>
        <v>2.0813625132368516</v>
      </c>
      <c r="AE323" s="420">
        <f t="shared" si="68"/>
        <v>1</v>
      </c>
      <c r="AF323" s="420">
        <f t="shared" si="68"/>
        <v>5.0600070596540769</v>
      </c>
      <c r="AG323" s="420">
        <f t="shared" si="68"/>
        <v>0</v>
      </c>
      <c r="AH323" s="420">
        <f t="shared" si="68"/>
        <v>0</v>
      </c>
      <c r="AI323" s="420">
        <f t="shared" si="68"/>
        <v>0</v>
      </c>
      <c r="AJ323" s="408">
        <f t="shared" si="65"/>
        <v>12.201733209254565</v>
      </c>
    </row>
    <row r="324" spans="1:36" s="229" customFormat="1">
      <c r="A324" s="231" t="str">
        <f t="shared" si="66"/>
        <v>PIERCE UTCCommercial RecycleFL002.0Y1W001OCC</v>
      </c>
      <c r="B324" s="243" t="s">
        <v>721</v>
      </c>
      <c r="C324" s="243" t="s">
        <v>1061</v>
      </c>
      <c r="D324" s="243"/>
      <c r="E324" s="230"/>
      <c r="F324" s="244"/>
      <c r="G324" s="244">
        <v>0</v>
      </c>
      <c r="H324" s="244"/>
      <c r="I324" s="244">
        <v>55.64</v>
      </c>
      <c r="J324" s="244">
        <v>55.64</v>
      </c>
      <c r="K324" s="244">
        <v>55.64</v>
      </c>
      <c r="L324" s="244">
        <v>66.77</v>
      </c>
      <c r="M324" s="244">
        <v>66.77</v>
      </c>
      <c r="N324" s="244">
        <v>66.77</v>
      </c>
      <c r="O324" s="244">
        <v>66.77</v>
      </c>
      <c r="P324" s="244">
        <v>66.77</v>
      </c>
      <c r="Q324" s="244">
        <v>66.77</v>
      </c>
      <c r="R324" s="244">
        <v>66.77</v>
      </c>
      <c r="S324" s="244">
        <v>66.77</v>
      </c>
      <c r="T324" s="244">
        <v>66.77</v>
      </c>
      <c r="U324" s="244"/>
      <c r="V324" s="408">
        <f t="shared" si="62"/>
        <v>767.84999999999991</v>
      </c>
      <c r="W324" s="245"/>
      <c r="X324" s="420">
        <f t="shared" si="72"/>
        <v>0</v>
      </c>
      <c r="Y324" s="421">
        <f t="shared" si="71"/>
        <v>0</v>
      </c>
      <c r="Z324" s="421">
        <f t="shared" si="71"/>
        <v>0</v>
      </c>
      <c r="AA324" s="420">
        <f t="shared" si="69"/>
        <v>0</v>
      </c>
      <c r="AB324" s="420">
        <f t="shared" si="69"/>
        <v>0</v>
      </c>
      <c r="AC324" s="420">
        <f t="shared" si="69"/>
        <v>0</v>
      </c>
      <c r="AD324" s="420">
        <f t="shared" si="68"/>
        <v>0</v>
      </c>
      <c r="AE324" s="420">
        <f t="shared" si="68"/>
        <v>0</v>
      </c>
      <c r="AF324" s="420">
        <f t="shared" si="68"/>
        <v>0</v>
      </c>
      <c r="AG324" s="420">
        <f t="shared" si="68"/>
        <v>0</v>
      </c>
      <c r="AH324" s="420">
        <f t="shared" si="68"/>
        <v>0</v>
      </c>
      <c r="AI324" s="420">
        <f t="shared" si="68"/>
        <v>0</v>
      </c>
      <c r="AJ324" s="408">
        <f t="shared" si="65"/>
        <v>0</v>
      </c>
    </row>
    <row r="325" spans="1:36" s="229" customFormat="1">
      <c r="A325" s="231" t="str">
        <f t="shared" si="66"/>
        <v>PIERCE UTCCommercial RecycleFL002.0Y3W001BCMGL</v>
      </c>
      <c r="B325" s="243" t="s">
        <v>722</v>
      </c>
      <c r="C325" s="243" t="s">
        <v>1062</v>
      </c>
      <c r="D325" s="243"/>
      <c r="E325" s="230"/>
      <c r="F325" s="244"/>
      <c r="G325" s="244">
        <v>239.48</v>
      </c>
      <c r="H325" s="244"/>
      <c r="I325" s="244">
        <v>0</v>
      </c>
      <c r="J325" s="244">
        <v>0</v>
      </c>
      <c r="K325" s="244">
        <v>0</v>
      </c>
      <c r="L325" s="244">
        <v>0</v>
      </c>
      <c r="M325" s="244">
        <v>239.48</v>
      </c>
      <c r="N325" s="244">
        <v>376.33</v>
      </c>
      <c r="O325" s="244">
        <v>478.96</v>
      </c>
      <c r="P325" s="244">
        <v>478.96</v>
      </c>
      <c r="Q325" s="244">
        <v>478.96</v>
      </c>
      <c r="R325" s="244">
        <v>478.96</v>
      </c>
      <c r="S325" s="244">
        <v>478.96</v>
      </c>
      <c r="T325" s="244">
        <v>478.96</v>
      </c>
      <c r="U325" s="244"/>
      <c r="V325" s="408">
        <f t="shared" si="62"/>
        <v>3489.57</v>
      </c>
      <c r="W325" s="245"/>
      <c r="X325" s="420">
        <f t="shared" si="72"/>
        <v>0</v>
      </c>
      <c r="Y325" s="421">
        <f t="shared" si="71"/>
        <v>0</v>
      </c>
      <c r="Z325" s="421">
        <f t="shared" si="71"/>
        <v>0</v>
      </c>
      <c r="AA325" s="420">
        <f t="shared" si="69"/>
        <v>0</v>
      </c>
      <c r="AB325" s="420">
        <f t="shared" si="69"/>
        <v>1</v>
      </c>
      <c r="AC325" s="420">
        <f t="shared" si="69"/>
        <v>1.5714464673459161</v>
      </c>
      <c r="AD325" s="420">
        <f t="shared" si="68"/>
        <v>2</v>
      </c>
      <c r="AE325" s="420">
        <f t="shared" si="68"/>
        <v>2</v>
      </c>
      <c r="AF325" s="420">
        <f t="shared" si="68"/>
        <v>2</v>
      </c>
      <c r="AG325" s="420">
        <f t="shared" si="68"/>
        <v>2</v>
      </c>
      <c r="AH325" s="420">
        <f t="shared" si="68"/>
        <v>2</v>
      </c>
      <c r="AI325" s="420">
        <f t="shared" si="68"/>
        <v>2</v>
      </c>
      <c r="AJ325" s="408">
        <f t="shared" si="65"/>
        <v>14.571446467345917</v>
      </c>
    </row>
    <row r="326" spans="1:36" s="229" customFormat="1">
      <c r="A326" s="231" t="str">
        <f t="shared" si="66"/>
        <v>PIERCE UTCCommercial RecycleFL002.0Y3W001SOCC</v>
      </c>
      <c r="B326" s="243" t="s">
        <v>723</v>
      </c>
      <c r="C326" s="243" t="s">
        <v>1063</v>
      </c>
      <c r="D326" s="243"/>
      <c r="E326" s="230"/>
      <c r="F326" s="244"/>
      <c r="G326" s="244">
        <v>0</v>
      </c>
      <c r="H326" s="244"/>
      <c r="I326" s="244">
        <v>0</v>
      </c>
      <c r="J326" s="244">
        <v>0</v>
      </c>
      <c r="K326" s="244">
        <v>0</v>
      </c>
      <c r="L326" s="244">
        <v>0</v>
      </c>
      <c r="M326" s="244">
        <v>0</v>
      </c>
      <c r="N326" s="244">
        <v>0</v>
      </c>
      <c r="O326" s="244">
        <v>0</v>
      </c>
      <c r="P326" s="244">
        <v>0</v>
      </c>
      <c r="Q326" s="244">
        <v>147.37</v>
      </c>
      <c r="R326" s="244">
        <v>239.48</v>
      </c>
      <c r="S326" s="244">
        <v>239.48</v>
      </c>
      <c r="T326" s="244">
        <v>239.48</v>
      </c>
      <c r="U326" s="244"/>
      <c r="V326" s="408">
        <f t="shared" si="62"/>
        <v>865.81000000000006</v>
      </c>
      <c r="W326" s="245"/>
      <c r="X326" s="420">
        <f t="shared" si="72"/>
        <v>0</v>
      </c>
      <c r="Y326" s="421">
        <f t="shared" si="71"/>
        <v>0</v>
      </c>
      <c r="Z326" s="421">
        <f t="shared" si="71"/>
        <v>0</v>
      </c>
      <c r="AA326" s="420">
        <f t="shared" si="69"/>
        <v>0</v>
      </c>
      <c r="AB326" s="420">
        <f t="shared" si="69"/>
        <v>0</v>
      </c>
      <c r="AC326" s="420">
        <f t="shared" si="69"/>
        <v>0</v>
      </c>
      <c r="AD326" s="420">
        <f t="shared" si="68"/>
        <v>0</v>
      </c>
      <c r="AE326" s="420">
        <f t="shared" si="68"/>
        <v>0</v>
      </c>
      <c r="AF326" s="420">
        <f t="shared" si="68"/>
        <v>0</v>
      </c>
      <c r="AG326" s="420">
        <f t="shared" si="68"/>
        <v>0</v>
      </c>
      <c r="AH326" s="420">
        <f t="shared" si="68"/>
        <v>0</v>
      </c>
      <c r="AI326" s="420">
        <f t="shared" si="68"/>
        <v>0</v>
      </c>
      <c r="AJ326" s="408">
        <f t="shared" si="65"/>
        <v>0</v>
      </c>
    </row>
    <row r="327" spans="1:36" s="229" customFormat="1">
      <c r="A327" s="231" t="str">
        <f t="shared" si="66"/>
        <v>PIERCE UTCCommercial RecycleFL002.0Y4W001BCMGL</v>
      </c>
      <c r="B327" s="243" t="s">
        <v>724</v>
      </c>
      <c r="C327" s="243" t="s">
        <v>1064</v>
      </c>
      <c r="D327" s="243"/>
      <c r="E327" s="230"/>
      <c r="F327" s="244"/>
      <c r="G327" s="244">
        <v>370</v>
      </c>
      <c r="H327" s="244"/>
      <c r="I327" s="244">
        <v>0</v>
      </c>
      <c r="J327" s="244">
        <v>0</v>
      </c>
      <c r="K327" s="244">
        <v>0</v>
      </c>
      <c r="L327" s="244">
        <v>0</v>
      </c>
      <c r="M327" s="244">
        <v>0</v>
      </c>
      <c r="N327" s="244">
        <v>370</v>
      </c>
      <c r="O327" s="244">
        <v>370</v>
      </c>
      <c r="P327" s="244">
        <v>370</v>
      </c>
      <c r="Q327" s="244">
        <v>370</v>
      </c>
      <c r="R327" s="244">
        <v>370</v>
      </c>
      <c r="S327" s="244">
        <v>370</v>
      </c>
      <c r="T327" s="244">
        <v>370</v>
      </c>
      <c r="U327" s="244"/>
      <c r="V327" s="408">
        <f t="shared" si="62"/>
        <v>2590</v>
      </c>
      <c r="W327" s="245"/>
      <c r="X327" s="420">
        <f t="shared" si="72"/>
        <v>0</v>
      </c>
      <c r="Y327" s="421">
        <f t="shared" si="71"/>
        <v>0</v>
      </c>
      <c r="Z327" s="421">
        <f t="shared" si="71"/>
        <v>0</v>
      </c>
      <c r="AA327" s="420">
        <f t="shared" si="69"/>
        <v>0</v>
      </c>
      <c r="AB327" s="420">
        <f t="shared" si="69"/>
        <v>0</v>
      </c>
      <c r="AC327" s="420">
        <f t="shared" si="69"/>
        <v>1</v>
      </c>
      <c r="AD327" s="420">
        <f t="shared" si="68"/>
        <v>1</v>
      </c>
      <c r="AE327" s="420">
        <f t="shared" si="68"/>
        <v>1</v>
      </c>
      <c r="AF327" s="420">
        <f t="shared" si="68"/>
        <v>1</v>
      </c>
      <c r="AG327" s="420">
        <f t="shared" si="68"/>
        <v>1</v>
      </c>
      <c r="AH327" s="420">
        <f t="shared" si="68"/>
        <v>1</v>
      </c>
      <c r="AI327" s="420">
        <f t="shared" si="68"/>
        <v>1</v>
      </c>
      <c r="AJ327" s="408">
        <f t="shared" si="65"/>
        <v>7</v>
      </c>
    </row>
    <row r="328" spans="1:36" s="229" customFormat="1">
      <c r="A328" s="231" t="str">
        <f t="shared" si="66"/>
        <v>PIERCE UTCCommercial RecycleFL002.0Y4W001BOCC</v>
      </c>
      <c r="B328" s="243" t="s">
        <v>725</v>
      </c>
      <c r="C328" s="243" t="s">
        <v>1065</v>
      </c>
      <c r="D328" s="243"/>
      <c r="E328" s="230"/>
      <c r="F328" s="244"/>
      <c r="G328" s="244">
        <v>0</v>
      </c>
      <c r="H328" s="244"/>
      <c r="I328" s="244">
        <v>188.95</v>
      </c>
      <c r="J328" s="244">
        <v>188.95</v>
      </c>
      <c r="K328" s="244">
        <v>188.95</v>
      </c>
      <c r="L328" s="244">
        <v>207.85</v>
      </c>
      <c r="M328" s="244">
        <v>207.85</v>
      </c>
      <c r="N328" s="244">
        <v>207.85</v>
      </c>
      <c r="O328" s="244">
        <v>207.85</v>
      </c>
      <c r="P328" s="244">
        <v>207.85</v>
      </c>
      <c r="Q328" s="244">
        <v>207.85</v>
      </c>
      <c r="R328" s="244">
        <v>207.85</v>
      </c>
      <c r="S328" s="244">
        <v>207.85</v>
      </c>
      <c r="T328" s="244">
        <v>207.85</v>
      </c>
      <c r="U328" s="244"/>
      <c r="V328" s="408">
        <f t="shared" si="62"/>
        <v>2437.4999999999995</v>
      </c>
      <c r="W328" s="245"/>
      <c r="X328" s="420">
        <f t="shared" si="72"/>
        <v>0</v>
      </c>
      <c r="Y328" s="421">
        <f t="shared" si="71"/>
        <v>0</v>
      </c>
      <c r="Z328" s="421">
        <f t="shared" si="71"/>
        <v>0</v>
      </c>
      <c r="AA328" s="420">
        <f t="shared" si="69"/>
        <v>0</v>
      </c>
      <c r="AB328" s="420">
        <f t="shared" si="69"/>
        <v>0</v>
      </c>
      <c r="AC328" s="420">
        <f t="shared" si="69"/>
        <v>0</v>
      </c>
      <c r="AD328" s="420">
        <f t="shared" si="68"/>
        <v>0</v>
      </c>
      <c r="AE328" s="420">
        <f t="shared" si="68"/>
        <v>0</v>
      </c>
      <c r="AF328" s="420">
        <f t="shared" si="68"/>
        <v>0</v>
      </c>
      <c r="AG328" s="420">
        <f t="shared" si="68"/>
        <v>0</v>
      </c>
      <c r="AH328" s="420">
        <f t="shared" si="68"/>
        <v>0</v>
      </c>
      <c r="AI328" s="420">
        <f t="shared" si="68"/>
        <v>0</v>
      </c>
      <c r="AJ328" s="408">
        <f t="shared" si="65"/>
        <v>0</v>
      </c>
    </row>
    <row r="329" spans="1:36" s="229" customFormat="1">
      <c r="A329" s="231" t="str">
        <f t="shared" si="66"/>
        <v>PIERCE UTCCommercial RecycleFL004.0Y1W001CMGL</v>
      </c>
      <c r="B329" s="243" t="s">
        <v>726</v>
      </c>
      <c r="C329" s="243" t="s">
        <v>1066</v>
      </c>
      <c r="D329" s="243"/>
      <c r="E329" s="230"/>
      <c r="F329" s="244">
        <f>+G329</f>
        <v>94.04</v>
      </c>
      <c r="G329" s="244">
        <v>94.04</v>
      </c>
      <c r="H329" s="244"/>
      <c r="I329" s="244">
        <v>1949.17</v>
      </c>
      <c r="J329" s="244">
        <v>1983.37</v>
      </c>
      <c r="K329" s="244">
        <v>1923.53</v>
      </c>
      <c r="L329" s="244">
        <v>1863.7</v>
      </c>
      <c r="M329" s="244">
        <v>1816.68</v>
      </c>
      <c r="N329" s="244">
        <v>1938.93</v>
      </c>
      <c r="O329" s="244">
        <v>2239.86</v>
      </c>
      <c r="P329" s="244">
        <v>2390.3200000000002</v>
      </c>
      <c r="Q329" s="244">
        <v>2286.88</v>
      </c>
      <c r="R329" s="244">
        <v>2559.6</v>
      </c>
      <c r="S329" s="244">
        <v>2889.59</v>
      </c>
      <c r="T329" s="244">
        <v>2821.2</v>
      </c>
      <c r="U329" s="244"/>
      <c r="V329" s="408">
        <f t="shared" si="62"/>
        <v>26662.829999999998</v>
      </c>
      <c r="W329" s="245"/>
      <c r="X329" s="420">
        <f t="shared" si="72"/>
        <v>20.727031050616759</v>
      </c>
      <c r="Y329" s="421">
        <f t="shared" si="71"/>
        <v>21.090706082518075</v>
      </c>
      <c r="Z329" s="421">
        <f t="shared" si="71"/>
        <v>20.454381114419395</v>
      </c>
      <c r="AA329" s="420">
        <f t="shared" si="69"/>
        <v>19.818162484049338</v>
      </c>
      <c r="AB329" s="420">
        <f t="shared" si="69"/>
        <v>19.318162484049338</v>
      </c>
      <c r="AC329" s="420">
        <f t="shared" si="69"/>
        <v>20.618141216503616</v>
      </c>
      <c r="AD329" s="420">
        <f t="shared" si="68"/>
        <v>23.818162484049342</v>
      </c>
      <c r="AE329" s="420">
        <f t="shared" si="68"/>
        <v>25.418119948957891</v>
      </c>
      <c r="AF329" s="420">
        <f t="shared" si="68"/>
        <v>24.318162484049342</v>
      </c>
      <c r="AG329" s="420">
        <f t="shared" si="68"/>
        <v>27.21820501914079</v>
      </c>
      <c r="AH329" s="420">
        <f t="shared" si="68"/>
        <v>30.727243726074011</v>
      </c>
      <c r="AI329" s="420">
        <f t="shared" si="68"/>
        <v>29.999999999999996</v>
      </c>
      <c r="AJ329" s="408">
        <f t="shared" si="65"/>
        <v>283.52647809442789</v>
      </c>
    </row>
    <row r="330" spans="1:36" s="229" customFormat="1">
      <c r="A330" s="231" t="str">
        <f t="shared" si="66"/>
        <v>PIERCE UTCCommercial RecycleFL004.0Y1W001SCMGL</v>
      </c>
      <c r="B330" s="243" t="s">
        <v>727</v>
      </c>
      <c r="C330" s="243" t="s">
        <v>1067</v>
      </c>
      <c r="D330" s="243"/>
      <c r="E330" s="230"/>
      <c r="F330" s="244">
        <f t="shared" ref="F330:F343" si="73">+G330</f>
        <v>84.974999999999994</v>
      </c>
      <c r="G330" s="244">
        <v>84.974999999999994</v>
      </c>
      <c r="H330" s="244"/>
      <c r="I330" s="244">
        <v>154.5</v>
      </c>
      <c r="J330" s="244">
        <v>154.5</v>
      </c>
      <c r="K330" s="244">
        <v>154.5</v>
      </c>
      <c r="L330" s="244">
        <v>169.95</v>
      </c>
      <c r="M330" s="244">
        <v>169.95</v>
      </c>
      <c r="N330" s="244">
        <v>169.95</v>
      </c>
      <c r="O330" s="244">
        <v>169.95</v>
      </c>
      <c r="P330" s="244">
        <v>0</v>
      </c>
      <c r="Q330" s="244">
        <v>0</v>
      </c>
      <c r="R330" s="244">
        <v>169.95</v>
      </c>
      <c r="S330" s="244">
        <v>169.95</v>
      </c>
      <c r="T330" s="244">
        <v>254.93</v>
      </c>
      <c r="U330" s="244"/>
      <c r="V330" s="408">
        <f t="shared" si="62"/>
        <v>1738.1300000000003</v>
      </c>
      <c r="W330" s="245"/>
      <c r="X330" s="420">
        <f t="shared" si="72"/>
        <v>1.8181818181818183</v>
      </c>
      <c r="Y330" s="421">
        <f t="shared" si="71"/>
        <v>1.8181818181818183</v>
      </c>
      <c r="Z330" s="421">
        <f t="shared" si="71"/>
        <v>1.8181818181818183</v>
      </c>
      <c r="AA330" s="420">
        <f t="shared" si="69"/>
        <v>2</v>
      </c>
      <c r="AB330" s="420">
        <f t="shared" si="69"/>
        <v>2</v>
      </c>
      <c r="AC330" s="420">
        <f t="shared" si="69"/>
        <v>2</v>
      </c>
      <c r="AD330" s="420">
        <f t="shared" si="68"/>
        <v>2</v>
      </c>
      <c r="AE330" s="420">
        <f t="shared" si="68"/>
        <v>0</v>
      </c>
      <c r="AF330" s="420">
        <f t="shared" si="68"/>
        <v>0</v>
      </c>
      <c r="AG330" s="420">
        <f t="shared" si="68"/>
        <v>2</v>
      </c>
      <c r="AH330" s="420">
        <f t="shared" si="68"/>
        <v>2</v>
      </c>
      <c r="AI330" s="420">
        <f t="shared" si="68"/>
        <v>3.00005884083554</v>
      </c>
      <c r="AJ330" s="408">
        <f t="shared" si="65"/>
        <v>20.454604295380992</v>
      </c>
    </row>
    <row r="331" spans="1:36" s="229" customFormat="1">
      <c r="A331" s="231" t="str">
        <f t="shared" si="66"/>
        <v>PIERCE UTCCommercial RecycleFL004.0Y2W001CMGL</v>
      </c>
      <c r="B331" s="243" t="s">
        <v>728</v>
      </c>
      <c r="C331" s="243" t="s">
        <v>1068</v>
      </c>
      <c r="D331" s="243"/>
      <c r="E331" s="230"/>
      <c r="F331" s="244">
        <f t="shared" si="73"/>
        <v>139.36000000000001</v>
      </c>
      <c r="G331" s="244">
        <v>139.36000000000001</v>
      </c>
      <c r="H331" s="244"/>
      <c r="I331" s="244">
        <v>1013.52</v>
      </c>
      <c r="J331" s="244">
        <v>1266.9000000000001</v>
      </c>
      <c r="K331" s="244">
        <v>1456.94</v>
      </c>
      <c r="L331" s="244">
        <v>1393.6</v>
      </c>
      <c r="M331" s="244">
        <v>1765.23</v>
      </c>
      <c r="N331" s="244">
        <v>1951.04</v>
      </c>
      <c r="O331" s="244">
        <v>1951.04</v>
      </c>
      <c r="P331" s="244">
        <v>1951.04</v>
      </c>
      <c r="Q331" s="244">
        <v>2198.79</v>
      </c>
      <c r="R331" s="244">
        <v>2299.44</v>
      </c>
      <c r="S331" s="244">
        <v>2787.2</v>
      </c>
      <c r="T331" s="244">
        <v>2787.2</v>
      </c>
      <c r="U331" s="244"/>
      <c r="V331" s="408">
        <f t="shared" si="62"/>
        <v>22821.940000000002</v>
      </c>
      <c r="W331" s="245"/>
      <c r="X331" s="420">
        <f t="shared" si="72"/>
        <v>7.2726750861079212</v>
      </c>
      <c r="Y331" s="421">
        <f t="shared" si="71"/>
        <v>9.0908438576349013</v>
      </c>
      <c r="Z331" s="421">
        <f t="shared" si="71"/>
        <v>10.454506314580941</v>
      </c>
      <c r="AA331" s="420">
        <f t="shared" si="69"/>
        <v>9.9999999999999982</v>
      </c>
      <c r="AB331" s="420">
        <f t="shared" si="69"/>
        <v>12.666690585533868</v>
      </c>
      <c r="AC331" s="420">
        <f t="shared" si="69"/>
        <v>13.999999999999998</v>
      </c>
      <c r="AD331" s="420">
        <f t="shared" si="69"/>
        <v>13.999999999999998</v>
      </c>
      <c r="AE331" s="420">
        <f t="shared" si="69"/>
        <v>13.999999999999998</v>
      </c>
      <c r="AF331" s="420">
        <f t="shared" si="69"/>
        <v>15.777769804822041</v>
      </c>
      <c r="AG331" s="420">
        <f t="shared" si="69"/>
        <v>16.5</v>
      </c>
      <c r="AH331" s="420">
        <f t="shared" si="69"/>
        <v>19.999999999999996</v>
      </c>
      <c r="AI331" s="420">
        <f t="shared" si="69"/>
        <v>19.999999999999996</v>
      </c>
      <c r="AJ331" s="408">
        <f t="shared" si="65"/>
        <v>163.76248564867967</v>
      </c>
    </row>
    <row r="332" spans="1:36" s="229" customFormat="1">
      <c r="A332" s="231" t="str">
        <f t="shared" si="66"/>
        <v>PIERCE UTCCommercial RecycleFL004.0Y3W001BCMGL</v>
      </c>
      <c r="B332" s="243" t="s">
        <v>729</v>
      </c>
      <c r="C332" s="243" t="s">
        <v>1069</v>
      </c>
      <c r="D332" s="243"/>
      <c r="E332" s="230"/>
      <c r="F332" s="244">
        <f t="shared" si="73"/>
        <v>235.1</v>
      </c>
      <c r="G332" s="244">
        <v>235.1</v>
      </c>
      <c r="H332" s="244"/>
      <c r="I332" s="244">
        <v>825.09</v>
      </c>
      <c r="J332" s="244">
        <v>275.02999999999997</v>
      </c>
      <c r="K332" s="244">
        <v>275.02999999999997</v>
      </c>
      <c r="L332" s="244">
        <v>470.2</v>
      </c>
      <c r="M332" s="244">
        <v>-279.78999999999996</v>
      </c>
      <c r="N332" s="244">
        <v>0</v>
      </c>
      <c r="O332" s="244">
        <v>0</v>
      </c>
      <c r="P332" s="244">
        <v>0</v>
      </c>
      <c r="Q332" s="244">
        <v>36.17</v>
      </c>
      <c r="R332" s="244">
        <v>470.2</v>
      </c>
      <c r="S332" s="244">
        <v>470.2</v>
      </c>
      <c r="T332" s="244">
        <v>470.2</v>
      </c>
      <c r="U332" s="244"/>
      <c r="V332" s="408">
        <f t="shared" si="62"/>
        <v>3012.3299999999995</v>
      </c>
      <c r="W332" s="245"/>
      <c r="X332" s="420">
        <f t="shared" si="72"/>
        <v>3.5095278604849001</v>
      </c>
      <c r="Y332" s="421">
        <f t="shared" si="71"/>
        <v>1.1698426201616332</v>
      </c>
      <c r="Z332" s="421">
        <f t="shared" si="71"/>
        <v>1.1698426201616332</v>
      </c>
      <c r="AA332" s="420">
        <f t="shared" ref="AA332:AI344" si="74">IFERROR(L332/$G332,0)</f>
        <v>2</v>
      </c>
      <c r="AB332" s="420">
        <f t="shared" si="74"/>
        <v>-1.1900893236920458</v>
      </c>
      <c r="AC332" s="420">
        <f t="shared" si="74"/>
        <v>0</v>
      </c>
      <c r="AD332" s="420">
        <f t="shared" si="74"/>
        <v>0</v>
      </c>
      <c r="AE332" s="420">
        <f t="shared" si="74"/>
        <v>0</v>
      </c>
      <c r="AF332" s="420">
        <f t="shared" si="74"/>
        <v>0.15384942577626542</v>
      </c>
      <c r="AG332" s="420">
        <f t="shared" si="74"/>
        <v>2</v>
      </c>
      <c r="AH332" s="420">
        <f t="shared" si="74"/>
        <v>2</v>
      </c>
      <c r="AI332" s="420">
        <f t="shared" si="74"/>
        <v>2</v>
      </c>
      <c r="AJ332" s="408">
        <f t="shared" si="65"/>
        <v>12.812973202892385</v>
      </c>
    </row>
    <row r="333" spans="1:36" s="229" customFormat="1">
      <c r="A333" s="231" t="str">
        <f t="shared" si="66"/>
        <v>PIERCE UTCCommercial RecycleFL004.0Y4W001BCMGL</v>
      </c>
      <c r="B333" s="243" t="s">
        <v>730</v>
      </c>
      <c r="C333" s="243" t="s">
        <v>1070</v>
      </c>
      <c r="D333" s="243"/>
      <c r="E333" s="230"/>
      <c r="F333" s="244">
        <f t="shared" si="73"/>
        <v>329.14</v>
      </c>
      <c r="G333" s="244">
        <v>329.14</v>
      </c>
      <c r="H333" s="244"/>
      <c r="I333" s="244">
        <v>0</v>
      </c>
      <c r="J333" s="244">
        <v>474.69</v>
      </c>
      <c r="K333" s="244">
        <v>593.36</v>
      </c>
      <c r="L333" s="244">
        <v>593.36</v>
      </c>
      <c r="M333" s="244">
        <v>1909.92</v>
      </c>
      <c r="N333" s="244">
        <v>1909.92</v>
      </c>
      <c r="O333" s="244">
        <v>1909.92</v>
      </c>
      <c r="P333" s="244">
        <v>1909.92</v>
      </c>
      <c r="Q333" s="244">
        <v>1909.92</v>
      </c>
      <c r="R333" s="244">
        <v>2142.25</v>
      </c>
      <c r="S333" s="244">
        <v>2464.2600000000002</v>
      </c>
      <c r="T333" s="244">
        <v>1909.92</v>
      </c>
      <c r="U333" s="244"/>
      <c r="V333" s="408">
        <f t="shared" si="62"/>
        <v>17727.440000000002</v>
      </c>
      <c r="W333" s="245"/>
      <c r="X333" s="420">
        <f t="shared" si="72"/>
        <v>0</v>
      </c>
      <c r="Y333" s="421">
        <f t="shared" si="71"/>
        <v>1.4422130400437505</v>
      </c>
      <c r="Z333" s="421">
        <f t="shared" si="71"/>
        <v>1.8027587045026434</v>
      </c>
      <c r="AA333" s="420">
        <f t="shared" si="74"/>
        <v>1.8027587045026434</v>
      </c>
      <c r="AB333" s="420">
        <f t="shared" si="74"/>
        <v>5.8027587045026436</v>
      </c>
      <c r="AC333" s="420">
        <f t="shared" si="74"/>
        <v>5.8027587045026436</v>
      </c>
      <c r="AD333" s="420">
        <f t="shared" si="74"/>
        <v>5.8027587045026436</v>
      </c>
      <c r="AE333" s="420">
        <f t="shared" si="74"/>
        <v>5.8027587045026436</v>
      </c>
      <c r="AF333" s="420">
        <f t="shared" si="74"/>
        <v>5.8027587045026436</v>
      </c>
      <c r="AG333" s="420">
        <f t="shared" si="74"/>
        <v>6.5086285471228056</v>
      </c>
      <c r="AH333" s="420">
        <f t="shared" si="74"/>
        <v>7.4869660326912566</v>
      </c>
      <c r="AI333" s="420">
        <f t="shared" si="74"/>
        <v>5.8027587045026436</v>
      </c>
      <c r="AJ333" s="408">
        <f t="shared" si="65"/>
        <v>53.859877255878956</v>
      </c>
    </row>
    <row r="334" spans="1:36" s="229" customFormat="1">
      <c r="A334" s="231" t="str">
        <f t="shared" si="66"/>
        <v>PIERCE UTCCommercial RecycleFL004.0Y5W001BCMGL</v>
      </c>
      <c r="B334" s="243" t="s">
        <v>731</v>
      </c>
      <c r="C334" s="243" t="s">
        <v>1071</v>
      </c>
      <c r="D334" s="243"/>
      <c r="E334" s="230"/>
      <c r="F334" s="244">
        <f t="shared" si="73"/>
        <v>423.18</v>
      </c>
      <c r="G334" s="244">
        <v>423.18</v>
      </c>
      <c r="H334" s="244"/>
      <c r="I334" s="244">
        <v>675</v>
      </c>
      <c r="J334" s="244">
        <v>675</v>
      </c>
      <c r="K334" s="244">
        <v>675</v>
      </c>
      <c r="L334" s="244">
        <v>1692.72</v>
      </c>
      <c r="M334" s="244">
        <v>1692.72</v>
      </c>
      <c r="N334" s="244">
        <v>1692.72</v>
      </c>
      <c r="O334" s="244">
        <v>1692.72</v>
      </c>
      <c r="P334" s="244">
        <v>1692.72</v>
      </c>
      <c r="Q334" s="244">
        <v>1692.72</v>
      </c>
      <c r="R334" s="244">
        <v>1692.72</v>
      </c>
      <c r="S334" s="244">
        <v>1692.72</v>
      </c>
      <c r="T334" s="244">
        <v>1692.72</v>
      </c>
      <c r="U334" s="244"/>
      <c r="V334" s="408">
        <f t="shared" si="62"/>
        <v>17259.48</v>
      </c>
      <c r="W334" s="245"/>
      <c r="X334" s="420">
        <f t="shared" si="72"/>
        <v>1.5950659293917482</v>
      </c>
      <c r="Y334" s="421">
        <f t="shared" si="71"/>
        <v>1.5950659293917482</v>
      </c>
      <c r="Z334" s="421">
        <f t="shared" si="71"/>
        <v>1.5950659293917482</v>
      </c>
      <c r="AA334" s="420">
        <f t="shared" si="74"/>
        <v>4</v>
      </c>
      <c r="AB334" s="420">
        <f t="shared" si="74"/>
        <v>4</v>
      </c>
      <c r="AC334" s="420">
        <f t="shared" si="74"/>
        <v>4</v>
      </c>
      <c r="AD334" s="420">
        <f t="shared" si="74"/>
        <v>4</v>
      </c>
      <c r="AE334" s="420">
        <f t="shared" si="74"/>
        <v>4</v>
      </c>
      <c r="AF334" s="420">
        <f t="shared" si="74"/>
        <v>4</v>
      </c>
      <c r="AG334" s="420">
        <f t="shared" si="74"/>
        <v>4</v>
      </c>
      <c r="AH334" s="420">
        <f t="shared" si="74"/>
        <v>4</v>
      </c>
      <c r="AI334" s="420">
        <f t="shared" si="74"/>
        <v>4</v>
      </c>
      <c r="AJ334" s="408">
        <f t="shared" si="65"/>
        <v>40.785197788175246</v>
      </c>
    </row>
    <row r="335" spans="1:36" s="229" customFormat="1">
      <c r="A335" s="231" t="str">
        <f t="shared" si="66"/>
        <v>PIERCE UTCCommercial RecycleFL005.0Y1W001OCC</v>
      </c>
      <c r="B335" s="243" t="s">
        <v>732</v>
      </c>
      <c r="C335" s="243" t="s">
        <v>1072</v>
      </c>
      <c r="D335" s="243"/>
      <c r="E335" s="230"/>
      <c r="F335" s="244">
        <f t="shared" si="73"/>
        <v>117</v>
      </c>
      <c r="G335" s="244">
        <v>117</v>
      </c>
      <c r="H335" s="244"/>
      <c r="I335" s="244">
        <v>294</v>
      </c>
      <c r="J335" s="244">
        <v>294</v>
      </c>
      <c r="K335" s="244">
        <v>294</v>
      </c>
      <c r="L335" s="244">
        <v>0</v>
      </c>
      <c r="M335" s="244">
        <v>0</v>
      </c>
      <c r="N335" s="244">
        <v>0</v>
      </c>
      <c r="O335" s="244">
        <v>117</v>
      </c>
      <c r="P335" s="244">
        <v>0</v>
      </c>
      <c r="Q335" s="244">
        <v>0</v>
      </c>
      <c r="R335" s="244">
        <v>105</v>
      </c>
      <c r="S335" s="244">
        <v>105</v>
      </c>
      <c r="T335" s="244">
        <v>105</v>
      </c>
      <c r="U335" s="244"/>
      <c r="V335" s="408">
        <f t="shared" ref="V335:V344" si="75">SUM(I335:T335)</f>
        <v>1314</v>
      </c>
      <c r="W335" s="245"/>
      <c r="X335" s="420">
        <f t="shared" si="72"/>
        <v>2.5128205128205128</v>
      </c>
      <c r="Y335" s="421">
        <f t="shared" si="71"/>
        <v>2.5128205128205128</v>
      </c>
      <c r="Z335" s="421">
        <f t="shared" si="71"/>
        <v>2.5128205128205128</v>
      </c>
      <c r="AA335" s="420">
        <f t="shared" si="74"/>
        <v>0</v>
      </c>
      <c r="AB335" s="420">
        <f t="shared" si="74"/>
        <v>0</v>
      </c>
      <c r="AC335" s="420">
        <f t="shared" si="74"/>
        <v>0</v>
      </c>
      <c r="AD335" s="420">
        <f t="shared" si="74"/>
        <v>1</v>
      </c>
      <c r="AE335" s="420">
        <f t="shared" si="74"/>
        <v>0</v>
      </c>
      <c r="AF335" s="420">
        <f t="shared" si="74"/>
        <v>0</v>
      </c>
      <c r="AG335" s="420">
        <f t="shared" si="74"/>
        <v>0.89743589743589747</v>
      </c>
      <c r="AH335" s="420">
        <f t="shared" si="74"/>
        <v>0.89743589743589747</v>
      </c>
      <c r="AI335" s="420">
        <f t="shared" si="74"/>
        <v>0.89743589743589747</v>
      </c>
      <c r="AJ335" s="408">
        <f t="shared" ref="AJ335:AJ344" si="76">SUM(X335:AI335)</f>
        <v>11.230769230769232</v>
      </c>
    </row>
    <row r="336" spans="1:36" s="229" customFormat="1">
      <c r="A336" s="231" t="str">
        <f t="shared" ref="A336:A343" si="77">$A$3&amp;"Commercial Recycle"&amp;B336</f>
        <v>PIERCE UTCCommercial RecycleFL005.0Y2W001OCC</v>
      </c>
      <c r="B336" s="243" t="s">
        <v>733</v>
      </c>
      <c r="C336" s="243"/>
      <c r="D336" s="243"/>
      <c r="E336" s="230"/>
      <c r="F336" s="244">
        <f t="shared" si="73"/>
        <v>0</v>
      </c>
      <c r="G336" s="244">
        <v>0</v>
      </c>
      <c r="H336" s="244"/>
      <c r="I336" s="244">
        <v>62.72</v>
      </c>
      <c r="J336" s="244">
        <v>62.72</v>
      </c>
      <c r="K336" s="244">
        <v>62.72</v>
      </c>
      <c r="L336" s="244">
        <v>68.989999999999995</v>
      </c>
      <c r="M336" s="244">
        <v>224.88</v>
      </c>
      <c r="N336" s="244">
        <v>224.88</v>
      </c>
      <c r="O336" s="244">
        <v>224.88</v>
      </c>
      <c r="P336" s="244">
        <v>389.89</v>
      </c>
      <c r="Q336" s="244">
        <v>389.89</v>
      </c>
      <c r="R336" s="244">
        <v>389.89</v>
      </c>
      <c r="S336" s="244">
        <v>389.89</v>
      </c>
      <c r="T336" s="244">
        <v>214.39</v>
      </c>
      <c r="U336" s="244"/>
      <c r="V336" s="408">
        <f t="shared" si="75"/>
        <v>2705.7399999999993</v>
      </c>
      <c r="W336" s="245"/>
      <c r="X336" s="420">
        <f t="shared" si="72"/>
        <v>0</v>
      </c>
      <c r="Y336" s="421">
        <f t="shared" si="71"/>
        <v>0</v>
      </c>
      <c r="Z336" s="421">
        <f t="shared" si="71"/>
        <v>0</v>
      </c>
      <c r="AA336" s="420">
        <f t="shared" si="74"/>
        <v>0</v>
      </c>
      <c r="AB336" s="420">
        <f t="shared" si="74"/>
        <v>0</v>
      </c>
      <c r="AC336" s="420">
        <f t="shared" si="74"/>
        <v>0</v>
      </c>
      <c r="AD336" s="420">
        <f t="shared" si="74"/>
        <v>0</v>
      </c>
      <c r="AE336" s="420">
        <f t="shared" si="74"/>
        <v>0</v>
      </c>
      <c r="AF336" s="420">
        <f t="shared" si="74"/>
        <v>0</v>
      </c>
      <c r="AG336" s="420">
        <f t="shared" si="74"/>
        <v>0</v>
      </c>
      <c r="AH336" s="420">
        <f t="shared" si="74"/>
        <v>0</v>
      </c>
      <c r="AI336" s="420">
        <f t="shared" si="74"/>
        <v>0</v>
      </c>
      <c r="AJ336" s="408">
        <f t="shared" si="76"/>
        <v>0</v>
      </c>
    </row>
    <row r="337" spans="1:36" s="229" customFormat="1">
      <c r="A337" s="231" t="str">
        <f t="shared" si="77"/>
        <v>PIERCE UTCCommercial RecycleFL006.0Y2W001SCMGL</v>
      </c>
      <c r="B337" s="243" t="s">
        <v>734</v>
      </c>
      <c r="C337" s="243" t="s">
        <v>1073</v>
      </c>
      <c r="D337" s="243"/>
      <c r="E337" s="230"/>
      <c r="F337" s="244">
        <f t="shared" si="73"/>
        <v>163.19499999999999</v>
      </c>
      <c r="G337" s="244">
        <v>163.19499999999999</v>
      </c>
      <c r="H337" s="244"/>
      <c r="I337" s="244">
        <v>0</v>
      </c>
      <c r="J337" s="244">
        <v>0</v>
      </c>
      <c r="K337" s="244">
        <v>0</v>
      </c>
      <c r="L337" s="244">
        <v>0</v>
      </c>
      <c r="M337" s="244">
        <v>0</v>
      </c>
      <c r="N337" s="244">
        <v>0</v>
      </c>
      <c r="O337" s="244">
        <v>0</v>
      </c>
      <c r="P337" s="244">
        <v>0</v>
      </c>
      <c r="Q337" s="244">
        <v>144.80000000000001</v>
      </c>
      <c r="R337" s="244">
        <v>325.81</v>
      </c>
      <c r="S337" s="244">
        <v>325.81</v>
      </c>
      <c r="T337" s="244">
        <v>325.81</v>
      </c>
      <c r="U337" s="244"/>
      <c r="V337" s="408">
        <f t="shared" si="75"/>
        <v>1122.23</v>
      </c>
      <c r="W337" s="245"/>
      <c r="X337" s="420">
        <f t="shared" si="72"/>
        <v>0</v>
      </c>
      <c r="Y337" s="421">
        <f t="shared" si="71"/>
        <v>0</v>
      </c>
      <c r="Z337" s="421">
        <f t="shared" si="71"/>
        <v>0</v>
      </c>
      <c r="AA337" s="420">
        <f t="shared" si="74"/>
        <v>0</v>
      </c>
      <c r="AB337" s="420">
        <f t="shared" si="74"/>
        <v>0</v>
      </c>
      <c r="AC337" s="420">
        <f t="shared" si="74"/>
        <v>0</v>
      </c>
      <c r="AD337" s="420">
        <f t="shared" si="74"/>
        <v>0</v>
      </c>
      <c r="AE337" s="420">
        <f t="shared" si="74"/>
        <v>0</v>
      </c>
      <c r="AF337" s="420">
        <f t="shared" si="74"/>
        <v>0.88728208584821855</v>
      </c>
      <c r="AG337" s="420">
        <f t="shared" si="74"/>
        <v>1.9964459695456356</v>
      </c>
      <c r="AH337" s="420">
        <f t="shared" si="74"/>
        <v>1.9964459695456356</v>
      </c>
      <c r="AI337" s="420">
        <f t="shared" si="74"/>
        <v>1.9964459695456356</v>
      </c>
      <c r="AJ337" s="408">
        <f t="shared" si="76"/>
        <v>6.8766199944851252</v>
      </c>
    </row>
    <row r="338" spans="1:36" s="229" customFormat="1">
      <c r="A338" s="231" t="str">
        <f t="shared" si="77"/>
        <v>PIERCE UTCCommercial RecycleROLL-REC</v>
      </c>
      <c r="B338" s="243" t="s">
        <v>735</v>
      </c>
      <c r="C338" s="243" t="s">
        <v>1074</v>
      </c>
      <c r="D338" s="243"/>
      <c r="E338" s="230"/>
      <c r="F338" s="244">
        <f t="shared" si="73"/>
        <v>8.4749999999999996</v>
      </c>
      <c r="G338" s="244">
        <v>8.4749999999999996</v>
      </c>
      <c r="H338" s="244"/>
      <c r="I338" s="244">
        <v>0</v>
      </c>
      <c r="J338" s="244">
        <v>12.71</v>
      </c>
      <c r="K338" s="244">
        <v>16.95</v>
      </c>
      <c r="L338" s="244">
        <v>0</v>
      </c>
      <c r="M338" s="244">
        <v>16.95</v>
      </c>
      <c r="N338" s="244">
        <v>16.95</v>
      </c>
      <c r="O338" s="244">
        <v>16.95</v>
      </c>
      <c r="P338" s="244">
        <v>16.95</v>
      </c>
      <c r="Q338" s="244">
        <v>16.95</v>
      </c>
      <c r="R338" s="244">
        <v>16.95</v>
      </c>
      <c r="S338" s="244">
        <v>16.95</v>
      </c>
      <c r="T338" s="244">
        <v>16.95</v>
      </c>
      <c r="U338" s="244"/>
      <c r="V338" s="408">
        <f t="shared" si="75"/>
        <v>165.26</v>
      </c>
      <c r="W338" s="245"/>
      <c r="X338" s="420">
        <f t="shared" si="72"/>
        <v>0</v>
      </c>
      <c r="Y338" s="421">
        <f t="shared" si="71"/>
        <v>1.4997050147492628</v>
      </c>
      <c r="Z338" s="421">
        <f t="shared" si="71"/>
        <v>2</v>
      </c>
      <c r="AA338" s="420">
        <f t="shared" si="74"/>
        <v>0</v>
      </c>
      <c r="AB338" s="420">
        <f t="shared" si="74"/>
        <v>2</v>
      </c>
      <c r="AC338" s="420">
        <f t="shared" si="74"/>
        <v>2</v>
      </c>
      <c r="AD338" s="420">
        <f t="shared" si="74"/>
        <v>2</v>
      </c>
      <c r="AE338" s="420">
        <f t="shared" si="74"/>
        <v>2</v>
      </c>
      <c r="AF338" s="420">
        <f t="shared" si="74"/>
        <v>2</v>
      </c>
      <c r="AG338" s="420">
        <f t="shared" si="74"/>
        <v>2</v>
      </c>
      <c r="AH338" s="420">
        <f t="shared" si="74"/>
        <v>2</v>
      </c>
      <c r="AI338" s="420">
        <f t="shared" si="74"/>
        <v>2</v>
      </c>
      <c r="AJ338" s="408">
        <f t="shared" si="76"/>
        <v>19.499705014749264</v>
      </c>
    </row>
    <row r="339" spans="1:36" s="229" customFormat="1">
      <c r="A339" s="231" t="str">
        <f t="shared" si="77"/>
        <v>PIERCE UTCCommercial RecycleSL096.0G1M001SCMGLOUT</v>
      </c>
      <c r="B339" s="243" t="s">
        <v>736</v>
      </c>
      <c r="C339" s="243" t="s">
        <v>1075</v>
      </c>
      <c r="D339" s="243"/>
      <c r="E339" s="230"/>
      <c r="F339" s="244">
        <f t="shared" si="73"/>
        <v>5.15</v>
      </c>
      <c r="G339" s="244">
        <v>5.15</v>
      </c>
      <c r="H339" s="244"/>
      <c r="I339" s="244">
        <v>0</v>
      </c>
      <c r="J339" s="244">
        <v>0</v>
      </c>
      <c r="K339" s="244">
        <v>0</v>
      </c>
      <c r="L339" s="244">
        <v>0</v>
      </c>
      <c r="M339" s="244">
        <v>0</v>
      </c>
      <c r="N339" s="244">
        <v>0</v>
      </c>
      <c r="O339" s="244">
        <v>0</v>
      </c>
      <c r="P339" s="244">
        <v>0</v>
      </c>
      <c r="Q339" s="244">
        <v>10.3</v>
      </c>
      <c r="R339" s="244">
        <v>10.3</v>
      </c>
      <c r="S339" s="244">
        <v>10.3</v>
      </c>
      <c r="T339" s="244">
        <v>10.3</v>
      </c>
      <c r="U339" s="244"/>
      <c r="V339" s="408">
        <f t="shared" si="75"/>
        <v>41.2</v>
      </c>
      <c r="W339" s="245"/>
      <c r="X339" s="420">
        <f t="shared" si="72"/>
        <v>0</v>
      </c>
      <c r="Y339" s="421">
        <f t="shared" si="71"/>
        <v>0</v>
      </c>
      <c r="Z339" s="421">
        <f t="shared" si="71"/>
        <v>0</v>
      </c>
      <c r="AA339" s="420">
        <f t="shared" si="74"/>
        <v>0</v>
      </c>
      <c r="AB339" s="420">
        <f t="shared" si="74"/>
        <v>0</v>
      </c>
      <c r="AC339" s="420">
        <f t="shared" si="74"/>
        <v>0</v>
      </c>
      <c r="AD339" s="420">
        <f t="shared" si="74"/>
        <v>0</v>
      </c>
      <c r="AE339" s="420">
        <f t="shared" si="74"/>
        <v>0</v>
      </c>
      <c r="AF339" s="420">
        <f t="shared" si="74"/>
        <v>2</v>
      </c>
      <c r="AG339" s="420">
        <f t="shared" si="74"/>
        <v>2</v>
      </c>
      <c r="AH339" s="420">
        <f t="shared" si="74"/>
        <v>2</v>
      </c>
      <c r="AI339" s="420">
        <f t="shared" si="74"/>
        <v>2</v>
      </c>
      <c r="AJ339" s="408">
        <f t="shared" si="76"/>
        <v>8</v>
      </c>
    </row>
    <row r="340" spans="1:36" s="229" customFormat="1">
      <c r="A340" s="231" t="str">
        <f t="shared" si="77"/>
        <v>PIERCE UTCCommercial RecycleSL096.0G1W001RECC</v>
      </c>
      <c r="B340" s="243" t="s">
        <v>737</v>
      </c>
      <c r="C340" s="243" t="s">
        <v>1076</v>
      </c>
      <c r="D340" s="243"/>
      <c r="E340" s="230"/>
      <c r="F340" s="244">
        <f t="shared" si="73"/>
        <v>18.54</v>
      </c>
      <c r="G340" s="244">
        <v>18.54</v>
      </c>
      <c r="H340" s="244"/>
      <c r="I340" s="244">
        <v>10.82</v>
      </c>
      <c r="J340" s="244">
        <v>10.82</v>
      </c>
      <c r="K340" s="244">
        <v>10.82</v>
      </c>
      <c r="L340" s="244">
        <v>18.54</v>
      </c>
      <c r="M340" s="244">
        <v>18.54</v>
      </c>
      <c r="N340" s="244">
        <v>18.54</v>
      </c>
      <c r="O340" s="244">
        <v>18.54</v>
      </c>
      <c r="P340" s="244">
        <v>18.54</v>
      </c>
      <c r="Q340" s="244">
        <v>18.54</v>
      </c>
      <c r="R340" s="244">
        <v>18.54</v>
      </c>
      <c r="S340" s="244">
        <v>18.54</v>
      </c>
      <c r="T340" s="244">
        <v>18.54</v>
      </c>
      <c r="U340" s="244"/>
      <c r="V340" s="408">
        <f t="shared" si="75"/>
        <v>199.31999999999994</v>
      </c>
      <c r="W340" s="245"/>
      <c r="X340" s="420">
        <f t="shared" si="72"/>
        <v>0.58360302049622437</v>
      </c>
      <c r="Y340" s="421">
        <f t="shared" si="71"/>
        <v>0.58360302049622437</v>
      </c>
      <c r="Z340" s="421">
        <f t="shared" si="71"/>
        <v>0.58360302049622437</v>
      </c>
      <c r="AA340" s="420">
        <f t="shared" si="74"/>
        <v>1</v>
      </c>
      <c r="AB340" s="420">
        <f t="shared" si="74"/>
        <v>1</v>
      </c>
      <c r="AC340" s="420">
        <f t="shared" si="74"/>
        <v>1</v>
      </c>
      <c r="AD340" s="420">
        <f t="shared" si="74"/>
        <v>1</v>
      </c>
      <c r="AE340" s="420">
        <f t="shared" si="74"/>
        <v>1</v>
      </c>
      <c r="AF340" s="420">
        <f t="shared" si="74"/>
        <v>1</v>
      </c>
      <c r="AG340" s="420">
        <f t="shared" si="74"/>
        <v>1</v>
      </c>
      <c r="AH340" s="420">
        <f t="shared" si="74"/>
        <v>1</v>
      </c>
      <c r="AI340" s="420">
        <f t="shared" si="74"/>
        <v>1</v>
      </c>
      <c r="AJ340" s="408">
        <f t="shared" si="76"/>
        <v>10.750809061488674</v>
      </c>
    </row>
    <row r="341" spans="1:36" s="229" customFormat="1">
      <c r="A341" s="231" t="str">
        <f t="shared" si="77"/>
        <v>PIERCE UTCCommercial RecycleSL096.0G1W001SCMGLIN</v>
      </c>
      <c r="B341" s="243" t="s">
        <v>738</v>
      </c>
      <c r="C341" s="243" t="s">
        <v>1077</v>
      </c>
      <c r="D341" s="243"/>
      <c r="E341" s="230"/>
      <c r="F341" s="244">
        <f t="shared" si="73"/>
        <v>13.03</v>
      </c>
      <c r="G341" s="244">
        <v>13.03</v>
      </c>
      <c r="H341" s="244"/>
      <c r="I341" s="244">
        <v>23.69</v>
      </c>
      <c r="J341" s="244">
        <v>23.69</v>
      </c>
      <c r="K341" s="244">
        <v>23.69</v>
      </c>
      <c r="L341" s="244">
        <v>26.06</v>
      </c>
      <c r="M341" s="244">
        <v>26.06</v>
      </c>
      <c r="N341" s="244">
        <v>26.06</v>
      </c>
      <c r="O341" s="244">
        <v>26.06</v>
      </c>
      <c r="P341" s="244">
        <v>26.06</v>
      </c>
      <c r="Q341" s="244">
        <v>26.06</v>
      </c>
      <c r="R341" s="244">
        <v>26.06</v>
      </c>
      <c r="S341" s="244">
        <v>26.06</v>
      </c>
      <c r="T341" s="244">
        <v>0</v>
      </c>
      <c r="U341" s="244"/>
      <c r="V341" s="408">
        <f t="shared" si="75"/>
        <v>279.55</v>
      </c>
      <c r="W341" s="245"/>
      <c r="X341" s="420">
        <f t="shared" si="72"/>
        <v>1.8181120491174214</v>
      </c>
      <c r="Y341" s="421">
        <f t="shared" si="71"/>
        <v>1.8181120491174214</v>
      </c>
      <c r="Z341" s="421">
        <f t="shared" si="71"/>
        <v>1.8181120491174214</v>
      </c>
      <c r="AA341" s="420">
        <f t="shared" si="74"/>
        <v>2</v>
      </c>
      <c r="AB341" s="420">
        <f t="shared" si="74"/>
        <v>2</v>
      </c>
      <c r="AC341" s="420">
        <f t="shared" si="74"/>
        <v>2</v>
      </c>
      <c r="AD341" s="420">
        <f t="shared" si="74"/>
        <v>2</v>
      </c>
      <c r="AE341" s="420">
        <f t="shared" si="74"/>
        <v>2</v>
      </c>
      <c r="AF341" s="420">
        <f t="shared" si="74"/>
        <v>2</v>
      </c>
      <c r="AG341" s="420">
        <f t="shared" si="74"/>
        <v>2</v>
      </c>
      <c r="AH341" s="420">
        <f t="shared" si="74"/>
        <v>2</v>
      </c>
      <c r="AI341" s="420">
        <f t="shared" si="74"/>
        <v>0</v>
      </c>
      <c r="AJ341" s="408">
        <f t="shared" si="76"/>
        <v>21.454336147352265</v>
      </c>
    </row>
    <row r="342" spans="1:36" s="229" customFormat="1">
      <c r="A342" s="231" t="str">
        <f t="shared" si="77"/>
        <v>PIERCE UTCCommercial RecycleSP4CMGL-COM</v>
      </c>
      <c r="B342" s="243" t="s">
        <v>739</v>
      </c>
      <c r="C342" s="243" t="s">
        <v>1078</v>
      </c>
      <c r="D342" s="243"/>
      <c r="E342" s="230"/>
      <c r="F342" s="244">
        <f t="shared" si="73"/>
        <v>43.26</v>
      </c>
      <c r="G342" s="244">
        <v>43.26</v>
      </c>
      <c r="H342" s="244"/>
      <c r="I342" s="244">
        <v>0</v>
      </c>
      <c r="J342" s="244">
        <v>0</v>
      </c>
      <c r="K342" s="244">
        <v>0</v>
      </c>
      <c r="L342" s="244">
        <v>0</v>
      </c>
      <c r="M342" s="244">
        <v>0</v>
      </c>
      <c r="N342" s="244">
        <v>43.26</v>
      </c>
      <c r="O342" s="244">
        <v>0</v>
      </c>
      <c r="P342" s="244">
        <v>86.52</v>
      </c>
      <c r="Q342" s="244">
        <v>0</v>
      </c>
      <c r="R342" s="244">
        <v>0</v>
      </c>
      <c r="S342" s="244">
        <v>0</v>
      </c>
      <c r="T342" s="244">
        <v>0</v>
      </c>
      <c r="U342" s="244"/>
      <c r="V342" s="408">
        <f t="shared" si="75"/>
        <v>129.78</v>
      </c>
      <c r="W342" s="245"/>
      <c r="X342" s="420">
        <f t="shared" si="72"/>
        <v>0</v>
      </c>
      <c r="Y342" s="421">
        <f t="shared" si="71"/>
        <v>0</v>
      </c>
      <c r="Z342" s="421">
        <f t="shared" si="71"/>
        <v>0</v>
      </c>
      <c r="AA342" s="420">
        <f t="shared" si="74"/>
        <v>0</v>
      </c>
      <c r="AB342" s="420">
        <f t="shared" si="74"/>
        <v>0</v>
      </c>
      <c r="AC342" s="420">
        <f t="shared" si="74"/>
        <v>1</v>
      </c>
      <c r="AD342" s="420">
        <f t="shared" si="74"/>
        <v>0</v>
      </c>
      <c r="AE342" s="420">
        <f t="shared" si="74"/>
        <v>2</v>
      </c>
      <c r="AF342" s="420">
        <f t="shared" si="74"/>
        <v>0</v>
      </c>
      <c r="AG342" s="420">
        <f t="shared" si="74"/>
        <v>0</v>
      </c>
      <c r="AH342" s="420">
        <f t="shared" si="74"/>
        <v>0</v>
      </c>
      <c r="AI342" s="420">
        <f t="shared" si="74"/>
        <v>0</v>
      </c>
      <c r="AJ342" s="408">
        <f t="shared" si="76"/>
        <v>3</v>
      </c>
    </row>
    <row r="343" spans="1:36" s="229" customFormat="1">
      <c r="A343" s="231" t="str">
        <f t="shared" si="77"/>
        <v>PIERCE UTCCommercial RecycleSP4SCMGL-COM</v>
      </c>
      <c r="B343" s="243" t="s">
        <v>740</v>
      </c>
      <c r="C343" s="243" t="s">
        <v>1079</v>
      </c>
      <c r="D343" s="243"/>
      <c r="E343" s="230"/>
      <c r="F343" s="244">
        <f t="shared" si="73"/>
        <v>41.2</v>
      </c>
      <c r="G343" s="244">
        <v>41.2</v>
      </c>
      <c r="H343" s="244"/>
      <c r="I343" s="244">
        <v>0</v>
      </c>
      <c r="J343" s="244">
        <v>0</v>
      </c>
      <c r="K343" s="244">
        <v>0</v>
      </c>
      <c r="L343" s="244">
        <v>0</v>
      </c>
      <c r="M343" s="244">
        <v>0</v>
      </c>
      <c r="N343" s="244">
        <v>0</v>
      </c>
      <c r="O343" s="244">
        <v>0</v>
      </c>
      <c r="P343" s="244">
        <v>41.2</v>
      </c>
      <c r="Q343" s="244">
        <v>0</v>
      </c>
      <c r="R343" s="244">
        <v>0</v>
      </c>
      <c r="S343" s="244">
        <v>0</v>
      </c>
      <c r="T343" s="244">
        <v>0</v>
      </c>
      <c r="U343" s="244"/>
      <c r="V343" s="408">
        <f t="shared" si="75"/>
        <v>41.2</v>
      </c>
      <c r="W343" s="245"/>
      <c r="X343" s="420">
        <f t="shared" si="72"/>
        <v>0</v>
      </c>
      <c r="Y343" s="421">
        <f t="shared" si="71"/>
        <v>0</v>
      </c>
      <c r="Z343" s="421">
        <f t="shared" si="71"/>
        <v>0</v>
      </c>
      <c r="AA343" s="420">
        <f t="shared" si="74"/>
        <v>0</v>
      </c>
      <c r="AB343" s="420">
        <f t="shared" si="74"/>
        <v>0</v>
      </c>
      <c r="AC343" s="420">
        <f t="shared" si="74"/>
        <v>0</v>
      </c>
      <c r="AD343" s="420">
        <f t="shared" si="74"/>
        <v>0</v>
      </c>
      <c r="AE343" s="420">
        <f t="shared" si="74"/>
        <v>1</v>
      </c>
      <c r="AF343" s="420">
        <f t="shared" si="74"/>
        <v>0</v>
      </c>
      <c r="AG343" s="420">
        <f t="shared" si="74"/>
        <v>0</v>
      </c>
      <c r="AH343" s="420">
        <f t="shared" si="74"/>
        <v>0</v>
      </c>
      <c r="AI343" s="420">
        <f t="shared" si="74"/>
        <v>0</v>
      </c>
      <c r="AJ343" s="408">
        <f t="shared" si="76"/>
        <v>1</v>
      </c>
    </row>
    <row r="344" spans="1:36" s="229" customFormat="1">
      <c r="A344" s="231" t="str">
        <f>$A$3&amp;"SURC"&amp;B344</f>
        <v>PIERCE UTCSURCCOMMODITY SURCHARGE</v>
      </c>
      <c r="B344" s="243" t="s">
        <v>741</v>
      </c>
      <c r="C344" s="243" t="s">
        <v>741</v>
      </c>
      <c r="D344" s="243"/>
      <c r="E344" s="230"/>
      <c r="F344" s="244">
        <v>0</v>
      </c>
      <c r="G344" s="244">
        <v>0</v>
      </c>
      <c r="H344" s="244"/>
      <c r="I344" s="244">
        <v>6053.39</v>
      </c>
      <c r="J344" s="244">
        <v>6601.2</v>
      </c>
      <c r="K344" s="244">
        <v>7467.8</v>
      </c>
      <c r="L344" s="244">
        <v>8655.2599999999984</v>
      </c>
      <c r="M344" s="244">
        <v>9176.76</v>
      </c>
      <c r="N344" s="244">
        <v>9633.3700000000008</v>
      </c>
      <c r="O344" s="244">
        <v>9606.85</v>
      </c>
      <c r="P344" s="244">
        <v>8521.7199999999993</v>
      </c>
      <c r="Q344" s="244">
        <v>8991.1799999999985</v>
      </c>
      <c r="R344" s="244">
        <v>10382.34</v>
      </c>
      <c r="S344" s="244">
        <v>10174.43</v>
      </c>
      <c r="T344" s="244">
        <v>10605.62</v>
      </c>
      <c r="U344" s="244"/>
      <c r="V344" s="408">
        <f t="shared" si="75"/>
        <v>105869.91999999998</v>
      </c>
      <c r="W344" s="245"/>
      <c r="X344" s="420">
        <f t="shared" si="72"/>
        <v>0</v>
      </c>
      <c r="Y344" s="421">
        <f t="shared" si="71"/>
        <v>0</v>
      </c>
      <c r="Z344" s="421">
        <f t="shared" si="71"/>
        <v>0</v>
      </c>
      <c r="AA344" s="420">
        <f t="shared" si="74"/>
        <v>0</v>
      </c>
      <c r="AB344" s="420">
        <f t="shared" si="74"/>
        <v>0</v>
      </c>
      <c r="AC344" s="420">
        <f t="shared" si="74"/>
        <v>0</v>
      </c>
      <c r="AD344" s="420">
        <f t="shared" si="74"/>
        <v>0</v>
      </c>
      <c r="AE344" s="420">
        <f t="shared" si="74"/>
        <v>0</v>
      </c>
      <c r="AF344" s="420">
        <f t="shared" si="74"/>
        <v>0</v>
      </c>
      <c r="AG344" s="420">
        <f t="shared" si="74"/>
        <v>0</v>
      </c>
      <c r="AH344" s="420">
        <f t="shared" si="74"/>
        <v>0</v>
      </c>
      <c r="AI344" s="420">
        <f t="shared" si="74"/>
        <v>0</v>
      </c>
      <c r="AJ344" s="408">
        <f t="shared" si="76"/>
        <v>0</v>
      </c>
    </row>
    <row r="345" spans="1:36" s="229" customFormat="1">
      <c r="B345" s="243"/>
      <c r="C345" s="243"/>
      <c r="D345" s="243"/>
      <c r="E345" s="230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408"/>
      <c r="W345" s="246"/>
      <c r="X345" s="420"/>
      <c r="Y345" s="421"/>
      <c r="Z345" s="421"/>
      <c r="AA345" s="420"/>
      <c r="AB345" s="420"/>
      <c r="AC345" s="420"/>
      <c r="AD345" s="420"/>
      <c r="AE345" s="420"/>
      <c r="AF345" s="420"/>
      <c r="AG345" s="420"/>
      <c r="AH345" s="420"/>
      <c r="AI345" s="420"/>
      <c r="AJ345" s="421"/>
    </row>
    <row r="346" spans="1:36">
      <c r="B346" s="243"/>
      <c r="C346" s="248" t="s">
        <v>742</v>
      </c>
      <c r="D346" s="243"/>
      <c r="F346" s="244"/>
      <c r="G346" s="244"/>
      <c r="H346" s="249"/>
      <c r="I346" s="250">
        <f>SUM(I271:I344)</f>
        <v>74766.62000000001</v>
      </c>
      <c r="J346" s="250">
        <f t="shared" ref="J346:T346" si="78">SUM(J271:J344)</f>
        <v>74739.070000000022</v>
      </c>
      <c r="K346" s="250">
        <f t="shared" si="78"/>
        <v>76576.380000000019</v>
      </c>
      <c r="L346" s="250">
        <f t="shared" si="78"/>
        <v>85433.900000000009</v>
      </c>
      <c r="M346" s="250">
        <f t="shared" si="78"/>
        <v>86768.45</v>
      </c>
      <c r="N346" s="250">
        <f t="shared" si="78"/>
        <v>89943.87999999999</v>
      </c>
      <c r="O346" s="250">
        <f t="shared" si="78"/>
        <v>91429.779999999984</v>
      </c>
      <c r="P346" s="250">
        <f t="shared" si="78"/>
        <v>81791.269999999975</v>
      </c>
      <c r="Q346" s="250">
        <f t="shared" si="78"/>
        <v>86551.609999999986</v>
      </c>
      <c r="R346" s="250">
        <f t="shared" si="78"/>
        <v>95027.35000000002</v>
      </c>
      <c r="S346" s="250">
        <f t="shared" si="78"/>
        <v>92165.790000000008</v>
      </c>
      <c r="T346" s="250">
        <f t="shared" si="78"/>
        <v>94359.949999999983</v>
      </c>
      <c r="U346" s="250"/>
      <c r="V346" s="413">
        <f>SUM(V271:V344)</f>
        <v>1029554.0499999998</v>
      </c>
      <c r="W346" s="251"/>
      <c r="X346" s="420">
        <f>+SUM(X273:X294,X298:X313)</f>
        <v>1472.8801417336745</v>
      </c>
      <c r="Y346" s="420">
        <f t="shared" ref="Y346:AI346" si="79">+SUM(Y273:Y294,Y298:Y313)</f>
        <v>1443.884897105117</v>
      </c>
      <c r="Z346" s="420">
        <f t="shared" si="79"/>
        <v>1444.7587944312827</v>
      </c>
      <c r="AA346" s="420">
        <f t="shared" si="79"/>
        <v>2154.9865417506153</v>
      </c>
      <c r="AB346" s="420">
        <f t="shared" si="79"/>
        <v>2181.7687796462174</v>
      </c>
      <c r="AC346" s="420">
        <f t="shared" si="79"/>
        <v>2256.8399236316459</v>
      </c>
      <c r="AD346" s="420">
        <f t="shared" si="79"/>
        <v>2269.2387875726135</v>
      </c>
      <c r="AE346" s="420">
        <f t="shared" si="79"/>
        <v>1622.4370319534439</v>
      </c>
      <c r="AF346" s="420">
        <f t="shared" si="79"/>
        <v>1816.6244476362065</v>
      </c>
      <c r="AG346" s="420">
        <f t="shared" si="79"/>
        <v>2315.402425655117</v>
      </c>
      <c r="AH346" s="420">
        <f t="shared" si="79"/>
        <v>2271.3697590609413</v>
      </c>
      <c r="AI346" s="420">
        <f t="shared" si="79"/>
        <v>2321.1374026182971</v>
      </c>
      <c r="AJ346" s="408">
        <f t="shared" ref="AJ346" si="80">SUM(X346:AI346)</f>
        <v>23571.328932795172</v>
      </c>
    </row>
    <row r="347" spans="1:36">
      <c r="F347" s="244"/>
      <c r="G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W347" s="268"/>
      <c r="Z347" s="421"/>
    </row>
    <row r="348" spans="1:36">
      <c r="F348" s="244"/>
      <c r="G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Z348" s="421"/>
    </row>
    <row r="349" spans="1:36" s="255" customFormat="1">
      <c r="B349" s="228" t="s">
        <v>743</v>
      </c>
      <c r="C349" s="228"/>
      <c r="D349" s="228"/>
      <c r="E349" s="236"/>
      <c r="F349" s="244"/>
      <c r="G349" s="244"/>
      <c r="H349" s="228"/>
      <c r="I349" s="259">
        <f>+I346+I263+I257</f>
        <v>723901.61</v>
      </c>
      <c r="J349" s="259">
        <f t="shared" ref="J349:T349" si="81">+J346+J263+J257</f>
        <v>727419.57499999972</v>
      </c>
      <c r="K349" s="259">
        <f t="shared" si="81"/>
        <v>719367.78500000015</v>
      </c>
      <c r="L349" s="259">
        <f t="shared" si="81"/>
        <v>762111.39000000025</v>
      </c>
      <c r="M349" s="259">
        <f t="shared" si="81"/>
        <v>767567.35999999975</v>
      </c>
      <c r="N349" s="259">
        <f t="shared" si="81"/>
        <v>780691.83000000054</v>
      </c>
      <c r="O349" s="259">
        <f t="shared" si="81"/>
        <v>786615.66999999993</v>
      </c>
      <c r="P349" s="259">
        <f t="shared" si="81"/>
        <v>768796.18</v>
      </c>
      <c r="Q349" s="259">
        <f t="shared" si="81"/>
        <v>772012.19999999972</v>
      </c>
      <c r="R349" s="259">
        <f t="shared" si="81"/>
        <v>790316.86000000022</v>
      </c>
      <c r="S349" s="259">
        <f t="shared" si="81"/>
        <v>799551.50999999978</v>
      </c>
      <c r="T349" s="259">
        <f t="shared" si="81"/>
        <v>781030.92000000062</v>
      </c>
      <c r="U349" s="259"/>
      <c r="V349" s="408">
        <f>+V346+V263+V257+V267</f>
        <v>9216779.7999999952</v>
      </c>
      <c r="W349" s="269"/>
      <c r="X349" s="420"/>
      <c r="Y349" s="421"/>
      <c r="Z349" s="421"/>
      <c r="AA349" s="420"/>
      <c r="AB349" s="420"/>
      <c r="AC349" s="420"/>
      <c r="AD349" s="420"/>
      <c r="AE349" s="420"/>
      <c r="AF349" s="420"/>
      <c r="AG349" s="420"/>
      <c r="AH349" s="420"/>
      <c r="AI349" s="420"/>
      <c r="AJ349" s="427"/>
    </row>
    <row r="350" spans="1:36" s="255" customFormat="1">
      <c r="B350" s="228"/>
      <c r="C350" s="228"/>
      <c r="D350" s="228"/>
      <c r="E350" s="236"/>
      <c r="F350" s="244"/>
      <c r="G350" s="244"/>
      <c r="H350" s="261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408"/>
      <c r="W350" s="270"/>
      <c r="X350" s="420"/>
      <c r="Y350" s="421"/>
      <c r="Z350" s="421"/>
      <c r="AA350" s="420"/>
      <c r="AB350" s="420"/>
      <c r="AC350" s="420"/>
      <c r="AD350" s="420"/>
      <c r="AE350" s="420"/>
      <c r="AF350" s="420"/>
      <c r="AG350" s="420"/>
      <c r="AH350" s="420"/>
      <c r="AI350" s="420"/>
      <c r="AJ350" s="427"/>
    </row>
    <row r="351" spans="1:36" s="255" customFormat="1">
      <c r="B351" s="228"/>
      <c r="C351" s="228"/>
      <c r="D351" s="228"/>
      <c r="E351" s="236"/>
      <c r="F351" s="244"/>
      <c r="G351" s="244"/>
      <c r="H351" s="261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408"/>
      <c r="W351" s="271"/>
      <c r="X351" s="420"/>
      <c r="Y351" s="421"/>
      <c r="Z351" s="421"/>
      <c r="AA351" s="420"/>
      <c r="AB351" s="420"/>
      <c r="AC351" s="420"/>
      <c r="AD351" s="420"/>
      <c r="AE351" s="420"/>
      <c r="AF351" s="420"/>
      <c r="AG351" s="420"/>
      <c r="AH351" s="420"/>
      <c r="AI351" s="420"/>
      <c r="AJ351" s="427"/>
    </row>
    <row r="352" spans="1:36">
      <c r="F352" s="244"/>
      <c r="G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Z352" s="421"/>
    </row>
    <row r="353" spans="1:36">
      <c r="B353" s="239" t="s">
        <v>153</v>
      </c>
      <c r="C353" s="239"/>
      <c r="D353" s="239"/>
      <c r="F353" s="244"/>
      <c r="G353" s="244"/>
      <c r="H353" s="240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W353" s="265"/>
      <c r="Z353" s="421"/>
    </row>
    <row r="354" spans="1:36">
      <c r="B354" s="239"/>
      <c r="C354" s="239"/>
      <c r="D354" s="239"/>
      <c r="F354" s="244"/>
      <c r="G354" s="244"/>
      <c r="H354" s="240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W354" s="265"/>
      <c r="Z354" s="421"/>
    </row>
    <row r="355" spans="1:36">
      <c r="B355" s="252" t="s">
        <v>154</v>
      </c>
      <c r="C355" s="243"/>
      <c r="D355" s="243"/>
      <c r="F355" s="244"/>
      <c r="G355" s="244"/>
      <c r="H355" s="272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W355" s="272"/>
      <c r="Z355" s="421"/>
    </row>
    <row r="356" spans="1:36">
      <c r="A356" s="231" t="str">
        <f>$A$3&amp;"Rolloff"&amp;B356</f>
        <v>PIERCE UTCRolloffHAUL15-RO</v>
      </c>
      <c r="B356" s="243" t="s">
        <v>744</v>
      </c>
      <c r="C356" s="243" t="s">
        <v>745</v>
      </c>
      <c r="D356" s="243" t="s">
        <v>746</v>
      </c>
      <c r="E356" s="230">
        <v>31000</v>
      </c>
      <c r="F356" s="244">
        <v>0</v>
      </c>
      <c r="G356" s="244">
        <v>0</v>
      </c>
      <c r="H356" s="244"/>
      <c r="I356" s="244">
        <v>0</v>
      </c>
      <c r="J356" s="244">
        <v>0</v>
      </c>
      <c r="K356" s="244">
        <v>0</v>
      </c>
      <c r="L356" s="244">
        <v>0</v>
      </c>
      <c r="M356" s="244">
        <v>0</v>
      </c>
      <c r="N356" s="244">
        <v>0</v>
      </c>
      <c r="O356" s="244">
        <v>0</v>
      </c>
      <c r="P356" s="244">
        <v>0</v>
      </c>
      <c r="Q356" s="244">
        <v>0</v>
      </c>
      <c r="R356" s="244">
        <v>0</v>
      </c>
      <c r="S356" s="244">
        <v>0</v>
      </c>
      <c r="T356" s="244">
        <v>0</v>
      </c>
      <c r="U356" s="244"/>
      <c r="V356" s="408">
        <f>SUM(J356:T356)</f>
        <v>0</v>
      </c>
      <c r="W356" s="245"/>
      <c r="X356" s="420">
        <f t="shared" ref="X356:Z402" si="82">IFERROR(I356/$F356,0)</f>
        <v>0</v>
      </c>
      <c r="Y356" s="421">
        <f t="shared" si="82"/>
        <v>0</v>
      </c>
      <c r="Z356" s="421">
        <f t="shared" si="82"/>
        <v>0</v>
      </c>
      <c r="AA356" s="420">
        <f t="shared" ref="AA356:AI384" si="83">IFERROR(L356/$G356,0)</f>
        <v>0</v>
      </c>
      <c r="AB356" s="420">
        <f t="shared" si="83"/>
        <v>0</v>
      </c>
      <c r="AC356" s="420">
        <f t="shared" si="83"/>
        <v>0</v>
      </c>
      <c r="AD356" s="420">
        <f t="shared" si="83"/>
        <v>0</v>
      </c>
      <c r="AE356" s="420">
        <f t="shared" si="83"/>
        <v>0</v>
      </c>
      <c r="AF356" s="420">
        <f t="shared" si="83"/>
        <v>0</v>
      </c>
      <c r="AG356" s="420">
        <f t="shared" si="83"/>
        <v>0</v>
      </c>
      <c r="AH356" s="420">
        <f t="shared" si="83"/>
        <v>0</v>
      </c>
      <c r="AI356" s="420">
        <f t="shared" si="83"/>
        <v>0</v>
      </c>
    </row>
    <row r="357" spans="1:36">
      <c r="A357" s="231" t="str">
        <f t="shared" ref="A357:A402" si="84">$A$3&amp;"Rolloff"&amp;B357</f>
        <v>PIERCE UTCRolloffHAUL20-RO</v>
      </c>
      <c r="B357" s="243" t="s">
        <v>747</v>
      </c>
      <c r="C357" s="243" t="s">
        <v>748</v>
      </c>
      <c r="D357" s="243" t="s">
        <v>746</v>
      </c>
      <c r="E357" s="230">
        <v>31000</v>
      </c>
      <c r="F357" s="244">
        <v>152</v>
      </c>
      <c r="G357" s="244">
        <v>152</v>
      </c>
      <c r="H357" s="244"/>
      <c r="I357" s="244">
        <v>9880</v>
      </c>
      <c r="J357" s="244">
        <v>13832</v>
      </c>
      <c r="K357" s="244">
        <v>8968</v>
      </c>
      <c r="L357" s="244">
        <v>11096</v>
      </c>
      <c r="M357" s="244">
        <v>12160</v>
      </c>
      <c r="N357" s="244">
        <v>12920</v>
      </c>
      <c r="O357" s="244">
        <v>12160</v>
      </c>
      <c r="P357" s="244">
        <v>12616</v>
      </c>
      <c r="Q357" s="244">
        <v>13832</v>
      </c>
      <c r="R357" s="244">
        <v>12920</v>
      </c>
      <c r="S357" s="244">
        <v>12312</v>
      </c>
      <c r="T357" s="244">
        <v>10032</v>
      </c>
      <c r="U357" s="244"/>
      <c r="V357" s="408">
        <f t="shared" ref="V357:V402" si="85">SUM(I357:T357)</f>
        <v>142728</v>
      </c>
      <c r="W357" s="245"/>
      <c r="X357" s="420">
        <f t="shared" si="82"/>
        <v>65</v>
      </c>
      <c r="Y357" s="421">
        <f t="shared" si="82"/>
        <v>91</v>
      </c>
      <c r="Z357" s="421">
        <f t="shared" si="82"/>
        <v>59</v>
      </c>
      <c r="AA357" s="420">
        <f t="shared" si="83"/>
        <v>73</v>
      </c>
      <c r="AB357" s="420">
        <f t="shared" si="83"/>
        <v>80</v>
      </c>
      <c r="AC357" s="420">
        <f t="shared" si="83"/>
        <v>85</v>
      </c>
      <c r="AD357" s="420">
        <f t="shared" si="83"/>
        <v>80</v>
      </c>
      <c r="AE357" s="420">
        <f t="shared" si="83"/>
        <v>83</v>
      </c>
      <c r="AF357" s="420">
        <f t="shared" si="83"/>
        <v>91</v>
      </c>
      <c r="AG357" s="420">
        <f t="shared" si="83"/>
        <v>85</v>
      </c>
      <c r="AH357" s="420">
        <f t="shared" si="83"/>
        <v>81</v>
      </c>
      <c r="AI357" s="420">
        <f t="shared" si="83"/>
        <v>66</v>
      </c>
      <c r="AJ357" s="408">
        <f t="shared" ref="AJ357:AJ402" si="86">SUM(X357:AI357)</f>
        <v>939</v>
      </c>
    </row>
    <row r="358" spans="1:36">
      <c r="A358" s="231" t="str">
        <f t="shared" si="84"/>
        <v>PIERCE UTCRolloffHAUL30-RO</v>
      </c>
      <c r="B358" s="243" t="s">
        <v>749</v>
      </c>
      <c r="C358" s="243" t="s">
        <v>750</v>
      </c>
      <c r="D358" s="243" t="s">
        <v>746</v>
      </c>
      <c r="E358" s="230">
        <v>31000</v>
      </c>
      <c r="F358" s="244">
        <v>159</v>
      </c>
      <c r="G358" s="244">
        <v>159</v>
      </c>
      <c r="H358" s="244"/>
      <c r="I358" s="244">
        <v>8109</v>
      </c>
      <c r="J358" s="244">
        <v>11289</v>
      </c>
      <c r="K358" s="244">
        <v>8427</v>
      </c>
      <c r="L358" s="244">
        <v>11130</v>
      </c>
      <c r="M358" s="244">
        <v>9540</v>
      </c>
      <c r="N358" s="244">
        <v>11448</v>
      </c>
      <c r="O358" s="244">
        <v>10971</v>
      </c>
      <c r="P358" s="244">
        <v>11766</v>
      </c>
      <c r="Q358" s="244">
        <v>12084</v>
      </c>
      <c r="R358" s="244">
        <v>12720</v>
      </c>
      <c r="S358" s="244">
        <v>12879</v>
      </c>
      <c r="T358" s="244">
        <v>9540</v>
      </c>
      <c r="U358" s="244"/>
      <c r="V358" s="408">
        <f t="shared" si="85"/>
        <v>129903</v>
      </c>
      <c r="W358" s="245"/>
      <c r="X358" s="420">
        <f t="shared" si="82"/>
        <v>51</v>
      </c>
      <c r="Y358" s="421">
        <f t="shared" si="82"/>
        <v>71</v>
      </c>
      <c r="Z358" s="421">
        <f t="shared" si="82"/>
        <v>53</v>
      </c>
      <c r="AA358" s="420">
        <f t="shared" si="83"/>
        <v>70</v>
      </c>
      <c r="AB358" s="420">
        <f t="shared" si="83"/>
        <v>60</v>
      </c>
      <c r="AC358" s="420">
        <f t="shared" si="83"/>
        <v>72</v>
      </c>
      <c r="AD358" s="420">
        <f t="shared" si="83"/>
        <v>69</v>
      </c>
      <c r="AE358" s="420">
        <f t="shared" si="83"/>
        <v>74</v>
      </c>
      <c r="AF358" s="420">
        <f t="shared" si="83"/>
        <v>76</v>
      </c>
      <c r="AG358" s="420">
        <f t="shared" si="83"/>
        <v>80</v>
      </c>
      <c r="AH358" s="420">
        <f t="shared" si="83"/>
        <v>81</v>
      </c>
      <c r="AI358" s="420">
        <f t="shared" si="83"/>
        <v>60</v>
      </c>
      <c r="AJ358" s="408">
        <f t="shared" si="86"/>
        <v>817</v>
      </c>
    </row>
    <row r="359" spans="1:36">
      <c r="A359" s="231" t="str">
        <f t="shared" si="84"/>
        <v>PIERCE UTCRolloffHAUL40-RO</v>
      </c>
      <c r="B359" s="243" t="s">
        <v>751</v>
      </c>
      <c r="C359" s="243" t="s">
        <v>752</v>
      </c>
      <c r="D359" s="243" t="s">
        <v>746</v>
      </c>
      <c r="E359" s="230">
        <v>31000</v>
      </c>
      <c r="F359" s="244">
        <v>165</v>
      </c>
      <c r="G359" s="244">
        <v>165</v>
      </c>
      <c r="H359" s="244"/>
      <c r="I359" s="244">
        <v>20130</v>
      </c>
      <c r="J359" s="244">
        <v>23925</v>
      </c>
      <c r="K359" s="244">
        <v>20790</v>
      </c>
      <c r="L359" s="244">
        <v>28050</v>
      </c>
      <c r="M359" s="244">
        <v>27555</v>
      </c>
      <c r="N359" s="244">
        <v>28380</v>
      </c>
      <c r="O359" s="244">
        <v>26730</v>
      </c>
      <c r="P359" s="244">
        <v>29700</v>
      </c>
      <c r="Q359" s="244">
        <v>28380</v>
      </c>
      <c r="R359" s="244">
        <v>29370</v>
      </c>
      <c r="S359" s="244">
        <v>29535</v>
      </c>
      <c r="T359" s="244">
        <v>24585</v>
      </c>
      <c r="U359" s="244"/>
      <c r="V359" s="408">
        <f t="shared" si="85"/>
        <v>317130</v>
      </c>
      <c r="W359" s="245"/>
      <c r="X359" s="420">
        <f t="shared" si="82"/>
        <v>122</v>
      </c>
      <c r="Y359" s="421">
        <f t="shared" si="82"/>
        <v>145</v>
      </c>
      <c r="Z359" s="421">
        <f t="shared" si="82"/>
        <v>126</v>
      </c>
      <c r="AA359" s="420">
        <f t="shared" si="83"/>
        <v>170</v>
      </c>
      <c r="AB359" s="420">
        <f t="shared" si="83"/>
        <v>167</v>
      </c>
      <c r="AC359" s="420">
        <f t="shared" si="83"/>
        <v>172</v>
      </c>
      <c r="AD359" s="420">
        <f t="shared" si="83"/>
        <v>162</v>
      </c>
      <c r="AE359" s="420">
        <f t="shared" si="83"/>
        <v>180</v>
      </c>
      <c r="AF359" s="420">
        <f t="shared" si="83"/>
        <v>172</v>
      </c>
      <c r="AG359" s="420">
        <f t="shared" si="83"/>
        <v>178</v>
      </c>
      <c r="AH359" s="420">
        <f t="shared" si="83"/>
        <v>179</v>
      </c>
      <c r="AI359" s="420">
        <f t="shared" si="83"/>
        <v>149</v>
      </c>
      <c r="AJ359" s="408">
        <f t="shared" si="86"/>
        <v>1922</v>
      </c>
    </row>
    <row r="360" spans="1:36">
      <c r="A360" s="231" t="str">
        <f t="shared" si="84"/>
        <v>PIERCE UTCRolloffHAUL20CUST-RO</v>
      </c>
      <c r="B360" s="243" t="s">
        <v>753</v>
      </c>
      <c r="C360" s="243"/>
      <c r="D360" s="243"/>
      <c r="F360" s="244">
        <v>152</v>
      </c>
      <c r="G360" s="244">
        <v>152</v>
      </c>
      <c r="H360" s="244"/>
      <c r="I360" s="244">
        <v>304</v>
      </c>
      <c r="J360" s="244">
        <v>304</v>
      </c>
      <c r="K360" s="244">
        <v>304</v>
      </c>
      <c r="L360" s="244">
        <v>152</v>
      </c>
      <c r="M360" s="244">
        <v>456</v>
      </c>
      <c r="N360" s="244">
        <v>456</v>
      </c>
      <c r="O360" s="244">
        <v>456</v>
      </c>
      <c r="P360" s="244">
        <v>304</v>
      </c>
      <c r="Q360" s="244">
        <v>608</v>
      </c>
      <c r="R360" s="244">
        <v>456</v>
      </c>
      <c r="S360" s="244">
        <v>608</v>
      </c>
      <c r="T360" s="244">
        <v>760</v>
      </c>
      <c r="U360" s="244"/>
      <c r="V360" s="408">
        <f t="shared" si="85"/>
        <v>5168</v>
      </c>
      <c r="W360" s="245"/>
      <c r="X360" s="420">
        <f t="shared" si="82"/>
        <v>2</v>
      </c>
      <c r="Y360" s="421">
        <f t="shared" si="82"/>
        <v>2</v>
      </c>
      <c r="Z360" s="421">
        <f t="shared" si="82"/>
        <v>2</v>
      </c>
      <c r="AA360" s="420">
        <f t="shared" si="83"/>
        <v>1</v>
      </c>
      <c r="AB360" s="420">
        <f t="shared" si="83"/>
        <v>3</v>
      </c>
      <c r="AC360" s="420">
        <f t="shared" si="83"/>
        <v>3</v>
      </c>
      <c r="AD360" s="420">
        <f t="shared" si="83"/>
        <v>3</v>
      </c>
      <c r="AE360" s="420">
        <f t="shared" si="83"/>
        <v>2</v>
      </c>
      <c r="AF360" s="420">
        <f t="shared" si="83"/>
        <v>4</v>
      </c>
      <c r="AG360" s="420">
        <f t="shared" si="83"/>
        <v>3</v>
      </c>
      <c r="AH360" s="420">
        <f t="shared" si="83"/>
        <v>4</v>
      </c>
      <c r="AI360" s="420">
        <f t="shared" si="83"/>
        <v>5</v>
      </c>
      <c r="AJ360" s="408">
        <f t="shared" si="86"/>
        <v>34</v>
      </c>
    </row>
    <row r="361" spans="1:36">
      <c r="A361" s="231" t="str">
        <f t="shared" si="84"/>
        <v>PIERCE UTCRolloffHAUL30CUST-RO</v>
      </c>
      <c r="B361" s="243" t="s">
        <v>754</v>
      </c>
      <c r="C361" s="243"/>
      <c r="D361" s="243"/>
      <c r="F361" s="244">
        <v>159</v>
      </c>
      <c r="G361" s="244">
        <v>159</v>
      </c>
      <c r="H361" s="244"/>
      <c r="I361" s="244">
        <v>0</v>
      </c>
      <c r="J361" s="244">
        <v>0</v>
      </c>
      <c r="K361" s="244">
        <v>0</v>
      </c>
      <c r="L361" s="244">
        <v>0</v>
      </c>
      <c r="M361" s="244">
        <v>0</v>
      </c>
      <c r="N361" s="244">
        <v>0</v>
      </c>
      <c r="O361" s="244">
        <v>0</v>
      </c>
      <c r="P361" s="244">
        <v>0</v>
      </c>
      <c r="Q361" s="244">
        <v>0</v>
      </c>
      <c r="R361" s="244">
        <v>0</v>
      </c>
      <c r="S361" s="244">
        <v>0</v>
      </c>
      <c r="T361" s="244">
        <v>0</v>
      </c>
      <c r="U361" s="244"/>
      <c r="V361" s="408">
        <f t="shared" si="85"/>
        <v>0</v>
      </c>
      <c r="W361" s="245"/>
      <c r="X361" s="420">
        <f t="shared" si="82"/>
        <v>0</v>
      </c>
      <c r="Y361" s="421">
        <f t="shared" si="82"/>
        <v>0</v>
      </c>
      <c r="Z361" s="421">
        <f t="shared" si="82"/>
        <v>0</v>
      </c>
      <c r="AA361" s="420">
        <f t="shared" si="83"/>
        <v>0</v>
      </c>
      <c r="AB361" s="420">
        <f t="shared" si="83"/>
        <v>0</v>
      </c>
      <c r="AC361" s="420">
        <f t="shared" si="83"/>
        <v>0</v>
      </c>
      <c r="AD361" s="420">
        <f t="shared" si="83"/>
        <v>0</v>
      </c>
      <c r="AE361" s="420">
        <f t="shared" si="83"/>
        <v>0</v>
      </c>
      <c r="AF361" s="420">
        <f t="shared" si="83"/>
        <v>0</v>
      </c>
      <c r="AG361" s="420">
        <f t="shared" si="83"/>
        <v>0</v>
      </c>
      <c r="AH361" s="420">
        <f t="shared" si="83"/>
        <v>0</v>
      </c>
      <c r="AI361" s="420">
        <f t="shared" si="83"/>
        <v>0</v>
      </c>
      <c r="AJ361" s="408">
        <f t="shared" si="86"/>
        <v>0</v>
      </c>
    </row>
    <row r="362" spans="1:36">
      <c r="A362" s="231" t="str">
        <f t="shared" si="84"/>
        <v>PIERCE UTCRolloffFINAL20-RO</v>
      </c>
      <c r="B362" s="243" t="s">
        <v>755</v>
      </c>
      <c r="C362" s="243" t="s">
        <v>756</v>
      </c>
      <c r="D362" s="243" t="s">
        <v>746</v>
      </c>
      <c r="E362" s="230">
        <v>31000</v>
      </c>
      <c r="F362" s="244">
        <v>152</v>
      </c>
      <c r="G362" s="244">
        <v>152</v>
      </c>
      <c r="H362" s="244"/>
      <c r="I362" s="244">
        <v>152</v>
      </c>
      <c r="J362" s="244">
        <v>456</v>
      </c>
      <c r="K362" s="244">
        <v>152</v>
      </c>
      <c r="L362" s="244">
        <v>152</v>
      </c>
      <c r="M362" s="244">
        <v>304</v>
      </c>
      <c r="N362" s="244">
        <v>152</v>
      </c>
      <c r="O362" s="244">
        <v>152</v>
      </c>
      <c r="P362" s="244">
        <v>152</v>
      </c>
      <c r="Q362" s="244">
        <v>760</v>
      </c>
      <c r="R362" s="244">
        <v>1064</v>
      </c>
      <c r="S362" s="244">
        <v>304</v>
      </c>
      <c r="T362" s="244">
        <v>152</v>
      </c>
      <c r="U362" s="244"/>
      <c r="V362" s="408">
        <f t="shared" si="85"/>
        <v>3952</v>
      </c>
      <c r="W362" s="245"/>
      <c r="X362" s="420">
        <f t="shared" si="82"/>
        <v>1</v>
      </c>
      <c r="Y362" s="421">
        <f t="shared" si="82"/>
        <v>3</v>
      </c>
      <c r="Z362" s="421">
        <f t="shared" si="82"/>
        <v>1</v>
      </c>
      <c r="AA362" s="420">
        <f t="shared" si="83"/>
        <v>1</v>
      </c>
      <c r="AB362" s="420">
        <f t="shared" si="83"/>
        <v>2</v>
      </c>
      <c r="AC362" s="420">
        <f t="shared" si="83"/>
        <v>1</v>
      </c>
      <c r="AD362" s="420">
        <f t="shared" si="83"/>
        <v>1</v>
      </c>
      <c r="AE362" s="420">
        <f t="shared" si="83"/>
        <v>1</v>
      </c>
      <c r="AF362" s="420">
        <f t="shared" si="83"/>
        <v>5</v>
      </c>
      <c r="AG362" s="420">
        <f t="shared" si="83"/>
        <v>7</v>
      </c>
      <c r="AH362" s="420">
        <f t="shared" si="83"/>
        <v>2</v>
      </c>
      <c r="AI362" s="420">
        <f t="shared" si="83"/>
        <v>1</v>
      </c>
      <c r="AJ362" s="408">
        <f t="shared" si="86"/>
        <v>26</v>
      </c>
    </row>
    <row r="363" spans="1:36">
      <c r="A363" s="231" t="str">
        <f t="shared" si="84"/>
        <v>PIERCE UTCRolloffFINAL30-RO</v>
      </c>
      <c r="B363" s="243" t="s">
        <v>757</v>
      </c>
      <c r="C363" s="243" t="s">
        <v>758</v>
      </c>
      <c r="D363" s="243" t="s">
        <v>746</v>
      </c>
      <c r="E363" s="230">
        <v>31000</v>
      </c>
      <c r="F363" s="244">
        <v>159</v>
      </c>
      <c r="G363" s="244">
        <v>159</v>
      </c>
      <c r="H363" s="244"/>
      <c r="I363" s="244">
        <v>159</v>
      </c>
      <c r="J363" s="244">
        <v>318</v>
      </c>
      <c r="K363" s="244">
        <v>159</v>
      </c>
      <c r="L363" s="244">
        <v>477</v>
      </c>
      <c r="M363" s="244">
        <v>0</v>
      </c>
      <c r="N363" s="244">
        <v>0</v>
      </c>
      <c r="O363" s="244">
        <v>0</v>
      </c>
      <c r="P363" s="244">
        <v>0</v>
      </c>
      <c r="Q363" s="244">
        <v>318</v>
      </c>
      <c r="R363" s="244">
        <v>318</v>
      </c>
      <c r="S363" s="244">
        <v>318</v>
      </c>
      <c r="T363" s="244">
        <v>159</v>
      </c>
      <c r="U363" s="244"/>
      <c r="V363" s="408">
        <f t="shared" si="85"/>
        <v>2226</v>
      </c>
      <c r="W363" s="245"/>
      <c r="X363" s="420">
        <f t="shared" si="82"/>
        <v>1</v>
      </c>
      <c r="Y363" s="421">
        <f t="shared" si="82"/>
        <v>2</v>
      </c>
      <c r="Z363" s="421">
        <f t="shared" si="82"/>
        <v>1</v>
      </c>
      <c r="AA363" s="420">
        <f t="shared" si="83"/>
        <v>3</v>
      </c>
      <c r="AB363" s="420">
        <f t="shared" si="83"/>
        <v>0</v>
      </c>
      <c r="AC363" s="420">
        <f t="shared" si="83"/>
        <v>0</v>
      </c>
      <c r="AD363" s="420">
        <f t="shared" si="83"/>
        <v>0</v>
      </c>
      <c r="AE363" s="420">
        <f t="shared" si="83"/>
        <v>0</v>
      </c>
      <c r="AF363" s="420">
        <f t="shared" si="83"/>
        <v>2</v>
      </c>
      <c r="AG363" s="420">
        <f t="shared" si="83"/>
        <v>2</v>
      </c>
      <c r="AH363" s="420">
        <f t="shared" si="83"/>
        <v>2</v>
      </c>
      <c r="AI363" s="420">
        <f t="shared" si="83"/>
        <v>1</v>
      </c>
      <c r="AJ363" s="408">
        <f t="shared" si="86"/>
        <v>14</v>
      </c>
    </row>
    <row r="364" spans="1:36">
      <c r="A364" s="231" t="str">
        <f t="shared" si="84"/>
        <v>PIERCE UTCRolloffFINAL40-RO</v>
      </c>
      <c r="B364" s="243" t="s">
        <v>759</v>
      </c>
      <c r="C364" s="243" t="s">
        <v>760</v>
      </c>
      <c r="D364" s="243" t="s">
        <v>746</v>
      </c>
      <c r="E364" s="230">
        <v>31000</v>
      </c>
      <c r="F364" s="244">
        <v>165</v>
      </c>
      <c r="G364" s="244">
        <v>165</v>
      </c>
      <c r="H364" s="244"/>
      <c r="I364" s="244">
        <v>0</v>
      </c>
      <c r="J364" s="244">
        <v>165</v>
      </c>
      <c r="K364" s="244">
        <v>165</v>
      </c>
      <c r="L364" s="244">
        <v>165</v>
      </c>
      <c r="M364" s="244">
        <v>165</v>
      </c>
      <c r="N364" s="244">
        <v>165</v>
      </c>
      <c r="O364" s="244">
        <v>165</v>
      </c>
      <c r="P364" s="244">
        <v>0</v>
      </c>
      <c r="Q364" s="244">
        <v>330</v>
      </c>
      <c r="R364" s="244">
        <v>0</v>
      </c>
      <c r="S364" s="244">
        <v>495</v>
      </c>
      <c r="T364" s="244">
        <v>330</v>
      </c>
      <c r="U364" s="244"/>
      <c r="V364" s="408">
        <f t="shared" si="85"/>
        <v>2145</v>
      </c>
      <c r="W364" s="245"/>
      <c r="X364" s="420">
        <f t="shared" si="82"/>
        <v>0</v>
      </c>
      <c r="Y364" s="421">
        <f t="shared" si="82"/>
        <v>1</v>
      </c>
      <c r="Z364" s="421">
        <f t="shared" si="82"/>
        <v>1</v>
      </c>
      <c r="AA364" s="420">
        <f t="shared" si="83"/>
        <v>1</v>
      </c>
      <c r="AB364" s="420">
        <f t="shared" si="83"/>
        <v>1</v>
      </c>
      <c r="AC364" s="420">
        <f t="shared" si="83"/>
        <v>1</v>
      </c>
      <c r="AD364" s="420">
        <f t="shared" si="83"/>
        <v>1</v>
      </c>
      <c r="AE364" s="420">
        <f t="shared" si="83"/>
        <v>0</v>
      </c>
      <c r="AF364" s="420">
        <f t="shared" si="83"/>
        <v>2</v>
      </c>
      <c r="AG364" s="420">
        <f t="shared" si="83"/>
        <v>0</v>
      </c>
      <c r="AH364" s="420">
        <f t="shared" si="83"/>
        <v>3</v>
      </c>
      <c r="AI364" s="420">
        <f t="shared" si="83"/>
        <v>2</v>
      </c>
      <c r="AJ364" s="408">
        <f t="shared" si="86"/>
        <v>13</v>
      </c>
    </row>
    <row r="365" spans="1:36">
      <c r="A365" s="231" t="str">
        <f t="shared" si="84"/>
        <v>PIERCE UTCRolloffHAUL10-CP</v>
      </c>
      <c r="B365" s="243" t="s">
        <v>761</v>
      </c>
      <c r="C365" s="243" t="s">
        <v>762</v>
      </c>
      <c r="D365" s="243"/>
      <c r="F365" s="244">
        <v>159</v>
      </c>
      <c r="G365" s="244">
        <v>159</v>
      </c>
      <c r="H365" s="244"/>
      <c r="I365" s="244">
        <v>318</v>
      </c>
      <c r="J365" s="244">
        <v>318</v>
      </c>
      <c r="K365" s="244">
        <v>159</v>
      </c>
      <c r="L365" s="244">
        <v>318</v>
      </c>
      <c r="M365" s="244">
        <v>159</v>
      </c>
      <c r="N365" s="244">
        <v>159</v>
      </c>
      <c r="O365" s="244">
        <v>318</v>
      </c>
      <c r="P365" s="244">
        <v>477</v>
      </c>
      <c r="Q365" s="244">
        <v>159</v>
      </c>
      <c r="R365" s="244">
        <v>318</v>
      </c>
      <c r="S365" s="244">
        <v>318</v>
      </c>
      <c r="T365" s="244">
        <v>477</v>
      </c>
      <c r="U365" s="244"/>
      <c r="V365" s="408">
        <f t="shared" si="85"/>
        <v>3498</v>
      </c>
      <c r="W365" s="245"/>
      <c r="X365" s="420">
        <f t="shared" si="82"/>
        <v>2</v>
      </c>
      <c r="Y365" s="421">
        <f t="shared" si="82"/>
        <v>2</v>
      </c>
      <c r="Z365" s="421">
        <f t="shared" si="82"/>
        <v>1</v>
      </c>
      <c r="AA365" s="420">
        <f t="shared" si="83"/>
        <v>2</v>
      </c>
      <c r="AB365" s="420">
        <f t="shared" si="83"/>
        <v>1</v>
      </c>
      <c r="AC365" s="420">
        <f t="shared" si="83"/>
        <v>1</v>
      </c>
      <c r="AD365" s="420">
        <f t="shared" si="83"/>
        <v>2</v>
      </c>
      <c r="AE365" s="420">
        <f t="shared" si="83"/>
        <v>3</v>
      </c>
      <c r="AF365" s="420">
        <f t="shared" si="83"/>
        <v>1</v>
      </c>
      <c r="AG365" s="420">
        <f t="shared" si="83"/>
        <v>2</v>
      </c>
      <c r="AH365" s="420">
        <f t="shared" si="83"/>
        <v>2</v>
      </c>
      <c r="AI365" s="420">
        <f t="shared" si="83"/>
        <v>3</v>
      </c>
      <c r="AJ365" s="408">
        <f t="shared" si="86"/>
        <v>22</v>
      </c>
    </row>
    <row r="366" spans="1:36">
      <c r="A366" s="231" t="str">
        <f t="shared" si="84"/>
        <v>PIERCE UTCRolloffHAUL15-CP</v>
      </c>
      <c r="B366" s="243" t="s">
        <v>763</v>
      </c>
      <c r="C366" s="243" t="s">
        <v>764</v>
      </c>
      <c r="D366" s="243" t="s">
        <v>746</v>
      </c>
      <c r="E366" s="230">
        <v>31000</v>
      </c>
      <c r="F366" s="244">
        <v>172</v>
      </c>
      <c r="G366" s="244">
        <v>172</v>
      </c>
      <c r="H366" s="244"/>
      <c r="I366" s="244">
        <v>0</v>
      </c>
      <c r="J366" s="244">
        <v>0</v>
      </c>
      <c r="K366" s="244">
        <v>0</v>
      </c>
      <c r="L366" s="244">
        <v>0</v>
      </c>
      <c r="M366" s="244">
        <v>0</v>
      </c>
      <c r="N366" s="244">
        <v>0</v>
      </c>
      <c r="O366" s="244">
        <v>0</v>
      </c>
      <c r="P366" s="244">
        <v>0</v>
      </c>
      <c r="Q366" s="244">
        <v>0</v>
      </c>
      <c r="R366" s="244">
        <v>0</v>
      </c>
      <c r="S366" s="244">
        <v>0</v>
      </c>
      <c r="T366" s="244">
        <v>0</v>
      </c>
      <c r="U366" s="244"/>
      <c r="V366" s="408">
        <f t="shared" si="85"/>
        <v>0</v>
      </c>
      <c r="W366" s="245"/>
      <c r="X366" s="420">
        <f t="shared" si="82"/>
        <v>0</v>
      </c>
      <c r="Y366" s="421">
        <f t="shared" si="82"/>
        <v>0</v>
      </c>
      <c r="Z366" s="421">
        <f t="shared" si="82"/>
        <v>0</v>
      </c>
      <c r="AA366" s="420">
        <f t="shared" si="83"/>
        <v>0</v>
      </c>
      <c r="AB366" s="420">
        <f t="shared" si="83"/>
        <v>0</v>
      </c>
      <c r="AC366" s="420">
        <f t="shared" si="83"/>
        <v>0</v>
      </c>
      <c r="AD366" s="420">
        <f t="shared" si="83"/>
        <v>0</v>
      </c>
      <c r="AE366" s="420">
        <f t="shared" si="83"/>
        <v>0</v>
      </c>
      <c r="AF366" s="420">
        <f t="shared" si="83"/>
        <v>0</v>
      </c>
      <c r="AG366" s="420">
        <f t="shared" si="83"/>
        <v>0</v>
      </c>
      <c r="AH366" s="420">
        <f t="shared" si="83"/>
        <v>0</v>
      </c>
      <c r="AI366" s="420">
        <f t="shared" si="83"/>
        <v>0</v>
      </c>
      <c r="AJ366" s="408">
        <f t="shared" si="86"/>
        <v>0</v>
      </c>
    </row>
    <row r="367" spans="1:36">
      <c r="A367" s="231" t="str">
        <f t="shared" si="84"/>
        <v>PIERCE UTCRolloffHAUL20-CP</v>
      </c>
      <c r="B367" s="243" t="s">
        <v>765</v>
      </c>
      <c r="C367" s="243" t="s">
        <v>766</v>
      </c>
      <c r="D367" s="243" t="s">
        <v>746</v>
      </c>
      <c r="E367" s="230">
        <v>31000</v>
      </c>
      <c r="F367" s="244">
        <v>179</v>
      </c>
      <c r="G367" s="244">
        <v>179</v>
      </c>
      <c r="H367" s="244"/>
      <c r="I367" s="244">
        <v>5549</v>
      </c>
      <c r="J367" s="244">
        <v>5549</v>
      </c>
      <c r="K367" s="244">
        <v>5549</v>
      </c>
      <c r="L367" s="244">
        <v>6086</v>
      </c>
      <c r="M367" s="244">
        <v>5370</v>
      </c>
      <c r="N367" s="244">
        <v>5728</v>
      </c>
      <c r="O367" s="244">
        <v>5728</v>
      </c>
      <c r="P367" s="244">
        <v>5191</v>
      </c>
      <c r="Q367" s="244">
        <v>5549</v>
      </c>
      <c r="R367" s="244">
        <v>4833</v>
      </c>
      <c r="S367" s="244">
        <v>6086</v>
      </c>
      <c r="T367" s="244">
        <v>5907</v>
      </c>
      <c r="U367" s="244"/>
      <c r="V367" s="408">
        <f t="shared" si="85"/>
        <v>67125</v>
      </c>
      <c r="W367" s="245"/>
      <c r="X367" s="420">
        <f t="shared" si="82"/>
        <v>31</v>
      </c>
      <c r="Y367" s="421">
        <f t="shared" si="82"/>
        <v>31</v>
      </c>
      <c r="Z367" s="421">
        <f t="shared" si="82"/>
        <v>31</v>
      </c>
      <c r="AA367" s="420">
        <f t="shared" si="83"/>
        <v>34</v>
      </c>
      <c r="AB367" s="420">
        <f t="shared" si="83"/>
        <v>30</v>
      </c>
      <c r="AC367" s="420">
        <f t="shared" si="83"/>
        <v>32</v>
      </c>
      <c r="AD367" s="420">
        <f t="shared" si="83"/>
        <v>32</v>
      </c>
      <c r="AE367" s="420">
        <f t="shared" si="83"/>
        <v>29</v>
      </c>
      <c r="AF367" s="420">
        <f t="shared" si="83"/>
        <v>31</v>
      </c>
      <c r="AG367" s="420">
        <f t="shared" si="83"/>
        <v>27</v>
      </c>
      <c r="AH367" s="420">
        <f t="shared" si="83"/>
        <v>34</v>
      </c>
      <c r="AI367" s="420">
        <f t="shared" si="83"/>
        <v>33</v>
      </c>
      <c r="AJ367" s="408">
        <f t="shared" si="86"/>
        <v>375</v>
      </c>
    </row>
    <row r="368" spans="1:36">
      <c r="A368" s="231" t="str">
        <f t="shared" si="84"/>
        <v>PIERCE UTCRolloffHAUL25-CP</v>
      </c>
      <c r="B368" s="243" t="s">
        <v>767</v>
      </c>
      <c r="C368" s="243" t="s">
        <v>768</v>
      </c>
      <c r="D368" s="243" t="s">
        <v>746</v>
      </c>
      <c r="E368" s="230">
        <v>31000</v>
      </c>
      <c r="F368" s="244">
        <v>198.5</v>
      </c>
      <c r="G368" s="244">
        <v>198.5</v>
      </c>
      <c r="H368" s="244"/>
      <c r="I368" s="244">
        <v>9319</v>
      </c>
      <c r="J368" s="244">
        <v>9925</v>
      </c>
      <c r="K368" s="244">
        <v>8535.5</v>
      </c>
      <c r="L368" s="244">
        <v>8932.5</v>
      </c>
      <c r="M368" s="244">
        <v>10520.5</v>
      </c>
      <c r="N368" s="244">
        <v>9925</v>
      </c>
      <c r="O368" s="244">
        <v>8734</v>
      </c>
      <c r="P368" s="244">
        <v>10322</v>
      </c>
      <c r="Q368" s="244">
        <v>9925</v>
      </c>
      <c r="R368" s="244">
        <v>10322</v>
      </c>
      <c r="S368" s="244">
        <v>10520.5</v>
      </c>
      <c r="T368" s="244">
        <v>10123.5</v>
      </c>
      <c r="U368" s="244"/>
      <c r="V368" s="408">
        <f t="shared" si="85"/>
        <v>117104.5</v>
      </c>
      <c r="W368" s="245"/>
      <c r="X368" s="420">
        <f t="shared" si="82"/>
        <v>46.947103274559197</v>
      </c>
      <c r="Y368" s="421">
        <f t="shared" si="82"/>
        <v>50</v>
      </c>
      <c r="Z368" s="421">
        <f t="shared" si="82"/>
        <v>43</v>
      </c>
      <c r="AA368" s="420">
        <f t="shared" si="83"/>
        <v>45</v>
      </c>
      <c r="AB368" s="420">
        <f t="shared" si="83"/>
        <v>53</v>
      </c>
      <c r="AC368" s="420">
        <f t="shared" si="83"/>
        <v>50</v>
      </c>
      <c r="AD368" s="420">
        <f t="shared" si="83"/>
        <v>44</v>
      </c>
      <c r="AE368" s="420">
        <f t="shared" si="83"/>
        <v>52</v>
      </c>
      <c r="AF368" s="420">
        <f t="shared" si="83"/>
        <v>50</v>
      </c>
      <c r="AG368" s="420">
        <f t="shared" si="83"/>
        <v>52</v>
      </c>
      <c r="AH368" s="420">
        <f t="shared" si="83"/>
        <v>53</v>
      </c>
      <c r="AI368" s="420">
        <f t="shared" si="83"/>
        <v>51</v>
      </c>
      <c r="AJ368" s="408">
        <f t="shared" si="86"/>
        <v>589.94710327455914</v>
      </c>
    </row>
    <row r="369" spans="1:36">
      <c r="A369" s="231" t="str">
        <f t="shared" si="84"/>
        <v>PIERCE UTCRolloffHAUL26-CP</v>
      </c>
      <c r="B369" s="243" t="s">
        <v>769</v>
      </c>
      <c r="C369" s="243" t="s">
        <v>770</v>
      </c>
      <c r="D369" s="243"/>
      <c r="F369" s="244">
        <v>198.5</v>
      </c>
      <c r="G369" s="244">
        <v>198.5</v>
      </c>
      <c r="H369" s="244"/>
      <c r="I369" s="244">
        <v>0</v>
      </c>
      <c r="J369" s="244">
        <v>0</v>
      </c>
      <c r="K369" s="244">
        <v>0</v>
      </c>
      <c r="L369" s="244">
        <v>0</v>
      </c>
      <c r="M369" s="244">
        <v>0</v>
      </c>
      <c r="N369" s="244">
        <v>0</v>
      </c>
      <c r="O369" s="244">
        <v>0</v>
      </c>
      <c r="P369" s="244">
        <v>0</v>
      </c>
      <c r="Q369" s="244">
        <v>0</v>
      </c>
      <c r="R369" s="244">
        <v>0</v>
      </c>
      <c r="S369" s="244">
        <v>0</v>
      </c>
      <c r="T369" s="244">
        <v>0</v>
      </c>
      <c r="U369" s="244"/>
      <c r="V369" s="408">
        <f t="shared" si="85"/>
        <v>0</v>
      </c>
      <c r="W369" s="245"/>
      <c r="X369" s="420">
        <f t="shared" si="82"/>
        <v>0</v>
      </c>
      <c r="Y369" s="421">
        <f t="shared" si="82"/>
        <v>0</v>
      </c>
      <c r="Z369" s="421">
        <f t="shared" si="82"/>
        <v>0</v>
      </c>
      <c r="AA369" s="420">
        <f t="shared" si="83"/>
        <v>0</v>
      </c>
      <c r="AB369" s="420">
        <f t="shared" si="83"/>
        <v>0</v>
      </c>
      <c r="AC369" s="420">
        <f t="shared" si="83"/>
        <v>0</v>
      </c>
      <c r="AD369" s="420">
        <f t="shared" si="83"/>
        <v>0</v>
      </c>
      <c r="AE369" s="420">
        <f t="shared" si="83"/>
        <v>0</v>
      </c>
      <c r="AF369" s="420">
        <f t="shared" si="83"/>
        <v>0</v>
      </c>
      <c r="AG369" s="420">
        <f t="shared" si="83"/>
        <v>0</v>
      </c>
      <c r="AH369" s="420">
        <f t="shared" si="83"/>
        <v>0</v>
      </c>
      <c r="AI369" s="420">
        <f t="shared" si="83"/>
        <v>0</v>
      </c>
      <c r="AJ369" s="408">
        <f t="shared" si="86"/>
        <v>0</v>
      </c>
    </row>
    <row r="370" spans="1:36">
      <c r="A370" s="231" t="str">
        <f t="shared" si="84"/>
        <v>PIERCE UTCRolloffHAUL30-CP</v>
      </c>
      <c r="B370" s="243" t="s">
        <v>771</v>
      </c>
      <c r="C370" s="243" t="s">
        <v>772</v>
      </c>
      <c r="D370" s="243" t="s">
        <v>746</v>
      </c>
      <c r="E370" s="230">
        <v>31000</v>
      </c>
      <c r="F370" s="244">
        <v>218.5</v>
      </c>
      <c r="G370" s="244">
        <v>218.5</v>
      </c>
      <c r="H370" s="244"/>
      <c r="I370" s="244">
        <v>13110</v>
      </c>
      <c r="J370" s="244">
        <v>14202.5</v>
      </c>
      <c r="K370" s="244">
        <v>12891.5</v>
      </c>
      <c r="L370" s="244">
        <v>12454.5</v>
      </c>
      <c r="M370" s="244">
        <v>13110</v>
      </c>
      <c r="N370" s="244">
        <v>14421</v>
      </c>
      <c r="O370" s="244">
        <v>13328.5</v>
      </c>
      <c r="P370" s="244">
        <v>12017.5</v>
      </c>
      <c r="Q370" s="244">
        <v>12673</v>
      </c>
      <c r="R370" s="244">
        <v>13110</v>
      </c>
      <c r="S370" s="244">
        <v>15513.5</v>
      </c>
      <c r="T370" s="244">
        <v>12673</v>
      </c>
      <c r="U370" s="244"/>
      <c r="V370" s="408">
        <f t="shared" si="85"/>
        <v>159505</v>
      </c>
      <c r="W370" s="245"/>
      <c r="X370" s="420">
        <f t="shared" si="82"/>
        <v>60</v>
      </c>
      <c r="Y370" s="421">
        <f t="shared" si="82"/>
        <v>65</v>
      </c>
      <c r="Z370" s="421">
        <f t="shared" si="82"/>
        <v>59</v>
      </c>
      <c r="AA370" s="420">
        <f t="shared" si="83"/>
        <v>57</v>
      </c>
      <c r="AB370" s="420">
        <f t="shared" si="83"/>
        <v>60</v>
      </c>
      <c r="AC370" s="420">
        <f t="shared" si="83"/>
        <v>66</v>
      </c>
      <c r="AD370" s="420">
        <f t="shared" si="83"/>
        <v>61</v>
      </c>
      <c r="AE370" s="420">
        <f t="shared" si="83"/>
        <v>55</v>
      </c>
      <c r="AF370" s="420">
        <f t="shared" si="83"/>
        <v>58</v>
      </c>
      <c r="AG370" s="420">
        <f t="shared" si="83"/>
        <v>60</v>
      </c>
      <c r="AH370" s="420">
        <f t="shared" si="83"/>
        <v>71</v>
      </c>
      <c r="AI370" s="420">
        <f t="shared" si="83"/>
        <v>58</v>
      </c>
      <c r="AJ370" s="408">
        <f t="shared" si="86"/>
        <v>730</v>
      </c>
    </row>
    <row r="371" spans="1:36">
      <c r="A371" s="231" t="str">
        <f t="shared" si="84"/>
        <v>PIERCE UTCRolloffHAUL35-CP</v>
      </c>
      <c r="B371" s="243" t="s">
        <v>773</v>
      </c>
      <c r="C371" s="243" t="s">
        <v>774</v>
      </c>
      <c r="D371" s="243" t="s">
        <v>746</v>
      </c>
      <c r="E371" s="230">
        <v>31000</v>
      </c>
      <c r="F371" s="244">
        <v>231.5</v>
      </c>
      <c r="G371" s="244">
        <v>231.5</v>
      </c>
      <c r="H371" s="244"/>
      <c r="I371" s="244">
        <v>0</v>
      </c>
      <c r="J371" s="244">
        <v>0</v>
      </c>
      <c r="K371" s="244">
        <v>0</v>
      </c>
      <c r="L371" s="244">
        <v>0</v>
      </c>
      <c r="M371" s="244">
        <v>0</v>
      </c>
      <c r="N371" s="244">
        <v>0</v>
      </c>
      <c r="O371" s="244">
        <v>0</v>
      </c>
      <c r="P371" s="244">
        <v>0</v>
      </c>
      <c r="Q371" s="244">
        <v>0</v>
      </c>
      <c r="R371" s="244">
        <v>0</v>
      </c>
      <c r="S371" s="244">
        <v>0</v>
      </c>
      <c r="T371" s="244">
        <v>0</v>
      </c>
      <c r="U371" s="244"/>
      <c r="V371" s="408">
        <f t="shared" si="85"/>
        <v>0</v>
      </c>
      <c r="W371" s="245"/>
      <c r="X371" s="420">
        <f t="shared" si="82"/>
        <v>0</v>
      </c>
      <c r="Y371" s="421">
        <f t="shared" si="82"/>
        <v>0</v>
      </c>
      <c r="Z371" s="421">
        <f t="shared" si="82"/>
        <v>0</v>
      </c>
      <c r="AA371" s="420">
        <f t="shared" si="83"/>
        <v>0</v>
      </c>
      <c r="AB371" s="420">
        <f t="shared" si="83"/>
        <v>0</v>
      </c>
      <c r="AC371" s="420">
        <f t="shared" si="83"/>
        <v>0</v>
      </c>
      <c r="AD371" s="420">
        <f t="shared" si="83"/>
        <v>0</v>
      </c>
      <c r="AE371" s="420">
        <f t="shared" si="83"/>
        <v>0</v>
      </c>
      <c r="AF371" s="420">
        <f t="shared" si="83"/>
        <v>0</v>
      </c>
      <c r="AG371" s="420">
        <f t="shared" si="83"/>
        <v>0</v>
      </c>
      <c r="AH371" s="420">
        <f t="shared" si="83"/>
        <v>0</v>
      </c>
      <c r="AI371" s="420">
        <f t="shared" si="83"/>
        <v>0</v>
      </c>
      <c r="AJ371" s="408">
        <f t="shared" si="86"/>
        <v>0</v>
      </c>
    </row>
    <row r="372" spans="1:36">
      <c r="A372" s="231" t="str">
        <f t="shared" si="84"/>
        <v>PIERCE UTCRolloffHAUL40-CP</v>
      </c>
      <c r="B372" s="243" t="s">
        <v>775</v>
      </c>
      <c r="C372" s="243" t="s">
        <v>776</v>
      </c>
      <c r="D372" s="243" t="s">
        <v>746</v>
      </c>
      <c r="E372" s="230">
        <v>31000</v>
      </c>
      <c r="F372" s="244">
        <v>238</v>
      </c>
      <c r="G372" s="244">
        <v>238</v>
      </c>
      <c r="H372" s="244"/>
      <c r="I372" s="244">
        <v>2856</v>
      </c>
      <c r="J372" s="244">
        <v>2856</v>
      </c>
      <c r="K372" s="244">
        <v>2380</v>
      </c>
      <c r="L372" s="244">
        <v>2380</v>
      </c>
      <c r="M372" s="244">
        <v>2856</v>
      </c>
      <c r="N372" s="244">
        <v>3570</v>
      </c>
      <c r="O372" s="244">
        <v>2618</v>
      </c>
      <c r="P372" s="244">
        <v>2618</v>
      </c>
      <c r="Q372" s="244">
        <v>3808</v>
      </c>
      <c r="R372" s="244">
        <v>4522</v>
      </c>
      <c r="S372" s="244">
        <v>5474</v>
      </c>
      <c r="T372" s="244">
        <v>4760</v>
      </c>
      <c r="U372" s="244"/>
      <c r="V372" s="408">
        <f t="shared" si="85"/>
        <v>40698</v>
      </c>
      <c r="W372" s="245"/>
      <c r="X372" s="420">
        <f t="shared" si="82"/>
        <v>12</v>
      </c>
      <c r="Y372" s="421">
        <f t="shared" si="82"/>
        <v>12</v>
      </c>
      <c r="Z372" s="421">
        <f t="shared" si="82"/>
        <v>10</v>
      </c>
      <c r="AA372" s="420">
        <f t="shared" si="83"/>
        <v>10</v>
      </c>
      <c r="AB372" s="420">
        <f t="shared" si="83"/>
        <v>12</v>
      </c>
      <c r="AC372" s="420">
        <f t="shared" si="83"/>
        <v>15</v>
      </c>
      <c r="AD372" s="420">
        <f t="shared" si="83"/>
        <v>11</v>
      </c>
      <c r="AE372" s="420">
        <f t="shared" si="83"/>
        <v>11</v>
      </c>
      <c r="AF372" s="420">
        <f t="shared" si="83"/>
        <v>16</v>
      </c>
      <c r="AG372" s="420">
        <f t="shared" si="83"/>
        <v>19</v>
      </c>
      <c r="AH372" s="420">
        <f t="shared" si="83"/>
        <v>23</v>
      </c>
      <c r="AI372" s="420">
        <f t="shared" si="83"/>
        <v>20</v>
      </c>
      <c r="AJ372" s="408">
        <f t="shared" si="86"/>
        <v>171</v>
      </c>
    </row>
    <row r="373" spans="1:36">
      <c r="A373" s="231" t="str">
        <f t="shared" si="84"/>
        <v>PIERCE UTCRolloffDEL20TEMP-RO</v>
      </c>
      <c r="B373" s="243" t="s">
        <v>777</v>
      </c>
      <c r="C373" s="243" t="s">
        <v>778</v>
      </c>
      <c r="D373" s="243" t="s">
        <v>779</v>
      </c>
      <c r="E373" s="230">
        <v>31001</v>
      </c>
      <c r="F373" s="244">
        <v>106</v>
      </c>
      <c r="G373" s="244">
        <v>106</v>
      </c>
      <c r="H373" s="244"/>
      <c r="I373" s="244">
        <v>742</v>
      </c>
      <c r="J373" s="244">
        <v>1908</v>
      </c>
      <c r="K373" s="244">
        <v>1166</v>
      </c>
      <c r="L373" s="244">
        <v>2014</v>
      </c>
      <c r="M373" s="244">
        <v>2756</v>
      </c>
      <c r="N373" s="244">
        <v>3498</v>
      </c>
      <c r="O373" s="244">
        <v>2756</v>
      </c>
      <c r="P373" s="244">
        <v>2120</v>
      </c>
      <c r="Q373" s="244">
        <v>3604</v>
      </c>
      <c r="R373" s="244">
        <v>1908</v>
      </c>
      <c r="S373" s="244">
        <v>2226</v>
      </c>
      <c r="T373" s="244">
        <v>1484</v>
      </c>
      <c r="U373" s="244"/>
      <c r="V373" s="408">
        <f t="shared" si="85"/>
        <v>26182</v>
      </c>
      <c r="W373" s="245"/>
      <c r="X373" s="420">
        <f t="shared" si="82"/>
        <v>7</v>
      </c>
      <c r="Y373" s="421">
        <f t="shared" si="82"/>
        <v>18</v>
      </c>
      <c r="Z373" s="421">
        <f t="shared" si="82"/>
        <v>11</v>
      </c>
      <c r="AA373" s="420">
        <f t="shared" si="83"/>
        <v>19</v>
      </c>
      <c r="AB373" s="420">
        <f t="shared" si="83"/>
        <v>26</v>
      </c>
      <c r="AC373" s="420">
        <f t="shared" si="83"/>
        <v>33</v>
      </c>
      <c r="AD373" s="420">
        <f t="shared" si="83"/>
        <v>26</v>
      </c>
      <c r="AE373" s="420">
        <f t="shared" si="83"/>
        <v>20</v>
      </c>
      <c r="AF373" s="420">
        <f t="shared" si="83"/>
        <v>34</v>
      </c>
      <c r="AG373" s="420">
        <f t="shared" si="83"/>
        <v>18</v>
      </c>
      <c r="AH373" s="420">
        <f t="shared" si="83"/>
        <v>21</v>
      </c>
      <c r="AI373" s="420">
        <f t="shared" si="83"/>
        <v>14</v>
      </c>
      <c r="AJ373" s="408">
        <f t="shared" si="86"/>
        <v>247</v>
      </c>
    </row>
    <row r="374" spans="1:36">
      <c r="A374" s="231" t="str">
        <f t="shared" si="84"/>
        <v>PIERCE UTCRolloffDEL30TEMP-RO</v>
      </c>
      <c r="B374" s="243" t="s">
        <v>780</v>
      </c>
      <c r="C374" s="243" t="s">
        <v>781</v>
      </c>
      <c r="D374" s="243" t="s">
        <v>779</v>
      </c>
      <c r="E374" s="230">
        <v>31001</v>
      </c>
      <c r="F374" s="244">
        <v>106</v>
      </c>
      <c r="G374" s="244">
        <v>106</v>
      </c>
      <c r="H374" s="244"/>
      <c r="I374" s="244">
        <v>742</v>
      </c>
      <c r="J374" s="244">
        <v>2025.82</v>
      </c>
      <c r="K374" s="244">
        <v>424</v>
      </c>
      <c r="L374" s="244">
        <v>1166</v>
      </c>
      <c r="M374" s="244">
        <v>1484</v>
      </c>
      <c r="N374" s="244">
        <v>3286</v>
      </c>
      <c r="O374" s="244">
        <v>1908</v>
      </c>
      <c r="P374" s="244">
        <v>2438</v>
      </c>
      <c r="Q374" s="244">
        <v>2014</v>
      </c>
      <c r="R374" s="244">
        <v>2014</v>
      </c>
      <c r="S374" s="244">
        <v>742</v>
      </c>
      <c r="T374" s="244">
        <v>1060</v>
      </c>
      <c r="U374" s="244"/>
      <c r="V374" s="408">
        <f t="shared" si="85"/>
        <v>19303.82</v>
      </c>
      <c r="W374" s="245"/>
      <c r="X374" s="420">
        <f t="shared" si="82"/>
        <v>7</v>
      </c>
      <c r="Y374" s="421">
        <f t="shared" si="82"/>
        <v>19.111509433962265</v>
      </c>
      <c r="Z374" s="421">
        <f t="shared" si="82"/>
        <v>4</v>
      </c>
      <c r="AA374" s="420">
        <f t="shared" si="83"/>
        <v>11</v>
      </c>
      <c r="AB374" s="420">
        <f t="shared" si="83"/>
        <v>14</v>
      </c>
      <c r="AC374" s="420">
        <f t="shared" si="83"/>
        <v>31</v>
      </c>
      <c r="AD374" s="420">
        <f t="shared" si="83"/>
        <v>18</v>
      </c>
      <c r="AE374" s="420">
        <f t="shared" si="83"/>
        <v>23</v>
      </c>
      <c r="AF374" s="420">
        <f t="shared" si="83"/>
        <v>19</v>
      </c>
      <c r="AG374" s="420">
        <f t="shared" si="83"/>
        <v>19</v>
      </c>
      <c r="AH374" s="420">
        <f t="shared" si="83"/>
        <v>7</v>
      </c>
      <c r="AI374" s="420">
        <f t="shared" si="83"/>
        <v>10</v>
      </c>
      <c r="AJ374" s="408">
        <f t="shared" si="86"/>
        <v>182.11150943396228</v>
      </c>
    </row>
    <row r="375" spans="1:36">
      <c r="A375" s="231" t="str">
        <f t="shared" si="84"/>
        <v>PIERCE UTCRolloffDEL40TEMP-RO</v>
      </c>
      <c r="B375" s="243" t="s">
        <v>782</v>
      </c>
      <c r="C375" s="243" t="s">
        <v>783</v>
      </c>
      <c r="D375" s="243" t="s">
        <v>779</v>
      </c>
      <c r="E375" s="230">
        <v>31001</v>
      </c>
      <c r="F375" s="244">
        <v>106</v>
      </c>
      <c r="G375" s="244">
        <v>106</v>
      </c>
      <c r="H375" s="244"/>
      <c r="I375" s="244">
        <v>424</v>
      </c>
      <c r="J375" s="244">
        <v>1166</v>
      </c>
      <c r="K375" s="244">
        <v>742</v>
      </c>
      <c r="L375" s="244">
        <v>2120</v>
      </c>
      <c r="M375" s="244">
        <v>1166</v>
      </c>
      <c r="N375" s="244">
        <v>1696</v>
      </c>
      <c r="O375" s="244">
        <v>1272</v>
      </c>
      <c r="P375" s="244">
        <v>848</v>
      </c>
      <c r="Q375" s="244">
        <v>1590</v>
      </c>
      <c r="R375" s="244">
        <v>993.32</v>
      </c>
      <c r="S375" s="244">
        <v>2014</v>
      </c>
      <c r="T375" s="244">
        <v>1590</v>
      </c>
      <c r="U375" s="244"/>
      <c r="V375" s="408">
        <f t="shared" si="85"/>
        <v>15621.32</v>
      </c>
      <c r="W375" s="245"/>
      <c r="X375" s="420">
        <f t="shared" si="82"/>
        <v>4</v>
      </c>
      <c r="Y375" s="421">
        <f t="shared" si="82"/>
        <v>11</v>
      </c>
      <c r="Z375" s="421">
        <f t="shared" si="82"/>
        <v>7</v>
      </c>
      <c r="AA375" s="420">
        <f t="shared" si="83"/>
        <v>20</v>
      </c>
      <c r="AB375" s="420">
        <f t="shared" si="83"/>
        <v>11</v>
      </c>
      <c r="AC375" s="420">
        <f t="shared" si="83"/>
        <v>16</v>
      </c>
      <c r="AD375" s="420">
        <f t="shared" si="83"/>
        <v>12</v>
      </c>
      <c r="AE375" s="420">
        <f t="shared" si="83"/>
        <v>8</v>
      </c>
      <c r="AF375" s="420">
        <f t="shared" si="83"/>
        <v>15</v>
      </c>
      <c r="AG375" s="420">
        <f t="shared" si="83"/>
        <v>9.3709433962264157</v>
      </c>
      <c r="AH375" s="420">
        <f t="shared" si="83"/>
        <v>19</v>
      </c>
      <c r="AI375" s="420">
        <f t="shared" si="83"/>
        <v>15</v>
      </c>
      <c r="AJ375" s="408">
        <f t="shared" si="86"/>
        <v>147.37094339622641</v>
      </c>
    </row>
    <row r="376" spans="1:36">
      <c r="A376" s="231" t="str">
        <f t="shared" si="84"/>
        <v>PIERCE UTCRolloffFINAL20TEMP-RO</v>
      </c>
      <c r="B376" s="243" t="s">
        <v>784</v>
      </c>
      <c r="C376" s="243" t="s">
        <v>785</v>
      </c>
      <c r="D376" s="243" t="s">
        <v>779</v>
      </c>
      <c r="E376" s="230">
        <v>31001</v>
      </c>
      <c r="F376" s="244">
        <v>165.5</v>
      </c>
      <c r="G376" s="244">
        <v>165.5</v>
      </c>
      <c r="H376" s="244"/>
      <c r="I376" s="244">
        <v>1324</v>
      </c>
      <c r="J376" s="244">
        <v>2482.5</v>
      </c>
      <c r="K376" s="244">
        <v>1324</v>
      </c>
      <c r="L376" s="244">
        <v>3144.5</v>
      </c>
      <c r="M376" s="244">
        <v>3144.5</v>
      </c>
      <c r="N376" s="244">
        <v>5465.07</v>
      </c>
      <c r="O376" s="244">
        <v>3310</v>
      </c>
      <c r="P376" s="244">
        <v>3144.5</v>
      </c>
      <c r="Q376" s="244">
        <v>4634</v>
      </c>
      <c r="R376" s="244">
        <v>3310</v>
      </c>
      <c r="S376" s="244">
        <v>2979</v>
      </c>
      <c r="T376" s="244">
        <v>3144.5</v>
      </c>
      <c r="U376" s="244"/>
      <c r="V376" s="408">
        <f t="shared" si="85"/>
        <v>37406.57</v>
      </c>
      <c r="W376" s="245"/>
      <c r="X376" s="420">
        <f t="shared" si="82"/>
        <v>8</v>
      </c>
      <c r="Y376" s="421">
        <f t="shared" si="82"/>
        <v>15</v>
      </c>
      <c r="Z376" s="421">
        <f t="shared" si="82"/>
        <v>8</v>
      </c>
      <c r="AA376" s="420">
        <f t="shared" si="83"/>
        <v>19</v>
      </c>
      <c r="AB376" s="420">
        <f t="shared" si="83"/>
        <v>19</v>
      </c>
      <c r="AC376" s="420">
        <f t="shared" si="83"/>
        <v>33.021570996978852</v>
      </c>
      <c r="AD376" s="420">
        <f t="shared" si="83"/>
        <v>20</v>
      </c>
      <c r="AE376" s="420">
        <f t="shared" si="83"/>
        <v>19</v>
      </c>
      <c r="AF376" s="420">
        <f t="shared" si="83"/>
        <v>28</v>
      </c>
      <c r="AG376" s="420">
        <f t="shared" si="83"/>
        <v>20</v>
      </c>
      <c r="AH376" s="420">
        <f t="shared" si="83"/>
        <v>18</v>
      </c>
      <c r="AI376" s="420">
        <f t="shared" si="83"/>
        <v>19</v>
      </c>
      <c r="AJ376" s="408">
        <f t="shared" si="86"/>
        <v>226.02157099697885</v>
      </c>
    </row>
    <row r="377" spans="1:36">
      <c r="A377" s="231" t="str">
        <f t="shared" si="84"/>
        <v>PIERCE UTCRolloffFINAL30TEMP-RO</v>
      </c>
      <c r="B377" s="243" t="s">
        <v>786</v>
      </c>
      <c r="C377" s="243" t="s">
        <v>787</v>
      </c>
      <c r="D377" s="243" t="s">
        <v>779</v>
      </c>
      <c r="E377" s="230">
        <v>31001</v>
      </c>
      <c r="F377" s="244">
        <v>172</v>
      </c>
      <c r="G377" s="244">
        <v>172</v>
      </c>
      <c r="H377" s="244"/>
      <c r="I377" s="244">
        <v>1204</v>
      </c>
      <c r="J377" s="244">
        <v>2924</v>
      </c>
      <c r="K377" s="244">
        <v>344</v>
      </c>
      <c r="L377" s="244">
        <v>1204</v>
      </c>
      <c r="M377" s="244">
        <v>3268</v>
      </c>
      <c r="N377" s="244">
        <v>3612</v>
      </c>
      <c r="O377" s="244">
        <v>3612</v>
      </c>
      <c r="P377" s="244">
        <v>2924</v>
      </c>
      <c r="Q377" s="244">
        <v>3268</v>
      </c>
      <c r="R377" s="244">
        <v>3612</v>
      </c>
      <c r="S377" s="244">
        <v>2064</v>
      </c>
      <c r="T377" s="244">
        <v>860</v>
      </c>
      <c r="U377" s="244"/>
      <c r="V377" s="408">
        <f t="shared" si="85"/>
        <v>28896</v>
      </c>
      <c r="W377" s="245"/>
      <c r="X377" s="420">
        <f t="shared" si="82"/>
        <v>7</v>
      </c>
      <c r="Y377" s="421">
        <f t="shared" si="82"/>
        <v>17</v>
      </c>
      <c r="Z377" s="421">
        <f t="shared" si="82"/>
        <v>2</v>
      </c>
      <c r="AA377" s="420">
        <f t="shared" si="83"/>
        <v>7</v>
      </c>
      <c r="AB377" s="420">
        <f t="shared" si="83"/>
        <v>19</v>
      </c>
      <c r="AC377" s="420">
        <f t="shared" si="83"/>
        <v>21</v>
      </c>
      <c r="AD377" s="420">
        <f t="shared" si="83"/>
        <v>21</v>
      </c>
      <c r="AE377" s="420">
        <f t="shared" si="83"/>
        <v>17</v>
      </c>
      <c r="AF377" s="420">
        <f t="shared" si="83"/>
        <v>19</v>
      </c>
      <c r="AG377" s="420">
        <f t="shared" si="83"/>
        <v>21</v>
      </c>
      <c r="AH377" s="420">
        <f t="shared" si="83"/>
        <v>12</v>
      </c>
      <c r="AI377" s="420">
        <f t="shared" si="83"/>
        <v>5</v>
      </c>
      <c r="AJ377" s="408">
        <f t="shared" si="86"/>
        <v>168</v>
      </c>
    </row>
    <row r="378" spans="1:36">
      <c r="A378" s="231" t="str">
        <f t="shared" si="84"/>
        <v>PIERCE UTCRolloffFINAL40TEMP-RO</v>
      </c>
      <c r="B378" s="243" t="s">
        <v>788</v>
      </c>
      <c r="C378" s="243" t="s">
        <v>789</v>
      </c>
      <c r="D378" s="243" t="s">
        <v>779</v>
      </c>
      <c r="E378" s="230">
        <v>31001</v>
      </c>
      <c r="F378" s="244">
        <v>178.5</v>
      </c>
      <c r="G378" s="244">
        <v>178.5</v>
      </c>
      <c r="H378" s="244"/>
      <c r="I378" s="244">
        <v>1071</v>
      </c>
      <c r="J378" s="244">
        <v>892.5</v>
      </c>
      <c r="K378" s="244">
        <v>892.5</v>
      </c>
      <c r="L378" s="244">
        <v>2320.5</v>
      </c>
      <c r="M378" s="244">
        <v>1606.5</v>
      </c>
      <c r="N378" s="244">
        <v>2142</v>
      </c>
      <c r="O378" s="244">
        <v>2499</v>
      </c>
      <c r="P378" s="244">
        <v>714</v>
      </c>
      <c r="Q378" s="244">
        <v>1249.5</v>
      </c>
      <c r="R378" s="244">
        <v>2320.5</v>
      </c>
      <c r="S378" s="244">
        <v>892.5</v>
      </c>
      <c r="T378" s="244">
        <v>2320.5</v>
      </c>
      <c r="U378" s="244"/>
      <c r="V378" s="408">
        <f t="shared" si="85"/>
        <v>18921</v>
      </c>
      <c r="W378" s="245"/>
      <c r="X378" s="420">
        <f t="shared" si="82"/>
        <v>6</v>
      </c>
      <c r="Y378" s="421">
        <f t="shared" si="82"/>
        <v>5</v>
      </c>
      <c r="Z378" s="421">
        <f t="shared" si="82"/>
        <v>5</v>
      </c>
      <c r="AA378" s="420">
        <f t="shared" si="83"/>
        <v>13</v>
      </c>
      <c r="AB378" s="420">
        <f t="shared" si="83"/>
        <v>9</v>
      </c>
      <c r="AC378" s="420">
        <f t="shared" si="83"/>
        <v>12</v>
      </c>
      <c r="AD378" s="420">
        <f t="shared" si="83"/>
        <v>14</v>
      </c>
      <c r="AE378" s="420">
        <f t="shared" si="83"/>
        <v>4</v>
      </c>
      <c r="AF378" s="420">
        <f t="shared" si="83"/>
        <v>7</v>
      </c>
      <c r="AG378" s="420">
        <f t="shared" si="83"/>
        <v>13</v>
      </c>
      <c r="AH378" s="420">
        <f t="shared" si="83"/>
        <v>5</v>
      </c>
      <c r="AI378" s="420">
        <f t="shared" si="83"/>
        <v>13</v>
      </c>
      <c r="AJ378" s="408">
        <f t="shared" si="86"/>
        <v>106</v>
      </c>
    </row>
    <row r="379" spans="1:36">
      <c r="A379" s="231" t="str">
        <f t="shared" si="84"/>
        <v>PIERCE UTCRolloffHAUL20TEMP-RO</v>
      </c>
      <c r="B379" s="243" t="s">
        <v>790</v>
      </c>
      <c r="C379" s="243" t="s">
        <v>791</v>
      </c>
      <c r="D379" s="243" t="s">
        <v>779</v>
      </c>
      <c r="E379" s="230">
        <v>31001</v>
      </c>
      <c r="F379" s="244">
        <v>165.5</v>
      </c>
      <c r="G379" s="244">
        <v>165.5</v>
      </c>
      <c r="H379" s="244"/>
      <c r="I379" s="244">
        <v>662</v>
      </c>
      <c r="J379" s="244">
        <v>1158.5</v>
      </c>
      <c r="K379" s="244">
        <v>827.5</v>
      </c>
      <c r="L379" s="244">
        <v>165.5</v>
      </c>
      <c r="M379" s="244">
        <v>1489.5</v>
      </c>
      <c r="N379" s="244">
        <v>1820.5</v>
      </c>
      <c r="O379" s="244">
        <v>2648</v>
      </c>
      <c r="P379" s="244">
        <v>2151.5</v>
      </c>
      <c r="Q379" s="244">
        <v>827.5</v>
      </c>
      <c r="R379" s="244">
        <v>331</v>
      </c>
      <c r="S379" s="244">
        <v>331</v>
      </c>
      <c r="T379" s="244">
        <v>165.5</v>
      </c>
      <c r="U379" s="244"/>
      <c r="V379" s="408">
        <f t="shared" si="85"/>
        <v>12578</v>
      </c>
      <c r="W379" s="245"/>
      <c r="X379" s="420">
        <f t="shared" si="82"/>
        <v>4</v>
      </c>
      <c r="Y379" s="421">
        <f t="shared" si="82"/>
        <v>7</v>
      </c>
      <c r="Z379" s="421">
        <f t="shared" si="82"/>
        <v>5</v>
      </c>
      <c r="AA379" s="420">
        <f t="shared" si="83"/>
        <v>1</v>
      </c>
      <c r="AB379" s="420">
        <f t="shared" si="83"/>
        <v>9</v>
      </c>
      <c r="AC379" s="420">
        <f t="shared" si="83"/>
        <v>11</v>
      </c>
      <c r="AD379" s="420">
        <f t="shared" si="83"/>
        <v>16</v>
      </c>
      <c r="AE379" s="420">
        <f t="shared" si="83"/>
        <v>13</v>
      </c>
      <c r="AF379" s="420">
        <f t="shared" si="83"/>
        <v>5</v>
      </c>
      <c r="AG379" s="420">
        <f t="shared" si="83"/>
        <v>2</v>
      </c>
      <c r="AH379" s="420">
        <f t="shared" si="83"/>
        <v>2</v>
      </c>
      <c r="AI379" s="420">
        <f t="shared" si="83"/>
        <v>1</v>
      </c>
      <c r="AJ379" s="408">
        <f t="shared" si="86"/>
        <v>76</v>
      </c>
    </row>
    <row r="380" spans="1:36">
      <c r="A380" s="231" t="str">
        <f t="shared" si="84"/>
        <v>PIERCE UTCRolloffHAUL30TEMP-RO</v>
      </c>
      <c r="B380" s="243" t="s">
        <v>792</v>
      </c>
      <c r="C380" s="243" t="s">
        <v>793</v>
      </c>
      <c r="D380" s="243" t="s">
        <v>779</v>
      </c>
      <c r="E380" s="230">
        <v>31001</v>
      </c>
      <c r="F380" s="244">
        <v>172</v>
      </c>
      <c r="G380" s="244">
        <v>172</v>
      </c>
      <c r="H380" s="244"/>
      <c r="I380" s="244">
        <v>860</v>
      </c>
      <c r="J380" s="244">
        <v>2236</v>
      </c>
      <c r="K380" s="244">
        <v>860</v>
      </c>
      <c r="L380" s="244">
        <v>1892</v>
      </c>
      <c r="M380" s="244">
        <v>2408</v>
      </c>
      <c r="N380" s="244">
        <v>1376</v>
      </c>
      <c r="O380" s="244">
        <v>1720</v>
      </c>
      <c r="P380" s="244">
        <v>4988</v>
      </c>
      <c r="Q380" s="244">
        <v>3440</v>
      </c>
      <c r="R380" s="244">
        <v>1548</v>
      </c>
      <c r="S380" s="244">
        <v>688</v>
      </c>
      <c r="T380" s="244">
        <v>860</v>
      </c>
      <c r="U380" s="244"/>
      <c r="V380" s="408">
        <f t="shared" si="85"/>
        <v>22876</v>
      </c>
      <c r="W380" s="245"/>
      <c r="X380" s="420">
        <f t="shared" si="82"/>
        <v>5</v>
      </c>
      <c r="Y380" s="421">
        <f t="shared" si="82"/>
        <v>13</v>
      </c>
      <c r="Z380" s="421">
        <f t="shared" si="82"/>
        <v>5</v>
      </c>
      <c r="AA380" s="420">
        <f t="shared" si="83"/>
        <v>11</v>
      </c>
      <c r="AB380" s="420">
        <f t="shared" si="83"/>
        <v>14</v>
      </c>
      <c r="AC380" s="420">
        <f t="shared" si="83"/>
        <v>8</v>
      </c>
      <c r="AD380" s="420">
        <f t="shared" si="83"/>
        <v>10</v>
      </c>
      <c r="AE380" s="420">
        <f t="shared" si="83"/>
        <v>29</v>
      </c>
      <c r="AF380" s="420">
        <f t="shared" si="83"/>
        <v>20</v>
      </c>
      <c r="AG380" s="420">
        <f t="shared" si="83"/>
        <v>9</v>
      </c>
      <c r="AH380" s="420">
        <f t="shared" si="83"/>
        <v>4</v>
      </c>
      <c r="AI380" s="420">
        <f t="shared" si="83"/>
        <v>5</v>
      </c>
      <c r="AJ380" s="408">
        <f t="shared" si="86"/>
        <v>133</v>
      </c>
    </row>
    <row r="381" spans="1:36">
      <c r="A381" s="231" t="str">
        <f t="shared" si="84"/>
        <v>PIERCE UTCRolloffHAUL40TEMP-RO</v>
      </c>
      <c r="B381" s="243" t="s">
        <v>794</v>
      </c>
      <c r="C381" s="243" t="s">
        <v>795</v>
      </c>
      <c r="D381" s="243" t="s">
        <v>779</v>
      </c>
      <c r="E381" s="230">
        <v>31001</v>
      </c>
      <c r="F381" s="244">
        <v>178.5</v>
      </c>
      <c r="G381" s="244">
        <v>178.5</v>
      </c>
      <c r="H381" s="244"/>
      <c r="I381" s="244">
        <v>2320.5</v>
      </c>
      <c r="J381" s="244">
        <v>2856</v>
      </c>
      <c r="K381" s="244">
        <v>2499</v>
      </c>
      <c r="L381" s="244">
        <v>2499</v>
      </c>
      <c r="M381" s="244">
        <v>1114.1199999999999</v>
      </c>
      <c r="N381" s="244">
        <v>1249.5</v>
      </c>
      <c r="O381" s="244">
        <v>2320.5</v>
      </c>
      <c r="P381" s="244">
        <v>714</v>
      </c>
      <c r="Q381" s="244">
        <v>1071</v>
      </c>
      <c r="R381" s="244">
        <v>831.76</v>
      </c>
      <c r="S381" s="244">
        <v>1606.5</v>
      </c>
      <c r="T381" s="244">
        <v>535.5</v>
      </c>
      <c r="U381" s="244"/>
      <c r="V381" s="408">
        <f t="shared" si="85"/>
        <v>19617.379999999997</v>
      </c>
      <c r="W381" s="245"/>
      <c r="X381" s="420">
        <f t="shared" si="82"/>
        <v>13</v>
      </c>
      <c r="Y381" s="421">
        <f t="shared" si="82"/>
        <v>16</v>
      </c>
      <c r="Z381" s="421">
        <f t="shared" si="82"/>
        <v>14</v>
      </c>
      <c r="AA381" s="420">
        <f t="shared" si="83"/>
        <v>14</v>
      </c>
      <c r="AB381" s="420">
        <f t="shared" si="83"/>
        <v>6.2415686274509801</v>
      </c>
      <c r="AC381" s="420">
        <f t="shared" si="83"/>
        <v>7</v>
      </c>
      <c r="AD381" s="420">
        <f t="shared" si="83"/>
        <v>13</v>
      </c>
      <c r="AE381" s="420">
        <f t="shared" si="83"/>
        <v>4</v>
      </c>
      <c r="AF381" s="420">
        <f t="shared" si="83"/>
        <v>6</v>
      </c>
      <c r="AG381" s="420">
        <f t="shared" si="83"/>
        <v>4.6597198879551822</v>
      </c>
      <c r="AH381" s="420">
        <f t="shared" si="83"/>
        <v>9</v>
      </c>
      <c r="AI381" s="420">
        <f t="shared" si="83"/>
        <v>3</v>
      </c>
      <c r="AJ381" s="408">
        <f t="shared" si="86"/>
        <v>109.90128851540616</v>
      </c>
    </row>
    <row r="382" spans="1:36">
      <c r="A382" s="231" t="str">
        <f t="shared" si="84"/>
        <v>PIERCE UTCRolloffRENT15MO-RO</v>
      </c>
      <c r="B382" s="243" t="s">
        <v>796</v>
      </c>
      <c r="C382" s="243" t="s">
        <v>797</v>
      </c>
      <c r="D382" s="243" t="s">
        <v>798</v>
      </c>
      <c r="E382" s="230">
        <v>31002</v>
      </c>
      <c r="F382" s="244">
        <v>0</v>
      </c>
      <c r="G382" s="244">
        <v>0</v>
      </c>
      <c r="H382" s="244"/>
      <c r="I382" s="244">
        <v>0</v>
      </c>
      <c r="J382" s="244">
        <v>0</v>
      </c>
      <c r="K382" s="244">
        <v>0</v>
      </c>
      <c r="L382" s="244">
        <v>0</v>
      </c>
      <c r="M382" s="244">
        <v>0</v>
      </c>
      <c r="N382" s="244">
        <v>0</v>
      </c>
      <c r="O382" s="244">
        <v>0</v>
      </c>
      <c r="P382" s="244">
        <v>0</v>
      </c>
      <c r="Q382" s="244">
        <v>0</v>
      </c>
      <c r="R382" s="244">
        <v>0</v>
      </c>
      <c r="S382" s="244">
        <v>0</v>
      </c>
      <c r="T382" s="244">
        <v>0</v>
      </c>
      <c r="U382" s="244"/>
      <c r="V382" s="408">
        <f t="shared" si="85"/>
        <v>0</v>
      </c>
      <c r="W382" s="245"/>
      <c r="X382" s="420">
        <f t="shared" si="82"/>
        <v>0</v>
      </c>
      <c r="Y382" s="421">
        <f t="shared" si="82"/>
        <v>0</v>
      </c>
      <c r="Z382" s="421">
        <f t="shared" si="82"/>
        <v>0</v>
      </c>
      <c r="AA382" s="420">
        <f t="shared" si="83"/>
        <v>0</v>
      </c>
      <c r="AB382" s="420">
        <f t="shared" si="83"/>
        <v>0</v>
      </c>
      <c r="AC382" s="420">
        <f t="shared" si="83"/>
        <v>0</v>
      </c>
      <c r="AD382" s="420">
        <f t="shared" si="83"/>
        <v>0</v>
      </c>
      <c r="AE382" s="420">
        <f t="shared" si="83"/>
        <v>0</v>
      </c>
      <c r="AF382" s="420">
        <f t="shared" si="83"/>
        <v>0</v>
      </c>
      <c r="AG382" s="420">
        <f t="shared" si="83"/>
        <v>0</v>
      </c>
      <c r="AH382" s="420">
        <f t="shared" si="83"/>
        <v>0</v>
      </c>
      <c r="AI382" s="420">
        <f t="shared" si="83"/>
        <v>0</v>
      </c>
      <c r="AJ382" s="408">
        <f t="shared" si="86"/>
        <v>0</v>
      </c>
    </row>
    <row r="383" spans="1:36">
      <c r="A383" s="231" t="str">
        <f t="shared" si="84"/>
        <v>PIERCE UTCRolloffRENT20MO-RO</v>
      </c>
      <c r="B383" s="243" t="s">
        <v>799</v>
      </c>
      <c r="C383" s="243" t="s">
        <v>800</v>
      </c>
      <c r="D383" s="243" t="s">
        <v>798</v>
      </c>
      <c r="E383" s="230">
        <v>31002</v>
      </c>
      <c r="F383" s="244">
        <v>59.5</v>
      </c>
      <c r="G383" s="244">
        <v>59.5</v>
      </c>
      <c r="H383" s="244"/>
      <c r="I383" s="244">
        <v>2880.95</v>
      </c>
      <c r="J383" s="244">
        <v>2915.5</v>
      </c>
      <c r="K383" s="244">
        <v>2992</v>
      </c>
      <c r="L383" s="244">
        <v>2868.48</v>
      </c>
      <c r="M383" s="244">
        <v>2727.08</v>
      </c>
      <c r="N383" s="244">
        <v>2677.5</v>
      </c>
      <c r="O383" s="244">
        <v>2854.01</v>
      </c>
      <c r="P383" s="244">
        <v>3103.6</v>
      </c>
      <c r="Q383" s="244">
        <v>3299.38</v>
      </c>
      <c r="R383" s="244">
        <v>3256.63</v>
      </c>
      <c r="S383" s="244">
        <v>3161.19</v>
      </c>
      <c r="T383" s="244">
        <v>3072.19</v>
      </c>
      <c r="U383" s="244"/>
      <c r="V383" s="408">
        <f t="shared" si="85"/>
        <v>35808.51</v>
      </c>
      <c r="W383" s="245"/>
      <c r="X383" s="420">
        <f t="shared" si="82"/>
        <v>48.419327731092437</v>
      </c>
      <c r="Y383" s="421">
        <f t="shared" si="82"/>
        <v>49</v>
      </c>
      <c r="Z383" s="421">
        <f t="shared" si="82"/>
        <v>50.285714285714285</v>
      </c>
      <c r="AA383" s="420">
        <f t="shared" si="83"/>
        <v>48.209747899159666</v>
      </c>
      <c r="AB383" s="420">
        <f t="shared" si="83"/>
        <v>45.833277310924366</v>
      </c>
      <c r="AC383" s="420">
        <f t="shared" si="83"/>
        <v>45</v>
      </c>
      <c r="AD383" s="420">
        <f t="shared" si="83"/>
        <v>47.966554621848744</v>
      </c>
      <c r="AE383" s="420">
        <f t="shared" si="83"/>
        <v>52.161344537815125</v>
      </c>
      <c r="AF383" s="420">
        <f t="shared" si="83"/>
        <v>55.451764705882354</v>
      </c>
      <c r="AG383" s="420">
        <f t="shared" si="83"/>
        <v>54.733277310924372</v>
      </c>
      <c r="AH383" s="420">
        <f t="shared" si="83"/>
        <v>53.129243697478991</v>
      </c>
      <c r="AI383" s="420">
        <f t="shared" si="83"/>
        <v>51.633445378151258</v>
      </c>
      <c r="AJ383" s="408">
        <f t="shared" si="86"/>
        <v>601.82369747899156</v>
      </c>
    </row>
    <row r="384" spans="1:36">
      <c r="A384" s="231" t="str">
        <f t="shared" si="84"/>
        <v>PIERCE UTCRolloffRENT30MO-RO</v>
      </c>
      <c r="B384" s="243" t="s">
        <v>801</v>
      </c>
      <c r="C384" s="243" t="s">
        <v>802</v>
      </c>
      <c r="D384" s="243" t="s">
        <v>798</v>
      </c>
      <c r="E384" s="230">
        <v>31002</v>
      </c>
      <c r="F384" s="244">
        <v>59.5</v>
      </c>
      <c r="G384" s="244">
        <v>59.5</v>
      </c>
      <c r="H384" s="244"/>
      <c r="I384" s="244">
        <v>2397.27</v>
      </c>
      <c r="J384" s="244">
        <v>2431.83</v>
      </c>
      <c r="K384" s="244">
        <v>2269.5</v>
      </c>
      <c r="L384" s="244">
        <v>2356.9699999999998</v>
      </c>
      <c r="M384" s="244">
        <v>2153.5</v>
      </c>
      <c r="N384" s="244">
        <v>2138.16</v>
      </c>
      <c r="O384" s="244">
        <v>2155.88</v>
      </c>
      <c r="P384" s="244">
        <v>2220.69</v>
      </c>
      <c r="Q384" s="244">
        <v>2183.75</v>
      </c>
      <c r="R384" s="244">
        <v>2225.29</v>
      </c>
      <c r="S384" s="244">
        <v>2260.94</v>
      </c>
      <c r="T384" s="244">
        <v>2262.9899999999998</v>
      </c>
      <c r="U384" s="244"/>
      <c r="V384" s="408">
        <f t="shared" si="85"/>
        <v>27056.769999999997</v>
      </c>
      <c r="W384" s="245"/>
      <c r="X384" s="420">
        <f t="shared" si="82"/>
        <v>40.290252100840334</v>
      </c>
      <c r="Y384" s="421">
        <f t="shared" si="82"/>
        <v>40.871092436974791</v>
      </c>
      <c r="Z384" s="421">
        <f t="shared" si="82"/>
        <v>38.142857142857146</v>
      </c>
      <c r="AA384" s="420">
        <f t="shared" si="83"/>
        <v>39.612941176470585</v>
      </c>
      <c r="AB384" s="420">
        <f t="shared" si="83"/>
        <v>36.193277310924373</v>
      </c>
      <c r="AC384" s="420">
        <f t="shared" si="83"/>
        <v>35.935462184873948</v>
      </c>
      <c r="AD384" s="420">
        <f t="shared" ref="AD384:AI402" si="87">IFERROR(O384/$G384,0)</f>
        <v>36.233277310924372</v>
      </c>
      <c r="AE384" s="420">
        <f t="shared" si="87"/>
        <v>37.322521008403363</v>
      </c>
      <c r="AF384" s="420">
        <f t="shared" si="87"/>
        <v>36.701680672268907</v>
      </c>
      <c r="AG384" s="420">
        <f t="shared" si="87"/>
        <v>37.399831932773111</v>
      </c>
      <c r="AH384" s="420">
        <f t="shared" si="87"/>
        <v>37.998991596638653</v>
      </c>
      <c r="AI384" s="420">
        <f t="shared" si="87"/>
        <v>38.033445378151256</v>
      </c>
      <c r="AJ384" s="408">
        <f t="shared" si="86"/>
        <v>454.73563025210086</v>
      </c>
    </row>
    <row r="385" spans="1:37">
      <c r="A385" s="231" t="str">
        <f t="shared" si="84"/>
        <v>PIERCE UTCRolloffRENT40MO-RO</v>
      </c>
      <c r="B385" s="243" t="s">
        <v>803</v>
      </c>
      <c r="C385" s="243" t="s">
        <v>804</v>
      </c>
      <c r="D385" s="243" t="s">
        <v>798</v>
      </c>
      <c r="E385" s="230">
        <v>31002</v>
      </c>
      <c r="F385" s="244">
        <v>59.5</v>
      </c>
      <c r="G385" s="244">
        <v>59.5</v>
      </c>
      <c r="H385" s="244"/>
      <c r="I385" s="244">
        <v>1547</v>
      </c>
      <c r="J385" s="244">
        <v>1685.2</v>
      </c>
      <c r="K385" s="244">
        <v>1680.88</v>
      </c>
      <c r="L385" s="244">
        <v>1710.15</v>
      </c>
      <c r="M385" s="244">
        <v>1890.12</v>
      </c>
      <c r="N385" s="244">
        <v>1871.37</v>
      </c>
      <c r="O385" s="244">
        <v>1993</v>
      </c>
      <c r="P385" s="244">
        <v>2082.5</v>
      </c>
      <c r="Q385" s="244">
        <v>2111.29</v>
      </c>
      <c r="R385" s="244">
        <v>2147.9499999999998</v>
      </c>
      <c r="S385" s="244">
        <v>2127.9299999999998</v>
      </c>
      <c r="T385" s="244">
        <v>2023</v>
      </c>
      <c r="U385" s="244"/>
      <c r="V385" s="408">
        <f t="shared" si="85"/>
        <v>22870.39</v>
      </c>
      <c r="W385" s="245"/>
      <c r="X385" s="420">
        <f t="shared" si="82"/>
        <v>26</v>
      </c>
      <c r="Y385" s="421">
        <f t="shared" si="82"/>
        <v>28.322689075630255</v>
      </c>
      <c r="Z385" s="421">
        <f t="shared" si="82"/>
        <v>28.250084033613447</v>
      </c>
      <c r="AA385" s="420">
        <f t="shared" ref="AA385:AC402" si="88">IFERROR(L385/$G385,0)</f>
        <v>28.742016806722692</v>
      </c>
      <c r="AB385" s="420">
        <f t="shared" si="88"/>
        <v>31.766722689075628</v>
      </c>
      <c r="AC385" s="420">
        <f t="shared" si="88"/>
        <v>31.45159663865546</v>
      </c>
      <c r="AD385" s="420">
        <f t="shared" si="87"/>
        <v>33.495798319327733</v>
      </c>
      <c r="AE385" s="420">
        <f t="shared" si="87"/>
        <v>35</v>
      </c>
      <c r="AF385" s="420">
        <f t="shared" si="87"/>
        <v>35.483865546218489</v>
      </c>
      <c r="AG385" s="420">
        <f t="shared" si="87"/>
        <v>36.099999999999994</v>
      </c>
      <c r="AH385" s="420">
        <f t="shared" si="87"/>
        <v>35.763529411764701</v>
      </c>
      <c r="AI385" s="420">
        <f t="shared" si="87"/>
        <v>34</v>
      </c>
      <c r="AJ385" s="408">
        <f t="shared" si="86"/>
        <v>384.37630252100837</v>
      </c>
    </row>
    <row r="386" spans="1:37">
      <c r="A386" s="231" t="str">
        <f t="shared" si="84"/>
        <v>PIERCE UTCRolloffRENT20TEMP-RO</v>
      </c>
      <c r="B386" s="243" t="s">
        <v>805</v>
      </c>
      <c r="C386" s="243" t="s">
        <v>806</v>
      </c>
      <c r="D386" s="243" t="s">
        <v>798</v>
      </c>
      <c r="E386" s="230">
        <v>31002</v>
      </c>
      <c r="F386" s="244">
        <v>5.15</v>
      </c>
      <c r="G386" s="244">
        <v>5.15</v>
      </c>
      <c r="H386" s="244"/>
      <c r="I386" s="244">
        <v>1684.05</v>
      </c>
      <c r="J386" s="244">
        <v>1714.95</v>
      </c>
      <c r="K386" s="244">
        <v>1210.25</v>
      </c>
      <c r="L386" s="244">
        <v>1689.2</v>
      </c>
      <c r="M386" s="244">
        <v>1890.05</v>
      </c>
      <c r="N386" s="244">
        <v>3376.67</v>
      </c>
      <c r="O386" s="244">
        <v>3336.34</v>
      </c>
      <c r="P386" s="244">
        <v>2641.95</v>
      </c>
      <c r="Q386" s="244">
        <v>3126.0499999999997</v>
      </c>
      <c r="R386" s="244">
        <v>2003.3500000000001</v>
      </c>
      <c r="S386" s="244">
        <v>1900.3500000000001</v>
      </c>
      <c r="T386" s="244">
        <v>1646.0500000000002</v>
      </c>
      <c r="U386" s="244"/>
      <c r="V386" s="408">
        <f t="shared" si="85"/>
        <v>26219.259999999995</v>
      </c>
      <c r="W386" s="245"/>
      <c r="X386" s="420">
        <f t="shared" si="82"/>
        <v>326.99999999999994</v>
      </c>
      <c r="Y386" s="421">
        <f t="shared" si="82"/>
        <v>333</v>
      </c>
      <c r="Z386" s="421">
        <f t="shared" si="82"/>
        <v>234.99999999999997</v>
      </c>
      <c r="AA386" s="420">
        <f t="shared" si="88"/>
        <v>328</v>
      </c>
      <c r="AB386" s="420">
        <f t="shared" si="88"/>
        <v>366.99999999999994</v>
      </c>
      <c r="AC386" s="420">
        <f t="shared" si="88"/>
        <v>655.66407766990289</v>
      </c>
      <c r="AD386" s="420">
        <f t="shared" si="87"/>
        <v>647.83300970873779</v>
      </c>
      <c r="AE386" s="420">
        <f t="shared" si="87"/>
        <v>512.99999999999989</v>
      </c>
      <c r="AF386" s="420">
        <f t="shared" si="87"/>
        <v>606.99999999999989</v>
      </c>
      <c r="AG386" s="420">
        <f t="shared" si="87"/>
        <v>389</v>
      </c>
      <c r="AH386" s="420">
        <f t="shared" si="87"/>
        <v>369</v>
      </c>
      <c r="AI386" s="420">
        <f t="shared" si="87"/>
        <v>319.621359223301</v>
      </c>
      <c r="AJ386" s="408">
        <f t="shared" si="86"/>
        <v>5091.1184466019413</v>
      </c>
      <c r="AK386" s="231">
        <f>AI386/30</f>
        <v>10.654045307443367</v>
      </c>
    </row>
    <row r="387" spans="1:37">
      <c r="A387" s="231" t="str">
        <f t="shared" si="84"/>
        <v>PIERCE UTCRolloffRENT30TEMP-RO</v>
      </c>
      <c r="B387" s="243" t="s">
        <v>807</v>
      </c>
      <c r="C387" s="243" t="s">
        <v>808</v>
      </c>
      <c r="D387" s="243" t="s">
        <v>798</v>
      </c>
      <c r="E387" s="230">
        <v>31002</v>
      </c>
      <c r="F387" s="244">
        <v>6.1</v>
      </c>
      <c r="G387" s="244">
        <v>6.1</v>
      </c>
      <c r="H387" s="244"/>
      <c r="I387" s="244">
        <v>1159</v>
      </c>
      <c r="J387" s="244">
        <v>1299.3000000000002</v>
      </c>
      <c r="K387" s="244">
        <v>817.4</v>
      </c>
      <c r="L387" s="244">
        <v>1945.04</v>
      </c>
      <c r="M387" s="244">
        <v>2171.6</v>
      </c>
      <c r="N387" s="244">
        <v>2995.1</v>
      </c>
      <c r="O387" s="244">
        <v>1506.7</v>
      </c>
      <c r="P387" s="244">
        <v>3330.6</v>
      </c>
      <c r="Q387" s="244">
        <v>2842.6</v>
      </c>
      <c r="R387" s="244">
        <v>2324.1</v>
      </c>
      <c r="S387" s="244">
        <v>463.59999999999997</v>
      </c>
      <c r="T387" s="244">
        <v>695.4</v>
      </c>
      <c r="U387" s="244"/>
      <c r="V387" s="408">
        <f t="shared" si="85"/>
        <v>21550.44</v>
      </c>
      <c r="W387" s="245"/>
      <c r="X387" s="420">
        <f t="shared" si="82"/>
        <v>190</v>
      </c>
      <c r="Y387" s="421">
        <f t="shared" si="82"/>
        <v>213.00000000000003</v>
      </c>
      <c r="Z387" s="421">
        <f t="shared" si="82"/>
        <v>134</v>
      </c>
      <c r="AA387" s="420">
        <f t="shared" si="88"/>
        <v>318.85901639344263</v>
      </c>
      <c r="AB387" s="420">
        <f t="shared" si="88"/>
        <v>356</v>
      </c>
      <c r="AC387" s="420">
        <f t="shared" si="88"/>
        <v>491</v>
      </c>
      <c r="AD387" s="420">
        <f t="shared" si="87"/>
        <v>247.00000000000003</v>
      </c>
      <c r="AE387" s="420">
        <f t="shared" si="87"/>
        <v>546</v>
      </c>
      <c r="AF387" s="420">
        <f t="shared" si="87"/>
        <v>466</v>
      </c>
      <c r="AG387" s="420">
        <f t="shared" si="87"/>
        <v>381</v>
      </c>
      <c r="AH387" s="420">
        <f t="shared" si="87"/>
        <v>76</v>
      </c>
      <c r="AI387" s="420">
        <f t="shared" si="87"/>
        <v>114</v>
      </c>
      <c r="AJ387" s="408">
        <f t="shared" si="86"/>
        <v>3532.8590163934427</v>
      </c>
      <c r="AK387" s="231">
        <f>AI387/30</f>
        <v>3.8</v>
      </c>
    </row>
    <row r="388" spans="1:37">
      <c r="A388" s="231" t="str">
        <f t="shared" si="84"/>
        <v>PIERCE UTCRolloffRENT40TEMP-RO</v>
      </c>
      <c r="B388" s="243" t="s">
        <v>809</v>
      </c>
      <c r="C388" s="243" t="s">
        <v>810</v>
      </c>
      <c r="D388" s="243" t="s">
        <v>798</v>
      </c>
      <c r="E388" s="230">
        <v>31002</v>
      </c>
      <c r="F388" s="244">
        <v>7.15</v>
      </c>
      <c r="G388" s="244">
        <v>7.15</v>
      </c>
      <c r="H388" s="244"/>
      <c r="I388" s="244">
        <v>1658.8</v>
      </c>
      <c r="J388" s="244">
        <v>1816.1000000000001</v>
      </c>
      <c r="K388" s="244">
        <v>1944.8000000000002</v>
      </c>
      <c r="L388" s="244">
        <v>2502.5</v>
      </c>
      <c r="M388" s="244">
        <v>1608.05</v>
      </c>
      <c r="N388" s="244">
        <v>1979.1</v>
      </c>
      <c r="O388" s="244">
        <v>1780.3500000000001</v>
      </c>
      <c r="P388" s="244">
        <v>1043.8999999999999</v>
      </c>
      <c r="Q388" s="244">
        <v>2259.4</v>
      </c>
      <c r="R388" s="244">
        <v>1857.52</v>
      </c>
      <c r="S388" s="244">
        <v>1866.15</v>
      </c>
      <c r="T388" s="244">
        <v>1937.65</v>
      </c>
      <c r="U388" s="244"/>
      <c r="V388" s="408">
        <f t="shared" si="85"/>
        <v>22254.320000000003</v>
      </c>
      <c r="W388" s="245"/>
      <c r="X388" s="420">
        <f t="shared" si="82"/>
        <v>231.99999999999997</v>
      </c>
      <c r="Y388" s="421">
        <f t="shared" si="82"/>
        <v>254</v>
      </c>
      <c r="Z388" s="421">
        <f t="shared" si="82"/>
        <v>272</v>
      </c>
      <c r="AA388" s="420">
        <f t="shared" si="88"/>
        <v>350</v>
      </c>
      <c r="AB388" s="420">
        <f t="shared" si="88"/>
        <v>224.90209790209789</v>
      </c>
      <c r="AC388" s="420">
        <f t="shared" si="88"/>
        <v>276.79720279720277</v>
      </c>
      <c r="AD388" s="420">
        <f t="shared" si="87"/>
        <v>249</v>
      </c>
      <c r="AE388" s="420">
        <f t="shared" si="87"/>
        <v>145.99999999999997</v>
      </c>
      <c r="AF388" s="420">
        <f t="shared" si="87"/>
        <v>316</v>
      </c>
      <c r="AG388" s="420">
        <f t="shared" si="87"/>
        <v>259.793006993007</v>
      </c>
      <c r="AH388" s="420">
        <f t="shared" si="87"/>
        <v>261</v>
      </c>
      <c r="AI388" s="420">
        <f t="shared" si="87"/>
        <v>271</v>
      </c>
      <c r="AJ388" s="408">
        <f t="shared" si="86"/>
        <v>3112.4923076923078</v>
      </c>
      <c r="AK388" s="231">
        <f>AI388/30</f>
        <v>9.0333333333333332</v>
      </c>
    </row>
    <row r="389" spans="1:37">
      <c r="A389" s="231" t="str">
        <f t="shared" si="84"/>
        <v>PIERCE UTCRolloffCLEAN10-RO</v>
      </c>
      <c r="B389" s="243" t="s">
        <v>811</v>
      </c>
      <c r="C389" s="243" t="s">
        <v>812</v>
      </c>
      <c r="D389" s="243" t="s">
        <v>746</v>
      </c>
      <c r="E389" s="230">
        <v>31000</v>
      </c>
      <c r="F389" s="244">
        <v>47.5</v>
      </c>
      <c r="G389" s="244">
        <v>47.5</v>
      </c>
      <c r="H389" s="244"/>
      <c r="I389" s="244">
        <v>0</v>
      </c>
      <c r="J389" s="244">
        <v>0</v>
      </c>
      <c r="K389" s="244">
        <v>0</v>
      </c>
      <c r="L389" s="244">
        <v>0</v>
      </c>
      <c r="M389" s="244">
        <v>0</v>
      </c>
      <c r="N389" s="244">
        <v>0</v>
      </c>
      <c r="O389" s="244">
        <v>0</v>
      </c>
      <c r="P389" s="244">
        <v>0</v>
      </c>
      <c r="Q389" s="244">
        <v>0</v>
      </c>
      <c r="R389" s="244">
        <v>0</v>
      </c>
      <c r="S389" s="244">
        <v>0</v>
      </c>
      <c r="T389" s="244">
        <v>0</v>
      </c>
      <c r="U389" s="244"/>
      <c r="V389" s="408">
        <f t="shared" si="85"/>
        <v>0</v>
      </c>
      <c r="W389" s="245"/>
      <c r="X389" s="420">
        <f t="shared" si="82"/>
        <v>0</v>
      </c>
      <c r="Y389" s="421">
        <f t="shared" si="82"/>
        <v>0</v>
      </c>
      <c r="Z389" s="421">
        <f t="shared" si="82"/>
        <v>0</v>
      </c>
      <c r="AA389" s="420">
        <f t="shared" si="88"/>
        <v>0</v>
      </c>
      <c r="AB389" s="420">
        <f t="shared" si="88"/>
        <v>0</v>
      </c>
      <c r="AC389" s="420">
        <f t="shared" si="88"/>
        <v>0</v>
      </c>
      <c r="AD389" s="420">
        <f t="shared" si="87"/>
        <v>0</v>
      </c>
      <c r="AE389" s="420">
        <f t="shared" si="87"/>
        <v>0</v>
      </c>
      <c r="AF389" s="420">
        <f t="shared" si="87"/>
        <v>0</v>
      </c>
      <c r="AG389" s="420">
        <f t="shared" si="87"/>
        <v>0</v>
      </c>
      <c r="AH389" s="420">
        <f t="shared" si="87"/>
        <v>0</v>
      </c>
      <c r="AI389" s="420">
        <f t="shared" si="87"/>
        <v>0</v>
      </c>
      <c r="AJ389" s="408">
        <f t="shared" si="86"/>
        <v>0</v>
      </c>
    </row>
    <row r="390" spans="1:37">
      <c r="A390" s="231" t="str">
        <f t="shared" si="84"/>
        <v>PIERCE UTCRolloffCLEAN20-RO</v>
      </c>
      <c r="B390" s="243" t="s">
        <v>813</v>
      </c>
      <c r="C390" s="243" t="s">
        <v>814</v>
      </c>
      <c r="D390" s="243" t="s">
        <v>746</v>
      </c>
      <c r="E390" s="230">
        <v>31000</v>
      </c>
      <c r="F390" s="244">
        <v>95</v>
      </c>
      <c r="G390" s="244">
        <v>95</v>
      </c>
      <c r="H390" s="244"/>
      <c r="I390" s="244">
        <v>0</v>
      </c>
      <c r="J390" s="244">
        <v>0</v>
      </c>
      <c r="K390" s="244">
        <v>0</v>
      </c>
      <c r="L390" s="244">
        <v>0</v>
      </c>
      <c r="M390" s="244">
        <v>190</v>
      </c>
      <c r="N390" s="244">
        <v>95</v>
      </c>
      <c r="O390" s="244">
        <v>190</v>
      </c>
      <c r="P390" s="244">
        <v>380</v>
      </c>
      <c r="Q390" s="244">
        <v>0</v>
      </c>
      <c r="R390" s="244">
        <v>95</v>
      </c>
      <c r="S390" s="244">
        <v>0</v>
      </c>
      <c r="T390" s="244">
        <v>190</v>
      </c>
      <c r="U390" s="244"/>
      <c r="V390" s="408">
        <f t="shared" si="85"/>
        <v>1140</v>
      </c>
      <c r="W390" s="245"/>
      <c r="X390" s="420">
        <f t="shared" si="82"/>
        <v>0</v>
      </c>
      <c r="Y390" s="421">
        <f t="shared" si="82"/>
        <v>0</v>
      </c>
      <c r="Z390" s="421">
        <f t="shared" si="82"/>
        <v>0</v>
      </c>
      <c r="AA390" s="420">
        <f t="shared" si="88"/>
        <v>0</v>
      </c>
      <c r="AB390" s="420">
        <f t="shared" si="88"/>
        <v>2</v>
      </c>
      <c r="AC390" s="420">
        <f t="shared" si="88"/>
        <v>1</v>
      </c>
      <c r="AD390" s="420">
        <f t="shared" si="87"/>
        <v>2</v>
      </c>
      <c r="AE390" s="420">
        <f t="shared" si="87"/>
        <v>4</v>
      </c>
      <c r="AF390" s="420">
        <f t="shared" si="87"/>
        <v>0</v>
      </c>
      <c r="AG390" s="420">
        <f t="shared" si="87"/>
        <v>1</v>
      </c>
      <c r="AH390" s="420">
        <f t="shared" si="87"/>
        <v>0</v>
      </c>
      <c r="AI390" s="420">
        <f t="shared" si="87"/>
        <v>2</v>
      </c>
      <c r="AJ390" s="408">
        <f t="shared" si="86"/>
        <v>12</v>
      </c>
    </row>
    <row r="391" spans="1:37">
      <c r="A391" s="231" t="str">
        <f t="shared" si="84"/>
        <v>PIERCE UTCRolloffCLEAN25-RO</v>
      </c>
      <c r="B391" s="243" t="s">
        <v>815</v>
      </c>
      <c r="C391" s="243" t="s">
        <v>816</v>
      </c>
      <c r="D391" s="243" t="s">
        <v>746</v>
      </c>
      <c r="E391" s="230">
        <v>31000</v>
      </c>
      <c r="F391" s="244">
        <v>118.75</v>
      </c>
      <c r="G391" s="244">
        <v>118.75</v>
      </c>
      <c r="H391" s="244"/>
      <c r="I391" s="244">
        <v>0</v>
      </c>
      <c r="J391" s="244">
        <v>0</v>
      </c>
      <c r="K391" s="244">
        <v>0</v>
      </c>
      <c r="L391" s="244">
        <v>0</v>
      </c>
      <c r="M391" s="244">
        <v>0</v>
      </c>
      <c r="N391" s="244">
        <v>0</v>
      </c>
      <c r="O391" s="244">
        <v>0</v>
      </c>
      <c r="P391" s="244">
        <v>0</v>
      </c>
      <c r="Q391" s="244">
        <v>0</v>
      </c>
      <c r="R391" s="244">
        <v>118.75</v>
      </c>
      <c r="S391" s="244">
        <v>0</v>
      </c>
      <c r="T391" s="244">
        <v>0</v>
      </c>
      <c r="U391" s="244"/>
      <c r="V391" s="408">
        <f t="shared" si="85"/>
        <v>118.75</v>
      </c>
      <c r="W391" s="245"/>
      <c r="X391" s="420">
        <f t="shared" si="82"/>
        <v>0</v>
      </c>
      <c r="Y391" s="421">
        <f t="shared" si="82"/>
        <v>0</v>
      </c>
      <c r="Z391" s="421">
        <f t="shared" si="82"/>
        <v>0</v>
      </c>
      <c r="AA391" s="420">
        <f t="shared" si="88"/>
        <v>0</v>
      </c>
      <c r="AB391" s="420">
        <f t="shared" si="88"/>
        <v>0</v>
      </c>
      <c r="AC391" s="420">
        <f t="shared" si="88"/>
        <v>0</v>
      </c>
      <c r="AD391" s="420">
        <f t="shared" si="87"/>
        <v>0</v>
      </c>
      <c r="AE391" s="420">
        <f t="shared" si="87"/>
        <v>0</v>
      </c>
      <c r="AF391" s="420">
        <f t="shared" si="87"/>
        <v>0</v>
      </c>
      <c r="AG391" s="420">
        <f t="shared" si="87"/>
        <v>1</v>
      </c>
      <c r="AH391" s="420">
        <f t="shared" si="87"/>
        <v>0</v>
      </c>
      <c r="AI391" s="420">
        <f t="shared" si="87"/>
        <v>0</v>
      </c>
      <c r="AJ391" s="408">
        <f t="shared" si="86"/>
        <v>1</v>
      </c>
    </row>
    <row r="392" spans="1:37">
      <c r="A392" s="231" t="str">
        <f t="shared" si="84"/>
        <v>PIERCE UTCRolloffCLEAN30-RO</v>
      </c>
      <c r="B392" s="243" t="s">
        <v>817</v>
      </c>
      <c r="C392" s="243" t="s">
        <v>818</v>
      </c>
      <c r="D392" s="243" t="s">
        <v>746</v>
      </c>
      <c r="E392" s="230">
        <v>31000</v>
      </c>
      <c r="F392" s="244">
        <v>142.5</v>
      </c>
      <c r="G392" s="244">
        <v>142.5</v>
      </c>
      <c r="H392" s="244"/>
      <c r="I392" s="244">
        <v>0</v>
      </c>
      <c r="J392" s="244">
        <v>142.5</v>
      </c>
      <c r="K392" s="244">
        <v>0</v>
      </c>
      <c r="L392" s="244">
        <v>0</v>
      </c>
      <c r="M392" s="244">
        <v>142.5</v>
      </c>
      <c r="N392" s="244">
        <v>285</v>
      </c>
      <c r="O392" s="244">
        <v>142.5</v>
      </c>
      <c r="P392" s="244">
        <v>142.5</v>
      </c>
      <c r="Q392" s="244">
        <v>0</v>
      </c>
      <c r="R392" s="244">
        <v>285</v>
      </c>
      <c r="S392" s="244">
        <v>142.5</v>
      </c>
      <c r="T392" s="244">
        <v>0</v>
      </c>
      <c r="U392" s="244"/>
      <c r="V392" s="408">
        <f t="shared" si="85"/>
        <v>1282.5</v>
      </c>
      <c r="W392" s="245"/>
      <c r="X392" s="420">
        <f t="shared" si="82"/>
        <v>0</v>
      </c>
      <c r="Y392" s="421">
        <f t="shared" si="82"/>
        <v>1</v>
      </c>
      <c r="Z392" s="421">
        <f t="shared" si="82"/>
        <v>0</v>
      </c>
      <c r="AA392" s="420">
        <f t="shared" si="88"/>
        <v>0</v>
      </c>
      <c r="AB392" s="420">
        <f t="shared" si="88"/>
        <v>1</v>
      </c>
      <c r="AC392" s="420">
        <f t="shared" si="88"/>
        <v>2</v>
      </c>
      <c r="AD392" s="420">
        <f t="shared" si="87"/>
        <v>1</v>
      </c>
      <c r="AE392" s="420">
        <f t="shared" si="87"/>
        <v>1</v>
      </c>
      <c r="AF392" s="420">
        <f t="shared" si="87"/>
        <v>0</v>
      </c>
      <c r="AG392" s="420">
        <f t="shared" si="87"/>
        <v>2</v>
      </c>
      <c r="AH392" s="420">
        <f t="shared" si="87"/>
        <v>1</v>
      </c>
      <c r="AI392" s="420">
        <f t="shared" si="87"/>
        <v>0</v>
      </c>
      <c r="AJ392" s="408">
        <f t="shared" si="86"/>
        <v>9</v>
      </c>
    </row>
    <row r="393" spans="1:37">
      <c r="A393" s="231" t="str">
        <f t="shared" si="84"/>
        <v>PIERCE UTCRolloffDISCO-CP</v>
      </c>
      <c r="B393" s="243" t="s">
        <v>819</v>
      </c>
      <c r="C393" s="243" t="s">
        <v>820</v>
      </c>
      <c r="D393" s="243" t="s">
        <v>746</v>
      </c>
      <c r="E393" s="230">
        <v>31000</v>
      </c>
      <c r="F393" s="244">
        <v>10.5</v>
      </c>
      <c r="G393" s="244">
        <v>10.5</v>
      </c>
      <c r="H393" s="244"/>
      <c r="I393" s="244">
        <v>1617</v>
      </c>
      <c r="J393" s="244">
        <v>1680</v>
      </c>
      <c r="K393" s="244">
        <v>1512</v>
      </c>
      <c r="L393" s="244">
        <v>1554</v>
      </c>
      <c r="M393" s="244">
        <v>1638</v>
      </c>
      <c r="N393" s="244">
        <v>1711.5</v>
      </c>
      <c r="O393" s="244">
        <v>1564.5</v>
      </c>
      <c r="P393" s="244">
        <v>1585.5</v>
      </c>
      <c r="Q393" s="244">
        <v>1627.5</v>
      </c>
      <c r="R393" s="244">
        <v>1659</v>
      </c>
      <c r="S393" s="244">
        <v>1900.5</v>
      </c>
      <c r="T393" s="244">
        <v>1732.5</v>
      </c>
      <c r="U393" s="244"/>
      <c r="V393" s="408">
        <f t="shared" si="85"/>
        <v>19782</v>
      </c>
      <c r="W393" s="245"/>
      <c r="X393" s="420">
        <f t="shared" si="82"/>
        <v>154</v>
      </c>
      <c r="Y393" s="421">
        <f t="shared" si="82"/>
        <v>160</v>
      </c>
      <c r="Z393" s="421">
        <f t="shared" si="82"/>
        <v>144</v>
      </c>
      <c r="AA393" s="420">
        <f t="shared" si="88"/>
        <v>148</v>
      </c>
      <c r="AB393" s="420">
        <f t="shared" si="88"/>
        <v>156</v>
      </c>
      <c r="AC393" s="420">
        <f t="shared" si="88"/>
        <v>163</v>
      </c>
      <c r="AD393" s="420">
        <f t="shared" si="87"/>
        <v>149</v>
      </c>
      <c r="AE393" s="420">
        <f t="shared" si="87"/>
        <v>151</v>
      </c>
      <c r="AF393" s="420">
        <f t="shared" si="87"/>
        <v>155</v>
      </c>
      <c r="AG393" s="420">
        <f t="shared" si="87"/>
        <v>158</v>
      </c>
      <c r="AH393" s="420">
        <f t="shared" si="87"/>
        <v>181</v>
      </c>
      <c r="AI393" s="420">
        <f t="shared" si="87"/>
        <v>165</v>
      </c>
      <c r="AJ393" s="408">
        <f t="shared" si="86"/>
        <v>1884</v>
      </c>
    </row>
    <row r="394" spans="1:37" ht="13.5" customHeight="1">
      <c r="A394" s="231" t="str">
        <f t="shared" si="84"/>
        <v>PIERCE UTCRolloffEXWGHT-RO</v>
      </c>
      <c r="B394" s="243" t="s">
        <v>821</v>
      </c>
      <c r="C394" s="243" t="s">
        <v>822</v>
      </c>
      <c r="D394" s="243" t="s">
        <v>746</v>
      </c>
      <c r="E394" s="230">
        <v>31000</v>
      </c>
      <c r="F394" s="244">
        <v>0.19</v>
      </c>
      <c r="G394" s="244">
        <v>0.19</v>
      </c>
      <c r="H394" s="273"/>
      <c r="I394" s="244">
        <v>2420.6</v>
      </c>
      <c r="J394" s="244">
        <v>3822.8</v>
      </c>
      <c r="K394" s="244">
        <v>0</v>
      </c>
      <c r="L394" s="244">
        <v>0</v>
      </c>
      <c r="M394" s="244">
        <v>1497.2</v>
      </c>
      <c r="N394" s="244">
        <v>4563.8</v>
      </c>
      <c r="O394" s="244">
        <v>0</v>
      </c>
      <c r="P394" s="244">
        <v>3598.6</v>
      </c>
      <c r="Q394" s="244">
        <v>4579</v>
      </c>
      <c r="R394" s="244">
        <v>965.2</v>
      </c>
      <c r="S394" s="244">
        <v>1208.4000000000001</v>
      </c>
      <c r="T394" s="244">
        <v>676.4</v>
      </c>
      <c r="U394" s="244"/>
      <c r="V394" s="408">
        <f t="shared" si="85"/>
        <v>23332.000000000004</v>
      </c>
      <c r="W394" s="245"/>
      <c r="X394" s="420">
        <f t="shared" si="82"/>
        <v>12740</v>
      </c>
      <c r="Y394" s="421">
        <f t="shared" si="82"/>
        <v>20120</v>
      </c>
      <c r="Z394" s="421">
        <f t="shared" si="82"/>
        <v>0</v>
      </c>
      <c r="AA394" s="420">
        <f t="shared" si="88"/>
        <v>0</v>
      </c>
      <c r="AB394" s="420">
        <f t="shared" si="88"/>
        <v>7880</v>
      </c>
      <c r="AC394" s="420">
        <f t="shared" si="88"/>
        <v>24020</v>
      </c>
      <c r="AD394" s="420">
        <f t="shared" si="87"/>
        <v>0</v>
      </c>
      <c r="AE394" s="420">
        <f t="shared" si="87"/>
        <v>18940</v>
      </c>
      <c r="AF394" s="420">
        <f t="shared" si="87"/>
        <v>24100</v>
      </c>
      <c r="AG394" s="420">
        <f t="shared" si="87"/>
        <v>5080</v>
      </c>
      <c r="AH394" s="420">
        <f t="shared" si="87"/>
        <v>6360</v>
      </c>
      <c r="AI394" s="420">
        <f t="shared" si="87"/>
        <v>3560</v>
      </c>
      <c r="AJ394" s="408">
        <f t="shared" si="86"/>
        <v>122800</v>
      </c>
    </row>
    <row r="395" spans="1:37" ht="13.5" customHeight="1">
      <c r="A395" s="231" t="str">
        <f t="shared" si="84"/>
        <v>PIERCE UTCRolloffEXTRAYDG-RO</v>
      </c>
      <c r="B395" s="243" t="s">
        <v>823</v>
      </c>
      <c r="C395" s="243" t="s">
        <v>824</v>
      </c>
      <c r="D395" s="243" t="s">
        <v>779</v>
      </c>
      <c r="E395" s="230">
        <v>31001</v>
      </c>
      <c r="F395" s="244">
        <v>0</v>
      </c>
      <c r="G395" s="244">
        <v>0</v>
      </c>
      <c r="H395" s="273"/>
      <c r="I395" s="244">
        <v>0</v>
      </c>
      <c r="J395" s="244">
        <v>0</v>
      </c>
      <c r="K395" s="244">
        <v>0</v>
      </c>
      <c r="L395" s="244">
        <v>0</v>
      </c>
      <c r="M395" s="244">
        <v>0</v>
      </c>
      <c r="N395" s="244">
        <v>0</v>
      </c>
      <c r="O395" s="244">
        <v>0</v>
      </c>
      <c r="P395" s="244">
        <v>0</v>
      </c>
      <c r="Q395" s="244">
        <v>0</v>
      </c>
      <c r="R395" s="244">
        <v>0</v>
      </c>
      <c r="S395" s="244">
        <v>0</v>
      </c>
      <c r="T395" s="244">
        <v>0</v>
      </c>
      <c r="U395" s="244"/>
      <c r="V395" s="408">
        <f t="shared" si="85"/>
        <v>0</v>
      </c>
      <c r="W395" s="245"/>
      <c r="X395" s="420">
        <f t="shared" si="82"/>
        <v>0</v>
      </c>
      <c r="Y395" s="421">
        <f t="shared" si="82"/>
        <v>0</v>
      </c>
      <c r="Z395" s="421">
        <f t="shared" si="82"/>
        <v>0</v>
      </c>
      <c r="AA395" s="420">
        <f t="shared" si="88"/>
        <v>0</v>
      </c>
      <c r="AB395" s="420">
        <f t="shared" si="88"/>
        <v>0</v>
      </c>
      <c r="AC395" s="420">
        <f t="shared" si="88"/>
        <v>0</v>
      </c>
      <c r="AD395" s="420">
        <f t="shared" si="87"/>
        <v>0</v>
      </c>
      <c r="AE395" s="420">
        <f t="shared" si="87"/>
        <v>0</v>
      </c>
      <c r="AF395" s="420">
        <f t="shared" si="87"/>
        <v>0</v>
      </c>
      <c r="AG395" s="420">
        <f t="shared" si="87"/>
        <v>0</v>
      </c>
      <c r="AH395" s="420">
        <f t="shared" si="87"/>
        <v>0</v>
      </c>
      <c r="AI395" s="420">
        <f t="shared" si="87"/>
        <v>0</v>
      </c>
      <c r="AJ395" s="408">
        <f t="shared" si="86"/>
        <v>0</v>
      </c>
    </row>
    <row r="396" spans="1:37" ht="13.5" customHeight="1">
      <c r="A396" s="231" t="str">
        <f t="shared" si="84"/>
        <v>PIERCE UTCRolloffFERRY-RO</v>
      </c>
      <c r="B396" s="243" t="s">
        <v>825</v>
      </c>
      <c r="C396" s="243" t="s">
        <v>826</v>
      </c>
      <c r="D396" s="243" t="s">
        <v>746</v>
      </c>
      <c r="E396" s="230">
        <v>31000</v>
      </c>
      <c r="F396" s="244">
        <v>0</v>
      </c>
      <c r="G396" s="244">
        <v>0</v>
      </c>
      <c r="H396" s="273"/>
      <c r="I396" s="244">
        <v>475.2</v>
      </c>
      <c r="J396" s="244">
        <v>849.4</v>
      </c>
      <c r="K396" s="244">
        <v>574.5</v>
      </c>
      <c r="L396" s="244">
        <v>653.85</v>
      </c>
      <c r="M396" s="244">
        <v>594</v>
      </c>
      <c r="N396" s="244">
        <v>1241.2</v>
      </c>
      <c r="O396" s="244">
        <v>1235.2</v>
      </c>
      <c r="P396" s="244">
        <v>1003.6</v>
      </c>
      <c r="Q396" s="244">
        <v>1080.8</v>
      </c>
      <c r="R396" s="244">
        <v>1003.6</v>
      </c>
      <c r="S396" s="244">
        <v>849.2</v>
      </c>
      <c r="T396" s="244">
        <v>641.4</v>
      </c>
      <c r="U396" s="244"/>
      <c r="V396" s="408">
        <f t="shared" si="85"/>
        <v>10201.950000000001</v>
      </c>
      <c r="W396" s="245"/>
      <c r="X396" s="420">
        <f t="shared" si="82"/>
        <v>0</v>
      </c>
      <c r="Y396" s="421">
        <f t="shared" si="82"/>
        <v>0</v>
      </c>
      <c r="Z396" s="421">
        <f t="shared" si="82"/>
        <v>0</v>
      </c>
      <c r="AA396" s="420">
        <f t="shared" si="88"/>
        <v>0</v>
      </c>
      <c r="AB396" s="420">
        <f t="shared" si="88"/>
        <v>0</v>
      </c>
      <c r="AC396" s="420">
        <f t="shared" si="88"/>
        <v>0</v>
      </c>
      <c r="AD396" s="420">
        <f t="shared" si="87"/>
        <v>0</v>
      </c>
      <c r="AE396" s="420">
        <f t="shared" si="87"/>
        <v>0</v>
      </c>
      <c r="AF396" s="420">
        <f t="shared" si="87"/>
        <v>0</v>
      </c>
      <c r="AG396" s="420">
        <f t="shared" si="87"/>
        <v>0</v>
      </c>
      <c r="AH396" s="420">
        <f t="shared" si="87"/>
        <v>0</v>
      </c>
      <c r="AI396" s="420">
        <f t="shared" si="87"/>
        <v>0</v>
      </c>
      <c r="AJ396" s="408">
        <f t="shared" si="86"/>
        <v>0</v>
      </c>
    </row>
    <row r="397" spans="1:37">
      <c r="A397" s="231" t="str">
        <f t="shared" si="84"/>
        <v>PIERCE UTCRolloffLIDRO</v>
      </c>
      <c r="B397" s="243" t="s">
        <v>827</v>
      </c>
      <c r="C397" s="243" t="s">
        <v>828</v>
      </c>
      <c r="D397" s="243" t="s">
        <v>746</v>
      </c>
      <c r="E397" s="230">
        <v>31000</v>
      </c>
      <c r="F397" s="244">
        <v>19.850000000000001</v>
      </c>
      <c r="G397" s="244">
        <v>19.850000000000001</v>
      </c>
      <c r="H397" s="244"/>
      <c r="I397" s="244">
        <v>1431.75</v>
      </c>
      <c r="J397" s="244">
        <v>1510.52</v>
      </c>
      <c r="K397" s="244">
        <v>1530.61</v>
      </c>
      <c r="L397" s="244">
        <v>1513.41</v>
      </c>
      <c r="M397" s="244">
        <v>1469.57</v>
      </c>
      <c r="N397" s="244">
        <v>1465.07</v>
      </c>
      <c r="O397" s="244">
        <v>1535.07</v>
      </c>
      <c r="P397" s="244">
        <v>1541.25</v>
      </c>
      <c r="Q397" s="244">
        <v>1497.55</v>
      </c>
      <c r="R397" s="244">
        <v>1509.27</v>
      </c>
      <c r="S397" s="244">
        <v>1545.78</v>
      </c>
      <c r="T397" s="244">
        <v>1509.92</v>
      </c>
      <c r="U397" s="244"/>
      <c r="V397" s="408">
        <f t="shared" si="85"/>
        <v>18059.769999999997</v>
      </c>
      <c r="W397" s="245"/>
      <c r="X397" s="420">
        <f t="shared" si="82"/>
        <v>72.128463476070522</v>
      </c>
      <c r="Y397" s="421">
        <f t="shared" si="82"/>
        <v>76.09672544080604</v>
      </c>
      <c r="Z397" s="421">
        <f t="shared" si="82"/>
        <v>77.108816120906795</v>
      </c>
      <c r="AA397" s="420">
        <f t="shared" si="88"/>
        <v>76.242317380352645</v>
      </c>
      <c r="AB397" s="420">
        <f t="shared" si="88"/>
        <v>74.033753148614608</v>
      </c>
      <c r="AC397" s="420">
        <f t="shared" si="88"/>
        <v>73.807052896725438</v>
      </c>
      <c r="AD397" s="420">
        <f t="shared" si="87"/>
        <v>77.333501259445839</v>
      </c>
      <c r="AE397" s="420">
        <f t="shared" si="87"/>
        <v>77.644836272040294</v>
      </c>
      <c r="AF397" s="420">
        <f t="shared" si="87"/>
        <v>75.443324937027697</v>
      </c>
      <c r="AG397" s="420">
        <f t="shared" si="87"/>
        <v>76.033753148614608</v>
      </c>
      <c r="AH397" s="420">
        <f t="shared" si="87"/>
        <v>77.873047858942058</v>
      </c>
      <c r="AI397" s="420">
        <f t="shared" si="87"/>
        <v>76.066498740554152</v>
      </c>
      <c r="AJ397" s="408">
        <f t="shared" si="86"/>
        <v>909.81209068010071</v>
      </c>
    </row>
    <row r="398" spans="1:37">
      <c r="A398" s="231" t="str">
        <f t="shared" si="84"/>
        <v>PIERCE UTCRolloffLOCK-RO</v>
      </c>
      <c r="B398" s="243" t="s">
        <v>829</v>
      </c>
      <c r="C398" s="243" t="s">
        <v>830</v>
      </c>
      <c r="D398" s="243" t="s">
        <v>746</v>
      </c>
      <c r="E398" s="230">
        <v>31000</v>
      </c>
      <c r="F398" s="244">
        <v>0</v>
      </c>
      <c r="G398" s="244">
        <v>0</v>
      </c>
      <c r="H398" s="244"/>
      <c r="I398" s="244">
        <v>0</v>
      </c>
      <c r="J398" s="244">
        <v>0</v>
      </c>
      <c r="K398" s="244">
        <v>0</v>
      </c>
      <c r="L398" s="244">
        <v>0</v>
      </c>
      <c r="M398" s="244">
        <v>0</v>
      </c>
      <c r="N398" s="244">
        <v>0</v>
      </c>
      <c r="O398" s="244">
        <v>0</v>
      </c>
      <c r="P398" s="244">
        <v>0</v>
      </c>
      <c r="Q398" s="244">
        <v>0</v>
      </c>
      <c r="R398" s="244">
        <v>0</v>
      </c>
      <c r="S398" s="244">
        <v>10.55</v>
      </c>
      <c r="T398" s="244">
        <v>10.55</v>
      </c>
      <c r="U398" s="244"/>
      <c r="V398" s="408">
        <f t="shared" si="85"/>
        <v>21.1</v>
      </c>
      <c r="W398" s="245"/>
      <c r="X398" s="420">
        <f t="shared" si="82"/>
        <v>0</v>
      </c>
      <c r="Y398" s="421">
        <f t="shared" si="82"/>
        <v>0</v>
      </c>
      <c r="Z398" s="421">
        <f t="shared" si="82"/>
        <v>0</v>
      </c>
      <c r="AA398" s="420">
        <f t="shared" si="88"/>
        <v>0</v>
      </c>
      <c r="AB398" s="420">
        <f t="shared" si="88"/>
        <v>0</v>
      </c>
      <c r="AC398" s="420">
        <f t="shared" si="88"/>
        <v>0</v>
      </c>
      <c r="AD398" s="420">
        <f t="shared" si="87"/>
        <v>0</v>
      </c>
      <c r="AE398" s="420">
        <f t="shared" si="87"/>
        <v>0</v>
      </c>
      <c r="AF398" s="420">
        <f t="shared" si="87"/>
        <v>0</v>
      </c>
      <c r="AG398" s="420">
        <f t="shared" si="87"/>
        <v>0</v>
      </c>
      <c r="AH398" s="420">
        <f t="shared" si="87"/>
        <v>0</v>
      </c>
      <c r="AI398" s="420">
        <f t="shared" si="87"/>
        <v>0</v>
      </c>
      <c r="AJ398" s="408">
        <f t="shared" si="86"/>
        <v>0</v>
      </c>
    </row>
    <row r="399" spans="1:37">
      <c r="A399" s="231" t="str">
        <f t="shared" si="84"/>
        <v>PIERCE UTCRolloffMILE-RO</v>
      </c>
      <c r="B399" s="243" t="s">
        <v>831</v>
      </c>
      <c r="C399" s="243" t="s">
        <v>832</v>
      </c>
      <c r="D399" s="243" t="s">
        <v>746</v>
      </c>
      <c r="E399" s="230">
        <v>31000</v>
      </c>
      <c r="F399" s="244">
        <v>3</v>
      </c>
      <c r="G399" s="244">
        <v>3</v>
      </c>
      <c r="H399" s="244"/>
      <c r="I399" s="244">
        <v>1215</v>
      </c>
      <c r="J399" s="244">
        <v>2262</v>
      </c>
      <c r="K399" s="244">
        <v>2307</v>
      </c>
      <c r="L399" s="244">
        <v>2724</v>
      </c>
      <c r="M399" s="244">
        <v>2646</v>
      </c>
      <c r="N399" s="244">
        <v>2646</v>
      </c>
      <c r="O399" s="244">
        <v>2457</v>
      </c>
      <c r="P399" s="244">
        <v>2316</v>
      </c>
      <c r="Q399" s="244">
        <v>2493</v>
      </c>
      <c r="R399" s="244">
        <v>2736</v>
      </c>
      <c r="S399" s="244">
        <v>2814</v>
      </c>
      <c r="T399" s="244">
        <v>2361</v>
      </c>
      <c r="U399" s="244"/>
      <c r="V399" s="408">
        <f t="shared" si="85"/>
        <v>28977</v>
      </c>
      <c r="W399" s="245"/>
      <c r="X399" s="420">
        <f t="shared" si="82"/>
        <v>405</v>
      </c>
      <c r="Y399" s="421">
        <f t="shared" si="82"/>
        <v>754</v>
      </c>
      <c r="Z399" s="421">
        <f t="shared" si="82"/>
        <v>769</v>
      </c>
      <c r="AA399" s="420">
        <f t="shared" si="88"/>
        <v>908</v>
      </c>
      <c r="AB399" s="420">
        <f t="shared" si="88"/>
        <v>882</v>
      </c>
      <c r="AC399" s="420">
        <f t="shared" si="88"/>
        <v>882</v>
      </c>
      <c r="AD399" s="420">
        <f t="shared" si="87"/>
        <v>819</v>
      </c>
      <c r="AE399" s="420">
        <f t="shared" si="87"/>
        <v>772</v>
      </c>
      <c r="AF399" s="420">
        <f t="shared" si="87"/>
        <v>831</v>
      </c>
      <c r="AG399" s="420">
        <f t="shared" si="87"/>
        <v>912</v>
      </c>
      <c r="AH399" s="420">
        <f t="shared" si="87"/>
        <v>938</v>
      </c>
      <c r="AI399" s="420">
        <f t="shared" si="87"/>
        <v>787</v>
      </c>
      <c r="AJ399" s="408">
        <f t="shared" si="86"/>
        <v>9659</v>
      </c>
    </row>
    <row r="400" spans="1:37">
      <c r="A400" s="231" t="str">
        <f t="shared" si="84"/>
        <v>PIERCE UTCRolloffRTRNTRIP-RO</v>
      </c>
      <c r="B400" s="243" t="s">
        <v>833</v>
      </c>
      <c r="C400" s="243" t="s">
        <v>834</v>
      </c>
      <c r="D400" s="243" t="s">
        <v>746</v>
      </c>
      <c r="E400" s="230">
        <v>31000</v>
      </c>
      <c r="F400" s="244">
        <v>60</v>
      </c>
      <c r="G400" s="244">
        <v>60</v>
      </c>
      <c r="H400" s="244"/>
      <c r="I400" s="244">
        <v>2100</v>
      </c>
      <c r="J400" s="244">
        <v>660</v>
      </c>
      <c r="K400" s="244">
        <v>-120</v>
      </c>
      <c r="L400" s="244">
        <v>660</v>
      </c>
      <c r="M400" s="244">
        <v>1080</v>
      </c>
      <c r="N400" s="244">
        <v>900</v>
      </c>
      <c r="O400" s="244">
        <v>840</v>
      </c>
      <c r="P400" s="244">
        <v>900</v>
      </c>
      <c r="Q400" s="244">
        <v>1080</v>
      </c>
      <c r="R400" s="244">
        <v>1080</v>
      </c>
      <c r="S400" s="244">
        <v>720</v>
      </c>
      <c r="T400" s="244">
        <v>1020</v>
      </c>
      <c r="U400" s="244"/>
      <c r="V400" s="408">
        <f t="shared" si="85"/>
        <v>10920</v>
      </c>
      <c r="W400" s="245"/>
      <c r="X400" s="420">
        <f t="shared" si="82"/>
        <v>35</v>
      </c>
      <c r="Y400" s="421">
        <f t="shared" si="82"/>
        <v>11</v>
      </c>
      <c r="Z400" s="421">
        <f t="shared" si="82"/>
        <v>-2</v>
      </c>
      <c r="AA400" s="420">
        <f t="shared" si="88"/>
        <v>11</v>
      </c>
      <c r="AB400" s="420">
        <f t="shared" si="88"/>
        <v>18</v>
      </c>
      <c r="AC400" s="420">
        <f t="shared" si="88"/>
        <v>15</v>
      </c>
      <c r="AD400" s="420">
        <f t="shared" si="87"/>
        <v>14</v>
      </c>
      <c r="AE400" s="420">
        <f t="shared" si="87"/>
        <v>15</v>
      </c>
      <c r="AF400" s="420">
        <f t="shared" si="87"/>
        <v>18</v>
      </c>
      <c r="AG400" s="420">
        <f t="shared" si="87"/>
        <v>18</v>
      </c>
      <c r="AH400" s="420">
        <f t="shared" si="87"/>
        <v>12</v>
      </c>
      <c r="AI400" s="420">
        <f t="shared" si="87"/>
        <v>17</v>
      </c>
      <c r="AJ400" s="408">
        <f t="shared" si="86"/>
        <v>182</v>
      </c>
    </row>
    <row r="401" spans="1:36">
      <c r="A401" s="231" t="str">
        <f t="shared" si="84"/>
        <v>PIERCE UTCRolloffTIME-RO</v>
      </c>
      <c r="B401" s="243" t="s">
        <v>835</v>
      </c>
      <c r="C401" s="243" t="s">
        <v>836</v>
      </c>
      <c r="D401" s="243" t="s">
        <v>746</v>
      </c>
      <c r="E401" s="230">
        <v>31000</v>
      </c>
      <c r="F401" s="244">
        <v>112.5</v>
      </c>
      <c r="G401" s="244">
        <v>112.5</v>
      </c>
      <c r="H401" s="244"/>
      <c r="I401" s="244">
        <v>8100.01</v>
      </c>
      <c r="J401" s="244">
        <v>10012.51</v>
      </c>
      <c r="K401" s="244">
        <v>7621.89</v>
      </c>
      <c r="L401" s="244">
        <v>13781.27</v>
      </c>
      <c r="M401" s="244">
        <v>12712.52</v>
      </c>
      <c r="N401" s="244">
        <v>12937.51</v>
      </c>
      <c r="O401" s="244">
        <v>19406.259999999998</v>
      </c>
      <c r="P401" s="244">
        <v>12628.14</v>
      </c>
      <c r="Q401" s="244">
        <v>10968.77</v>
      </c>
      <c r="R401" s="244">
        <v>12318.76</v>
      </c>
      <c r="S401" s="244">
        <v>22183.97</v>
      </c>
      <c r="T401" s="244">
        <v>11925.09</v>
      </c>
      <c r="U401" s="244"/>
      <c r="V401" s="408">
        <f t="shared" si="85"/>
        <v>154596.69999999998</v>
      </c>
      <c r="W401" s="245"/>
      <c r="X401" s="420">
        <f t="shared" si="82"/>
        <v>72.000088888888897</v>
      </c>
      <c r="Y401" s="421">
        <f t="shared" si="82"/>
        <v>89.000088888888897</v>
      </c>
      <c r="Z401" s="421">
        <f t="shared" si="82"/>
        <v>67.750133333333338</v>
      </c>
      <c r="AA401" s="420">
        <f t="shared" si="88"/>
        <v>122.50017777777778</v>
      </c>
      <c r="AB401" s="420">
        <f t="shared" si="88"/>
        <v>113.00017777777778</v>
      </c>
      <c r="AC401" s="420">
        <f t="shared" si="88"/>
        <v>115.0000888888889</v>
      </c>
      <c r="AD401" s="420">
        <f t="shared" si="87"/>
        <v>172.50008888888888</v>
      </c>
      <c r="AE401" s="420">
        <f t="shared" si="87"/>
        <v>112.25013333333332</v>
      </c>
      <c r="AF401" s="420">
        <f t="shared" si="87"/>
        <v>97.500177777777779</v>
      </c>
      <c r="AG401" s="420">
        <f t="shared" si="87"/>
        <v>109.5000888888889</v>
      </c>
      <c r="AH401" s="420">
        <f t="shared" si="87"/>
        <v>197.19084444444445</v>
      </c>
      <c r="AI401" s="420">
        <f t="shared" si="87"/>
        <v>106.0008</v>
      </c>
      <c r="AJ401" s="408">
        <f t="shared" si="86"/>
        <v>1374.192888888889</v>
      </c>
    </row>
    <row r="402" spans="1:36">
      <c r="A402" s="231" t="str">
        <f t="shared" si="84"/>
        <v>PIERCE UTCRolloffADJ-RO</v>
      </c>
      <c r="B402" s="243" t="s">
        <v>837</v>
      </c>
      <c r="C402" s="243"/>
      <c r="D402" s="243" t="s">
        <v>746</v>
      </c>
      <c r="E402" s="230">
        <v>31000</v>
      </c>
      <c r="F402" s="244"/>
      <c r="G402" s="244"/>
      <c r="H402" s="244"/>
      <c r="I402" s="244">
        <v>0</v>
      </c>
      <c r="J402" s="244">
        <v>0</v>
      </c>
      <c r="K402" s="244">
        <v>0</v>
      </c>
      <c r="L402" s="244">
        <v>0</v>
      </c>
      <c r="M402" s="244">
        <v>0</v>
      </c>
      <c r="N402" s="244">
        <v>0</v>
      </c>
      <c r="O402" s="244">
        <v>0</v>
      </c>
      <c r="P402" s="244">
        <v>0</v>
      </c>
      <c r="Q402" s="244">
        <v>0</v>
      </c>
      <c r="R402" s="244">
        <v>0</v>
      </c>
      <c r="S402" s="244">
        <v>0</v>
      </c>
      <c r="T402" s="244">
        <v>0</v>
      </c>
      <c r="U402" s="244"/>
      <c r="V402" s="408">
        <f t="shared" si="85"/>
        <v>0</v>
      </c>
      <c r="W402" s="245"/>
      <c r="X402" s="420">
        <f t="shared" si="82"/>
        <v>0</v>
      </c>
      <c r="Y402" s="421">
        <f t="shared" si="82"/>
        <v>0</v>
      </c>
      <c r="Z402" s="421">
        <f t="shared" si="82"/>
        <v>0</v>
      </c>
      <c r="AA402" s="420">
        <f t="shared" si="88"/>
        <v>0</v>
      </c>
      <c r="AB402" s="420">
        <f t="shared" si="88"/>
        <v>0</v>
      </c>
      <c r="AC402" s="420">
        <f t="shared" si="88"/>
        <v>0</v>
      </c>
      <c r="AD402" s="420">
        <f t="shared" si="87"/>
        <v>0</v>
      </c>
      <c r="AE402" s="420">
        <f t="shared" si="87"/>
        <v>0</v>
      </c>
      <c r="AF402" s="420">
        <f t="shared" si="87"/>
        <v>0</v>
      </c>
      <c r="AG402" s="420">
        <f t="shared" si="87"/>
        <v>0</v>
      </c>
      <c r="AH402" s="420">
        <f t="shared" si="87"/>
        <v>0</v>
      </c>
      <c r="AI402" s="420">
        <f t="shared" si="87"/>
        <v>0</v>
      </c>
      <c r="AJ402" s="408">
        <f t="shared" si="86"/>
        <v>0</v>
      </c>
    </row>
    <row r="403" spans="1:36">
      <c r="B403" s="243"/>
      <c r="C403" s="243"/>
      <c r="D403" s="243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W403" s="245"/>
      <c r="Z403" s="421"/>
    </row>
    <row r="404" spans="1:36">
      <c r="B404" s="243"/>
      <c r="C404" s="248" t="s">
        <v>155</v>
      </c>
      <c r="D404" s="243"/>
      <c r="F404" s="244"/>
      <c r="G404" s="244"/>
      <c r="H404" s="244"/>
      <c r="I404" s="250">
        <f>SUM(I356:I402)</f>
        <v>107922.13</v>
      </c>
      <c r="J404" s="250">
        <f t="shared" ref="J404:T404" si="89">SUM(J356:J402)</f>
        <v>133591.43000000002</v>
      </c>
      <c r="K404" s="250">
        <f t="shared" si="89"/>
        <v>101899.83</v>
      </c>
      <c r="L404" s="250">
        <f t="shared" si="89"/>
        <v>131877.37</v>
      </c>
      <c r="M404" s="250">
        <f t="shared" si="89"/>
        <v>135042.31</v>
      </c>
      <c r="N404" s="250">
        <f t="shared" si="89"/>
        <v>152352.05000000005</v>
      </c>
      <c r="O404" s="250">
        <f t="shared" si="89"/>
        <v>144402.81</v>
      </c>
      <c r="P404" s="250">
        <f t="shared" si="89"/>
        <v>143724.33000000002</v>
      </c>
      <c r="Q404" s="250">
        <f t="shared" si="89"/>
        <v>149273.08999999997</v>
      </c>
      <c r="R404" s="250">
        <f t="shared" si="89"/>
        <v>142407.00000000003</v>
      </c>
      <c r="S404" s="250">
        <f t="shared" si="89"/>
        <v>151061.06</v>
      </c>
      <c r="T404" s="250">
        <f t="shared" si="89"/>
        <v>123222.63999999998</v>
      </c>
      <c r="U404" s="250"/>
      <c r="V404" s="413">
        <f>SUM(V356:V402)</f>
        <v>1616776.0499999998</v>
      </c>
      <c r="W404" s="251"/>
      <c r="X404" s="421">
        <f>SUM(X356:X381)</f>
        <v>454.9471032745592</v>
      </c>
      <c r="Y404" s="421">
        <f>SUM(Y356:Y381)</f>
        <v>596.11150943396228</v>
      </c>
      <c r="Z404" s="421">
        <f t="shared" ref="Z404:AI404" si="90">SUM(Z356:Z381)</f>
        <v>448</v>
      </c>
      <c r="AA404" s="421">
        <f t="shared" si="90"/>
        <v>582</v>
      </c>
      <c r="AB404" s="421">
        <f t="shared" si="90"/>
        <v>596.24156862745099</v>
      </c>
      <c r="AC404" s="421">
        <f t="shared" si="90"/>
        <v>670.02157099697888</v>
      </c>
      <c r="AD404" s="421">
        <f>SUM(AD356:AD381)</f>
        <v>616</v>
      </c>
      <c r="AE404" s="421">
        <f>SUM(AE356:AE381)</f>
        <v>627</v>
      </c>
      <c r="AF404" s="421">
        <f>SUM(AF356:AF381)</f>
        <v>661</v>
      </c>
      <c r="AG404" s="421">
        <f t="shared" si="90"/>
        <v>631.03066328418151</v>
      </c>
      <c r="AH404" s="421">
        <f t="shared" si="90"/>
        <v>632</v>
      </c>
      <c r="AI404" s="421">
        <f t="shared" si="90"/>
        <v>534</v>
      </c>
      <c r="AJ404" s="421">
        <f>SUM(AJ356:AJ381)</f>
        <v>7048.3524156171325</v>
      </c>
    </row>
    <row r="405" spans="1:36">
      <c r="B405" s="243"/>
      <c r="C405" s="243"/>
      <c r="D405" s="243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W405" s="272"/>
      <c r="Z405" s="421"/>
    </row>
    <row r="406" spans="1:36">
      <c r="B406" s="252" t="s">
        <v>156</v>
      </c>
      <c r="C406" s="243"/>
      <c r="D406" s="243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W406" s="272"/>
      <c r="Z406" s="421"/>
    </row>
    <row r="407" spans="1:36">
      <c r="A407" s="231" t="str">
        <f>$A$3&amp;"Rolloff"&amp;B407</f>
        <v>PIERCE UTCRolloffDISP-RO</v>
      </c>
      <c r="B407" s="243" t="s">
        <v>838</v>
      </c>
      <c r="C407" s="243" t="s">
        <v>839</v>
      </c>
      <c r="D407" s="243" t="s">
        <v>840</v>
      </c>
      <c r="E407" s="230">
        <v>31005</v>
      </c>
      <c r="F407" s="244">
        <v>157.38</v>
      </c>
      <c r="G407" s="244">
        <v>164.34</v>
      </c>
      <c r="H407" s="244"/>
      <c r="I407" s="244">
        <v>218542.89</v>
      </c>
      <c r="J407" s="244">
        <v>253295.87</v>
      </c>
      <c r="K407" s="244">
        <v>200733.65</v>
      </c>
      <c r="L407" s="244">
        <v>250283.03</v>
      </c>
      <c r="M407" s="244">
        <v>259805.4</v>
      </c>
      <c r="N407" s="244">
        <v>274766.96000000002</v>
      </c>
      <c r="O407" s="244">
        <v>255037.89</v>
      </c>
      <c r="P407" s="244">
        <v>253435.58000000002</v>
      </c>
      <c r="Q407" s="244">
        <v>278290.40000000002</v>
      </c>
      <c r="R407" s="244">
        <v>266891.71999999997</v>
      </c>
      <c r="S407" s="244">
        <v>257491.56</v>
      </c>
      <c r="T407" s="244">
        <v>231994.14</v>
      </c>
      <c r="U407" s="244"/>
      <c r="V407" s="408">
        <f t="shared" ref="V407:V408" si="91">SUM(I407:T407)</f>
        <v>3000569.09</v>
      </c>
      <c r="W407" s="245"/>
      <c r="X407" s="420">
        <f t="shared" ref="X407:Z408" si="92">IFERROR(I407/$F407,0)</f>
        <v>1388.6319100266871</v>
      </c>
      <c r="Y407" s="421">
        <f t="shared" si="92"/>
        <v>1609.4539966958953</v>
      </c>
      <c r="Z407" s="421">
        <f t="shared" si="92"/>
        <v>1275.4711526242215</v>
      </c>
      <c r="AA407" s="420">
        <f t="shared" ref="AA407:AI408" si="93">IFERROR(L407/$G407,0)</f>
        <v>1522.9586832177192</v>
      </c>
      <c r="AB407" s="420">
        <f t="shared" si="93"/>
        <v>1580.901788974078</v>
      </c>
      <c r="AC407" s="420">
        <f t="shared" si="93"/>
        <v>1671.9420713155653</v>
      </c>
      <c r="AD407" s="420">
        <f t="shared" si="93"/>
        <v>1551.8917488134357</v>
      </c>
      <c r="AE407" s="420">
        <f t="shared" si="93"/>
        <v>1542.1417792381649</v>
      </c>
      <c r="AF407" s="420">
        <f t="shared" si="93"/>
        <v>1693.3820129000853</v>
      </c>
      <c r="AG407" s="420">
        <f t="shared" si="93"/>
        <v>1624.0216624072043</v>
      </c>
      <c r="AH407" s="420">
        <f t="shared" si="93"/>
        <v>1566.8221978824388</v>
      </c>
      <c r="AI407" s="420">
        <f t="shared" si="93"/>
        <v>1411.6717780211757</v>
      </c>
      <c r="AJ407" s="408">
        <f t="shared" ref="AJ407:AJ408" si="94">SUM(X407:AI407)</f>
        <v>18439.290782116674</v>
      </c>
    </row>
    <row r="408" spans="1:36">
      <c r="A408" s="231" t="str">
        <f>$A$3&amp;"Rolloff"&amp;B408</f>
        <v>PIERCE UTCRolloffDISPFEDMSW-RO</v>
      </c>
      <c r="B408" s="243" t="s">
        <v>841</v>
      </c>
      <c r="C408" s="243"/>
      <c r="D408" s="243"/>
      <c r="F408" s="244">
        <v>0</v>
      </c>
      <c r="G408" s="244">
        <v>0</v>
      </c>
      <c r="H408" s="244"/>
      <c r="I408" s="244">
        <v>0</v>
      </c>
      <c r="J408" s="244">
        <v>0</v>
      </c>
      <c r="K408" s="244">
        <v>0</v>
      </c>
      <c r="L408" s="244">
        <v>0</v>
      </c>
      <c r="M408" s="244">
        <v>0</v>
      </c>
      <c r="N408" s="244">
        <v>95.74</v>
      </c>
      <c r="O408" s="244">
        <v>0</v>
      </c>
      <c r="P408" s="244">
        <v>-95.74</v>
      </c>
      <c r="Q408" s="244">
        <v>0</v>
      </c>
      <c r="R408" s="244">
        <v>0</v>
      </c>
      <c r="S408" s="244">
        <v>368.33</v>
      </c>
      <c r="T408" s="244">
        <v>0</v>
      </c>
      <c r="U408" s="244"/>
      <c r="V408" s="408">
        <f t="shared" si="91"/>
        <v>368.33</v>
      </c>
      <c r="W408" s="245"/>
      <c r="X408" s="420">
        <f t="shared" si="92"/>
        <v>0</v>
      </c>
      <c r="Y408" s="421">
        <f t="shared" si="92"/>
        <v>0</v>
      </c>
      <c r="Z408" s="421">
        <f t="shared" si="92"/>
        <v>0</v>
      </c>
      <c r="AA408" s="420">
        <f t="shared" si="93"/>
        <v>0</v>
      </c>
      <c r="AB408" s="420">
        <f t="shared" si="93"/>
        <v>0</v>
      </c>
      <c r="AC408" s="420">
        <f t="shared" si="93"/>
        <v>0</v>
      </c>
      <c r="AD408" s="420">
        <f t="shared" si="93"/>
        <v>0</v>
      </c>
      <c r="AE408" s="420">
        <f t="shared" si="93"/>
        <v>0</v>
      </c>
      <c r="AF408" s="420">
        <f t="shared" si="93"/>
        <v>0</v>
      </c>
      <c r="AG408" s="420">
        <f t="shared" si="93"/>
        <v>0</v>
      </c>
      <c r="AH408" s="420">
        <f t="shared" si="93"/>
        <v>0</v>
      </c>
      <c r="AI408" s="420">
        <f t="shared" si="93"/>
        <v>0</v>
      </c>
      <c r="AJ408" s="408">
        <f t="shared" si="94"/>
        <v>0</v>
      </c>
    </row>
    <row r="409" spans="1:36">
      <c r="B409" s="243"/>
      <c r="C409" s="243"/>
      <c r="D409" s="243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W409" s="245"/>
      <c r="Z409" s="421"/>
    </row>
    <row r="410" spans="1:36">
      <c r="B410" s="243"/>
      <c r="C410" s="248" t="s">
        <v>157</v>
      </c>
      <c r="D410" s="243"/>
      <c r="F410" s="244"/>
      <c r="G410" s="244"/>
      <c r="H410" s="244"/>
      <c r="I410" s="250">
        <f>SUM(I407:I409)</f>
        <v>218542.89</v>
      </c>
      <c r="J410" s="250">
        <f t="shared" ref="J410:T410" si="95">SUM(J407:J409)</f>
        <v>253295.87</v>
      </c>
      <c r="K410" s="250">
        <f t="shared" si="95"/>
        <v>200733.65</v>
      </c>
      <c r="L410" s="250">
        <f t="shared" si="95"/>
        <v>250283.03</v>
      </c>
      <c r="M410" s="250">
        <f t="shared" si="95"/>
        <v>259805.4</v>
      </c>
      <c r="N410" s="250">
        <f t="shared" si="95"/>
        <v>274862.7</v>
      </c>
      <c r="O410" s="250">
        <f>SUM(O407:O409)</f>
        <v>255037.89</v>
      </c>
      <c r="P410" s="250">
        <f>SUM(P407:P409)</f>
        <v>253339.84000000003</v>
      </c>
      <c r="Q410" s="250">
        <f t="shared" si="95"/>
        <v>278290.40000000002</v>
      </c>
      <c r="R410" s="250">
        <f t="shared" si="95"/>
        <v>266891.71999999997</v>
      </c>
      <c r="S410" s="250">
        <f t="shared" si="95"/>
        <v>257859.88999999998</v>
      </c>
      <c r="T410" s="250">
        <f t="shared" si="95"/>
        <v>231994.14</v>
      </c>
      <c r="U410" s="250"/>
      <c r="V410" s="413">
        <f>SUM(V407:V409)</f>
        <v>3000937.42</v>
      </c>
      <c r="W410" s="251"/>
      <c r="Z410" s="421"/>
    </row>
    <row r="411" spans="1:36">
      <c r="B411" s="243"/>
      <c r="F411" s="244"/>
      <c r="G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W411" s="268"/>
      <c r="Z411" s="421"/>
    </row>
    <row r="412" spans="1:36">
      <c r="F412" s="244"/>
      <c r="G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Z412" s="421"/>
    </row>
    <row r="413" spans="1:36" s="255" customFormat="1">
      <c r="B413" s="228" t="s">
        <v>842</v>
      </c>
      <c r="C413" s="228"/>
      <c r="D413" s="228"/>
      <c r="E413" s="236"/>
      <c r="F413" s="244"/>
      <c r="G413" s="244"/>
      <c r="H413" s="228"/>
      <c r="I413" s="259">
        <f>+I404+I410</f>
        <v>326465.02</v>
      </c>
      <c r="J413" s="259">
        <f t="shared" ref="J413:T413" si="96">+J404+J410</f>
        <v>386887.30000000005</v>
      </c>
      <c r="K413" s="259">
        <f t="shared" si="96"/>
        <v>302633.48</v>
      </c>
      <c r="L413" s="259">
        <f t="shared" si="96"/>
        <v>382160.4</v>
      </c>
      <c r="M413" s="259">
        <f t="shared" si="96"/>
        <v>394847.70999999996</v>
      </c>
      <c r="N413" s="259">
        <f>+N404+N410</f>
        <v>427214.75000000006</v>
      </c>
      <c r="O413" s="259">
        <f>+O404+O410</f>
        <v>399440.7</v>
      </c>
      <c r="P413" s="259">
        <f>+P404+P410</f>
        <v>397064.17000000004</v>
      </c>
      <c r="Q413" s="259">
        <f t="shared" si="96"/>
        <v>427563.49</v>
      </c>
      <c r="R413" s="259">
        <f t="shared" si="96"/>
        <v>409298.72</v>
      </c>
      <c r="S413" s="259">
        <f t="shared" si="96"/>
        <v>408920.94999999995</v>
      </c>
      <c r="T413" s="259">
        <f t="shared" si="96"/>
        <v>355216.78</v>
      </c>
      <c r="U413" s="259"/>
      <c r="V413" s="416">
        <f>+V404+V410</f>
        <v>4617713.47</v>
      </c>
      <c r="W413" s="274"/>
      <c r="X413" s="420"/>
      <c r="Y413" s="421"/>
      <c r="Z413" s="421"/>
      <c r="AA413" s="420"/>
      <c r="AB413" s="420"/>
      <c r="AC413" s="420"/>
      <c r="AD413" s="420"/>
      <c r="AE413" s="420"/>
      <c r="AF413" s="420"/>
      <c r="AG413" s="420"/>
      <c r="AH413" s="420"/>
      <c r="AI413" s="420"/>
      <c r="AJ413" s="427"/>
    </row>
    <row r="414" spans="1:36" s="255" customFormat="1">
      <c r="B414" s="228"/>
      <c r="C414" s="228"/>
      <c r="D414" s="228"/>
      <c r="E414" s="236"/>
      <c r="F414" s="244"/>
      <c r="G414" s="244"/>
      <c r="H414" s="261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408"/>
      <c r="W414" s="275"/>
      <c r="X414" s="420"/>
      <c r="Y414" s="421"/>
      <c r="Z414" s="421"/>
      <c r="AA414" s="420"/>
      <c r="AB414" s="420"/>
      <c r="AC414" s="420"/>
      <c r="AD414" s="420"/>
      <c r="AE414" s="420"/>
      <c r="AF414" s="420"/>
      <c r="AG414" s="420"/>
      <c r="AH414" s="420"/>
      <c r="AI414" s="420"/>
      <c r="AJ414" s="427"/>
    </row>
    <row r="415" spans="1:36" s="255" customFormat="1">
      <c r="B415" s="228"/>
      <c r="C415" s="228"/>
      <c r="D415" s="228"/>
      <c r="E415" s="236"/>
      <c r="F415" s="244"/>
      <c r="G415" s="244"/>
      <c r="H415" s="261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408"/>
      <c r="W415" s="276"/>
      <c r="X415" s="420"/>
      <c r="Y415" s="421"/>
      <c r="Z415" s="421"/>
      <c r="AA415" s="420"/>
      <c r="AB415" s="420"/>
      <c r="AC415" s="420"/>
      <c r="AD415" s="420"/>
      <c r="AE415" s="420"/>
      <c r="AF415" s="420"/>
      <c r="AG415" s="420"/>
      <c r="AH415" s="420"/>
      <c r="AI415" s="420"/>
      <c r="AJ415" s="427"/>
    </row>
    <row r="416" spans="1:36">
      <c r="F416" s="244"/>
      <c r="G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Z416" s="421"/>
    </row>
    <row r="417" spans="1:36">
      <c r="B417" s="239" t="s">
        <v>843</v>
      </c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Z417" s="421"/>
    </row>
    <row r="418" spans="1:36">
      <c r="A418" s="231" t="str">
        <f>$A$3&amp;"accounting adjustments"&amp;B418</f>
        <v>PIERCE UTCaccounting adjustmentsADJ-FIN</v>
      </c>
      <c r="B418" s="243" t="s">
        <v>844</v>
      </c>
      <c r="C418" s="243" t="s">
        <v>845</v>
      </c>
      <c r="D418" s="243" t="s">
        <v>843</v>
      </c>
      <c r="E418" s="230">
        <v>38000</v>
      </c>
      <c r="F418" s="244"/>
      <c r="G418" s="244"/>
      <c r="H418" s="244"/>
      <c r="I418" s="244">
        <v>0</v>
      </c>
      <c r="J418" s="244">
        <v>0</v>
      </c>
      <c r="K418" s="244">
        <v>0</v>
      </c>
      <c r="L418" s="244">
        <v>0</v>
      </c>
      <c r="M418" s="244">
        <v>0</v>
      </c>
      <c r="N418" s="244">
        <v>0</v>
      </c>
      <c r="O418" s="244">
        <v>0</v>
      </c>
      <c r="P418" s="244">
        <v>0</v>
      </c>
      <c r="Q418" s="244">
        <v>0</v>
      </c>
      <c r="R418" s="244">
        <v>0</v>
      </c>
      <c r="S418" s="244">
        <v>0</v>
      </c>
      <c r="T418" s="244">
        <v>0</v>
      </c>
      <c r="U418" s="244"/>
      <c r="V418" s="408">
        <f>SUM(J418:T418)</f>
        <v>0</v>
      </c>
      <c r="W418" s="245"/>
      <c r="X418" s="420">
        <f t="shared" ref="X418:Z419" si="97">IFERROR(I418/$F418,0)</f>
        <v>0</v>
      </c>
      <c r="Y418" s="421">
        <f t="shared" si="97"/>
        <v>0</v>
      </c>
      <c r="Z418" s="421">
        <f t="shared" si="97"/>
        <v>0</v>
      </c>
      <c r="AA418" s="420">
        <f t="shared" ref="AA418:AI419" si="98">IFERROR(L418/$G418,0)</f>
        <v>0</v>
      </c>
      <c r="AB418" s="420">
        <f t="shared" si="98"/>
        <v>0</v>
      </c>
      <c r="AC418" s="420">
        <f t="shared" si="98"/>
        <v>0</v>
      </c>
      <c r="AD418" s="420">
        <f t="shared" si="98"/>
        <v>0</v>
      </c>
      <c r="AE418" s="420">
        <f t="shared" si="98"/>
        <v>0</v>
      </c>
      <c r="AF418" s="420">
        <f t="shared" si="98"/>
        <v>0</v>
      </c>
      <c r="AG418" s="420">
        <f t="shared" si="98"/>
        <v>0</v>
      </c>
      <c r="AH418" s="420">
        <f t="shared" si="98"/>
        <v>0</v>
      </c>
      <c r="AI418" s="420">
        <f t="shared" si="98"/>
        <v>0</v>
      </c>
      <c r="AJ418" s="408">
        <f t="shared" ref="AJ418:AJ419" si="99">SUM(X418:AI418)</f>
        <v>0</v>
      </c>
    </row>
    <row r="419" spans="1:36">
      <c r="A419" s="231" t="str">
        <f>$A$3&amp;"accounting adjustments"&amp;B419</f>
        <v>PIERCE UTCaccounting adjustmentsRETCKC</v>
      </c>
      <c r="B419" s="243" t="s">
        <v>846</v>
      </c>
      <c r="C419" s="243" t="s">
        <v>847</v>
      </c>
      <c r="D419" s="243" t="s">
        <v>843</v>
      </c>
      <c r="E419" s="230">
        <v>38000</v>
      </c>
      <c r="F419" s="244">
        <v>21.5</v>
      </c>
      <c r="G419" s="244">
        <v>21.5</v>
      </c>
      <c r="H419" s="244"/>
      <c r="I419" s="244">
        <v>21.5</v>
      </c>
      <c r="J419" s="244">
        <v>408.5</v>
      </c>
      <c r="K419" s="244">
        <v>150.5</v>
      </c>
      <c r="L419" s="244">
        <v>64.5</v>
      </c>
      <c r="M419" s="244">
        <v>133.17000000000002</v>
      </c>
      <c r="N419" s="244">
        <v>43</v>
      </c>
      <c r="O419" s="244">
        <v>215</v>
      </c>
      <c r="P419" s="244">
        <v>193.5</v>
      </c>
      <c r="Q419" s="244">
        <v>193.5</v>
      </c>
      <c r="R419" s="244">
        <v>43</v>
      </c>
      <c r="S419" s="244">
        <v>193.5</v>
      </c>
      <c r="T419" s="244">
        <v>150.5</v>
      </c>
      <c r="U419" s="244"/>
      <c r="V419" s="408">
        <f t="shared" ref="V419" si="100">SUM(I419:T419)</f>
        <v>1810.17</v>
      </c>
      <c r="W419" s="245"/>
      <c r="X419" s="420">
        <f t="shared" si="97"/>
        <v>1</v>
      </c>
      <c r="Y419" s="421">
        <f t="shared" si="97"/>
        <v>19</v>
      </c>
      <c r="Z419" s="421">
        <f t="shared" si="97"/>
        <v>7</v>
      </c>
      <c r="AA419" s="420">
        <f t="shared" si="98"/>
        <v>3</v>
      </c>
      <c r="AB419" s="420">
        <f t="shared" si="98"/>
        <v>6.1939534883720935</v>
      </c>
      <c r="AC419" s="420">
        <f t="shared" si="98"/>
        <v>2</v>
      </c>
      <c r="AD419" s="420">
        <f t="shared" si="98"/>
        <v>10</v>
      </c>
      <c r="AE419" s="420">
        <f t="shared" si="98"/>
        <v>9</v>
      </c>
      <c r="AF419" s="420">
        <f t="shared" si="98"/>
        <v>9</v>
      </c>
      <c r="AG419" s="420">
        <f t="shared" si="98"/>
        <v>2</v>
      </c>
      <c r="AH419" s="420">
        <f t="shared" si="98"/>
        <v>9</v>
      </c>
      <c r="AI419" s="420">
        <f t="shared" si="98"/>
        <v>7</v>
      </c>
      <c r="AJ419" s="408">
        <f t="shared" si="99"/>
        <v>84.193953488372102</v>
      </c>
    </row>
    <row r="420" spans="1:36">
      <c r="A420" s="231" t="str">
        <f>$A$3&amp;"accounting adjustments"&amp;B420</f>
        <v>PIERCE UTCaccounting adjustmentsEATONVILLE DISCOUNT</v>
      </c>
      <c r="B420" s="243" t="s">
        <v>848</v>
      </c>
      <c r="F420" s="244"/>
      <c r="G420" s="244"/>
      <c r="I420" s="244">
        <v>0</v>
      </c>
      <c r="J420" s="244">
        <v>0</v>
      </c>
      <c r="K420" s="244">
        <v>0</v>
      </c>
      <c r="L420" s="244">
        <v>0</v>
      </c>
      <c r="M420" s="244">
        <v>0</v>
      </c>
      <c r="N420" s="244">
        <v>0</v>
      </c>
      <c r="O420" s="244">
        <v>0</v>
      </c>
      <c r="P420" s="244">
        <v>0</v>
      </c>
      <c r="Q420" s="244">
        <v>0</v>
      </c>
      <c r="R420" s="244">
        <v>0</v>
      </c>
      <c r="S420" s="244">
        <v>0</v>
      </c>
      <c r="T420" s="244">
        <v>0</v>
      </c>
      <c r="U420" s="244"/>
      <c r="V420" s="408">
        <f>SUM(J420:T420)</f>
        <v>0</v>
      </c>
      <c r="W420" s="277"/>
    </row>
    <row r="421" spans="1:36">
      <c r="B421" s="243"/>
      <c r="F421" s="244"/>
      <c r="G421" s="244"/>
      <c r="W421" s="246"/>
    </row>
    <row r="422" spans="1:36" s="255" customFormat="1">
      <c r="B422" s="228" t="s">
        <v>849</v>
      </c>
      <c r="C422" s="228"/>
      <c r="D422" s="228"/>
      <c r="E422" s="236"/>
      <c r="F422" s="244"/>
      <c r="G422" s="244"/>
      <c r="H422" s="228"/>
      <c r="I422" s="278">
        <f>SUM(I418:I421)</f>
        <v>21.5</v>
      </c>
      <c r="J422" s="278">
        <f t="shared" ref="J422:T422" si="101">SUM(J418:J421)</f>
        <v>408.5</v>
      </c>
      <c r="K422" s="278">
        <f t="shared" si="101"/>
        <v>150.5</v>
      </c>
      <c r="L422" s="278">
        <f t="shared" si="101"/>
        <v>64.5</v>
      </c>
      <c r="M422" s="278">
        <f t="shared" si="101"/>
        <v>133.17000000000002</v>
      </c>
      <c r="N422" s="278">
        <f t="shared" si="101"/>
        <v>43</v>
      </c>
      <c r="O422" s="278">
        <f t="shared" si="101"/>
        <v>215</v>
      </c>
      <c r="P422" s="278">
        <f t="shared" si="101"/>
        <v>193.5</v>
      </c>
      <c r="Q422" s="278">
        <f t="shared" si="101"/>
        <v>193.5</v>
      </c>
      <c r="R422" s="278">
        <f t="shared" si="101"/>
        <v>43</v>
      </c>
      <c r="S422" s="278">
        <f t="shared" si="101"/>
        <v>193.5</v>
      </c>
      <c r="T422" s="278">
        <f t="shared" si="101"/>
        <v>150.5</v>
      </c>
      <c r="U422" s="279"/>
      <c r="V422" s="417">
        <f>SUM(V418:V421)</f>
        <v>1810.17</v>
      </c>
      <c r="W422" s="274"/>
      <c r="X422" s="427"/>
      <c r="Y422" s="416"/>
      <c r="Z422" s="427"/>
      <c r="AA422" s="427"/>
      <c r="AB422" s="427"/>
      <c r="AC422" s="427"/>
      <c r="AD422" s="427"/>
      <c r="AE422" s="427"/>
      <c r="AF422" s="427"/>
      <c r="AG422" s="427"/>
      <c r="AH422" s="427"/>
      <c r="AI422" s="427"/>
      <c r="AJ422" s="427"/>
    </row>
    <row r="423" spans="1:36" s="255" customFormat="1">
      <c r="B423" s="228"/>
      <c r="C423" s="228"/>
      <c r="D423" s="228"/>
      <c r="E423" s="236"/>
      <c r="F423" s="244"/>
      <c r="G423" s="244"/>
      <c r="H423" s="261"/>
      <c r="I423" s="263"/>
      <c r="J423" s="261"/>
      <c r="K423" s="261"/>
      <c r="L423" s="261"/>
      <c r="M423" s="261"/>
      <c r="N423" s="261"/>
      <c r="O423" s="261"/>
      <c r="P423" s="261"/>
      <c r="Q423" s="261"/>
      <c r="R423" s="261"/>
      <c r="S423" s="261"/>
      <c r="T423" s="263"/>
      <c r="U423" s="263"/>
      <c r="V423" s="418"/>
      <c r="W423" s="275"/>
      <c r="X423" s="427"/>
      <c r="Y423" s="416"/>
      <c r="Z423" s="427"/>
      <c r="AA423" s="427"/>
      <c r="AB423" s="427"/>
      <c r="AC423" s="427"/>
      <c r="AD423" s="427"/>
      <c r="AE423" s="427"/>
      <c r="AF423" s="427"/>
      <c r="AG423" s="427"/>
      <c r="AH423" s="427"/>
      <c r="AI423" s="427"/>
      <c r="AJ423" s="427"/>
    </row>
    <row r="424" spans="1:36" s="255" customFormat="1">
      <c r="B424" s="228"/>
      <c r="C424" s="228"/>
      <c r="D424" s="228"/>
      <c r="E424" s="236"/>
      <c r="F424" s="244"/>
      <c r="G424" s="244"/>
      <c r="H424" s="261"/>
      <c r="I424" s="263"/>
      <c r="J424" s="261"/>
      <c r="K424" s="261"/>
      <c r="L424" s="261"/>
      <c r="M424" s="261"/>
      <c r="N424" s="261"/>
      <c r="O424" s="261"/>
      <c r="P424" s="261"/>
      <c r="Q424" s="261"/>
      <c r="R424" s="261"/>
      <c r="S424" s="261"/>
      <c r="T424" s="263"/>
      <c r="U424" s="263"/>
      <c r="V424" s="418"/>
      <c r="W424" s="276"/>
      <c r="X424" s="427"/>
      <c r="Y424" s="416"/>
      <c r="Z424" s="427"/>
      <c r="AA424" s="427"/>
      <c r="AB424" s="427"/>
      <c r="AC424" s="427"/>
      <c r="AD424" s="427"/>
      <c r="AE424" s="427"/>
      <c r="AF424" s="427"/>
      <c r="AG424" s="427"/>
      <c r="AH424" s="427"/>
      <c r="AI424" s="427"/>
      <c r="AJ424" s="427"/>
    </row>
    <row r="425" spans="1:36">
      <c r="B425" s="243"/>
      <c r="F425" s="244"/>
      <c r="G425" s="244"/>
      <c r="I425" s="246"/>
      <c r="T425" s="246"/>
      <c r="U425" s="246"/>
      <c r="W425" s="246"/>
    </row>
    <row r="426" spans="1:36">
      <c r="F426" s="244"/>
      <c r="G426" s="244"/>
      <c r="I426" s="246"/>
      <c r="T426" s="246"/>
      <c r="U426" s="246"/>
      <c r="W426" s="245"/>
    </row>
    <row r="427" spans="1:36" s="255" customFormat="1" ht="13.5" thickBot="1">
      <c r="B427" s="228" t="s">
        <v>850</v>
      </c>
      <c r="C427" s="228"/>
      <c r="D427" s="228"/>
      <c r="E427" s="236"/>
      <c r="F427" s="244"/>
      <c r="G427" s="244"/>
      <c r="H427" s="228"/>
      <c r="I427" s="280">
        <f>+I105+I349+I413+I422</f>
        <v>2783621.9350000005</v>
      </c>
      <c r="J427" s="280">
        <f t="shared" ref="J427:T427" si="102">+J105+J349+J413+J422</f>
        <v>2817934.7549999999</v>
      </c>
      <c r="K427" s="280">
        <f t="shared" si="102"/>
        <v>2708376.38</v>
      </c>
      <c r="L427" s="280">
        <f t="shared" si="102"/>
        <v>2861947.9050000003</v>
      </c>
      <c r="M427" s="280">
        <f t="shared" si="102"/>
        <v>2894950.2599999993</v>
      </c>
      <c r="N427" s="280">
        <f t="shared" si="102"/>
        <v>2951154.7050000005</v>
      </c>
      <c r="O427" s="280">
        <f t="shared" si="102"/>
        <v>2936355.9650000008</v>
      </c>
      <c r="P427" s="280">
        <f t="shared" si="102"/>
        <v>2926621.26</v>
      </c>
      <c r="Q427" s="280">
        <f t="shared" si="102"/>
        <v>2959075.7350000003</v>
      </c>
      <c r="R427" s="280">
        <f t="shared" si="102"/>
        <v>2955637.1550000012</v>
      </c>
      <c r="S427" s="280">
        <f t="shared" si="102"/>
        <v>2962226.08</v>
      </c>
      <c r="T427" s="280">
        <f t="shared" si="102"/>
        <v>2880892.8500000006</v>
      </c>
      <c r="U427" s="279"/>
      <c r="V427" s="419">
        <f>+V105+V349+V413+V422</f>
        <v>34576482.379999995</v>
      </c>
      <c r="W427" s="274"/>
      <c r="X427" s="427"/>
      <c r="Y427" s="416"/>
      <c r="Z427" s="427"/>
      <c r="AA427" s="427"/>
      <c r="AB427" s="427"/>
      <c r="AC427" s="427"/>
      <c r="AD427" s="427"/>
      <c r="AE427" s="427"/>
      <c r="AF427" s="427"/>
      <c r="AG427" s="427"/>
      <c r="AH427" s="427"/>
      <c r="AI427" s="427"/>
      <c r="AJ427" s="427"/>
    </row>
    <row r="428" spans="1:36" s="255" customFormat="1" ht="13.5" thickTop="1">
      <c r="B428" s="228"/>
      <c r="C428" s="228"/>
      <c r="D428" s="228"/>
      <c r="E428" s="236"/>
      <c r="F428" s="244"/>
      <c r="G428" s="244"/>
      <c r="H428" s="261"/>
      <c r="I428" s="263"/>
      <c r="J428" s="261"/>
      <c r="K428" s="261"/>
      <c r="L428" s="261"/>
      <c r="M428" s="261"/>
      <c r="N428" s="261"/>
      <c r="O428" s="261"/>
      <c r="P428" s="261"/>
      <c r="Q428" s="261"/>
      <c r="R428" s="261"/>
      <c r="S428" s="261"/>
      <c r="T428" s="263"/>
      <c r="U428" s="263"/>
      <c r="V428" s="418"/>
      <c r="W428" s="275"/>
      <c r="X428" s="427"/>
      <c r="Y428" s="416"/>
      <c r="Z428" s="427"/>
      <c r="AA428" s="427"/>
      <c r="AB428" s="427"/>
      <c r="AC428" s="427"/>
      <c r="AD428" s="427"/>
      <c r="AE428" s="427"/>
      <c r="AF428" s="427"/>
      <c r="AG428" s="427"/>
      <c r="AH428" s="427"/>
      <c r="AI428" s="427"/>
      <c r="AJ428" s="427"/>
    </row>
    <row r="429" spans="1:36" s="255" customFormat="1">
      <c r="B429" s="228"/>
      <c r="C429" s="228"/>
      <c r="D429" s="228"/>
      <c r="E429" s="236"/>
      <c r="F429" s="244"/>
      <c r="G429" s="244"/>
      <c r="H429" s="261"/>
      <c r="I429" s="281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1"/>
      <c r="U429" s="281"/>
      <c r="V429" s="418"/>
      <c r="W429" s="276"/>
      <c r="X429" s="427"/>
      <c r="Y429" s="416"/>
      <c r="Z429" s="427"/>
      <c r="AA429" s="427"/>
      <c r="AB429" s="427"/>
      <c r="AC429" s="427"/>
      <c r="AD429" s="427"/>
      <c r="AE429" s="427"/>
      <c r="AF429" s="427"/>
      <c r="AG429" s="427"/>
      <c r="AH429" s="427"/>
      <c r="AI429" s="427"/>
      <c r="AJ429" s="427"/>
    </row>
    <row r="430" spans="1:36">
      <c r="I430" s="246"/>
      <c r="T430" s="246"/>
      <c r="U430" s="246"/>
      <c r="W430" s="245"/>
    </row>
    <row r="431" spans="1:36">
      <c r="H431" s="283" t="s">
        <v>851</v>
      </c>
      <c r="I431" s="246"/>
      <c r="J431" s="284">
        <f>+V427</f>
        <v>34576482.379999995</v>
      </c>
      <c r="T431" s="246"/>
      <c r="U431" s="246"/>
      <c r="W431" s="245"/>
    </row>
    <row r="432" spans="1:36">
      <c r="H432" s="283" t="s">
        <v>852</v>
      </c>
      <c r="I432" s="246"/>
      <c r="J432" s="284">
        <f>+'2180 (JBLM Housing) - Price Out'!V333</f>
        <v>1884137.9299999997</v>
      </c>
      <c r="T432" s="246"/>
      <c r="U432" s="246"/>
      <c r="W432" s="245"/>
    </row>
    <row r="433" spans="8:23">
      <c r="H433" s="283" t="s">
        <v>853</v>
      </c>
      <c r="I433" s="246"/>
      <c r="J433" s="285">
        <v>397177.91000000003</v>
      </c>
      <c r="T433" s="246"/>
      <c r="U433" s="246"/>
      <c r="W433" s="245"/>
    </row>
    <row r="434" spans="8:23">
      <c r="H434" s="283"/>
      <c r="I434" s="246"/>
      <c r="J434" s="286">
        <f>SUM(J431:J433)</f>
        <v>36857798.219999991</v>
      </c>
      <c r="T434" s="246"/>
      <c r="U434" s="246"/>
      <c r="W434" s="245"/>
    </row>
  </sheetData>
  <mergeCells count="2">
    <mergeCell ref="I5:T5"/>
    <mergeCell ref="X5:AI5"/>
  </mergeCells>
  <conditionalFormatting sqref="A1:A242 A244:A266 A268:A1048576">
    <cfRule type="duplicateValues" dxfId="3" priority="3"/>
  </conditionalFormatting>
  <conditionalFormatting sqref="A243">
    <cfRule type="duplicateValues" dxfId="2" priority="2"/>
  </conditionalFormatting>
  <conditionalFormatting sqref="A267">
    <cfRule type="duplicateValues" dxfId="1" priority="1"/>
  </conditionalFormatting>
  <pageMargins left="0.7" right="0.7" top="0.75" bottom="0.75" header="0.3" footer="0.3"/>
  <pageSetup scale="57" fitToHeight="7" orientation="landscape" r:id="rId1"/>
  <headerFooter>
    <oddHeader>&amp;R&amp;F
&amp;A</oddHeader>
    <oddFooter>&amp;L&amp;D&amp;C&amp;P&amp;R&amp;T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J368"/>
  <sheetViews>
    <sheetView view="pageBreakPreview" zoomScale="85" zoomScaleNormal="100" zoomScaleSheetLayoutView="85" workbookViewId="0">
      <pane xSplit="5" ySplit="6" topLeftCell="F304" activePane="bottomRight" state="frozen"/>
      <selection activeCell="A44" sqref="A44:A91"/>
      <selection pane="topRight" activeCell="A44" sqref="A44:A91"/>
      <selection pane="bottomLeft" activeCell="A44" sqref="A44:A91"/>
      <selection pane="bottomRight" activeCell="A44" sqref="A44:A91"/>
    </sheetView>
  </sheetViews>
  <sheetFormatPr defaultRowHeight="12.75"/>
  <cols>
    <col min="1" max="1" width="19.28515625" style="231" customWidth="1"/>
    <col min="2" max="3" width="22.28515625" style="229" customWidth="1"/>
    <col min="4" max="4" width="15.140625" style="229" hidden="1" customWidth="1"/>
    <col min="5" max="5" width="10" style="230" hidden="1" customWidth="1"/>
    <col min="6" max="6" width="9" style="231" customWidth="1"/>
    <col min="7" max="7" width="9.42578125" style="229" customWidth="1"/>
    <col min="8" max="8" width="11" style="229" hidden="1" customWidth="1"/>
    <col min="9" max="9" width="11.5703125" style="231" hidden="1" customWidth="1"/>
    <col min="10" max="11" width="12.42578125" style="229" hidden="1" customWidth="1"/>
    <col min="12" max="13" width="13.85546875" style="229" hidden="1" customWidth="1"/>
    <col min="14" max="19" width="12.42578125" style="229" hidden="1" customWidth="1"/>
    <col min="20" max="20" width="12.42578125" style="231" hidden="1" customWidth="1"/>
    <col min="21" max="21" width="3.85546875" style="231" hidden="1" customWidth="1"/>
    <col min="22" max="22" width="11.5703125" style="408" customWidth="1"/>
    <col min="23" max="23" width="11" style="231" hidden="1" customWidth="1"/>
    <col min="24" max="24" width="9.140625" style="231"/>
    <col min="25" max="25" width="12" style="229" bestFit="1" customWidth="1"/>
    <col min="26" max="16384" width="9.140625" style="231"/>
  </cols>
  <sheetData>
    <row r="1" spans="1:36">
      <c r="A1" s="228" t="s">
        <v>854</v>
      </c>
      <c r="C1" s="228"/>
      <c r="D1" s="228"/>
    </row>
    <row r="2" spans="1:36">
      <c r="A2" s="228" t="s">
        <v>138</v>
      </c>
      <c r="B2" s="231"/>
      <c r="C2" s="228"/>
      <c r="D2" s="228"/>
      <c r="F2" s="229"/>
      <c r="I2" s="232"/>
      <c r="T2" s="232"/>
      <c r="U2" s="232"/>
      <c r="W2" s="229"/>
    </row>
    <row r="3" spans="1:36">
      <c r="A3" s="228" t="s">
        <v>855</v>
      </c>
      <c r="B3" s="231"/>
      <c r="C3" s="228"/>
      <c r="D3" s="228"/>
      <c r="F3" s="229"/>
      <c r="I3" s="232"/>
      <c r="T3" s="232"/>
      <c r="U3" s="232"/>
      <c r="W3" s="229"/>
    </row>
    <row r="4" spans="1:36">
      <c r="A4" s="228" t="s">
        <v>409</v>
      </c>
      <c r="B4" s="231"/>
      <c r="C4" s="228"/>
      <c r="D4" s="228"/>
      <c r="F4" s="229"/>
      <c r="I4" s="229"/>
      <c r="T4" s="229"/>
      <c r="U4" s="229"/>
    </row>
    <row r="5" spans="1:36" ht="14.25" customHeight="1">
      <c r="C5" s="234"/>
      <c r="D5" s="234"/>
      <c r="F5" s="235"/>
      <c r="G5" s="235"/>
      <c r="I5" s="471" t="s">
        <v>139</v>
      </c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X5" s="471" t="s">
        <v>140</v>
      </c>
      <c r="Y5" s="471"/>
      <c r="Z5" s="471"/>
      <c r="AA5" s="471"/>
      <c r="AB5" s="471"/>
      <c r="AC5" s="471"/>
      <c r="AD5" s="471"/>
      <c r="AE5" s="471"/>
      <c r="AF5" s="471"/>
      <c r="AG5" s="471"/>
      <c r="AH5" s="471"/>
      <c r="AI5" s="471"/>
    </row>
    <row r="6" spans="1:36" ht="50.25" customHeight="1">
      <c r="B6" s="236" t="s">
        <v>111</v>
      </c>
      <c r="C6" s="234" t="s">
        <v>141</v>
      </c>
      <c r="D6" s="234" t="s">
        <v>114</v>
      </c>
      <c r="E6" s="234" t="s">
        <v>410</v>
      </c>
      <c r="F6" s="234" t="s">
        <v>412</v>
      </c>
      <c r="G6" s="234" t="s">
        <v>412</v>
      </c>
      <c r="H6" s="234"/>
      <c r="I6" s="237">
        <v>43465</v>
      </c>
      <c r="J6" s="237">
        <v>43466</v>
      </c>
      <c r="K6" s="237">
        <v>43497</v>
      </c>
      <c r="L6" s="237">
        <v>43525</v>
      </c>
      <c r="M6" s="237">
        <v>43556</v>
      </c>
      <c r="N6" s="237">
        <v>43586</v>
      </c>
      <c r="O6" s="237">
        <v>43617</v>
      </c>
      <c r="P6" s="237">
        <v>43647</v>
      </c>
      <c r="Q6" s="237">
        <v>43678</v>
      </c>
      <c r="R6" s="237">
        <v>43709</v>
      </c>
      <c r="S6" s="237">
        <v>43739</v>
      </c>
      <c r="T6" s="237">
        <v>43770</v>
      </c>
      <c r="U6" s="237"/>
      <c r="V6" s="411" t="s">
        <v>413</v>
      </c>
      <c r="W6" s="234"/>
      <c r="X6" s="237">
        <f t="shared" ref="X6:AI6" si="0">+I6</f>
        <v>43465</v>
      </c>
      <c r="Y6" s="237">
        <f t="shared" si="0"/>
        <v>43466</v>
      </c>
      <c r="Z6" s="237">
        <f t="shared" si="0"/>
        <v>43497</v>
      </c>
      <c r="AA6" s="237">
        <f t="shared" si="0"/>
        <v>43525</v>
      </c>
      <c r="AB6" s="237">
        <f t="shared" si="0"/>
        <v>43556</v>
      </c>
      <c r="AC6" s="237">
        <f t="shared" si="0"/>
        <v>43586</v>
      </c>
      <c r="AD6" s="237">
        <f t="shared" si="0"/>
        <v>43617</v>
      </c>
      <c r="AE6" s="237">
        <f t="shared" si="0"/>
        <v>43647</v>
      </c>
      <c r="AF6" s="237">
        <f t="shared" si="0"/>
        <v>43678</v>
      </c>
      <c r="AG6" s="237">
        <f t="shared" si="0"/>
        <v>43709</v>
      </c>
      <c r="AH6" s="237">
        <f t="shared" si="0"/>
        <v>43739</v>
      </c>
      <c r="AI6" s="237">
        <f t="shared" si="0"/>
        <v>43770</v>
      </c>
      <c r="AJ6" s="429" t="s">
        <v>1081</v>
      </c>
    </row>
    <row r="7" spans="1:36">
      <c r="F7" s="229"/>
      <c r="I7" s="229"/>
      <c r="T7" s="229"/>
      <c r="U7" s="229"/>
      <c r="W7" s="229"/>
    </row>
    <row r="8" spans="1:36">
      <c r="B8" s="238" t="s">
        <v>414</v>
      </c>
      <c r="C8" s="239"/>
      <c r="D8" s="239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W8" s="229"/>
    </row>
    <row r="9" spans="1:36">
      <c r="B9" s="238"/>
      <c r="C9" s="239"/>
      <c r="D9" s="239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W9" s="229"/>
    </row>
    <row r="10" spans="1:36">
      <c r="B10" s="242" t="s">
        <v>142</v>
      </c>
      <c r="C10" s="239"/>
      <c r="D10" s="239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W10" s="229"/>
    </row>
    <row r="11" spans="1:36">
      <c r="A11" s="231" t="str">
        <f>$A$3&amp;"Residential"&amp;B11</f>
        <v>JBLM HOUSINGResidentialRL010.0G1W001WREC</v>
      </c>
      <c r="B11" s="243" t="s">
        <v>856</v>
      </c>
      <c r="C11" s="243" t="s">
        <v>857</v>
      </c>
      <c r="D11" s="243" t="s">
        <v>416</v>
      </c>
      <c r="E11" s="230">
        <v>32000</v>
      </c>
      <c r="F11" s="244">
        <v>0</v>
      </c>
      <c r="G11" s="244">
        <v>0</v>
      </c>
      <c r="H11" s="244"/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5"/>
      <c r="V11" s="408">
        <f t="shared" ref="V11:V42" si="1">SUM(I11:T11)</f>
        <v>0</v>
      </c>
      <c r="W11" s="245"/>
      <c r="X11" s="246">
        <f>IFERROR($J$12/E11,0)</f>
        <v>0</v>
      </c>
      <c r="Y11" s="246">
        <f>IFERROR($J$12/F11,0)</f>
        <v>0</v>
      </c>
      <c r="Z11" s="246">
        <f t="shared" ref="Z11:Z74" si="2">IFERROR(K11/$F11,0)</f>
        <v>0</v>
      </c>
      <c r="AA11" s="245">
        <f t="shared" ref="AA11:AI39" si="3">IFERROR(L11/$G11,0)</f>
        <v>0</v>
      </c>
      <c r="AB11" s="245">
        <f t="shared" si="3"/>
        <v>0</v>
      </c>
      <c r="AC11" s="245">
        <f t="shared" si="3"/>
        <v>0</v>
      </c>
      <c r="AD11" s="245">
        <f t="shared" si="3"/>
        <v>0</v>
      </c>
      <c r="AE11" s="245">
        <f t="shared" si="3"/>
        <v>0</v>
      </c>
      <c r="AF11" s="245">
        <f t="shared" si="3"/>
        <v>0</v>
      </c>
      <c r="AG11" s="245">
        <f t="shared" si="3"/>
        <v>0</v>
      </c>
      <c r="AH11" s="245">
        <f t="shared" si="3"/>
        <v>0</v>
      </c>
      <c r="AI11" s="245">
        <f t="shared" si="3"/>
        <v>0</v>
      </c>
      <c r="AJ11" s="247">
        <f>SUM(X11:AI11)</f>
        <v>0</v>
      </c>
    </row>
    <row r="12" spans="1:36">
      <c r="A12" s="231" t="str">
        <f t="shared" ref="A12:A76" si="4">$A$3&amp;"Residential"&amp;B12</f>
        <v>JBLM HOUSINGResidentialRL020.0G1W001</v>
      </c>
      <c r="B12" s="243" t="s">
        <v>177</v>
      </c>
      <c r="C12" s="243" t="s">
        <v>178</v>
      </c>
      <c r="D12" s="243" t="s">
        <v>416</v>
      </c>
      <c r="E12" s="230">
        <v>32000</v>
      </c>
      <c r="F12" s="244">
        <v>0</v>
      </c>
      <c r="G12" s="244">
        <v>0</v>
      </c>
      <c r="H12" s="244"/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5"/>
      <c r="V12" s="408">
        <f t="shared" si="1"/>
        <v>0</v>
      </c>
      <c r="W12" s="245"/>
      <c r="X12" s="246">
        <f>IFERROR($J$12/E12,0)</f>
        <v>0</v>
      </c>
      <c r="Y12" s="246">
        <f>IFERROR($J$12/F12,0)</f>
        <v>0</v>
      </c>
      <c r="Z12" s="246">
        <f t="shared" si="2"/>
        <v>0</v>
      </c>
      <c r="AA12" s="245">
        <f t="shared" si="3"/>
        <v>0</v>
      </c>
      <c r="AB12" s="245">
        <f t="shared" si="3"/>
        <v>0</v>
      </c>
      <c r="AC12" s="245">
        <f t="shared" si="3"/>
        <v>0</v>
      </c>
      <c r="AD12" s="245">
        <f t="shared" si="3"/>
        <v>0</v>
      </c>
      <c r="AE12" s="245">
        <f t="shared" si="3"/>
        <v>0</v>
      </c>
      <c r="AF12" s="245">
        <f t="shared" si="3"/>
        <v>0</v>
      </c>
      <c r="AG12" s="245">
        <f t="shared" si="3"/>
        <v>0</v>
      </c>
      <c r="AH12" s="245">
        <f t="shared" si="3"/>
        <v>0</v>
      </c>
      <c r="AI12" s="245">
        <f t="shared" si="3"/>
        <v>0</v>
      </c>
      <c r="AJ12" s="247">
        <f t="shared" ref="AJ12:AJ75" si="5">SUM(X12:AI12)</f>
        <v>0</v>
      </c>
    </row>
    <row r="13" spans="1:36">
      <c r="A13" s="231" t="str">
        <f t="shared" si="4"/>
        <v>JBLM HOUSINGResidentialRL020.0G1W001NOREC</v>
      </c>
      <c r="B13" s="243" t="s">
        <v>179</v>
      </c>
      <c r="C13" s="243" t="s">
        <v>180</v>
      </c>
      <c r="D13" s="243" t="s">
        <v>416</v>
      </c>
      <c r="E13" s="230">
        <v>32000</v>
      </c>
      <c r="F13" s="244">
        <v>0</v>
      </c>
      <c r="G13" s="244">
        <v>0</v>
      </c>
      <c r="H13" s="244"/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5"/>
      <c r="V13" s="408">
        <f t="shared" si="1"/>
        <v>0</v>
      </c>
      <c r="W13" s="245"/>
      <c r="X13" s="246">
        <f t="shared" ref="X13:Y44" si="6">IFERROR(I13/$F13,0)</f>
        <v>0</v>
      </c>
      <c r="Y13" s="246">
        <f t="shared" si="6"/>
        <v>0</v>
      </c>
      <c r="Z13" s="246">
        <f t="shared" si="2"/>
        <v>0</v>
      </c>
      <c r="AA13" s="245">
        <f t="shared" si="3"/>
        <v>0</v>
      </c>
      <c r="AB13" s="245">
        <f t="shared" si="3"/>
        <v>0</v>
      </c>
      <c r="AC13" s="245">
        <f t="shared" si="3"/>
        <v>0</v>
      </c>
      <c r="AD13" s="245">
        <f t="shared" si="3"/>
        <v>0</v>
      </c>
      <c r="AE13" s="245">
        <f t="shared" si="3"/>
        <v>0</v>
      </c>
      <c r="AF13" s="245">
        <f t="shared" si="3"/>
        <v>0</v>
      </c>
      <c r="AG13" s="245">
        <f t="shared" si="3"/>
        <v>0</v>
      </c>
      <c r="AH13" s="245">
        <f t="shared" si="3"/>
        <v>0</v>
      </c>
      <c r="AI13" s="245">
        <f t="shared" si="3"/>
        <v>0</v>
      </c>
      <c r="AJ13" s="247">
        <f t="shared" si="5"/>
        <v>0</v>
      </c>
    </row>
    <row r="14" spans="1:36">
      <c r="A14" s="231" t="str">
        <f t="shared" si="4"/>
        <v>JBLM HOUSINGResidentialRL032.0G1M001NOREC</v>
      </c>
      <c r="B14" s="243" t="s">
        <v>181</v>
      </c>
      <c r="C14" s="243" t="s">
        <v>182</v>
      </c>
      <c r="D14" s="243" t="s">
        <v>416</v>
      </c>
      <c r="E14" s="230">
        <v>32000</v>
      </c>
      <c r="F14" s="244">
        <v>0</v>
      </c>
      <c r="G14" s="244">
        <v>0</v>
      </c>
      <c r="H14" s="244"/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5"/>
      <c r="V14" s="408">
        <f t="shared" si="1"/>
        <v>0</v>
      </c>
      <c r="W14" s="245"/>
      <c r="X14" s="246">
        <f t="shared" si="6"/>
        <v>0</v>
      </c>
      <c r="Y14" s="246">
        <f t="shared" si="6"/>
        <v>0</v>
      </c>
      <c r="Z14" s="246">
        <f t="shared" si="2"/>
        <v>0</v>
      </c>
      <c r="AA14" s="245">
        <f t="shared" si="3"/>
        <v>0</v>
      </c>
      <c r="AB14" s="245">
        <f t="shared" si="3"/>
        <v>0</v>
      </c>
      <c r="AC14" s="245">
        <f t="shared" si="3"/>
        <v>0</v>
      </c>
      <c r="AD14" s="245">
        <f t="shared" si="3"/>
        <v>0</v>
      </c>
      <c r="AE14" s="245">
        <f t="shared" si="3"/>
        <v>0</v>
      </c>
      <c r="AF14" s="245">
        <f t="shared" si="3"/>
        <v>0</v>
      </c>
      <c r="AG14" s="245">
        <f t="shared" si="3"/>
        <v>0</v>
      </c>
      <c r="AH14" s="245">
        <f t="shared" si="3"/>
        <v>0</v>
      </c>
      <c r="AI14" s="245">
        <f t="shared" si="3"/>
        <v>0</v>
      </c>
      <c r="AJ14" s="247">
        <f t="shared" si="5"/>
        <v>0</v>
      </c>
    </row>
    <row r="15" spans="1:36">
      <c r="A15" s="231" t="str">
        <f t="shared" si="4"/>
        <v>JBLM HOUSINGResidentialRL032.0G1M001WREC</v>
      </c>
      <c r="B15" s="243" t="s">
        <v>183</v>
      </c>
      <c r="C15" s="243" t="s">
        <v>184</v>
      </c>
      <c r="D15" s="243" t="s">
        <v>416</v>
      </c>
      <c r="E15" s="230">
        <v>32000</v>
      </c>
      <c r="F15" s="244">
        <v>0</v>
      </c>
      <c r="G15" s="244">
        <v>0</v>
      </c>
      <c r="H15" s="244"/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5"/>
      <c r="V15" s="408">
        <f t="shared" si="1"/>
        <v>0</v>
      </c>
      <c r="W15" s="245"/>
      <c r="X15" s="246">
        <f t="shared" si="6"/>
        <v>0</v>
      </c>
      <c r="Y15" s="246">
        <f t="shared" si="6"/>
        <v>0</v>
      </c>
      <c r="Z15" s="246">
        <f t="shared" si="2"/>
        <v>0</v>
      </c>
      <c r="AA15" s="245">
        <f t="shared" si="3"/>
        <v>0</v>
      </c>
      <c r="AB15" s="245">
        <f t="shared" si="3"/>
        <v>0</v>
      </c>
      <c r="AC15" s="245">
        <f t="shared" si="3"/>
        <v>0</v>
      </c>
      <c r="AD15" s="245">
        <f t="shared" si="3"/>
        <v>0</v>
      </c>
      <c r="AE15" s="245">
        <f t="shared" si="3"/>
        <v>0</v>
      </c>
      <c r="AF15" s="245">
        <f t="shared" si="3"/>
        <v>0</v>
      </c>
      <c r="AG15" s="245">
        <f t="shared" si="3"/>
        <v>0</v>
      </c>
      <c r="AH15" s="245">
        <f t="shared" si="3"/>
        <v>0</v>
      </c>
      <c r="AI15" s="245">
        <f t="shared" si="3"/>
        <v>0</v>
      </c>
      <c r="AJ15" s="247">
        <f t="shared" si="5"/>
        <v>0</v>
      </c>
    </row>
    <row r="16" spans="1:36">
      <c r="A16" s="231" t="str">
        <f t="shared" si="4"/>
        <v>JBLM HOUSINGResidentialRL032.0G1W001NOREC</v>
      </c>
      <c r="B16" s="243" t="s">
        <v>185</v>
      </c>
      <c r="C16" s="243" t="s">
        <v>186</v>
      </c>
      <c r="D16" s="243" t="s">
        <v>416</v>
      </c>
      <c r="E16" s="230">
        <v>32000</v>
      </c>
      <c r="F16" s="244">
        <v>0</v>
      </c>
      <c r="G16" s="244">
        <v>0</v>
      </c>
      <c r="H16" s="244"/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5"/>
      <c r="V16" s="408">
        <f t="shared" si="1"/>
        <v>0</v>
      </c>
      <c r="W16" s="245"/>
      <c r="X16" s="246">
        <f t="shared" si="6"/>
        <v>0</v>
      </c>
      <c r="Y16" s="246">
        <f t="shared" si="6"/>
        <v>0</v>
      </c>
      <c r="Z16" s="246">
        <f t="shared" si="2"/>
        <v>0</v>
      </c>
      <c r="AA16" s="245">
        <f t="shared" si="3"/>
        <v>0</v>
      </c>
      <c r="AB16" s="245">
        <f t="shared" si="3"/>
        <v>0</v>
      </c>
      <c r="AC16" s="245">
        <f t="shared" si="3"/>
        <v>0</v>
      </c>
      <c r="AD16" s="245">
        <f t="shared" si="3"/>
        <v>0</v>
      </c>
      <c r="AE16" s="245">
        <f t="shared" si="3"/>
        <v>0</v>
      </c>
      <c r="AF16" s="245">
        <f t="shared" si="3"/>
        <v>0</v>
      </c>
      <c r="AG16" s="245">
        <f t="shared" si="3"/>
        <v>0</v>
      </c>
      <c r="AH16" s="245">
        <f t="shared" si="3"/>
        <v>0</v>
      </c>
      <c r="AI16" s="245">
        <f t="shared" si="3"/>
        <v>0</v>
      </c>
      <c r="AJ16" s="247">
        <f t="shared" si="5"/>
        <v>0</v>
      </c>
    </row>
    <row r="17" spans="1:36">
      <c r="A17" s="231" t="str">
        <f t="shared" si="4"/>
        <v>JBLM HOUSINGResidentialRL032.0G1W001WREC</v>
      </c>
      <c r="B17" s="243" t="s">
        <v>187</v>
      </c>
      <c r="C17" s="243" t="s">
        <v>188</v>
      </c>
      <c r="D17" s="243" t="s">
        <v>416</v>
      </c>
      <c r="E17" s="230">
        <v>32000</v>
      </c>
      <c r="F17" s="244">
        <v>0</v>
      </c>
      <c r="G17" s="244">
        <v>0</v>
      </c>
      <c r="H17" s="244"/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5"/>
      <c r="V17" s="408">
        <f t="shared" si="1"/>
        <v>0</v>
      </c>
      <c r="W17" s="245"/>
      <c r="X17" s="246">
        <f t="shared" si="6"/>
        <v>0</v>
      </c>
      <c r="Y17" s="246">
        <f t="shared" si="6"/>
        <v>0</v>
      </c>
      <c r="Z17" s="246">
        <f t="shared" si="2"/>
        <v>0</v>
      </c>
      <c r="AA17" s="245">
        <f t="shared" si="3"/>
        <v>0</v>
      </c>
      <c r="AB17" s="245">
        <f t="shared" si="3"/>
        <v>0</v>
      </c>
      <c r="AC17" s="245">
        <f t="shared" si="3"/>
        <v>0</v>
      </c>
      <c r="AD17" s="245">
        <f t="shared" si="3"/>
        <v>0</v>
      </c>
      <c r="AE17" s="245">
        <f t="shared" si="3"/>
        <v>0</v>
      </c>
      <c r="AF17" s="245">
        <f t="shared" si="3"/>
        <v>0</v>
      </c>
      <c r="AG17" s="245">
        <f t="shared" si="3"/>
        <v>0</v>
      </c>
      <c r="AH17" s="245">
        <f t="shared" si="3"/>
        <v>0</v>
      </c>
      <c r="AI17" s="245">
        <f t="shared" si="3"/>
        <v>0</v>
      </c>
      <c r="AJ17" s="247">
        <f t="shared" si="5"/>
        <v>0</v>
      </c>
    </row>
    <row r="18" spans="1:36">
      <c r="A18" s="231" t="str">
        <f t="shared" si="4"/>
        <v>JBLM HOUSINGResidentialRL032.0G1W002NOREC</v>
      </c>
      <c r="B18" s="243" t="s">
        <v>189</v>
      </c>
      <c r="C18" s="243" t="s">
        <v>190</v>
      </c>
      <c r="D18" s="243" t="s">
        <v>416</v>
      </c>
      <c r="E18" s="230">
        <v>32000</v>
      </c>
      <c r="F18" s="244">
        <v>0</v>
      </c>
      <c r="G18" s="244">
        <v>0</v>
      </c>
      <c r="H18" s="244"/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5"/>
      <c r="V18" s="408">
        <f t="shared" si="1"/>
        <v>0</v>
      </c>
      <c r="W18" s="245"/>
      <c r="X18" s="246">
        <f t="shared" si="6"/>
        <v>0</v>
      </c>
      <c r="Y18" s="246">
        <f t="shared" si="6"/>
        <v>0</v>
      </c>
      <c r="Z18" s="246">
        <f t="shared" si="2"/>
        <v>0</v>
      </c>
      <c r="AA18" s="245">
        <f t="shared" si="3"/>
        <v>0</v>
      </c>
      <c r="AB18" s="245">
        <f t="shared" si="3"/>
        <v>0</v>
      </c>
      <c r="AC18" s="245">
        <f t="shared" si="3"/>
        <v>0</v>
      </c>
      <c r="AD18" s="245">
        <f t="shared" si="3"/>
        <v>0</v>
      </c>
      <c r="AE18" s="245">
        <f t="shared" si="3"/>
        <v>0</v>
      </c>
      <c r="AF18" s="245">
        <f t="shared" si="3"/>
        <v>0</v>
      </c>
      <c r="AG18" s="245">
        <f t="shared" si="3"/>
        <v>0</v>
      </c>
      <c r="AH18" s="245">
        <f t="shared" si="3"/>
        <v>0</v>
      </c>
      <c r="AI18" s="245">
        <f t="shared" si="3"/>
        <v>0</v>
      </c>
      <c r="AJ18" s="247">
        <f t="shared" si="5"/>
        <v>0</v>
      </c>
    </row>
    <row r="19" spans="1:36">
      <c r="A19" s="231" t="str">
        <f t="shared" si="4"/>
        <v>JBLM HOUSINGResidentialRL032.0G1W002WREC</v>
      </c>
      <c r="B19" s="243" t="s">
        <v>191</v>
      </c>
      <c r="C19" s="243" t="s">
        <v>192</v>
      </c>
      <c r="D19" s="243" t="s">
        <v>416</v>
      </c>
      <c r="E19" s="230">
        <v>32000</v>
      </c>
      <c r="F19" s="244">
        <v>0</v>
      </c>
      <c r="G19" s="244">
        <v>0</v>
      </c>
      <c r="H19" s="244"/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5"/>
      <c r="V19" s="408">
        <f t="shared" si="1"/>
        <v>0</v>
      </c>
      <c r="W19" s="245"/>
      <c r="X19" s="246">
        <f t="shared" si="6"/>
        <v>0</v>
      </c>
      <c r="Y19" s="246">
        <f t="shared" si="6"/>
        <v>0</v>
      </c>
      <c r="Z19" s="246">
        <f t="shared" si="2"/>
        <v>0</v>
      </c>
      <c r="AA19" s="245">
        <f t="shared" si="3"/>
        <v>0</v>
      </c>
      <c r="AB19" s="245">
        <f t="shared" si="3"/>
        <v>0</v>
      </c>
      <c r="AC19" s="245">
        <f t="shared" si="3"/>
        <v>0</v>
      </c>
      <c r="AD19" s="245">
        <f t="shared" si="3"/>
        <v>0</v>
      </c>
      <c r="AE19" s="245">
        <f t="shared" si="3"/>
        <v>0</v>
      </c>
      <c r="AF19" s="245">
        <f t="shared" si="3"/>
        <v>0</v>
      </c>
      <c r="AG19" s="245">
        <f t="shared" si="3"/>
        <v>0</v>
      </c>
      <c r="AH19" s="245">
        <f t="shared" si="3"/>
        <v>0</v>
      </c>
      <c r="AI19" s="245">
        <f t="shared" si="3"/>
        <v>0</v>
      </c>
      <c r="AJ19" s="247">
        <f t="shared" si="5"/>
        <v>0</v>
      </c>
    </row>
    <row r="20" spans="1:36">
      <c r="A20" s="231" t="str">
        <f t="shared" si="4"/>
        <v>JBLM HOUSINGResidentialRL032.0G1W003NOREC</v>
      </c>
      <c r="B20" s="243" t="s">
        <v>193</v>
      </c>
      <c r="C20" s="243" t="s">
        <v>194</v>
      </c>
      <c r="D20" s="243" t="s">
        <v>416</v>
      </c>
      <c r="E20" s="230">
        <v>32000</v>
      </c>
      <c r="F20" s="244">
        <v>0</v>
      </c>
      <c r="G20" s="244">
        <v>0</v>
      </c>
      <c r="H20" s="244"/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5"/>
      <c r="V20" s="408">
        <f t="shared" si="1"/>
        <v>0</v>
      </c>
      <c r="W20" s="245"/>
      <c r="X20" s="246">
        <f t="shared" si="6"/>
        <v>0</v>
      </c>
      <c r="Y20" s="246">
        <f t="shared" si="6"/>
        <v>0</v>
      </c>
      <c r="Z20" s="246">
        <f t="shared" si="2"/>
        <v>0</v>
      </c>
      <c r="AA20" s="245">
        <f t="shared" si="3"/>
        <v>0</v>
      </c>
      <c r="AB20" s="245">
        <f t="shared" si="3"/>
        <v>0</v>
      </c>
      <c r="AC20" s="245">
        <f t="shared" si="3"/>
        <v>0</v>
      </c>
      <c r="AD20" s="245">
        <f t="shared" si="3"/>
        <v>0</v>
      </c>
      <c r="AE20" s="245">
        <f t="shared" si="3"/>
        <v>0</v>
      </c>
      <c r="AF20" s="245">
        <f t="shared" si="3"/>
        <v>0</v>
      </c>
      <c r="AG20" s="245">
        <f t="shared" si="3"/>
        <v>0</v>
      </c>
      <c r="AH20" s="245">
        <f t="shared" si="3"/>
        <v>0</v>
      </c>
      <c r="AI20" s="245">
        <f t="shared" si="3"/>
        <v>0</v>
      </c>
      <c r="AJ20" s="247">
        <f t="shared" si="5"/>
        <v>0</v>
      </c>
    </row>
    <row r="21" spans="1:36">
      <c r="A21" s="231" t="str">
        <f t="shared" si="4"/>
        <v>JBLM HOUSINGResidentialRL032.0G1W003WREC</v>
      </c>
      <c r="B21" s="243" t="s">
        <v>195</v>
      </c>
      <c r="C21" s="243" t="s">
        <v>196</v>
      </c>
      <c r="D21" s="243" t="s">
        <v>416</v>
      </c>
      <c r="E21" s="230">
        <v>32000</v>
      </c>
      <c r="F21" s="244">
        <v>0</v>
      </c>
      <c r="G21" s="244">
        <v>0</v>
      </c>
      <c r="H21" s="244"/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5"/>
      <c r="V21" s="408">
        <f t="shared" si="1"/>
        <v>0</v>
      </c>
      <c r="W21" s="245"/>
      <c r="X21" s="246">
        <f t="shared" si="6"/>
        <v>0</v>
      </c>
      <c r="Y21" s="246">
        <f t="shared" si="6"/>
        <v>0</v>
      </c>
      <c r="Z21" s="246">
        <f t="shared" si="2"/>
        <v>0</v>
      </c>
      <c r="AA21" s="245">
        <f t="shared" si="3"/>
        <v>0</v>
      </c>
      <c r="AB21" s="245">
        <f t="shared" si="3"/>
        <v>0</v>
      </c>
      <c r="AC21" s="245">
        <f t="shared" si="3"/>
        <v>0</v>
      </c>
      <c r="AD21" s="245">
        <f t="shared" si="3"/>
        <v>0</v>
      </c>
      <c r="AE21" s="245">
        <f t="shared" si="3"/>
        <v>0</v>
      </c>
      <c r="AF21" s="245">
        <f t="shared" si="3"/>
        <v>0</v>
      </c>
      <c r="AG21" s="245">
        <f t="shared" si="3"/>
        <v>0</v>
      </c>
      <c r="AH21" s="245">
        <f t="shared" si="3"/>
        <v>0</v>
      </c>
      <c r="AI21" s="245">
        <f t="shared" si="3"/>
        <v>0</v>
      </c>
      <c r="AJ21" s="247">
        <f t="shared" si="5"/>
        <v>0</v>
      </c>
    </row>
    <row r="22" spans="1:36">
      <c r="A22" s="231" t="str">
        <f t="shared" si="4"/>
        <v>JBLM HOUSINGResidentialRL032.0G1W004NOREC</v>
      </c>
      <c r="B22" s="243" t="s">
        <v>197</v>
      </c>
      <c r="C22" s="243" t="s">
        <v>198</v>
      </c>
      <c r="D22" s="243" t="s">
        <v>416</v>
      </c>
      <c r="E22" s="230">
        <v>32000</v>
      </c>
      <c r="F22" s="244">
        <v>0</v>
      </c>
      <c r="G22" s="244">
        <v>0</v>
      </c>
      <c r="H22" s="244"/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5"/>
      <c r="V22" s="408">
        <f t="shared" si="1"/>
        <v>0</v>
      </c>
      <c r="W22" s="245"/>
      <c r="X22" s="246">
        <f t="shared" si="6"/>
        <v>0</v>
      </c>
      <c r="Y22" s="246">
        <f t="shared" si="6"/>
        <v>0</v>
      </c>
      <c r="Z22" s="246">
        <f t="shared" si="2"/>
        <v>0</v>
      </c>
      <c r="AA22" s="245">
        <f t="shared" si="3"/>
        <v>0</v>
      </c>
      <c r="AB22" s="245">
        <f t="shared" si="3"/>
        <v>0</v>
      </c>
      <c r="AC22" s="245">
        <f t="shared" si="3"/>
        <v>0</v>
      </c>
      <c r="AD22" s="245">
        <f t="shared" si="3"/>
        <v>0</v>
      </c>
      <c r="AE22" s="245">
        <f t="shared" si="3"/>
        <v>0</v>
      </c>
      <c r="AF22" s="245">
        <f t="shared" si="3"/>
        <v>0</v>
      </c>
      <c r="AG22" s="245">
        <f t="shared" si="3"/>
        <v>0</v>
      </c>
      <c r="AH22" s="245">
        <f t="shared" si="3"/>
        <v>0</v>
      </c>
      <c r="AI22" s="245">
        <f t="shared" si="3"/>
        <v>0</v>
      </c>
      <c r="AJ22" s="247">
        <f t="shared" si="5"/>
        <v>0</v>
      </c>
    </row>
    <row r="23" spans="1:36">
      <c r="A23" s="231" t="str">
        <f t="shared" si="4"/>
        <v>JBLM HOUSINGResidentialRL032.0G1W004WREC</v>
      </c>
      <c r="B23" s="243" t="s">
        <v>199</v>
      </c>
      <c r="C23" s="243" t="s">
        <v>200</v>
      </c>
      <c r="D23" s="243" t="s">
        <v>416</v>
      </c>
      <c r="E23" s="230">
        <v>32000</v>
      </c>
      <c r="F23" s="244">
        <v>0</v>
      </c>
      <c r="G23" s="244">
        <v>0</v>
      </c>
      <c r="H23" s="244"/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5"/>
      <c r="V23" s="408">
        <f t="shared" si="1"/>
        <v>0</v>
      </c>
      <c r="W23" s="245"/>
      <c r="X23" s="246">
        <f t="shared" si="6"/>
        <v>0</v>
      </c>
      <c r="Y23" s="246">
        <f t="shared" si="6"/>
        <v>0</v>
      </c>
      <c r="Z23" s="246">
        <f t="shared" si="2"/>
        <v>0</v>
      </c>
      <c r="AA23" s="245">
        <f t="shared" si="3"/>
        <v>0</v>
      </c>
      <c r="AB23" s="245">
        <f t="shared" si="3"/>
        <v>0</v>
      </c>
      <c r="AC23" s="245">
        <f t="shared" si="3"/>
        <v>0</v>
      </c>
      <c r="AD23" s="245">
        <f t="shared" si="3"/>
        <v>0</v>
      </c>
      <c r="AE23" s="245">
        <f t="shared" si="3"/>
        <v>0</v>
      </c>
      <c r="AF23" s="245">
        <f t="shared" si="3"/>
        <v>0</v>
      </c>
      <c r="AG23" s="245">
        <f t="shared" si="3"/>
        <v>0</v>
      </c>
      <c r="AH23" s="245">
        <f t="shared" si="3"/>
        <v>0</v>
      </c>
      <c r="AI23" s="245">
        <f t="shared" si="3"/>
        <v>0</v>
      </c>
      <c r="AJ23" s="247">
        <f t="shared" si="5"/>
        <v>0</v>
      </c>
    </row>
    <row r="24" spans="1:36">
      <c r="A24" s="231" t="str">
        <f t="shared" si="4"/>
        <v>JBLM HOUSINGResidentialSL032.0G1W001WREC</v>
      </c>
      <c r="B24" s="243" t="s">
        <v>421</v>
      </c>
      <c r="C24" s="243" t="s">
        <v>188</v>
      </c>
      <c r="D24" s="243" t="s">
        <v>416</v>
      </c>
      <c r="E24" s="230">
        <v>32000</v>
      </c>
      <c r="F24" s="244">
        <v>0</v>
      </c>
      <c r="G24" s="244">
        <v>0</v>
      </c>
      <c r="H24" s="244"/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5"/>
      <c r="V24" s="408">
        <f t="shared" si="1"/>
        <v>0</v>
      </c>
      <c r="W24" s="245"/>
      <c r="X24" s="246">
        <f t="shared" si="6"/>
        <v>0</v>
      </c>
      <c r="Y24" s="246">
        <f t="shared" si="6"/>
        <v>0</v>
      </c>
      <c r="Z24" s="246">
        <f t="shared" si="2"/>
        <v>0</v>
      </c>
      <c r="AA24" s="245">
        <f t="shared" si="3"/>
        <v>0</v>
      </c>
      <c r="AB24" s="245">
        <f t="shared" si="3"/>
        <v>0</v>
      </c>
      <c r="AC24" s="245">
        <f t="shared" si="3"/>
        <v>0</v>
      </c>
      <c r="AD24" s="245">
        <f t="shared" si="3"/>
        <v>0</v>
      </c>
      <c r="AE24" s="245">
        <f t="shared" si="3"/>
        <v>0</v>
      </c>
      <c r="AF24" s="245">
        <f t="shared" si="3"/>
        <v>0</v>
      </c>
      <c r="AG24" s="245">
        <f t="shared" si="3"/>
        <v>0</v>
      </c>
      <c r="AH24" s="245">
        <f t="shared" si="3"/>
        <v>0</v>
      </c>
      <c r="AI24" s="245">
        <f t="shared" si="3"/>
        <v>0</v>
      </c>
      <c r="AJ24" s="247">
        <f t="shared" si="5"/>
        <v>0</v>
      </c>
    </row>
    <row r="25" spans="1:36">
      <c r="A25" s="231" t="str">
        <f t="shared" si="4"/>
        <v>JBLM HOUSINGResidentialSL035.0G1W001WREC</v>
      </c>
      <c r="B25" s="243" t="s">
        <v>205</v>
      </c>
      <c r="C25" s="243" t="s">
        <v>206</v>
      </c>
      <c r="D25" s="243" t="s">
        <v>416</v>
      </c>
      <c r="E25" s="230">
        <v>32000</v>
      </c>
      <c r="F25" s="244">
        <v>0</v>
      </c>
      <c r="G25" s="244">
        <v>0</v>
      </c>
      <c r="H25" s="244"/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5"/>
      <c r="V25" s="408">
        <f t="shared" si="1"/>
        <v>0</v>
      </c>
      <c r="W25" s="245"/>
      <c r="X25" s="246">
        <f t="shared" si="6"/>
        <v>0</v>
      </c>
      <c r="Y25" s="246">
        <f t="shared" si="6"/>
        <v>0</v>
      </c>
      <c r="Z25" s="246">
        <f t="shared" si="2"/>
        <v>0</v>
      </c>
      <c r="AA25" s="245">
        <f t="shared" si="3"/>
        <v>0</v>
      </c>
      <c r="AB25" s="245">
        <f t="shared" si="3"/>
        <v>0</v>
      </c>
      <c r="AC25" s="245">
        <f t="shared" si="3"/>
        <v>0</v>
      </c>
      <c r="AD25" s="245">
        <f t="shared" si="3"/>
        <v>0</v>
      </c>
      <c r="AE25" s="245">
        <f t="shared" si="3"/>
        <v>0</v>
      </c>
      <c r="AF25" s="245">
        <f t="shared" si="3"/>
        <v>0</v>
      </c>
      <c r="AG25" s="245">
        <f t="shared" si="3"/>
        <v>0</v>
      </c>
      <c r="AH25" s="245">
        <f t="shared" si="3"/>
        <v>0</v>
      </c>
      <c r="AI25" s="245">
        <f t="shared" si="3"/>
        <v>0</v>
      </c>
      <c r="AJ25" s="247">
        <f t="shared" si="5"/>
        <v>0</v>
      </c>
    </row>
    <row r="26" spans="1:36">
      <c r="A26" s="231" t="str">
        <f t="shared" si="4"/>
        <v>JBLM HOUSINGResidentialSL035.0G1M001WREC</v>
      </c>
      <c r="B26" s="243" t="s">
        <v>201</v>
      </c>
      <c r="C26" s="243" t="s">
        <v>858</v>
      </c>
      <c r="D26" s="243" t="s">
        <v>416</v>
      </c>
      <c r="E26" s="230">
        <v>32000</v>
      </c>
      <c r="F26" s="244">
        <v>0</v>
      </c>
      <c r="G26" s="244">
        <v>0</v>
      </c>
      <c r="H26" s="244"/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5"/>
      <c r="V26" s="408">
        <f t="shared" si="1"/>
        <v>0</v>
      </c>
      <c r="W26" s="245"/>
      <c r="X26" s="246">
        <f t="shared" si="6"/>
        <v>0</v>
      </c>
      <c r="Y26" s="246">
        <f t="shared" si="6"/>
        <v>0</v>
      </c>
      <c r="Z26" s="246">
        <f t="shared" si="2"/>
        <v>0</v>
      </c>
      <c r="AA26" s="245">
        <f t="shared" si="3"/>
        <v>0</v>
      </c>
      <c r="AB26" s="245">
        <f t="shared" si="3"/>
        <v>0</v>
      </c>
      <c r="AC26" s="245">
        <f t="shared" si="3"/>
        <v>0</v>
      </c>
      <c r="AD26" s="245">
        <f t="shared" si="3"/>
        <v>0</v>
      </c>
      <c r="AE26" s="245">
        <f t="shared" si="3"/>
        <v>0</v>
      </c>
      <c r="AF26" s="245">
        <f t="shared" si="3"/>
        <v>0</v>
      </c>
      <c r="AG26" s="245">
        <f t="shared" si="3"/>
        <v>0</v>
      </c>
      <c r="AH26" s="245">
        <f t="shared" si="3"/>
        <v>0</v>
      </c>
      <c r="AI26" s="245">
        <f t="shared" si="3"/>
        <v>0</v>
      </c>
      <c r="AJ26" s="247">
        <f t="shared" si="5"/>
        <v>0</v>
      </c>
    </row>
    <row r="27" spans="1:36">
      <c r="A27" s="231" t="str">
        <f t="shared" si="4"/>
        <v>JBLM HOUSINGResidentialSL035.0G1W002WREC</v>
      </c>
      <c r="B27" s="243" t="s">
        <v>207</v>
      </c>
      <c r="C27" s="243" t="s">
        <v>208</v>
      </c>
      <c r="D27" s="243" t="s">
        <v>416</v>
      </c>
      <c r="E27" s="230">
        <v>32000</v>
      </c>
      <c r="F27" s="244">
        <v>0</v>
      </c>
      <c r="G27" s="244">
        <v>0</v>
      </c>
      <c r="H27" s="244"/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5"/>
      <c r="V27" s="408">
        <f t="shared" si="1"/>
        <v>0</v>
      </c>
      <c r="W27" s="245"/>
      <c r="X27" s="246">
        <f t="shared" si="6"/>
        <v>0</v>
      </c>
      <c r="Y27" s="246">
        <f t="shared" si="6"/>
        <v>0</v>
      </c>
      <c r="Z27" s="246">
        <f t="shared" si="2"/>
        <v>0</v>
      </c>
      <c r="AA27" s="245">
        <f t="shared" si="3"/>
        <v>0</v>
      </c>
      <c r="AB27" s="245">
        <f t="shared" si="3"/>
        <v>0</v>
      </c>
      <c r="AC27" s="245">
        <f t="shared" si="3"/>
        <v>0</v>
      </c>
      <c r="AD27" s="245">
        <f t="shared" si="3"/>
        <v>0</v>
      </c>
      <c r="AE27" s="245">
        <f t="shared" si="3"/>
        <v>0</v>
      </c>
      <c r="AF27" s="245">
        <f t="shared" si="3"/>
        <v>0</v>
      </c>
      <c r="AG27" s="245">
        <f t="shared" si="3"/>
        <v>0</v>
      </c>
      <c r="AH27" s="245">
        <f t="shared" si="3"/>
        <v>0</v>
      </c>
      <c r="AI27" s="245">
        <f t="shared" si="3"/>
        <v>0</v>
      </c>
      <c r="AJ27" s="247">
        <f t="shared" si="5"/>
        <v>0</v>
      </c>
    </row>
    <row r="28" spans="1:36">
      <c r="A28" s="231" t="str">
        <f t="shared" si="4"/>
        <v>JBLM HOUSINGResidentialSL065.0G1M001NOREC</v>
      </c>
      <c r="B28" s="243" t="s">
        <v>209</v>
      </c>
      <c r="C28" s="243" t="s">
        <v>210</v>
      </c>
      <c r="D28" s="243" t="s">
        <v>416</v>
      </c>
      <c r="E28" s="230">
        <v>32000</v>
      </c>
      <c r="F28" s="244">
        <v>0</v>
      </c>
      <c r="G28" s="244">
        <v>0</v>
      </c>
      <c r="H28" s="244"/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5"/>
      <c r="V28" s="408">
        <f t="shared" si="1"/>
        <v>0</v>
      </c>
      <c r="W28" s="245"/>
      <c r="X28" s="246">
        <f t="shared" si="6"/>
        <v>0</v>
      </c>
      <c r="Y28" s="246">
        <f t="shared" si="6"/>
        <v>0</v>
      </c>
      <c r="Z28" s="246">
        <f t="shared" si="2"/>
        <v>0</v>
      </c>
      <c r="AA28" s="245">
        <f t="shared" si="3"/>
        <v>0</v>
      </c>
      <c r="AB28" s="245">
        <f t="shared" si="3"/>
        <v>0</v>
      </c>
      <c r="AC28" s="245">
        <f t="shared" si="3"/>
        <v>0</v>
      </c>
      <c r="AD28" s="245">
        <f t="shared" si="3"/>
        <v>0</v>
      </c>
      <c r="AE28" s="245">
        <f t="shared" si="3"/>
        <v>0</v>
      </c>
      <c r="AF28" s="245">
        <f t="shared" si="3"/>
        <v>0</v>
      </c>
      <c r="AG28" s="245">
        <f t="shared" si="3"/>
        <v>0</v>
      </c>
      <c r="AH28" s="245">
        <f t="shared" si="3"/>
        <v>0</v>
      </c>
      <c r="AI28" s="245">
        <f t="shared" si="3"/>
        <v>0</v>
      </c>
      <c r="AJ28" s="247">
        <f t="shared" si="5"/>
        <v>0</v>
      </c>
    </row>
    <row r="29" spans="1:36">
      <c r="A29" s="231" t="str">
        <f t="shared" si="4"/>
        <v>JBLM HOUSINGResidentialSL065.0G1M001WREC</v>
      </c>
      <c r="B29" s="243" t="s">
        <v>211</v>
      </c>
      <c r="C29" s="243" t="s">
        <v>212</v>
      </c>
      <c r="D29" s="243" t="s">
        <v>416</v>
      </c>
      <c r="E29" s="230">
        <v>32000</v>
      </c>
      <c r="F29" s="244">
        <v>0</v>
      </c>
      <c r="G29" s="244">
        <v>0</v>
      </c>
      <c r="H29" s="244"/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5"/>
      <c r="V29" s="408">
        <f t="shared" si="1"/>
        <v>0</v>
      </c>
      <c r="W29" s="245"/>
      <c r="X29" s="246">
        <f t="shared" si="6"/>
        <v>0</v>
      </c>
      <c r="Y29" s="246">
        <f t="shared" si="6"/>
        <v>0</v>
      </c>
      <c r="Z29" s="246">
        <f t="shared" si="2"/>
        <v>0</v>
      </c>
      <c r="AA29" s="245">
        <f t="shared" si="3"/>
        <v>0</v>
      </c>
      <c r="AB29" s="245">
        <f t="shared" si="3"/>
        <v>0</v>
      </c>
      <c r="AC29" s="245">
        <f t="shared" si="3"/>
        <v>0</v>
      </c>
      <c r="AD29" s="245">
        <f t="shared" si="3"/>
        <v>0</v>
      </c>
      <c r="AE29" s="245">
        <f t="shared" si="3"/>
        <v>0</v>
      </c>
      <c r="AF29" s="245">
        <f t="shared" si="3"/>
        <v>0</v>
      </c>
      <c r="AG29" s="245">
        <f t="shared" si="3"/>
        <v>0</v>
      </c>
      <c r="AH29" s="245">
        <f t="shared" si="3"/>
        <v>0</v>
      </c>
      <c r="AI29" s="245">
        <f t="shared" si="3"/>
        <v>0</v>
      </c>
      <c r="AJ29" s="247">
        <f t="shared" si="5"/>
        <v>0</v>
      </c>
    </row>
    <row r="30" spans="1:36">
      <c r="A30" s="231" t="str">
        <f t="shared" si="4"/>
        <v>JBLM HOUSINGResidentialSL065.0G1W001NOREC</v>
      </c>
      <c r="B30" s="243" t="s">
        <v>213</v>
      </c>
      <c r="C30" s="243" t="s">
        <v>214</v>
      </c>
      <c r="D30" s="243" t="s">
        <v>416</v>
      </c>
      <c r="E30" s="230">
        <v>32000</v>
      </c>
      <c r="F30" s="244">
        <v>0</v>
      </c>
      <c r="G30" s="244">
        <v>0</v>
      </c>
      <c r="H30" s="244"/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5"/>
      <c r="V30" s="408">
        <f t="shared" si="1"/>
        <v>0</v>
      </c>
      <c r="W30" s="245"/>
      <c r="X30" s="246">
        <f t="shared" si="6"/>
        <v>0</v>
      </c>
      <c r="Y30" s="246">
        <f t="shared" si="6"/>
        <v>0</v>
      </c>
      <c r="Z30" s="246">
        <f t="shared" si="2"/>
        <v>0</v>
      </c>
      <c r="AA30" s="245">
        <f t="shared" si="3"/>
        <v>0</v>
      </c>
      <c r="AB30" s="245">
        <f t="shared" si="3"/>
        <v>0</v>
      </c>
      <c r="AC30" s="245">
        <f t="shared" si="3"/>
        <v>0</v>
      </c>
      <c r="AD30" s="245">
        <f t="shared" si="3"/>
        <v>0</v>
      </c>
      <c r="AE30" s="245">
        <f t="shared" si="3"/>
        <v>0</v>
      </c>
      <c r="AF30" s="245">
        <f t="shared" si="3"/>
        <v>0</v>
      </c>
      <c r="AG30" s="245">
        <f t="shared" si="3"/>
        <v>0</v>
      </c>
      <c r="AH30" s="245">
        <f t="shared" si="3"/>
        <v>0</v>
      </c>
      <c r="AI30" s="245">
        <f t="shared" si="3"/>
        <v>0</v>
      </c>
      <c r="AJ30" s="247">
        <f t="shared" si="5"/>
        <v>0</v>
      </c>
    </row>
    <row r="31" spans="1:36">
      <c r="A31" s="231" t="str">
        <f t="shared" si="4"/>
        <v>JBLM HOUSINGResidentialSL065.0G1W001WREC</v>
      </c>
      <c r="B31" s="243" t="s">
        <v>215</v>
      </c>
      <c r="C31" s="243" t="s">
        <v>216</v>
      </c>
      <c r="D31" s="243" t="s">
        <v>416</v>
      </c>
      <c r="E31" s="230">
        <v>32000</v>
      </c>
      <c r="F31" s="244">
        <v>21.73</v>
      </c>
      <c r="G31" s="244">
        <v>22.1</v>
      </c>
      <c r="H31" s="244"/>
      <c r="I31" s="244">
        <v>72469.55</v>
      </c>
      <c r="J31" s="287">
        <v>144083.87</v>
      </c>
      <c r="K31" s="287">
        <v>849.79999999998836</v>
      </c>
      <c r="L31" s="244">
        <v>73725.599999999991</v>
      </c>
      <c r="M31" s="244">
        <v>73692.45</v>
      </c>
      <c r="N31" s="244">
        <v>73725.600000000006</v>
      </c>
      <c r="O31" s="244">
        <v>73725.600000000006</v>
      </c>
      <c r="P31" s="244">
        <v>73725.600000000006</v>
      </c>
      <c r="Q31" s="244">
        <v>73703.5</v>
      </c>
      <c r="R31" s="244">
        <v>73716.759999999995</v>
      </c>
      <c r="S31" s="244">
        <v>73699.08</v>
      </c>
      <c r="T31" s="244">
        <v>73769.8</v>
      </c>
      <c r="U31" s="245"/>
      <c r="V31" s="408">
        <f t="shared" si="1"/>
        <v>880887.21</v>
      </c>
      <c r="W31" s="245"/>
      <c r="X31" s="246">
        <f t="shared" si="6"/>
        <v>3335</v>
      </c>
      <c r="Y31" s="246">
        <f t="shared" si="6"/>
        <v>6630.6428900138053</v>
      </c>
      <c r="Z31" s="246">
        <f t="shared" si="2"/>
        <v>39.107225034513959</v>
      </c>
      <c r="AA31" s="245">
        <f t="shared" si="3"/>
        <v>3335.9999999999995</v>
      </c>
      <c r="AB31" s="245">
        <f t="shared" si="3"/>
        <v>3334.4999999999995</v>
      </c>
      <c r="AC31" s="245">
        <f t="shared" si="3"/>
        <v>3336</v>
      </c>
      <c r="AD31" s="245">
        <f t="shared" si="3"/>
        <v>3336</v>
      </c>
      <c r="AE31" s="245">
        <f t="shared" si="3"/>
        <v>3336</v>
      </c>
      <c r="AF31" s="245">
        <f t="shared" si="3"/>
        <v>3335</v>
      </c>
      <c r="AG31" s="245">
        <f t="shared" si="3"/>
        <v>3335.5999999999995</v>
      </c>
      <c r="AH31" s="245">
        <f t="shared" si="3"/>
        <v>3334.7999999999997</v>
      </c>
      <c r="AI31" s="245">
        <f t="shared" si="3"/>
        <v>3338</v>
      </c>
      <c r="AJ31" s="247">
        <f t="shared" si="5"/>
        <v>40026.650115048324</v>
      </c>
    </row>
    <row r="32" spans="1:36" s="229" customFormat="1">
      <c r="A32" s="231" t="str">
        <f t="shared" si="4"/>
        <v>JBLM HOUSINGResidentialSL065.0GEO001</v>
      </c>
      <c r="B32" s="243" t="s">
        <v>422</v>
      </c>
      <c r="C32" s="243" t="s">
        <v>423</v>
      </c>
      <c r="D32" s="243" t="s">
        <v>416</v>
      </c>
      <c r="E32" s="230">
        <v>32000</v>
      </c>
      <c r="F32" s="244">
        <v>0</v>
      </c>
      <c r="G32" s="244">
        <v>0</v>
      </c>
      <c r="H32" s="244"/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5"/>
      <c r="V32" s="408">
        <f t="shared" si="1"/>
        <v>0</v>
      </c>
      <c r="W32" s="245"/>
      <c r="X32" s="246">
        <f t="shared" si="6"/>
        <v>0</v>
      </c>
      <c r="Y32" s="246">
        <f t="shared" si="6"/>
        <v>0</v>
      </c>
      <c r="Z32" s="246">
        <f t="shared" si="2"/>
        <v>0</v>
      </c>
      <c r="AA32" s="245">
        <f t="shared" si="3"/>
        <v>0</v>
      </c>
      <c r="AB32" s="245">
        <f t="shared" si="3"/>
        <v>0</v>
      </c>
      <c r="AC32" s="245">
        <f t="shared" si="3"/>
        <v>0</v>
      </c>
      <c r="AD32" s="245">
        <f t="shared" si="3"/>
        <v>0</v>
      </c>
      <c r="AE32" s="245">
        <f t="shared" si="3"/>
        <v>0</v>
      </c>
      <c r="AF32" s="245">
        <f t="shared" si="3"/>
        <v>0</v>
      </c>
      <c r="AG32" s="245">
        <f t="shared" si="3"/>
        <v>0</v>
      </c>
      <c r="AH32" s="245">
        <f t="shared" si="3"/>
        <v>0</v>
      </c>
      <c r="AI32" s="245">
        <f t="shared" si="3"/>
        <v>0</v>
      </c>
      <c r="AJ32" s="247">
        <f t="shared" si="5"/>
        <v>0</v>
      </c>
    </row>
    <row r="33" spans="1:36">
      <c r="A33" s="231" t="str">
        <f t="shared" si="4"/>
        <v>JBLM HOUSINGResidentialSL065.0GEO001NOREC</v>
      </c>
      <c r="B33" s="243" t="s">
        <v>217</v>
      </c>
      <c r="C33" s="243" t="s">
        <v>218</v>
      </c>
      <c r="D33" s="243" t="s">
        <v>416</v>
      </c>
      <c r="E33" s="230">
        <v>32000</v>
      </c>
      <c r="F33" s="244">
        <v>0</v>
      </c>
      <c r="G33" s="244">
        <v>0</v>
      </c>
      <c r="H33" s="244"/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5"/>
      <c r="V33" s="408">
        <f t="shared" si="1"/>
        <v>0</v>
      </c>
      <c r="W33" s="245"/>
      <c r="X33" s="246">
        <f t="shared" si="6"/>
        <v>0</v>
      </c>
      <c r="Y33" s="246">
        <f t="shared" si="6"/>
        <v>0</v>
      </c>
      <c r="Z33" s="246">
        <f t="shared" si="2"/>
        <v>0</v>
      </c>
      <c r="AA33" s="245">
        <f t="shared" si="3"/>
        <v>0</v>
      </c>
      <c r="AB33" s="245">
        <f t="shared" si="3"/>
        <v>0</v>
      </c>
      <c r="AC33" s="245">
        <f t="shared" si="3"/>
        <v>0</v>
      </c>
      <c r="AD33" s="245">
        <f t="shared" si="3"/>
        <v>0</v>
      </c>
      <c r="AE33" s="245">
        <f t="shared" si="3"/>
        <v>0</v>
      </c>
      <c r="AF33" s="245">
        <f t="shared" si="3"/>
        <v>0</v>
      </c>
      <c r="AG33" s="245">
        <f t="shared" si="3"/>
        <v>0</v>
      </c>
      <c r="AH33" s="245">
        <f t="shared" si="3"/>
        <v>0</v>
      </c>
      <c r="AI33" s="245">
        <f t="shared" si="3"/>
        <v>0</v>
      </c>
      <c r="AJ33" s="247">
        <f t="shared" si="5"/>
        <v>0</v>
      </c>
    </row>
    <row r="34" spans="1:36" s="229" customFormat="1">
      <c r="A34" s="231" t="str">
        <f t="shared" si="4"/>
        <v>JBLM HOUSINGResidentialSL065.0GEO001WREC</v>
      </c>
      <c r="B34" s="243" t="s">
        <v>219</v>
      </c>
      <c r="C34" s="243" t="s">
        <v>220</v>
      </c>
      <c r="D34" s="243" t="s">
        <v>416</v>
      </c>
      <c r="E34" s="230">
        <v>32000</v>
      </c>
      <c r="F34" s="244">
        <v>0</v>
      </c>
      <c r="G34" s="244">
        <v>0</v>
      </c>
      <c r="H34" s="244"/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5"/>
      <c r="V34" s="408">
        <f t="shared" si="1"/>
        <v>0</v>
      </c>
      <c r="W34" s="245"/>
      <c r="X34" s="246">
        <f t="shared" si="6"/>
        <v>0</v>
      </c>
      <c r="Y34" s="246">
        <f t="shared" si="6"/>
        <v>0</v>
      </c>
      <c r="Z34" s="246">
        <f t="shared" si="2"/>
        <v>0</v>
      </c>
      <c r="AA34" s="245">
        <f t="shared" si="3"/>
        <v>0</v>
      </c>
      <c r="AB34" s="245">
        <f t="shared" si="3"/>
        <v>0</v>
      </c>
      <c r="AC34" s="245">
        <f t="shared" si="3"/>
        <v>0</v>
      </c>
      <c r="AD34" s="245">
        <f t="shared" si="3"/>
        <v>0</v>
      </c>
      <c r="AE34" s="245">
        <f t="shared" si="3"/>
        <v>0</v>
      </c>
      <c r="AF34" s="245">
        <f t="shared" si="3"/>
        <v>0</v>
      </c>
      <c r="AG34" s="245">
        <f t="shared" si="3"/>
        <v>0</v>
      </c>
      <c r="AH34" s="245">
        <f t="shared" si="3"/>
        <v>0</v>
      </c>
      <c r="AI34" s="245">
        <f t="shared" si="3"/>
        <v>0</v>
      </c>
      <c r="AJ34" s="247">
        <f t="shared" si="5"/>
        <v>0</v>
      </c>
    </row>
    <row r="35" spans="1:36">
      <c r="A35" s="231" t="str">
        <f t="shared" si="4"/>
        <v>JBLM HOUSINGResidentialSL095.0G1M001NOREC</v>
      </c>
      <c r="B35" s="243" t="s">
        <v>221</v>
      </c>
      <c r="C35" s="243" t="s">
        <v>222</v>
      </c>
      <c r="D35" s="243" t="s">
        <v>416</v>
      </c>
      <c r="E35" s="230">
        <v>32000</v>
      </c>
      <c r="F35" s="244">
        <v>0</v>
      </c>
      <c r="G35" s="244">
        <v>0</v>
      </c>
      <c r="H35" s="244"/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5"/>
      <c r="V35" s="408">
        <f t="shared" si="1"/>
        <v>0</v>
      </c>
      <c r="W35" s="245"/>
      <c r="X35" s="246">
        <f t="shared" si="6"/>
        <v>0</v>
      </c>
      <c r="Y35" s="246">
        <f t="shared" si="6"/>
        <v>0</v>
      </c>
      <c r="Z35" s="246">
        <f t="shared" si="2"/>
        <v>0</v>
      </c>
      <c r="AA35" s="245">
        <f t="shared" si="3"/>
        <v>0</v>
      </c>
      <c r="AB35" s="245">
        <f t="shared" si="3"/>
        <v>0</v>
      </c>
      <c r="AC35" s="245">
        <f t="shared" si="3"/>
        <v>0</v>
      </c>
      <c r="AD35" s="245">
        <f t="shared" si="3"/>
        <v>0</v>
      </c>
      <c r="AE35" s="245">
        <f t="shared" si="3"/>
        <v>0</v>
      </c>
      <c r="AF35" s="245">
        <f t="shared" si="3"/>
        <v>0</v>
      </c>
      <c r="AG35" s="245">
        <f t="shared" si="3"/>
        <v>0</v>
      </c>
      <c r="AH35" s="245">
        <f t="shared" si="3"/>
        <v>0</v>
      </c>
      <c r="AI35" s="245">
        <f t="shared" si="3"/>
        <v>0</v>
      </c>
      <c r="AJ35" s="247">
        <f t="shared" si="5"/>
        <v>0</v>
      </c>
    </row>
    <row r="36" spans="1:36">
      <c r="A36" s="231" t="str">
        <f t="shared" si="4"/>
        <v>JBLM HOUSINGResidentialSL095.0G1M001WREC</v>
      </c>
      <c r="B36" s="243" t="s">
        <v>223</v>
      </c>
      <c r="C36" s="243" t="s">
        <v>224</v>
      </c>
      <c r="D36" s="243" t="s">
        <v>416</v>
      </c>
      <c r="E36" s="230">
        <v>32000</v>
      </c>
      <c r="F36" s="244">
        <v>0</v>
      </c>
      <c r="G36" s="244">
        <v>0</v>
      </c>
      <c r="H36" s="244"/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5"/>
      <c r="V36" s="408">
        <f t="shared" si="1"/>
        <v>0</v>
      </c>
      <c r="W36" s="245"/>
      <c r="X36" s="246">
        <f t="shared" si="6"/>
        <v>0</v>
      </c>
      <c r="Y36" s="246">
        <f t="shared" si="6"/>
        <v>0</v>
      </c>
      <c r="Z36" s="246">
        <f t="shared" si="2"/>
        <v>0</v>
      </c>
      <c r="AA36" s="245">
        <f t="shared" si="3"/>
        <v>0</v>
      </c>
      <c r="AB36" s="245">
        <f t="shared" si="3"/>
        <v>0</v>
      </c>
      <c r="AC36" s="245">
        <f t="shared" si="3"/>
        <v>0</v>
      </c>
      <c r="AD36" s="245">
        <f t="shared" si="3"/>
        <v>0</v>
      </c>
      <c r="AE36" s="245">
        <f t="shared" si="3"/>
        <v>0</v>
      </c>
      <c r="AF36" s="245">
        <f t="shared" si="3"/>
        <v>0</v>
      </c>
      <c r="AG36" s="245">
        <f t="shared" si="3"/>
        <v>0</v>
      </c>
      <c r="AH36" s="245">
        <f t="shared" si="3"/>
        <v>0</v>
      </c>
      <c r="AI36" s="245">
        <f t="shared" si="3"/>
        <v>0</v>
      </c>
      <c r="AJ36" s="247">
        <f t="shared" si="5"/>
        <v>0</v>
      </c>
    </row>
    <row r="37" spans="1:36">
      <c r="A37" s="231" t="str">
        <f t="shared" si="4"/>
        <v>JBLM HOUSINGResidentialSL095.0G1W001NOREC</v>
      </c>
      <c r="B37" s="243" t="s">
        <v>225</v>
      </c>
      <c r="C37" s="243" t="s">
        <v>226</v>
      </c>
      <c r="D37" s="243" t="s">
        <v>416</v>
      </c>
      <c r="E37" s="230">
        <v>32000</v>
      </c>
      <c r="F37" s="244">
        <v>0</v>
      </c>
      <c r="G37" s="244">
        <v>0</v>
      </c>
      <c r="H37" s="244"/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5"/>
      <c r="V37" s="408">
        <f t="shared" si="1"/>
        <v>0</v>
      </c>
      <c r="W37" s="245"/>
      <c r="X37" s="246">
        <f t="shared" si="6"/>
        <v>0</v>
      </c>
      <c r="Y37" s="246">
        <f t="shared" si="6"/>
        <v>0</v>
      </c>
      <c r="Z37" s="246">
        <f t="shared" si="2"/>
        <v>0</v>
      </c>
      <c r="AA37" s="245">
        <f t="shared" si="3"/>
        <v>0</v>
      </c>
      <c r="AB37" s="245">
        <f t="shared" si="3"/>
        <v>0</v>
      </c>
      <c r="AC37" s="245">
        <f t="shared" si="3"/>
        <v>0</v>
      </c>
      <c r="AD37" s="245">
        <f t="shared" si="3"/>
        <v>0</v>
      </c>
      <c r="AE37" s="245">
        <f t="shared" si="3"/>
        <v>0</v>
      </c>
      <c r="AF37" s="245">
        <f t="shared" si="3"/>
        <v>0</v>
      </c>
      <c r="AG37" s="245">
        <f t="shared" si="3"/>
        <v>0</v>
      </c>
      <c r="AH37" s="245">
        <f t="shared" si="3"/>
        <v>0</v>
      </c>
      <c r="AI37" s="245">
        <f t="shared" si="3"/>
        <v>0</v>
      </c>
      <c r="AJ37" s="247">
        <f t="shared" si="5"/>
        <v>0</v>
      </c>
    </row>
    <row r="38" spans="1:36">
      <c r="A38" s="231" t="str">
        <f t="shared" si="4"/>
        <v>JBLM HOUSINGResidentialSL095.0G1W001WREC</v>
      </c>
      <c r="B38" s="243" t="s">
        <v>227</v>
      </c>
      <c r="C38" s="243" t="s">
        <v>228</v>
      </c>
      <c r="D38" s="243" t="s">
        <v>416</v>
      </c>
      <c r="E38" s="230">
        <v>32000</v>
      </c>
      <c r="F38" s="244">
        <v>28.35</v>
      </c>
      <c r="G38" s="244">
        <v>28.88</v>
      </c>
      <c r="H38" s="244"/>
      <c r="I38" s="244">
        <v>24721.200000000001</v>
      </c>
      <c r="J38" s="244">
        <v>24664.5</v>
      </c>
      <c r="K38" s="244">
        <v>24664.5</v>
      </c>
      <c r="L38" s="244">
        <v>25154.480000000003</v>
      </c>
      <c r="M38" s="244">
        <v>25060.62</v>
      </c>
      <c r="N38" s="244">
        <v>25125.599999999999</v>
      </c>
      <c r="O38" s="244">
        <v>25043.1</v>
      </c>
      <c r="P38" s="244">
        <v>25089.5</v>
      </c>
      <c r="Q38" s="244">
        <v>25212.240000000002</v>
      </c>
      <c r="R38" s="244">
        <v>25190.58</v>
      </c>
      <c r="S38" s="244">
        <v>25241.119999999999</v>
      </c>
      <c r="T38" s="244">
        <v>25241.119999999999</v>
      </c>
      <c r="U38" s="245"/>
      <c r="V38" s="408">
        <f t="shared" si="1"/>
        <v>300408.56</v>
      </c>
      <c r="W38" s="245"/>
      <c r="X38" s="246">
        <f t="shared" si="6"/>
        <v>872</v>
      </c>
      <c r="Y38" s="246">
        <f t="shared" si="6"/>
        <v>870</v>
      </c>
      <c r="Z38" s="246">
        <f t="shared" si="2"/>
        <v>870</v>
      </c>
      <c r="AA38" s="245">
        <f t="shared" si="3"/>
        <v>871.00000000000011</v>
      </c>
      <c r="AB38" s="245">
        <f t="shared" si="3"/>
        <v>867.75</v>
      </c>
      <c r="AC38" s="245">
        <f t="shared" si="3"/>
        <v>870</v>
      </c>
      <c r="AD38" s="245">
        <f t="shared" si="3"/>
        <v>867.143351800554</v>
      </c>
      <c r="AE38" s="245">
        <f t="shared" si="3"/>
        <v>868.75</v>
      </c>
      <c r="AF38" s="245">
        <f t="shared" si="3"/>
        <v>873.00000000000011</v>
      </c>
      <c r="AG38" s="245">
        <f t="shared" si="3"/>
        <v>872.25000000000011</v>
      </c>
      <c r="AH38" s="245">
        <f t="shared" si="3"/>
        <v>874</v>
      </c>
      <c r="AI38" s="245">
        <f t="shared" si="3"/>
        <v>874</v>
      </c>
      <c r="AJ38" s="247">
        <f t="shared" si="5"/>
        <v>10449.893351800554</v>
      </c>
    </row>
    <row r="39" spans="1:36">
      <c r="A39" s="231" t="str">
        <f t="shared" si="4"/>
        <v>JBLM HOUSINGResidentialSL095.0GEO001</v>
      </c>
      <c r="B39" s="243" t="s">
        <v>229</v>
      </c>
      <c r="C39" s="243" t="s">
        <v>230</v>
      </c>
      <c r="D39" s="243" t="s">
        <v>416</v>
      </c>
      <c r="E39" s="230">
        <v>32000</v>
      </c>
      <c r="F39" s="244">
        <v>0</v>
      </c>
      <c r="G39" s="244">
        <v>0</v>
      </c>
      <c r="H39" s="244"/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5"/>
      <c r="V39" s="408">
        <f t="shared" si="1"/>
        <v>0</v>
      </c>
      <c r="W39" s="245"/>
      <c r="X39" s="246">
        <f t="shared" si="6"/>
        <v>0</v>
      </c>
      <c r="Y39" s="246">
        <f t="shared" si="6"/>
        <v>0</v>
      </c>
      <c r="Z39" s="246">
        <f t="shared" si="2"/>
        <v>0</v>
      </c>
      <c r="AA39" s="245">
        <f t="shared" si="3"/>
        <v>0</v>
      </c>
      <c r="AB39" s="245">
        <f t="shared" si="3"/>
        <v>0</v>
      </c>
      <c r="AC39" s="245">
        <f t="shared" si="3"/>
        <v>0</v>
      </c>
      <c r="AD39" s="245">
        <f t="shared" ref="AD39:AI70" si="7">IFERROR(O39/$G39,0)</f>
        <v>0</v>
      </c>
      <c r="AE39" s="245">
        <f t="shared" si="7"/>
        <v>0</v>
      </c>
      <c r="AF39" s="245">
        <f t="shared" si="7"/>
        <v>0</v>
      </c>
      <c r="AG39" s="245">
        <f t="shared" si="7"/>
        <v>0</v>
      </c>
      <c r="AH39" s="245">
        <f t="shared" si="7"/>
        <v>0</v>
      </c>
      <c r="AI39" s="245">
        <f t="shared" si="7"/>
        <v>0</v>
      </c>
      <c r="AJ39" s="247">
        <f t="shared" si="5"/>
        <v>0</v>
      </c>
    </row>
    <row r="40" spans="1:36">
      <c r="A40" s="231" t="str">
        <f t="shared" si="4"/>
        <v>JBLM HOUSINGResidentialSL095.0GEO001NOREC</v>
      </c>
      <c r="B40" s="243" t="s">
        <v>231</v>
      </c>
      <c r="C40" s="243" t="s">
        <v>232</v>
      </c>
      <c r="D40" s="243" t="s">
        <v>416</v>
      </c>
      <c r="E40" s="230">
        <v>32000</v>
      </c>
      <c r="F40" s="244">
        <v>0</v>
      </c>
      <c r="G40" s="244">
        <v>0</v>
      </c>
      <c r="H40" s="244"/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5"/>
      <c r="V40" s="408">
        <f t="shared" si="1"/>
        <v>0</v>
      </c>
      <c r="W40" s="245"/>
      <c r="X40" s="246">
        <f t="shared" si="6"/>
        <v>0</v>
      </c>
      <c r="Y40" s="246">
        <f t="shared" si="6"/>
        <v>0</v>
      </c>
      <c r="Z40" s="246">
        <f t="shared" si="2"/>
        <v>0</v>
      </c>
      <c r="AA40" s="245">
        <f t="shared" ref="AA40:AI71" si="8">IFERROR(L40/$G40,0)</f>
        <v>0</v>
      </c>
      <c r="AB40" s="245">
        <f t="shared" si="8"/>
        <v>0</v>
      </c>
      <c r="AC40" s="245">
        <f t="shared" si="8"/>
        <v>0</v>
      </c>
      <c r="AD40" s="245">
        <f t="shared" si="7"/>
        <v>0</v>
      </c>
      <c r="AE40" s="245">
        <f t="shared" si="7"/>
        <v>0</v>
      </c>
      <c r="AF40" s="245">
        <f t="shared" si="7"/>
        <v>0</v>
      </c>
      <c r="AG40" s="245">
        <f t="shared" si="7"/>
        <v>0</v>
      </c>
      <c r="AH40" s="245">
        <f t="shared" si="7"/>
        <v>0</v>
      </c>
      <c r="AI40" s="245">
        <f t="shared" si="7"/>
        <v>0</v>
      </c>
      <c r="AJ40" s="247">
        <f t="shared" si="5"/>
        <v>0</v>
      </c>
    </row>
    <row r="41" spans="1:36">
      <c r="A41" s="231" t="str">
        <f t="shared" si="4"/>
        <v>JBLM HOUSINGResidentialSL095.0GEO001WREC</v>
      </c>
      <c r="B41" s="243" t="s">
        <v>233</v>
      </c>
      <c r="C41" s="243" t="s">
        <v>234</v>
      </c>
      <c r="D41" s="243" t="s">
        <v>416</v>
      </c>
      <c r="E41" s="230">
        <v>32000</v>
      </c>
      <c r="F41" s="244">
        <v>0</v>
      </c>
      <c r="G41" s="244">
        <v>0</v>
      </c>
      <c r="H41" s="244"/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5"/>
      <c r="V41" s="408">
        <f t="shared" si="1"/>
        <v>0</v>
      </c>
      <c r="W41" s="245"/>
      <c r="X41" s="246">
        <f t="shared" si="6"/>
        <v>0</v>
      </c>
      <c r="Y41" s="246">
        <f t="shared" si="6"/>
        <v>0</v>
      </c>
      <c r="Z41" s="246">
        <f t="shared" si="2"/>
        <v>0</v>
      </c>
      <c r="AA41" s="245">
        <f t="shared" si="8"/>
        <v>0</v>
      </c>
      <c r="AB41" s="245">
        <f t="shared" si="8"/>
        <v>0</v>
      </c>
      <c r="AC41" s="245">
        <f t="shared" si="8"/>
        <v>0</v>
      </c>
      <c r="AD41" s="245">
        <f t="shared" si="7"/>
        <v>0</v>
      </c>
      <c r="AE41" s="245">
        <f t="shared" si="7"/>
        <v>0</v>
      </c>
      <c r="AF41" s="245">
        <f t="shared" si="7"/>
        <v>0</v>
      </c>
      <c r="AG41" s="245">
        <f t="shared" si="7"/>
        <v>0</v>
      </c>
      <c r="AH41" s="245">
        <f t="shared" si="7"/>
        <v>0</v>
      </c>
      <c r="AI41" s="245">
        <f t="shared" si="7"/>
        <v>0</v>
      </c>
      <c r="AJ41" s="247">
        <f t="shared" si="5"/>
        <v>0</v>
      </c>
    </row>
    <row r="42" spans="1:36">
      <c r="A42" s="231" t="str">
        <f>$A$3&amp;"commercial"&amp;B42</f>
        <v>JBLM HOUSINGcommercialFL004.0Y1W001MF</v>
      </c>
      <c r="B42" s="243" t="s">
        <v>859</v>
      </c>
      <c r="C42" s="243" t="s">
        <v>860</v>
      </c>
      <c r="D42" s="243" t="s">
        <v>528</v>
      </c>
      <c r="E42" s="230">
        <v>33000</v>
      </c>
      <c r="F42" s="244">
        <v>0</v>
      </c>
      <c r="G42" s="244">
        <v>0</v>
      </c>
      <c r="H42" s="244"/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5"/>
      <c r="V42" s="408">
        <f t="shared" si="1"/>
        <v>0</v>
      </c>
      <c r="W42" s="245"/>
      <c r="X42" s="246">
        <f t="shared" si="6"/>
        <v>0</v>
      </c>
      <c r="Y42" s="246">
        <f t="shared" si="6"/>
        <v>0</v>
      </c>
      <c r="Z42" s="246">
        <f t="shared" si="2"/>
        <v>0</v>
      </c>
      <c r="AA42" s="245">
        <f t="shared" si="8"/>
        <v>0</v>
      </c>
      <c r="AB42" s="245">
        <f t="shared" si="8"/>
        <v>0</v>
      </c>
      <c r="AC42" s="245">
        <f t="shared" si="8"/>
        <v>0</v>
      </c>
      <c r="AD42" s="245">
        <f t="shared" si="7"/>
        <v>0</v>
      </c>
      <c r="AE42" s="245">
        <f t="shared" si="7"/>
        <v>0</v>
      </c>
      <c r="AF42" s="245">
        <f t="shared" si="7"/>
        <v>0</v>
      </c>
      <c r="AG42" s="245">
        <f t="shared" si="7"/>
        <v>0</v>
      </c>
      <c r="AH42" s="245">
        <f t="shared" si="7"/>
        <v>0</v>
      </c>
      <c r="AI42" s="245">
        <f t="shared" si="7"/>
        <v>0</v>
      </c>
      <c r="AJ42" s="247">
        <f t="shared" si="5"/>
        <v>0</v>
      </c>
    </row>
    <row r="43" spans="1:36">
      <c r="A43" s="231" t="str">
        <f>$A$3&amp;"commercial"&amp;B43</f>
        <v>JBLM HOUSINGcommercialFL004.0Y2W001MF</v>
      </c>
      <c r="B43" s="243" t="s">
        <v>370</v>
      </c>
      <c r="C43" s="243" t="s">
        <v>371</v>
      </c>
      <c r="D43" s="243" t="s">
        <v>528</v>
      </c>
      <c r="E43" s="230">
        <v>33000</v>
      </c>
      <c r="F43" s="244">
        <v>454.96</v>
      </c>
      <c r="G43" s="244">
        <v>464.49</v>
      </c>
      <c r="H43" s="244"/>
      <c r="I43" s="244">
        <v>1819.84</v>
      </c>
      <c r="J43" s="244">
        <v>1819.84</v>
      </c>
      <c r="K43" s="244">
        <v>1819.84</v>
      </c>
      <c r="L43" s="244">
        <v>1857.96</v>
      </c>
      <c r="M43" s="244">
        <v>1857.96</v>
      </c>
      <c r="N43" s="244">
        <v>1857.96</v>
      </c>
      <c r="O43" s="244">
        <v>1857.96</v>
      </c>
      <c r="P43" s="244">
        <v>1857.96</v>
      </c>
      <c r="Q43" s="244">
        <v>1857.96</v>
      </c>
      <c r="R43" s="244">
        <v>1857.96</v>
      </c>
      <c r="S43" s="244">
        <v>1857.96</v>
      </c>
      <c r="T43" s="244">
        <v>1857.96</v>
      </c>
      <c r="U43" s="245"/>
      <c r="V43" s="408">
        <f t="shared" ref="V43:V74" si="9">SUM(I43:T43)</f>
        <v>22181.159999999993</v>
      </c>
      <c r="W43" s="245"/>
      <c r="X43" s="246">
        <f t="shared" si="6"/>
        <v>4</v>
      </c>
      <c r="Y43" s="246">
        <f t="shared" si="6"/>
        <v>4</v>
      </c>
      <c r="Z43" s="246">
        <f t="shared" si="2"/>
        <v>4</v>
      </c>
      <c r="AA43" s="245">
        <f t="shared" si="8"/>
        <v>4</v>
      </c>
      <c r="AB43" s="245">
        <f t="shared" si="8"/>
        <v>4</v>
      </c>
      <c r="AC43" s="245">
        <f t="shared" si="8"/>
        <v>4</v>
      </c>
      <c r="AD43" s="245">
        <f t="shared" si="7"/>
        <v>4</v>
      </c>
      <c r="AE43" s="245">
        <f t="shared" si="7"/>
        <v>4</v>
      </c>
      <c r="AF43" s="245">
        <f t="shared" si="7"/>
        <v>4</v>
      </c>
      <c r="AG43" s="245">
        <f t="shared" si="7"/>
        <v>4</v>
      </c>
      <c r="AH43" s="245">
        <f t="shared" si="7"/>
        <v>4</v>
      </c>
      <c r="AI43" s="245">
        <f t="shared" si="7"/>
        <v>4</v>
      </c>
      <c r="AJ43" s="247">
        <f t="shared" si="5"/>
        <v>48</v>
      </c>
    </row>
    <row r="44" spans="1:36">
      <c r="A44" s="231" t="str">
        <f>$A$3&amp;"commercial"&amp;B44</f>
        <v>JBLM HOUSINGcommercialFL006.0Y1W001MF</v>
      </c>
      <c r="B44" s="243" t="s">
        <v>372</v>
      </c>
      <c r="C44" s="243" t="s">
        <v>373</v>
      </c>
      <c r="D44" s="243" t="s">
        <v>528</v>
      </c>
      <c r="E44" s="230">
        <v>33000</v>
      </c>
      <c r="F44" s="244">
        <v>322.57</v>
      </c>
      <c r="G44" s="244">
        <v>329.11</v>
      </c>
      <c r="H44" s="244"/>
      <c r="I44" s="244">
        <v>8709.39</v>
      </c>
      <c r="J44" s="244">
        <v>8709.39</v>
      </c>
      <c r="K44" s="244">
        <v>8709.39</v>
      </c>
      <c r="L44" s="244">
        <v>8885.9699999999993</v>
      </c>
      <c r="M44" s="244">
        <v>8885.9699999999993</v>
      </c>
      <c r="N44" s="244">
        <v>8885.9699999999993</v>
      </c>
      <c r="O44" s="244">
        <v>8885.9699999999993</v>
      </c>
      <c r="P44" s="244">
        <v>8885.9699999999993</v>
      </c>
      <c r="Q44" s="244">
        <v>8885.9699999999993</v>
      </c>
      <c r="R44" s="244">
        <v>8885.9699999999993</v>
      </c>
      <c r="S44" s="244">
        <v>8885.9699999999993</v>
      </c>
      <c r="T44" s="244">
        <v>8885.9699999999993</v>
      </c>
      <c r="U44" s="245"/>
      <c r="V44" s="408">
        <f t="shared" si="9"/>
        <v>106101.90000000001</v>
      </c>
      <c r="W44" s="245"/>
      <c r="X44" s="246">
        <f t="shared" si="6"/>
        <v>27</v>
      </c>
      <c r="Y44" s="246">
        <f t="shared" si="6"/>
        <v>27</v>
      </c>
      <c r="Z44" s="246">
        <f t="shared" si="2"/>
        <v>27</v>
      </c>
      <c r="AA44" s="245">
        <f t="shared" si="8"/>
        <v>26.999999999999996</v>
      </c>
      <c r="AB44" s="245">
        <f t="shared" si="8"/>
        <v>26.999999999999996</v>
      </c>
      <c r="AC44" s="245">
        <f t="shared" si="8"/>
        <v>26.999999999999996</v>
      </c>
      <c r="AD44" s="245">
        <f t="shared" si="7"/>
        <v>26.999999999999996</v>
      </c>
      <c r="AE44" s="245">
        <f t="shared" si="7"/>
        <v>26.999999999999996</v>
      </c>
      <c r="AF44" s="245">
        <f t="shared" si="7"/>
        <v>26.999999999999996</v>
      </c>
      <c r="AG44" s="245">
        <f t="shared" si="7"/>
        <v>26.999999999999996</v>
      </c>
      <c r="AH44" s="245">
        <f t="shared" si="7"/>
        <v>26.999999999999996</v>
      </c>
      <c r="AI44" s="245">
        <f t="shared" si="7"/>
        <v>26.999999999999996</v>
      </c>
      <c r="AJ44" s="247">
        <f t="shared" si="5"/>
        <v>324</v>
      </c>
    </row>
    <row r="45" spans="1:36">
      <c r="A45" s="231" t="str">
        <f>$A$3&amp;"commercial"&amp;B45</f>
        <v>JBLM HOUSINGcommercialFL006.0Y2W001MF</v>
      </c>
      <c r="B45" s="243" t="s">
        <v>374</v>
      </c>
      <c r="C45" s="243" t="s">
        <v>375</v>
      </c>
      <c r="D45" s="243" t="s">
        <v>528</v>
      </c>
      <c r="E45" s="230">
        <v>33000</v>
      </c>
      <c r="F45" s="244">
        <v>613.46</v>
      </c>
      <c r="G45" s="244">
        <v>626.54</v>
      </c>
      <c r="H45" s="244"/>
      <c r="I45" s="244">
        <v>8588.44</v>
      </c>
      <c r="J45" s="244">
        <v>8588.44</v>
      </c>
      <c r="K45" s="244">
        <v>8588.44</v>
      </c>
      <c r="L45" s="244">
        <v>8771.56</v>
      </c>
      <c r="M45" s="244">
        <v>8771.56</v>
      </c>
      <c r="N45" s="244">
        <v>8771.56</v>
      </c>
      <c r="O45" s="244">
        <v>8771.56</v>
      </c>
      <c r="P45" s="244">
        <v>8771.56</v>
      </c>
      <c r="Q45" s="244">
        <v>8771.56</v>
      </c>
      <c r="R45" s="244">
        <v>8771.56</v>
      </c>
      <c r="S45" s="244">
        <v>8771.56</v>
      </c>
      <c r="T45" s="244">
        <v>8771.56</v>
      </c>
      <c r="U45" s="245"/>
      <c r="V45" s="408">
        <f t="shared" si="9"/>
        <v>104709.35999999999</v>
      </c>
      <c r="W45" s="245"/>
      <c r="X45" s="246">
        <f t="shared" ref="X45:Z76" si="10">IFERROR(I45/$F45,0)</f>
        <v>14</v>
      </c>
      <c r="Y45" s="246">
        <f t="shared" si="10"/>
        <v>14</v>
      </c>
      <c r="Z45" s="246">
        <f t="shared" si="2"/>
        <v>14</v>
      </c>
      <c r="AA45" s="245">
        <f t="shared" si="8"/>
        <v>14</v>
      </c>
      <c r="AB45" s="245">
        <f t="shared" si="8"/>
        <v>14</v>
      </c>
      <c r="AC45" s="245">
        <f t="shared" si="8"/>
        <v>14</v>
      </c>
      <c r="AD45" s="245">
        <f t="shared" si="7"/>
        <v>14</v>
      </c>
      <c r="AE45" s="245">
        <f t="shared" si="7"/>
        <v>14</v>
      </c>
      <c r="AF45" s="245">
        <f t="shared" si="7"/>
        <v>14</v>
      </c>
      <c r="AG45" s="245">
        <f t="shared" si="7"/>
        <v>14</v>
      </c>
      <c r="AH45" s="245">
        <f t="shared" si="7"/>
        <v>14</v>
      </c>
      <c r="AI45" s="245">
        <f t="shared" si="7"/>
        <v>14</v>
      </c>
      <c r="AJ45" s="247">
        <f t="shared" si="5"/>
        <v>168</v>
      </c>
    </row>
    <row r="46" spans="1:36">
      <c r="A46" s="231" t="str">
        <f t="shared" si="4"/>
        <v>JBLM HOUSINGResidentialRL004.0Y1W001</v>
      </c>
      <c r="B46" s="243" t="s">
        <v>861</v>
      </c>
      <c r="C46" s="243" t="s">
        <v>274</v>
      </c>
      <c r="D46" s="243" t="s">
        <v>528</v>
      </c>
      <c r="E46" s="230">
        <v>33000</v>
      </c>
      <c r="F46" s="244">
        <v>0</v>
      </c>
      <c r="G46" s="244">
        <v>0</v>
      </c>
      <c r="H46" s="244"/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5"/>
      <c r="V46" s="408">
        <f t="shared" si="9"/>
        <v>0</v>
      </c>
      <c r="W46" s="245"/>
      <c r="X46" s="246">
        <f t="shared" si="10"/>
        <v>0</v>
      </c>
      <c r="Y46" s="246">
        <f t="shared" si="10"/>
        <v>0</v>
      </c>
      <c r="Z46" s="246">
        <f t="shared" si="2"/>
        <v>0</v>
      </c>
      <c r="AA46" s="245">
        <f t="shared" si="8"/>
        <v>0</v>
      </c>
      <c r="AB46" s="245">
        <f t="shared" si="8"/>
        <v>0</v>
      </c>
      <c r="AC46" s="245">
        <f t="shared" si="8"/>
        <v>0</v>
      </c>
      <c r="AD46" s="245">
        <f t="shared" si="7"/>
        <v>0</v>
      </c>
      <c r="AE46" s="245">
        <f t="shared" si="7"/>
        <v>0</v>
      </c>
      <c r="AF46" s="245">
        <f t="shared" si="7"/>
        <v>0</v>
      </c>
      <c r="AG46" s="245">
        <f t="shared" si="7"/>
        <v>0</v>
      </c>
      <c r="AH46" s="245">
        <f t="shared" si="7"/>
        <v>0</v>
      </c>
      <c r="AI46" s="245">
        <f t="shared" si="7"/>
        <v>0</v>
      </c>
      <c r="AJ46" s="247">
        <f t="shared" si="5"/>
        <v>0</v>
      </c>
    </row>
    <row r="47" spans="1:36">
      <c r="A47" s="231" t="str">
        <f t="shared" si="4"/>
        <v>JBLM HOUSINGResidentialRL006.0Y1W001</v>
      </c>
      <c r="B47" s="243" t="s">
        <v>862</v>
      </c>
      <c r="C47" s="243" t="s">
        <v>284</v>
      </c>
      <c r="D47" s="243" t="s">
        <v>528</v>
      </c>
      <c r="E47" s="230">
        <v>33000</v>
      </c>
      <c r="F47" s="244">
        <v>0</v>
      </c>
      <c r="G47" s="244">
        <v>0</v>
      </c>
      <c r="H47" s="244"/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5"/>
      <c r="V47" s="408">
        <f t="shared" si="9"/>
        <v>0</v>
      </c>
      <c r="W47" s="245"/>
      <c r="X47" s="246">
        <f t="shared" si="10"/>
        <v>0</v>
      </c>
      <c r="Y47" s="246">
        <f t="shared" si="10"/>
        <v>0</v>
      </c>
      <c r="Z47" s="246">
        <f t="shared" si="2"/>
        <v>0</v>
      </c>
      <c r="AA47" s="245">
        <f t="shared" si="8"/>
        <v>0</v>
      </c>
      <c r="AB47" s="245">
        <f t="shared" si="8"/>
        <v>0</v>
      </c>
      <c r="AC47" s="245">
        <f t="shared" si="8"/>
        <v>0</v>
      </c>
      <c r="AD47" s="245">
        <f t="shared" si="7"/>
        <v>0</v>
      </c>
      <c r="AE47" s="245">
        <f t="shared" si="7"/>
        <v>0</v>
      </c>
      <c r="AF47" s="245">
        <f t="shared" si="7"/>
        <v>0</v>
      </c>
      <c r="AG47" s="245">
        <f t="shared" si="7"/>
        <v>0</v>
      </c>
      <c r="AH47" s="245">
        <f t="shared" si="7"/>
        <v>0</v>
      </c>
      <c r="AI47" s="245">
        <f t="shared" si="7"/>
        <v>0</v>
      </c>
      <c r="AJ47" s="247">
        <f t="shared" si="5"/>
        <v>0</v>
      </c>
    </row>
    <row r="48" spans="1:36">
      <c r="A48" s="231" t="str">
        <f t="shared" si="4"/>
        <v>JBLM HOUSINGResidentialBULKY-RES</v>
      </c>
      <c r="B48" s="243" t="s">
        <v>235</v>
      </c>
      <c r="C48" s="243" t="s">
        <v>236</v>
      </c>
      <c r="D48" s="243" t="s">
        <v>424</v>
      </c>
      <c r="E48" s="230">
        <v>32001</v>
      </c>
      <c r="F48" s="244">
        <v>31.67</v>
      </c>
      <c r="G48" s="244">
        <v>31.67</v>
      </c>
      <c r="H48" s="244"/>
      <c r="I48" s="244">
        <v>0</v>
      </c>
      <c r="J48" s="244">
        <v>0</v>
      </c>
      <c r="K48" s="244">
        <v>0</v>
      </c>
      <c r="L48" s="244">
        <v>0</v>
      </c>
      <c r="M48" s="244">
        <v>300.87</v>
      </c>
      <c r="N48" s="244">
        <v>0</v>
      </c>
      <c r="O48" s="244">
        <v>0</v>
      </c>
      <c r="P48" s="244">
        <v>0</v>
      </c>
      <c r="Q48" s="244">
        <v>126.68</v>
      </c>
      <c r="R48" s="244">
        <v>0</v>
      </c>
      <c r="S48" s="244">
        <v>0</v>
      </c>
      <c r="T48" s="244">
        <v>0</v>
      </c>
      <c r="U48" s="245"/>
      <c r="V48" s="408">
        <f t="shared" si="9"/>
        <v>427.55</v>
      </c>
      <c r="W48" s="245"/>
      <c r="X48" s="246">
        <f t="shared" si="10"/>
        <v>0</v>
      </c>
      <c r="Y48" s="246">
        <f t="shared" si="10"/>
        <v>0</v>
      </c>
      <c r="Z48" s="246">
        <f t="shared" si="2"/>
        <v>0</v>
      </c>
      <c r="AA48" s="245">
        <f t="shared" si="8"/>
        <v>0</v>
      </c>
      <c r="AB48" s="245">
        <f t="shared" si="8"/>
        <v>9.5001578781180918</v>
      </c>
      <c r="AC48" s="245">
        <f t="shared" si="8"/>
        <v>0</v>
      </c>
      <c r="AD48" s="245">
        <f t="shared" si="7"/>
        <v>0</v>
      </c>
      <c r="AE48" s="245">
        <f t="shared" si="7"/>
        <v>0</v>
      </c>
      <c r="AF48" s="245">
        <f t="shared" si="7"/>
        <v>4</v>
      </c>
      <c r="AG48" s="245">
        <f t="shared" si="7"/>
        <v>0</v>
      </c>
      <c r="AH48" s="245">
        <f t="shared" si="7"/>
        <v>0</v>
      </c>
      <c r="AI48" s="245">
        <f t="shared" si="7"/>
        <v>0</v>
      </c>
      <c r="AJ48" s="247">
        <f t="shared" si="5"/>
        <v>13.500157878118092</v>
      </c>
    </row>
    <row r="49" spans="1:36">
      <c r="A49" s="231" t="str">
        <f t="shared" si="4"/>
        <v>JBLM HOUSINGResidentialEP96GWC-RES</v>
      </c>
      <c r="B49" s="243" t="s">
        <v>522</v>
      </c>
      <c r="C49" s="243" t="s">
        <v>523</v>
      </c>
      <c r="D49" s="243" t="s">
        <v>424</v>
      </c>
      <c r="E49" s="230">
        <v>32001</v>
      </c>
      <c r="F49" s="244">
        <v>0</v>
      </c>
      <c r="G49" s="244">
        <v>0</v>
      </c>
      <c r="H49" s="244"/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5"/>
      <c r="V49" s="408">
        <f t="shared" si="9"/>
        <v>0</v>
      </c>
      <c r="W49" s="245"/>
      <c r="X49" s="246">
        <f t="shared" si="10"/>
        <v>0</v>
      </c>
      <c r="Y49" s="246">
        <f t="shared" si="10"/>
        <v>0</v>
      </c>
      <c r="Z49" s="246">
        <f t="shared" si="2"/>
        <v>0</v>
      </c>
      <c r="AA49" s="245">
        <f t="shared" si="8"/>
        <v>0</v>
      </c>
      <c r="AB49" s="245">
        <f t="shared" si="8"/>
        <v>0</v>
      </c>
      <c r="AC49" s="245">
        <f t="shared" si="8"/>
        <v>0</v>
      </c>
      <c r="AD49" s="245">
        <f t="shared" si="7"/>
        <v>0</v>
      </c>
      <c r="AE49" s="245">
        <f t="shared" si="7"/>
        <v>0</v>
      </c>
      <c r="AF49" s="245">
        <f t="shared" si="7"/>
        <v>0</v>
      </c>
      <c r="AG49" s="245">
        <f t="shared" si="7"/>
        <v>0</v>
      </c>
      <c r="AH49" s="245">
        <f t="shared" si="7"/>
        <v>0</v>
      </c>
      <c r="AI49" s="245">
        <f t="shared" si="7"/>
        <v>0</v>
      </c>
      <c r="AJ49" s="247">
        <f t="shared" si="5"/>
        <v>0</v>
      </c>
    </row>
    <row r="50" spans="1:36">
      <c r="A50" s="231" t="str">
        <f t="shared" si="4"/>
        <v>JBLM HOUSINGResidentialEXTRA-RES</v>
      </c>
      <c r="B50" s="243" t="s">
        <v>237</v>
      </c>
      <c r="C50" s="243" t="s">
        <v>238</v>
      </c>
      <c r="D50" s="243" t="s">
        <v>424</v>
      </c>
      <c r="E50" s="230">
        <v>32001</v>
      </c>
      <c r="F50" s="244">
        <v>0</v>
      </c>
      <c r="G50" s="244">
        <v>0</v>
      </c>
      <c r="H50" s="244"/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5"/>
      <c r="V50" s="408">
        <f t="shared" si="9"/>
        <v>0</v>
      </c>
      <c r="W50" s="245"/>
      <c r="X50" s="246">
        <f t="shared" si="10"/>
        <v>0</v>
      </c>
      <c r="Y50" s="246">
        <f t="shared" si="10"/>
        <v>0</v>
      </c>
      <c r="Z50" s="246">
        <f t="shared" si="2"/>
        <v>0</v>
      </c>
      <c r="AA50" s="245">
        <f t="shared" si="8"/>
        <v>0</v>
      </c>
      <c r="AB50" s="245">
        <f t="shared" si="8"/>
        <v>0</v>
      </c>
      <c r="AC50" s="245">
        <f t="shared" si="8"/>
        <v>0</v>
      </c>
      <c r="AD50" s="245">
        <f t="shared" si="7"/>
        <v>0</v>
      </c>
      <c r="AE50" s="245">
        <f t="shared" si="7"/>
        <v>0</v>
      </c>
      <c r="AF50" s="245">
        <f t="shared" si="7"/>
        <v>0</v>
      </c>
      <c r="AG50" s="245">
        <f t="shared" si="7"/>
        <v>0</v>
      </c>
      <c r="AH50" s="245">
        <f t="shared" si="7"/>
        <v>0</v>
      </c>
      <c r="AI50" s="245">
        <f t="shared" si="7"/>
        <v>0</v>
      </c>
      <c r="AJ50" s="247">
        <f t="shared" si="5"/>
        <v>0</v>
      </c>
    </row>
    <row r="51" spans="1:36">
      <c r="A51" s="231" t="str">
        <f t="shared" si="4"/>
        <v>JBLM HOUSINGResidentialEXTRAYDG-RES</v>
      </c>
      <c r="B51" s="243" t="s">
        <v>428</v>
      </c>
      <c r="C51" s="243" t="s">
        <v>429</v>
      </c>
      <c r="D51" s="243" t="s">
        <v>424</v>
      </c>
      <c r="E51" s="230">
        <v>32001</v>
      </c>
      <c r="F51" s="244">
        <v>0</v>
      </c>
      <c r="G51" s="244">
        <v>0</v>
      </c>
      <c r="H51" s="244"/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5"/>
      <c r="V51" s="408">
        <f t="shared" si="9"/>
        <v>0</v>
      </c>
      <c r="W51" s="245"/>
      <c r="X51" s="246">
        <f t="shared" si="10"/>
        <v>0</v>
      </c>
      <c r="Y51" s="246">
        <f t="shared" si="10"/>
        <v>0</v>
      </c>
      <c r="Z51" s="246">
        <f t="shared" si="2"/>
        <v>0</v>
      </c>
      <c r="AA51" s="245">
        <f t="shared" si="8"/>
        <v>0</v>
      </c>
      <c r="AB51" s="245">
        <f t="shared" si="8"/>
        <v>0</v>
      </c>
      <c r="AC51" s="245">
        <f t="shared" si="8"/>
        <v>0</v>
      </c>
      <c r="AD51" s="245">
        <f t="shared" si="7"/>
        <v>0</v>
      </c>
      <c r="AE51" s="245">
        <f t="shared" si="7"/>
        <v>0</v>
      </c>
      <c r="AF51" s="245">
        <f t="shared" si="7"/>
        <v>0</v>
      </c>
      <c r="AG51" s="245">
        <f t="shared" si="7"/>
        <v>0</v>
      </c>
      <c r="AH51" s="245">
        <f t="shared" si="7"/>
        <v>0</v>
      </c>
      <c r="AI51" s="245">
        <f t="shared" si="7"/>
        <v>0</v>
      </c>
      <c r="AJ51" s="247">
        <f t="shared" si="5"/>
        <v>0</v>
      </c>
    </row>
    <row r="52" spans="1:36">
      <c r="A52" s="231" t="str">
        <f t="shared" si="4"/>
        <v>JBLM HOUSINGResidentialOS-RES</v>
      </c>
      <c r="B52" s="243" t="s">
        <v>430</v>
      </c>
      <c r="C52" s="243" t="s">
        <v>431</v>
      </c>
      <c r="D52" s="243" t="s">
        <v>424</v>
      </c>
      <c r="E52" s="230">
        <v>32001</v>
      </c>
      <c r="F52" s="244">
        <v>0</v>
      </c>
      <c r="G52" s="244">
        <v>0</v>
      </c>
      <c r="H52" s="244"/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5"/>
      <c r="V52" s="408">
        <f t="shared" si="9"/>
        <v>0</v>
      </c>
      <c r="W52" s="245"/>
      <c r="X52" s="246">
        <f t="shared" si="10"/>
        <v>0</v>
      </c>
      <c r="Y52" s="246">
        <f t="shared" si="10"/>
        <v>0</v>
      </c>
      <c r="Z52" s="246">
        <f t="shared" si="2"/>
        <v>0</v>
      </c>
      <c r="AA52" s="245">
        <f t="shared" si="8"/>
        <v>0</v>
      </c>
      <c r="AB52" s="245">
        <f t="shared" si="8"/>
        <v>0</v>
      </c>
      <c r="AC52" s="245">
        <f t="shared" si="8"/>
        <v>0</v>
      </c>
      <c r="AD52" s="245">
        <f t="shared" si="7"/>
        <v>0</v>
      </c>
      <c r="AE52" s="245">
        <f t="shared" si="7"/>
        <v>0</v>
      </c>
      <c r="AF52" s="245">
        <f t="shared" si="7"/>
        <v>0</v>
      </c>
      <c r="AG52" s="245">
        <f t="shared" si="7"/>
        <v>0</v>
      </c>
      <c r="AH52" s="245">
        <f t="shared" si="7"/>
        <v>0</v>
      </c>
      <c r="AI52" s="245">
        <f t="shared" si="7"/>
        <v>0</v>
      </c>
      <c r="AJ52" s="247">
        <f t="shared" si="5"/>
        <v>0</v>
      </c>
    </row>
    <row r="53" spans="1:36">
      <c r="A53" s="231" t="str">
        <f t="shared" si="4"/>
        <v>JBLM HOUSINGResidentialOW-RES</v>
      </c>
      <c r="B53" s="243" t="s">
        <v>432</v>
      </c>
      <c r="C53" s="243" t="s">
        <v>433</v>
      </c>
      <c r="D53" s="243" t="s">
        <v>424</v>
      </c>
      <c r="E53" s="230">
        <v>32001</v>
      </c>
      <c r="F53" s="244">
        <v>0</v>
      </c>
      <c r="G53" s="244">
        <v>0</v>
      </c>
      <c r="H53" s="244"/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1633.14</v>
      </c>
      <c r="S53" s="244">
        <v>2979.9</v>
      </c>
      <c r="T53" s="244">
        <v>4326.66</v>
      </c>
      <c r="U53" s="245"/>
      <c r="V53" s="408">
        <f t="shared" si="9"/>
        <v>8939.7000000000007</v>
      </c>
      <c r="W53" s="245"/>
      <c r="X53" s="246">
        <f t="shared" si="10"/>
        <v>0</v>
      </c>
      <c r="Y53" s="246">
        <f t="shared" si="10"/>
        <v>0</v>
      </c>
      <c r="Z53" s="246">
        <f t="shared" si="2"/>
        <v>0</v>
      </c>
      <c r="AA53" s="245">
        <f t="shared" si="8"/>
        <v>0</v>
      </c>
      <c r="AB53" s="245">
        <f t="shared" si="8"/>
        <v>0</v>
      </c>
      <c r="AC53" s="245">
        <f t="shared" si="8"/>
        <v>0</v>
      </c>
      <c r="AD53" s="245">
        <f t="shared" si="7"/>
        <v>0</v>
      </c>
      <c r="AE53" s="245">
        <f t="shared" si="7"/>
        <v>0</v>
      </c>
      <c r="AF53" s="245">
        <f t="shared" si="7"/>
        <v>0</v>
      </c>
      <c r="AG53" s="245">
        <f t="shared" si="7"/>
        <v>0</v>
      </c>
      <c r="AH53" s="245">
        <f t="shared" si="7"/>
        <v>0</v>
      </c>
      <c r="AI53" s="245">
        <f t="shared" si="7"/>
        <v>0</v>
      </c>
      <c r="AJ53" s="247">
        <f t="shared" si="5"/>
        <v>0</v>
      </c>
    </row>
    <row r="54" spans="1:36">
      <c r="A54" s="231" t="str">
        <f t="shared" si="4"/>
        <v>JBLM HOUSINGResidentialSPCL32-RES</v>
      </c>
      <c r="B54" s="243" t="s">
        <v>434</v>
      </c>
      <c r="C54" s="243" t="s">
        <v>435</v>
      </c>
      <c r="D54" s="243" t="s">
        <v>416</v>
      </c>
      <c r="E54" s="230">
        <v>32000</v>
      </c>
      <c r="F54" s="244">
        <v>0</v>
      </c>
      <c r="G54" s="244">
        <v>0</v>
      </c>
      <c r="H54" s="244"/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5"/>
      <c r="V54" s="408">
        <f t="shared" si="9"/>
        <v>0</v>
      </c>
      <c r="W54" s="245"/>
      <c r="X54" s="246">
        <f t="shared" si="10"/>
        <v>0</v>
      </c>
      <c r="Y54" s="246">
        <f t="shared" si="10"/>
        <v>0</v>
      </c>
      <c r="Z54" s="246">
        <f t="shared" si="2"/>
        <v>0</v>
      </c>
      <c r="AA54" s="245">
        <f t="shared" si="8"/>
        <v>0</v>
      </c>
      <c r="AB54" s="245">
        <f t="shared" si="8"/>
        <v>0</v>
      </c>
      <c r="AC54" s="245">
        <f t="shared" si="8"/>
        <v>0</v>
      </c>
      <c r="AD54" s="245">
        <f t="shared" si="7"/>
        <v>0</v>
      </c>
      <c r="AE54" s="245">
        <f t="shared" si="7"/>
        <v>0</v>
      </c>
      <c r="AF54" s="245">
        <f t="shared" si="7"/>
        <v>0</v>
      </c>
      <c r="AG54" s="245">
        <f t="shared" si="7"/>
        <v>0</v>
      </c>
      <c r="AH54" s="245">
        <f t="shared" si="7"/>
        <v>0</v>
      </c>
      <c r="AI54" s="245">
        <f t="shared" si="7"/>
        <v>0</v>
      </c>
      <c r="AJ54" s="247">
        <f t="shared" si="5"/>
        <v>0</v>
      </c>
    </row>
    <row r="55" spans="1:36" s="229" customFormat="1">
      <c r="A55" s="231" t="str">
        <f t="shared" si="4"/>
        <v>JBLM HOUSINGResidentialSPCL65-RES</v>
      </c>
      <c r="B55" s="243" t="s">
        <v>436</v>
      </c>
      <c r="C55" s="243" t="s">
        <v>437</v>
      </c>
      <c r="D55" s="243" t="s">
        <v>416</v>
      </c>
      <c r="E55" s="230">
        <v>32000</v>
      </c>
      <c r="F55" s="244">
        <v>0</v>
      </c>
      <c r="G55" s="244">
        <v>0</v>
      </c>
      <c r="H55" s="244"/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5"/>
      <c r="V55" s="408">
        <f t="shared" si="9"/>
        <v>0</v>
      </c>
      <c r="W55" s="245"/>
      <c r="X55" s="246">
        <f t="shared" si="10"/>
        <v>0</v>
      </c>
      <c r="Y55" s="246">
        <f t="shared" si="10"/>
        <v>0</v>
      </c>
      <c r="Z55" s="246">
        <f t="shared" si="2"/>
        <v>0</v>
      </c>
      <c r="AA55" s="245">
        <f t="shared" si="8"/>
        <v>0</v>
      </c>
      <c r="AB55" s="245">
        <f t="shared" si="8"/>
        <v>0</v>
      </c>
      <c r="AC55" s="245">
        <f t="shared" si="8"/>
        <v>0</v>
      </c>
      <c r="AD55" s="245">
        <f t="shared" si="7"/>
        <v>0</v>
      </c>
      <c r="AE55" s="245">
        <f t="shared" si="7"/>
        <v>0</v>
      </c>
      <c r="AF55" s="245">
        <f t="shared" si="7"/>
        <v>0</v>
      </c>
      <c r="AG55" s="245">
        <f t="shared" si="7"/>
        <v>0</v>
      </c>
      <c r="AH55" s="245">
        <f t="shared" si="7"/>
        <v>0</v>
      </c>
      <c r="AI55" s="245">
        <f t="shared" si="7"/>
        <v>0</v>
      </c>
      <c r="AJ55" s="247">
        <f t="shared" si="5"/>
        <v>0</v>
      </c>
    </row>
    <row r="56" spans="1:36" s="229" customFormat="1">
      <c r="A56" s="231" t="str">
        <f t="shared" si="4"/>
        <v>JBLM HOUSINGResidentialSPCL95-RES</v>
      </c>
      <c r="B56" s="243" t="s">
        <v>438</v>
      </c>
      <c r="C56" s="243" t="s">
        <v>439</v>
      </c>
      <c r="D56" s="243" t="s">
        <v>416</v>
      </c>
      <c r="E56" s="230">
        <v>32000</v>
      </c>
      <c r="F56" s="244">
        <v>0</v>
      </c>
      <c r="G56" s="244">
        <v>0</v>
      </c>
      <c r="H56" s="244"/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5"/>
      <c r="V56" s="408">
        <f t="shared" si="9"/>
        <v>0</v>
      </c>
      <c r="W56" s="245"/>
      <c r="X56" s="246">
        <f t="shared" si="10"/>
        <v>0</v>
      </c>
      <c r="Y56" s="246">
        <f t="shared" si="10"/>
        <v>0</v>
      </c>
      <c r="Z56" s="246">
        <f t="shared" si="2"/>
        <v>0</v>
      </c>
      <c r="AA56" s="245">
        <f t="shared" si="8"/>
        <v>0</v>
      </c>
      <c r="AB56" s="245">
        <f t="shared" si="8"/>
        <v>0</v>
      </c>
      <c r="AC56" s="245">
        <f t="shared" si="8"/>
        <v>0</v>
      </c>
      <c r="AD56" s="245">
        <f t="shared" si="7"/>
        <v>0</v>
      </c>
      <c r="AE56" s="245">
        <f t="shared" si="7"/>
        <v>0</v>
      </c>
      <c r="AF56" s="245">
        <f t="shared" si="7"/>
        <v>0</v>
      </c>
      <c r="AG56" s="245">
        <f t="shared" si="7"/>
        <v>0</v>
      </c>
      <c r="AH56" s="245">
        <f t="shared" si="7"/>
        <v>0</v>
      </c>
      <c r="AI56" s="245">
        <f t="shared" si="7"/>
        <v>0</v>
      </c>
      <c r="AJ56" s="247">
        <f t="shared" si="5"/>
        <v>0</v>
      </c>
    </row>
    <row r="57" spans="1:36">
      <c r="A57" s="231" t="str">
        <f t="shared" si="4"/>
        <v>JBLM HOUSINGResidentialSP65-RES</v>
      </c>
      <c r="B57" s="243" t="s">
        <v>440</v>
      </c>
      <c r="C57" s="243" t="s">
        <v>441</v>
      </c>
      <c r="D57" s="243" t="s">
        <v>424</v>
      </c>
      <c r="E57" s="230">
        <v>32001</v>
      </c>
      <c r="F57" s="244">
        <v>0</v>
      </c>
      <c r="G57" s="244">
        <v>0</v>
      </c>
      <c r="H57" s="244"/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5"/>
      <c r="V57" s="408">
        <f t="shared" si="9"/>
        <v>0</v>
      </c>
      <c r="W57" s="245"/>
      <c r="X57" s="246">
        <f t="shared" si="10"/>
        <v>0</v>
      </c>
      <c r="Y57" s="246">
        <f t="shared" si="10"/>
        <v>0</v>
      </c>
      <c r="Z57" s="246">
        <f t="shared" si="2"/>
        <v>0</v>
      </c>
      <c r="AA57" s="245">
        <f t="shared" si="8"/>
        <v>0</v>
      </c>
      <c r="AB57" s="245">
        <f t="shared" si="8"/>
        <v>0</v>
      </c>
      <c r="AC57" s="245">
        <f t="shared" si="8"/>
        <v>0</v>
      </c>
      <c r="AD57" s="245">
        <f t="shared" si="7"/>
        <v>0</v>
      </c>
      <c r="AE57" s="245">
        <f t="shared" si="7"/>
        <v>0</v>
      </c>
      <c r="AF57" s="245">
        <f t="shared" si="7"/>
        <v>0</v>
      </c>
      <c r="AG57" s="245">
        <f t="shared" si="7"/>
        <v>0</v>
      </c>
      <c r="AH57" s="245">
        <f t="shared" si="7"/>
        <v>0</v>
      </c>
      <c r="AI57" s="245">
        <f t="shared" si="7"/>
        <v>0</v>
      </c>
      <c r="AJ57" s="247">
        <f t="shared" si="5"/>
        <v>0</v>
      </c>
    </row>
    <row r="58" spans="1:36">
      <c r="A58" s="231" t="str">
        <f t="shared" si="4"/>
        <v>JBLM HOUSINGResidentialSP95-RES</v>
      </c>
      <c r="B58" s="243" t="s">
        <v>442</v>
      </c>
      <c r="C58" s="243" t="s">
        <v>443</v>
      </c>
      <c r="D58" s="243" t="s">
        <v>424</v>
      </c>
      <c r="E58" s="230">
        <v>32001</v>
      </c>
      <c r="F58" s="244">
        <v>0</v>
      </c>
      <c r="G58" s="244">
        <v>0</v>
      </c>
      <c r="H58" s="244"/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/>
      <c r="U58" s="245"/>
      <c r="W58" s="245"/>
      <c r="X58" s="246"/>
      <c r="Y58" s="246">
        <f t="shared" si="10"/>
        <v>0</v>
      </c>
      <c r="Z58" s="246">
        <f t="shared" si="2"/>
        <v>0</v>
      </c>
      <c r="AA58" s="245">
        <f t="shared" si="8"/>
        <v>0</v>
      </c>
      <c r="AB58" s="245">
        <f t="shared" si="8"/>
        <v>0</v>
      </c>
      <c r="AC58" s="245">
        <f t="shared" si="8"/>
        <v>0</v>
      </c>
      <c r="AD58" s="245">
        <f t="shared" si="7"/>
        <v>0</v>
      </c>
      <c r="AE58" s="245">
        <f t="shared" si="7"/>
        <v>0</v>
      </c>
      <c r="AF58" s="245">
        <f t="shared" si="7"/>
        <v>0</v>
      </c>
      <c r="AG58" s="245">
        <f t="shared" si="7"/>
        <v>0</v>
      </c>
      <c r="AH58" s="245">
        <f t="shared" si="7"/>
        <v>0</v>
      </c>
      <c r="AI58" s="245">
        <f t="shared" si="7"/>
        <v>0</v>
      </c>
      <c r="AJ58" s="247">
        <f t="shared" si="5"/>
        <v>0</v>
      </c>
    </row>
    <row r="59" spans="1:36">
      <c r="A59" s="231" t="str">
        <f t="shared" si="4"/>
        <v>JBLM HOUSINGResidentialSPREC-RES</v>
      </c>
      <c r="B59" s="243" t="s">
        <v>445</v>
      </c>
      <c r="C59" s="243" t="s">
        <v>446</v>
      </c>
      <c r="D59" s="243" t="s">
        <v>424</v>
      </c>
      <c r="E59" s="230">
        <v>32001</v>
      </c>
      <c r="F59" s="244">
        <v>0</v>
      </c>
      <c r="G59" s="244">
        <v>0</v>
      </c>
      <c r="H59" s="244"/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/>
      <c r="U59" s="245"/>
      <c r="W59" s="245"/>
      <c r="X59" s="246"/>
      <c r="Y59" s="246">
        <f t="shared" si="10"/>
        <v>0</v>
      </c>
      <c r="Z59" s="246">
        <f t="shared" si="2"/>
        <v>0</v>
      </c>
      <c r="AA59" s="245">
        <f t="shared" si="8"/>
        <v>0</v>
      </c>
      <c r="AB59" s="245">
        <f t="shared" si="8"/>
        <v>0</v>
      </c>
      <c r="AC59" s="245">
        <f t="shared" si="8"/>
        <v>0</v>
      </c>
      <c r="AD59" s="245">
        <f t="shared" si="7"/>
        <v>0</v>
      </c>
      <c r="AE59" s="245">
        <f t="shared" si="7"/>
        <v>0</v>
      </c>
      <c r="AF59" s="245">
        <f t="shared" si="7"/>
        <v>0</v>
      </c>
      <c r="AG59" s="245">
        <f t="shared" si="7"/>
        <v>0</v>
      </c>
      <c r="AH59" s="245">
        <f t="shared" si="7"/>
        <v>0</v>
      </c>
      <c r="AI59" s="245">
        <f t="shared" si="7"/>
        <v>0</v>
      </c>
      <c r="AJ59" s="247">
        <f t="shared" si="5"/>
        <v>0</v>
      </c>
    </row>
    <row r="60" spans="1:36">
      <c r="A60" s="231" t="str">
        <f t="shared" si="4"/>
        <v>JBLM HOUSINGResidentialWI1-RES</v>
      </c>
      <c r="B60" s="243" t="s">
        <v>447</v>
      </c>
      <c r="C60" s="243" t="s">
        <v>448</v>
      </c>
      <c r="D60" s="243" t="s">
        <v>416</v>
      </c>
      <c r="E60" s="230">
        <v>32000</v>
      </c>
      <c r="F60" s="244">
        <v>0</v>
      </c>
      <c r="G60" s="244">
        <v>0</v>
      </c>
      <c r="H60" s="244"/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/>
      <c r="U60" s="245"/>
      <c r="W60" s="245"/>
      <c r="X60" s="246"/>
      <c r="Y60" s="246">
        <f t="shared" si="10"/>
        <v>0</v>
      </c>
      <c r="Z60" s="246">
        <f t="shared" si="2"/>
        <v>0</v>
      </c>
      <c r="AA60" s="245">
        <f t="shared" si="8"/>
        <v>0</v>
      </c>
      <c r="AB60" s="245">
        <f t="shared" si="8"/>
        <v>0</v>
      </c>
      <c r="AC60" s="245">
        <f t="shared" si="8"/>
        <v>0</v>
      </c>
      <c r="AD60" s="245">
        <f t="shared" si="7"/>
        <v>0</v>
      </c>
      <c r="AE60" s="245">
        <f t="shared" si="7"/>
        <v>0</v>
      </c>
      <c r="AF60" s="245">
        <f t="shared" si="7"/>
        <v>0</v>
      </c>
      <c r="AG60" s="245">
        <f t="shared" si="7"/>
        <v>0</v>
      </c>
      <c r="AH60" s="245">
        <f t="shared" si="7"/>
        <v>0</v>
      </c>
      <c r="AI60" s="245">
        <f t="shared" si="7"/>
        <v>0</v>
      </c>
      <c r="AJ60" s="247">
        <f t="shared" si="5"/>
        <v>0</v>
      </c>
    </row>
    <row r="61" spans="1:36">
      <c r="A61" s="231" t="str">
        <f t="shared" si="4"/>
        <v>JBLM HOUSINGResidentialWI2-RES</v>
      </c>
      <c r="B61" s="243" t="s">
        <v>449</v>
      </c>
      <c r="C61" s="243" t="s">
        <v>450</v>
      </c>
      <c r="D61" s="243" t="s">
        <v>416</v>
      </c>
      <c r="E61" s="230">
        <v>32000</v>
      </c>
      <c r="F61" s="244">
        <v>0</v>
      </c>
      <c r="G61" s="244">
        <v>0</v>
      </c>
      <c r="H61" s="244"/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/>
      <c r="U61" s="245"/>
      <c r="W61" s="245"/>
      <c r="X61" s="246"/>
      <c r="Y61" s="246">
        <f t="shared" si="10"/>
        <v>0</v>
      </c>
      <c r="Z61" s="246">
        <f t="shared" si="2"/>
        <v>0</v>
      </c>
      <c r="AA61" s="245">
        <f t="shared" si="8"/>
        <v>0</v>
      </c>
      <c r="AB61" s="245">
        <f t="shared" si="8"/>
        <v>0</v>
      </c>
      <c r="AC61" s="245">
        <f t="shared" si="8"/>
        <v>0</v>
      </c>
      <c r="AD61" s="245">
        <f t="shared" si="7"/>
        <v>0</v>
      </c>
      <c r="AE61" s="245">
        <f t="shared" si="7"/>
        <v>0</v>
      </c>
      <c r="AF61" s="245">
        <f t="shared" si="7"/>
        <v>0</v>
      </c>
      <c r="AG61" s="245">
        <f t="shared" si="7"/>
        <v>0</v>
      </c>
      <c r="AH61" s="245">
        <f t="shared" si="7"/>
        <v>0</v>
      </c>
      <c r="AI61" s="245">
        <f t="shared" si="7"/>
        <v>0</v>
      </c>
      <c r="AJ61" s="247">
        <f t="shared" si="5"/>
        <v>0</v>
      </c>
    </row>
    <row r="62" spans="1:36">
      <c r="A62" s="231" t="str">
        <f t="shared" si="4"/>
        <v>JBLM HOUSINGResidentialWI3-RES</v>
      </c>
      <c r="B62" s="243" t="s">
        <v>451</v>
      </c>
      <c r="C62" s="243" t="s">
        <v>452</v>
      </c>
      <c r="D62" s="243" t="s">
        <v>416</v>
      </c>
      <c r="E62" s="230">
        <v>32000</v>
      </c>
      <c r="F62" s="244">
        <v>0</v>
      </c>
      <c r="G62" s="244">
        <v>0</v>
      </c>
      <c r="H62" s="244"/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/>
      <c r="U62" s="245"/>
      <c r="W62" s="245"/>
      <c r="X62" s="246"/>
      <c r="Y62" s="246">
        <f t="shared" si="10"/>
        <v>0</v>
      </c>
      <c r="Z62" s="246">
        <f t="shared" si="2"/>
        <v>0</v>
      </c>
      <c r="AA62" s="245">
        <f t="shared" si="8"/>
        <v>0</v>
      </c>
      <c r="AB62" s="245">
        <f t="shared" si="8"/>
        <v>0</v>
      </c>
      <c r="AC62" s="245">
        <f t="shared" si="8"/>
        <v>0</v>
      </c>
      <c r="AD62" s="245">
        <f t="shared" si="7"/>
        <v>0</v>
      </c>
      <c r="AE62" s="245">
        <f t="shared" si="7"/>
        <v>0</v>
      </c>
      <c r="AF62" s="245">
        <f t="shared" si="7"/>
        <v>0</v>
      </c>
      <c r="AG62" s="245">
        <f t="shared" si="7"/>
        <v>0</v>
      </c>
      <c r="AH62" s="245">
        <f t="shared" si="7"/>
        <v>0</v>
      </c>
      <c r="AI62" s="245">
        <f t="shared" si="7"/>
        <v>0</v>
      </c>
      <c r="AJ62" s="247">
        <f t="shared" si="5"/>
        <v>0</v>
      </c>
    </row>
    <row r="63" spans="1:36">
      <c r="A63" s="231" t="str">
        <f t="shared" si="4"/>
        <v>JBLM HOUSINGResidentialWI4-RES</v>
      </c>
      <c r="B63" s="243" t="s">
        <v>453</v>
      </c>
      <c r="C63" s="243" t="s">
        <v>454</v>
      </c>
      <c r="D63" s="243" t="s">
        <v>416</v>
      </c>
      <c r="E63" s="230">
        <v>32000</v>
      </c>
      <c r="F63" s="244">
        <v>0</v>
      </c>
      <c r="G63" s="244">
        <v>0</v>
      </c>
      <c r="H63" s="244"/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/>
      <c r="U63" s="245"/>
      <c r="W63" s="245"/>
      <c r="X63" s="246"/>
      <c r="Y63" s="246">
        <f t="shared" si="10"/>
        <v>0</v>
      </c>
      <c r="Z63" s="246">
        <f t="shared" si="2"/>
        <v>0</v>
      </c>
      <c r="AA63" s="245">
        <f t="shared" si="8"/>
        <v>0</v>
      </c>
      <c r="AB63" s="245">
        <f t="shared" si="8"/>
        <v>0</v>
      </c>
      <c r="AC63" s="245">
        <f t="shared" si="8"/>
        <v>0</v>
      </c>
      <c r="AD63" s="245">
        <f t="shared" si="7"/>
        <v>0</v>
      </c>
      <c r="AE63" s="245">
        <f t="shared" si="7"/>
        <v>0</v>
      </c>
      <c r="AF63" s="245">
        <f t="shared" si="7"/>
        <v>0</v>
      </c>
      <c r="AG63" s="245">
        <f t="shared" si="7"/>
        <v>0</v>
      </c>
      <c r="AH63" s="245">
        <f t="shared" si="7"/>
        <v>0</v>
      </c>
      <c r="AI63" s="245">
        <f t="shared" si="7"/>
        <v>0</v>
      </c>
      <c r="AJ63" s="247">
        <f t="shared" si="5"/>
        <v>0</v>
      </c>
    </row>
    <row r="64" spans="1:36">
      <c r="A64" s="231" t="str">
        <f t="shared" si="4"/>
        <v>JBLM HOUSINGResidentialWI5-RES</v>
      </c>
      <c r="B64" s="243" t="s">
        <v>455</v>
      </c>
      <c r="C64" s="243" t="s">
        <v>456</v>
      </c>
      <c r="D64" s="243" t="s">
        <v>416</v>
      </c>
      <c r="E64" s="230">
        <v>32000</v>
      </c>
      <c r="F64" s="244">
        <v>0</v>
      </c>
      <c r="G64" s="244">
        <v>0</v>
      </c>
      <c r="H64" s="244"/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/>
      <c r="U64" s="245"/>
      <c r="W64" s="245"/>
      <c r="X64" s="246"/>
      <c r="Y64" s="246">
        <f t="shared" si="10"/>
        <v>0</v>
      </c>
      <c r="Z64" s="246">
        <f t="shared" si="2"/>
        <v>0</v>
      </c>
      <c r="AA64" s="245">
        <f t="shared" si="8"/>
        <v>0</v>
      </c>
      <c r="AB64" s="245">
        <f t="shared" si="8"/>
        <v>0</v>
      </c>
      <c r="AC64" s="245">
        <f t="shared" si="8"/>
        <v>0</v>
      </c>
      <c r="AD64" s="245">
        <f t="shared" si="7"/>
        <v>0</v>
      </c>
      <c r="AE64" s="245">
        <f t="shared" si="7"/>
        <v>0</v>
      </c>
      <c r="AF64" s="245">
        <f t="shared" si="7"/>
        <v>0</v>
      </c>
      <c r="AG64" s="245">
        <f t="shared" si="7"/>
        <v>0</v>
      </c>
      <c r="AH64" s="245">
        <f t="shared" si="7"/>
        <v>0</v>
      </c>
      <c r="AI64" s="245">
        <f t="shared" si="7"/>
        <v>0</v>
      </c>
      <c r="AJ64" s="247">
        <f t="shared" si="5"/>
        <v>0</v>
      </c>
    </row>
    <row r="65" spans="1:36" s="229" customFormat="1">
      <c r="A65" s="231" t="str">
        <f t="shared" si="4"/>
        <v>JBLM HOUSINGResidentialWI9-RES</v>
      </c>
      <c r="B65" s="243" t="s">
        <v>457</v>
      </c>
      <c r="C65" s="243" t="s">
        <v>458</v>
      </c>
      <c r="D65" s="243" t="s">
        <v>416</v>
      </c>
      <c r="E65" s="230">
        <v>32000</v>
      </c>
      <c r="F65" s="244">
        <v>0</v>
      </c>
      <c r="G65" s="244">
        <v>0</v>
      </c>
      <c r="H65" s="244"/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/>
      <c r="U65" s="245"/>
      <c r="V65" s="408"/>
      <c r="W65" s="245"/>
      <c r="X65" s="246"/>
      <c r="Y65" s="246">
        <f t="shared" si="10"/>
        <v>0</v>
      </c>
      <c r="Z65" s="246">
        <f t="shared" si="2"/>
        <v>0</v>
      </c>
      <c r="AA65" s="245">
        <f t="shared" si="8"/>
        <v>0</v>
      </c>
      <c r="AB65" s="245">
        <f t="shared" si="8"/>
        <v>0</v>
      </c>
      <c r="AC65" s="245">
        <f t="shared" si="8"/>
        <v>0</v>
      </c>
      <c r="AD65" s="245">
        <f t="shared" si="7"/>
        <v>0</v>
      </c>
      <c r="AE65" s="245">
        <f t="shared" si="7"/>
        <v>0</v>
      </c>
      <c r="AF65" s="245">
        <f t="shared" si="7"/>
        <v>0</v>
      </c>
      <c r="AG65" s="245">
        <f t="shared" si="7"/>
        <v>0</v>
      </c>
      <c r="AH65" s="245">
        <f t="shared" si="7"/>
        <v>0</v>
      </c>
      <c r="AI65" s="245">
        <f t="shared" si="7"/>
        <v>0</v>
      </c>
      <c r="AJ65" s="247">
        <f t="shared" si="5"/>
        <v>0</v>
      </c>
    </row>
    <row r="66" spans="1:36" s="229" customFormat="1">
      <c r="A66" s="231" t="str">
        <f>$A$3&amp;"Residential"&amp;B66</f>
        <v>JBLM HOUSINGResidentialDISPFEDMSW-RES</v>
      </c>
      <c r="B66" s="243" t="s">
        <v>863</v>
      </c>
      <c r="C66" s="243" t="s">
        <v>864</v>
      </c>
      <c r="D66" s="243" t="s">
        <v>416</v>
      </c>
      <c r="E66" s="230">
        <v>32000</v>
      </c>
      <c r="F66" s="244">
        <v>107.83</v>
      </c>
      <c r="G66" s="244">
        <v>112.64</v>
      </c>
      <c r="H66" s="244"/>
      <c r="I66" s="244">
        <v>1056.73</v>
      </c>
      <c r="J66" s="244">
        <v>1601.28</v>
      </c>
      <c r="K66" s="244">
        <v>1093.4000000000001</v>
      </c>
      <c r="L66" s="244">
        <v>756.97</v>
      </c>
      <c r="M66" s="244">
        <v>2693.22</v>
      </c>
      <c r="N66" s="244">
        <v>2154.8000000000002</v>
      </c>
      <c r="O66" s="244">
        <v>1999.36</v>
      </c>
      <c r="P66" s="244">
        <v>3748.66</v>
      </c>
      <c r="Q66" s="244">
        <v>2591.85</v>
      </c>
      <c r="R66" s="244">
        <v>2428.52</v>
      </c>
      <c r="S66" s="244">
        <v>1779.71</v>
      </c>
      <c r="T66" s="244"/>
      <c r="U66" s="245"/>
      <c r="V66" s="408"/>
      <c r="W66" s="245"/>
      <c r="X66" s="246"/>
      <c r="Y66" s="246">
        <f t="shared" si="10"/>
        <v>14.850041732356488</v>
      </c>
      <c r="Z66" s="246">
        <f t="shared" si="2"/>
        <v>10.140035240656591</v>
      </c>
      <c r="AA66" s="245">
        <f t="shared" si="8"/>
        <v>6.7202592329545459</v>
      </c>
      <c r="AB66" s="245">
        <f t="shared" si="8"/>
        <v>23.909978693181817</v>
      </c>
      <c r="AC66" s="245">
        <f t="shared" si="8"/>
        <v>19.129971590909093</v>
      </c>
      <c r="AD66" s="245">
        <f t="shared" si="7"/>
        <v>17.75</v>
      </c>
      <c r="AE66" s="245">
        <f t="shared" si="7"/>
        <v>33.280007102272727</v>
      </c>
      <c r="AF66" s="245">
        <f t="shared" si="7"/>
        <v>23.010031960227273</v>
      </c>
      <c r="AG66" s="245">
        <f t="shared" si="7"/>
        <v>21.560014204545453</v>
      </c>
      <c r="AH66" s="245">
        <f t="shared" si="7"/>
        <v>15.799982244318182</v>
      </c>
      <c r="AI66" s="245">
        <f t="shared" si="7"/>
        <v>0</v>
      </c>
      <c r="AJ66" s="247">
        <f t="shared" si="5"/>
        <v>186.15032200142218</v>
      </c>
    </row>
    <row r="67" spans="1:36">
      <c r="A67" s="231" t="str">
        <f t="shared" si="4"/>
        <v>JBLM HOUSINGResidentialDRIVEIN1-RES</v>
      </c>
      <c r="B67" s="243" t="s">
        <v>459</v>
      </c>
      <c r="C67" s="243" t="s">
        <v>460</v>
      </c>
      <c r="D67" s="243" t="s">
        <v>416</v>
      </c>
      <c r="E67" s="230">
        <v>32000</v>
      </c>
      <c r="F67" s="244">
        <v>0</v>
      </c>
      <c r="G67" s="244">
        <v>0</v>
      </c>
      <c r="H67" s="244"/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/>
      <c r="U67" s="245"/>
      <c r="W67" s="245"/>
      <c r="X67" s="246"/>
      <c r="Y67" s="246">
        <f t="shared" si="10"/>
        <v>0</v>
      </c>
      <c r="Z67" s="246">
        <f t="shared" si="2"/>
        <v>0</v>
      </c>
      <c r="AA67" s="245">
        <f t="shared" si="8"/>
        <v>0</v>
      </c>
      <c r="AB67" s="245">
        <f t="shared" si="8"/>
        <v>0</v>
      </c>
      <c r="AC67" s="245">
        <f t="shared" si="8"/>
        <v>0</v>
      </c>
      <c r="AD67" s="245">
        <f t="shared" si="7"/>
        <v>0</v>
      </c>
      <c r="AE67" s="245">
        <f t="shared" si="7"/>
        <v>0</v>
      </c>
      <c r="AF67" s="245">
        <f t="shared" si="7"/>
        <v>0</v>
      </c>
      <c r="AG67" s="245">
        <f t="shared" si="7"/>
        <v>0</v>
      </c>
      <c r="AH67" s="245">
        <f t="shared" si="7"/>
        <v>0</v>
      </c>
      <c r="AI67" s="245">
        <f t="shared" si="7"/>
        <v>0</v>
      </c>
      <c r="AJ67" s="247">
        <f t="shared" si="5"/>
        <v>0</v>
      </c>
    </row>
    <row r="68" spans="1:36" s="229" customFormat="1">
      <c r="A68" s="231" t="str">
        <f t="shared" si="4"/>
        <v>JBLM HOUSINGResidentialDRIVEIN2-RES</v>
      </c>
      <c r="B68" s="243" t="s">
        <v>461</v>
      </c>
      <c r="C68" s="243" t="s">
        <v>462</v>
      </c>
      <c r="D68" s="243" t="s">
        <v>416</v>
      </c>
      <c r="E68" s="230">
        <v>32000</v>
      </c>
      <c r="F68" s="244">
        <v>0</v>
      </c>
      <c r="G68" s="244">
        <v>0</v>
      </c>
      <c r="H68" s="244"/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/>
      <c r="U68" s="245"/>
      <c r="V68" s="408"/>
      <c r="W68" s="245"/>
      <c r="X68" s="246"/>
      <c r="Y68" s="246">
        <f t="shared" si="10"/>
        <v>0</v>
      </c>
      <c r="Z68" s="246">
        <f t="shared" si="2"/>
        <v>0</v>
      </c>
      <c r="AA68" s="245">
        <f t="shared" si="8"/>
        <v>0</v>
      </c>
      <c r="AB68" s="245">
        <f t="shared" si="8"/>
        <v>0</v>
      </c>
      <c r="AC68" s="245">
        <f t="shared" si="8"/>
        <v>0</v>
      </c>
      <c r="AD68" s="245">
        <f t="shared" si="7"/>
        <v>0</v>
      </c>
      <c r="AE68" s="245">
        <f t="shared" si="7"/>
        <v>0</v>
      </c>
      <c r="AF68" s="245">
        <f t="shared" si="7"/>
        <v>0</v>
      </c>
      <c r="AG68" s="245">
        <f t="shared" si="7"/>
        <v>0</v>
      </c>
      <c r="AH68" s="245">
        <f t="shared" si="7"/>
        <v>0</v>
      </c>
      <c r="AI68" s="245">
        <f t="shared" si="7"/>
        <v>0</v>
      </c>
      <c r="AJ68" s="247">
        <f t="shared" si="5"/>
        <v>0</v>
      </c>
    </row>
    <row r="69" spans="1:36">
      <c r="A69" s="231" t="str">
        <f t="shared" si="4"/>
        <v>JBLM HOUSINGResidentialDRIVEIN-RES</v>
      </c>
      <c r="B69" s="243" t="s">
        <v>465</v>
      </c>
      <c r="C69" s="243" t="s">
        <v>466</v>
      </c>
      <c r="D69" s="243" t="s">
        <v>416</v>
      </c>
      <c r="E69" s="230">
        <v>32000</v>
      </c>
      <c r="F69" s="244">
        <v>0</v>
      </c>
      <c r="G69" s="244">
        <v>0</v>
      </c>
      <c r="H69" s="244"/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/>
      <c r="U69" s="245"/>
      <c r="W69" s="245"/>
      <c r="X69" s="246"/>
      <c r="Y69" s="246">
        <f t="shared" si="10"/>
        <v>0</v>
      </c>
      <c r="Z69" s="246">
        <f t="shared" si="2"/>
        <v>0</v>
      </c>
      <c r="AA69" s="245">
        <f t="shared" si="8"/>
        <v>0</v>
      </c>
      <c r="AB69" s="245">
        <f t="shared" si="8"/>
        <v>0</v>
      </c>
      <c r="AC69" s="245">
        <f t="shared" si="8"/>
        <v>0</v>
      </c>
      <c r="AD69" s="245">
        <f t="shared" si="7"/>
        <v>0</v>
      </c>
      <c r="AE69" s="245">
        <f t="shared" si="7"/>
        <v>0</v>
      </c>
      <c r="AF69" s="245">
        <f t="shared" si="7"/>
        <v>0</v>
      </c>
      <c r="AG69" s="245">
        <f t="shared" si="7"/>
        <v>0</v>
      </c>
      <c r="AH69" s="245">
        <f t="shared" si="7"/>
        <v>0</v>
      </c>
      <c r="AI69" s="245">
        <f t="shared" si="7"/>
        <v>0</v>
      </c>
      <c r="AJ69" s="247">
        <f t="shared" si="5"/>
        <v>0</v>
      </c>
    </row>
    <row r="70" spans="1:36">
      <c r="A70" s="231" t="str">
        <f t="shared" si="4"/>
        <v>JBLM HOUSINGResidentialACCESS-RES</v>
      </c>
      <c r="B70" s="243" t="s">
        <v>467</v>
      </c>
      <c r="C70" s="243" t="s">
        <v>468</v>
      </c>
      <c r="D70" s="243" t="s">
        <v>416</v>
      </c>
      <c r="E70" s="230">
        <v>32000</v>
      </c>
      <c r="F70" s="244">
        <v>0</v>
      </c>
      <c r="G70" s="244">
        <v>0</v>
      </c>
      <c r="H70" s="244"/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/>
      <c r="U70" s="245"/>
      <c r="W70" s="245"/>
      <c r="X70" s="246"/>
      <c r="Y70" s="246">
        <f t="shared" si="10"/>
        <v>0</v>
      </c>
      <c r="Z70" s="246">
        <f t="shared" si="2"/>
        <v>0</v>
      </c>
      <c r="AA70" s="245">
        <f t="shared" si="8"/>
        <v>0</v>
      </c>
      <c r="AB70" s="245">
        <f t="shared" si="8"/>
        <v>0</v>
      </c>
      <c r="AC70" s="245">
        <f t="shared" si="8"/>
        <v>0</v>
      </c>
      <c r="AD70" s="245">
        <f t="shared" si="7"/>
        <v>0</v>
      </c>
      <c r="AE70" s="245">
        <f t="shared" si="7"/>
        <v>0</v>
      </c>
      <c r="AF70" s="245">
        <f t="shared" si="7"/>
        <v>0</v>
      </c>
      <c r="AG70" s="245">
        <f t="shared" si="7"/>
        <v>0</v>
      </c>
      <c r="AH70" s="245">
        <f t="shared" si="7"/>
        <v>0</v>
      </c>
      <c r="AI70" s="245">
        <f t="shared" si="7"/>
        <v>0</v>
      </c>
      <c r="AJ70" s="247">
        <f t="shared" si="5"/>
        <v>0</v>
      </c>
    </row>
    <row r="71" spans="1:36">
      <c r="A71" s="231" t="str">
        <f t="shared" si="4"/>
        <v>JBLM HOUSINGResidentialAPPLIANCER</v>
      </c>
      <c r="B71" s="243" t="s">
        <v>469</v>
      </c>
      <c r="C71" s="243" t="s">
        <v>470</v>
      </c>
      <c r="D71" s="243" t="s">
        <v>416</v>
      </c>
      <c r="E71" s="230">
        <v>32000</v>
      </c>
      <c r="F71" s="244">
        <v>0</v>
      </c>
      <c r="G71" s="244">
        <v>0</v>
      </c>
      <c r="H71" s="244"/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/>
      <c r="U71" s="245"/>
      <c r="W71" s="245"/>
      <c r="X71" s="246"/>
      <c r="Y71" s="246">
        <f t="shared" si="10"/>
        <v>0</v>
      </c>
      <c r="Z71" s="246">
        <f t="shared" si="2"/>
        <v>0</v>
      </c>
      <c r="AA71" s="245">
        <f t="shared" si="8"/>
        <v>0</v>
      </c>
      <c r="AB71" s="245">
        <f t="shared" si="8"/>
        <v>0</v>
      </c>
      <c r="AC71" s="245">
        <f t="shared" si="8"/>
        <v>0</v>
      </c>
      <c r="AD71" s="245">
        <f t="shared" si="8"/>
        <v>0</v>
      </c>
      <c r="AE71" s="245">
        <f t="shared" si="8"/>
        <v>0</v>
      </c>
      <c r="AF71" s="245">
        <f t="shared" si="8"/>
        <v>0</v>
      </c>
      <c r="AG71" s="245">
        <f t="shared" si="8"/>
        <v>0</v>
      </c>
      <c r="AH71" s="245">
        <f t="shared" si="8"/>
        <v>0</v>
      </c>
      <c r="AI71" s="245">
        <f t="shared" si="8"/>
        <v>0</v>
      </c>
      <c r="AJ71" s="247">
        <f t="shared" si="5"/>
        <v>0</v>
      </c>
    </row>
    <row r="72" spans="1:36">
      <c r="A72" s="231" t="str">
        <f t="shared" si="4"/>
        <v>JBLM HOUSINGResidentialPDBAG-RES</v>
      </c>
      <c r="B72" s="243" t="s">
        <v>471</v>
      </c>
      <c r="C72" s="243" t="s">
        <v>472</v>
      </c>
      <c r="D72" s="243" t="s">
        <v>416</v>
      </c>
      <c r="E72" s="230">
        <v>32000</v>
      </c>
      <c r="F72" s="244">
        <v>0</v>
      </c>
      <c r="G72" s="244">
        <v>0</v>
      </c>
      <c r="H72" s="244"/>
      <c r="I72" s="244">
        <v>748.5</v>
      </c>
      <c r="J72" s="244">
        <v>0</v>
      </c>
      <c r="K72" s="244">
        <v>0</v>
      </c>
      <c r="L72" s="244">
        <v>763.5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/>
      <c r="U72" s="245"/>
      <c r="W72" s="245"/>
      <c r="X72" s="246"/>
      <c r="Y72" s="246">
        <f t="shared" si="10"/>
        <v>0</v>
      </c>
      <c r="Z72" s="246">
        <f t="shared" si="2"/>
        <v>0</v>
      </c>
      <c r="AA72" s="245">
        <f t="shared" ref="AA72:AI83" si="11">IFERROR(L72/$G72,0)</f>
        <v>0</v>
      </c>
      <c r="AB72" s="245">
        <f t="shared" si="11"/>
        <v>0</v>
      </c>
      <c r="AC72" s="245">
        <f t="shared" si="11"/>
        <v>0</v>
      </c>
      <c r="AD72" s="245">
        <f t="shared" si="11"/>
        <v>0</v>
      </c>
      <c r="AE72" s="245">
        <f t="shared" si="11"/>
        <v>0</v>
      </c>
      <c r="AF72" s="245">
        <f t="shared" si="11"/>
        <v>0</v>
      </c>
      <c r="AG72" s="245">
        <f t="shared" si="11"/>
        <v>0</v>
      </c>
      <c r="AH72" s="245">
        <f t="shared" si="11"/>
        <v>0</v>
      </c>
      <c r="AI72" s="245">
        <f t="shared" si="11"/>
        <v>0</v>
      </c>
      <c r="AJ72" s="247">
        <f t="shared" si="5"/>
        <v>0</v>
      </c>
    </row>
    <row r="73" spans="1:36">
      <c r="A73" s="231" t="str">
        <f t="shared" si="4"/>
        <v>JBLM HOUSINGResidentialPDBAG-COMM</v>
      </c>
      <c r="B73" s="243" t="s">
        <v>376</v>
      </c>
      <c r="C73" s="243" t="s">
        <v>377</v>
      </c>
      <c r="D73" s="243" t="s">
        <v>416</v>
      </c>
      <c r="E73" s="230">
        <v>32000</v>
      </c>
      <c r="F73" s="244">
        <v>3.26</v>
      </c>
      <c r="G73" s="244">
        <v>5.09</v>
      </c>
      <c r="H73" s="244"/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/>
      <c r="U73" s="245"/>
      <c r="W73" s="245"/>
      <c r="X73" s="246"/>
      <c r="Y73" s="246">
        <f t="shared" si="10"/>
        <v>0</v>
      </c>
      <c r="Z73" s="246">
        <f t="shared" si="2"/>
        <v>0</v>
      </c>
      <c r="AA73" s="245">
        <f t="shared" si="11"/>
        <v>0</v>
      </c>
      <c r="AB73" s="245">
        <f t="shared" si="11"/>
        <v>0</v>
      </c>
      <c r="AC73" s="245">
        <f t="shared" si="11"/>
        <v>0</v>
      </c>
      <c r="AD73" s="245">
        <f t="shared" si="11"/>
        <v>0</v>
      </c>
      <c r="AE73" s="245">
        <f t="shared" si="11"/>
        <v>0</v>
      </c>
      <c r="AF73" s="245">
        <f t="shared" si="11"/>
        <v>0</v>
      </c>
      <c r="AG73" s="245">
        <f t="shared" si="11"/>
        <v>0</v>
      </c>
      <c r="AH73" s="245">
        <f t="shared" si="11"/>
        <v>0</v>
      </c>
      <c r="AI73" s="245">
        <f t="shared" si="11"/>
        <v>0</v>
      </c>
      <c r="AJ73" s="247">
        <f t="shared" si="5"/>
        <v>0</v>
      </c>
    </row>
    <row r="74" spans="1:36">
      <c r="A74" s="231" t="str">
        <f t="shared" si="4"/>
        <v>JBLM HOUSINGResidentialLCKR</v>
      </c>
      <c r="B74" s="243" t="s">
        <v>473</v>
      </c>
      <c r="C74" s="243" t="s">
        <v>474</v>
      </c>
      <c r="D74" s="243" t="s">
        <v>424</v>
      </c>
      <c r="E74" s="230">
        <v>32001</v>
      </c>
      <c r="F74" s="244">
        <v>0</v>
      </c>
      <c r="G74" s="244">
        <v>0</v>
      </c>
      <c r="H74" s="244"/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/>
      <c r="U74" s="245"/>
      <c r="W74" s="245"/>
      <c r="X74" s="246"/>
      <c r="Y74" s="246">
        <f t="shared" si="10"/>
        <v>0</v>
      </c>
      <c r="Z74" s="246">
        <f t="shared" si="2"/>
        <v>0</v>
      </c>
      <c r="AA74" s="245">
        <f t="shared" si="11"/>
        <v>0</v>
      </c>
      <c r="AB74" s="245">
        <f t="shared" si="11"/>
        <v>0</v>
      </c>
      <c r="AC74" s="245">
        <f t="shared" si="11"/>
        <v>0</v>
      </c>
      <c r="AD74" s="245">
        <f t="shared" si="11"/>
        <v>0</v>
      </c>
      <c r="AE74" s="245">
        <f t="shared" si="11"/>
        <v>0</v>
      </c>
      <c r="AF74" s="245">
        <f t="shared" si="11"/>
        <v>0</v>
      </c>
      <c r="AG74" s="245">
        <f t="shared" si="11"/>
        <v>0</v>
      </c>
      <c r="AH74" s="245">
        <f t="shared" si="11"/>
        <v>0</v>
      </c>
      <c r="AI74" s="245">
        <f t="shared" si="11"/>
        <v>0</v>
      </c>
      <c r="AJ74" s="247">
        <f t="shared" si="5"/>
        <v>0</v>
      </c>
    </row>
    <row r="75" spans="1:36">
      <c r="A75" s="231" t="str">
        <f t="shared" si="4"/>
        <v>JBLM HOUSINGResidentialOC-RES</v>
      </c>
      <c r="B75" s="243" t="s">
        <v>475</v>
      </c>
      <c r="C75" s="243" t="s">
        <v>476</v>
      </c>
      <c r="D75" s="243" t="s">
        <v>424</v>
      </c>
      <c r="E75" s="230">
        <v>32001</v>
      </c>
      <c r="F75" s="244">
        <v>0</v>
      </c>
      <c r="G75" s="244">
        <v>0</v>
      </c>
      <c r="H75" s="244"/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/>
      <c r="U75" s="245"/>
      <c r="W75" s="245"/>
      <c r="X75" s="246"/>
      <c r="Y75" s="246">
        <f t="shared" si="10"/>
        <v>0</v>
      </c>
      <c r="Z75" s="246">
        <f t="shared" si="10"/>
        <v>0</v>
      </c>
      <c r="AA75" s="245">
        <f t="shared" si="11"/>
        <v>0</v>
      </c>
      <c r="AB75" s="245">
        <f t="shared" si="11"/>
        <v>0</v>
      </c>
      <c r="AC75" s="245">
        <f t="shared" si="11"/>
        <v>0</v>
      </c>
      <c r="AD75" s="245">
        <f t="shared" si="11"/>
        <v>0</v>
      </c>
      <c r="AE75" s="245">
        <f t="shared" si="11"/>
        <v>0</v>
      </c>
      <c r="AF75" s="245">
        <f t="shared" si="11"/>
        <v>0</v>
      </c>
      <c r="AG75" s="245">
        <f t="shared" si="11"/>
        <v>0</v>
      </c>
      <c r="AH75" s="245">
        <f t="shared" si="11"/>
        <v>0</v>
      </c>
      <c r="AI75" s="245">
        <f t="shared" si="11"/>
        <v>0</v>
      </c>
      <c r="AJ75" s="247">
        <f t="shared" si="5"/>
        <v>0</v>
      </c>
    </row>
    <row r="76" spans="1:36">
      <c r="A76" s="231" t="str">
        <f t="shared" si="4"/>
        <v>JBLM HOUSINGResidentialREDEL-RES</v>
      </c>
      <c r="B76" s="243" t="s">
        <v>477</v>
      </c>
      <c r="C76" s="243" t="s">
        <v>478</v>
      </c>
      <c r="D76" s="243" t="s">
        <v>424</v>
      </c>
      <c r="E76" s="230">
        <v>32001</v>
      </c>
      <c r="F76" s="244">
        <v>0</v>
      </c>
      <c r="G76" s="244">
        <v>0</v>
      </c>
      <c r="H76" s="244"/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/>
      <c r="U76" s="245"/>
      <c r="W76" s="245"/>
      <c r="X76" s="246"/>
      <c r="Y76" s="246">
        <f t="shared" si="10"/>
        <v>0</v>
      </c>
      <c r="Z76" s="246">
        <f t="shared" si="10"/>
        <v>0</v>
      </c>
      <c r="AA76" s="245">
        <f t="shared" si="11"/>
        <v>0</v>
      </c>
      <c r="AB76" s="245">
        <f t="shared" si="11"/>
        <v>0</v>
      </c>
      <c r="AC76" s="245">
        <f t="shared" si="11"/>
        <v>0</v>
      </c>
      <c r="AD76" s="245">
        <f t="shared" si="11"/>
        <v>0</v>
      </c>
      <c r="AE76" s="245">
        <f t="shared" si="11"/>
        <v>0</v>
      </c>
      <c r="AF76" s="245">
        <f t="shared" si="11"/>
        <v>0</v>
      </c>
      <c r="AG76" s="245">
        <f t="shared" si="11"/>
        <v>0</v>
      </c>
      <c r="AH76" s="245">
        <f t="shared" si="11"/>
        <v>0</v>
      </c>
      <c r="AI76" s="245">
        <f t="shared" si="11"/>
        <v>0</v>
      </c>
      <c r="AJ76" s="247">
        <f t="shared" ref="AJ76:AJ139" si="12">SUM(X76:AI76)</f>
        <v>0</v>
      </c>
    </row>
    <row r="77" spans="1:36">
      <c r="A77" s="231" t="str">
        <f t="shared" ref="A77:A83" si="13">$A$3&amp;"Residential"&amp;B77</f>
        <v>JBLM HOUSINGResidentialREINSTATE-RES</v>
      </c>
      <c r="B77" s="243" t="s">
        <v>479</v>
      </c>
      <c r="C77" s="243" t="s">
        <v>480</v>
      </c>
      <c r="D77" s="243" t="s">
        <v>424</v>
      </c>
      <c r="E77" s="230">
        <v>32001</v>
      </c>
      <c r="F77" s="244">
        <v>0</v>
      </c>
      <c r="G77" s="244">
        <v>0</v>
      </c>
      <c r="H77" s="244"/>
      <c r="I77" s="244">
        <v>12.65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12.65</v>
      </c>
      <c r="S77" s="244">
        <v>0</v>
      </c>
      <c r="T77" s="244"/>
      <c r="U77" s="245"/>
      <c r="W77" s="245"/>
      <c r="X77" s="246"/>
      <c r="Y77" s="246">
        <f t="shared" ref="X77:Z83" si="14">IFERROR(J77/$F77,0)</f>
        <v>0</v>
      </c>
      <c r="Z77" s="246">
        <f t="shared" si="14"/>
        <v>0</v>
      </c>
      <c r="AA77" s="245">
        <f t="shared" si="11"/>
        <v>0</v>
      </c>
      <c r="AB77" s="245">
        <f t="shared" si="11"/>
        <v>0</v>
      </c>
      <c r="AC77" s="245">
        <f t="shared" si="11"/>
        <v>0</v>
      </c>
      <c r="AD77" s="245">
        <f t="shared" si="11"/>
        <v>0</v>
      </c>
      <c r="AE77" s="245">
        <f t="shared" si="11"/>
        <v>0</v>
      </c>
      <c r="AF77" s="245">
        <f t="shared" si="11"/>
        <v>0</v>
      </c>
      <c r="AG77" s="245">
        <f t="shared" si="11"/>
        <v>0</v>
      </c>
      <c r="AH77" s="245">
        <f t="shared" si="11"/>
        <v>0</v>
      </c>
      <c r="AI77" s="245">
        <f t="shared" si="11"/>
        <v>0</v>
      </c>
      <c r="AJ77" s="247">
        <f t="shared" si="12"/>
        <v>0</v>
      </c>
    </row>
    <row r="78" spans="1:36">
      <c r="A78" s="231" t="str">
        <f t="shared" si="13"/>
        <v>JBLM HOUSINGResidentialRTRNCART65-RES</v>
      </c>
      <c r="B78" s="243" t="s">
        <v>483</v>
      </c>
      <c r="C78" s="243" t="s">
        <v>484</v>
      </c>
      <c r="D78" s="243" t="s">
        <v>424</v>
      </c>
      <c r="E78" s="230">
        <v>32001</v>
      </c>
      <c r="F78" s="244">
        <v>7.4</v>
      </c>
      <c r="G78" s="244">
        <v>7.4</v>
      </c>
      <c r="H78" s="244"/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/>
      <c r="U78" s="245"/>
      <c r="W78" s="245"/>
      <c r="X78" s="246"/>
      <c r="Y78" s="246">
        <f t="shared" si="14"/>
        <v>0</v>
      </c>
      <c r="Z78" s="246">
        <f t="shared" si="14"/>
        <v>0</v>
      </c>
      <c r="AA78" s="245">
        <f t="shared" si="11"/>
        <v>0</v>
      </c>
      <c r="AB78" s="245">
        <f t="shared" si="11"/>
        <v>0</v>
      </c>
      <c r="AC78" s="245">
        <f t="shared" si="11"/>
        <v>0</v>
      </c>
      <c r="AD78" s="245">
        <f t="shared" si="11"/>
        <v>0</v>
      </c>
      <c r="AE78" s="245">
        <f t="shared" si="11"/>
        <v>0</v>
      </c>
      <c r="AF78" s="245">
        <f t="shared" si="11"/>
        <v>0</v>
      </c>
      <c r="AG78" s="245">
        <f t="shared" si="11"/>
        <v>0</v>
      </c>
      <c r="AH78" s="245">
        <f t="shared" si="11"/>
        <v>0</v>
      </c>
      <c r="AI78" s="245">
        <f t="shared" si="11"/>
        <v>0</v>
      </c>
      <c r="AJ78" s="247">
        <f t="shared" si="12"/>
        <v>0</v>
      </c>
    </row>
    <row r="79" spans="1:36">
      <c r="A79" s="231" t="str">
        <f t="shared" si="13"/>
        <v>JBLM HOUSINGResidentialRTRNCART95-RES</v>
      </c>
      <c r="B79" s="243" t="s">
        <v>485</v>
      </c>
      <c r="C79" s="243" t="s">
        <v>486</v>
      </c>
      <c r="D79" s="243" t="s">
        <v>424</v>
      </c>
      <c r="E79" s="230">
        <v>32001</v>
      </c>
      <c r="F79" s="244">
        <v>0</v>
      </c>
      <c r="G79" s="244">
        <v>0</v>
      </c>
      <c r="H79" s="244"/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/>
      <c r="U79" s="245"/>
      <c r="W79" s="245"/>
      <c r="X79" s="246"/>
      <c r="Y79" s="246">
        <f t="shared" si="14"/>
        <v>0</v>
      </c>
      <c r="Z79" s="246">
        <f t="shared" si="14"/>
        <v>0</v>
      </c>
      <c r="AA79" s="245">
        <f t="shared" si="11"/>
        <v>0</v>
      </c>
      <c r="AB79" s="245">
        <f t="shared" si="11"/>
        <v>0</v>
      </c>
      <c r="AC79" s="245">
        <f t="shared" si="11"/>
        <v>0</v>
      </c>
      <c r="AD79" s="245">
        <f t="shared" si="11"/>
        <v>0</v>
      </c>
      <c r="AE79" s="245">
        <f t="shared" si="11"/>
        <v>0</v>
      </c>
      <c r="AF79" s="245">
        <f t="shared" si="11"/>
        <v>0</v>
      </c>
      <c r="AG79" s="245">
        <f t="shared" si="11"/>
        <v>0</v>
      </c>
      <c r="AH79" s="245">
        <f t="shared" si="11"/>
        <v>0</v>
      </c>
      <c r="AI79" s="245">
        <f t="shared" si="11"/>
        <v>0</v>
      </c>
      <c r="AJ79" s="247">
        <f t="shared" si="12"/>
        <v>0</v>
      </c>
    </row>
    <row r="80" spans="1:36">
      <c r="A80" s="231" t="str">
        <f t="shared" si="13"/>
        <v>JBLM HOUSINGResidentialRTRNTRIP-RES</v>
      </c>
      <c r="B80" s="243" t="s">
        <v>487</v>
      </c>
      <c r="C80" s="243" t="s">
        <v>488</v>
      </c>
      <c r="D80" s="243" t="s">
        <v>424</v>
      </c>
      <c r="E80" s="230">
        <v>32001</v>
      </c>
      <c r="F80" s="244">
        <v>0</v>
      </c>
      <c r="G80" s="244">
        <v>0</v>
      </c>
      <c r="H80" s="244"/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/>
      <c r="U80" s="245"/>
      <c r="W80" s="245"/>
      <c r="X80" s="246"/>
      <c r="Y80" s="246">
        <f t="shared" si="14"/>
        <v>0</v>
      </c>
      <c r="Z80" s="246">
        <f t="shared" si="14"/>
        <v>0</v>
      </c>
      <c r="AA80" s="245">
        <f t="shared" si="11"/>
        <v>0</v>
      </c>
      <c r="AB80" s="245">
        <f t="shared" si="11"/>
        <v>0</v>
      </c>
      <c r="AC80" s="245">
        <f t="shared" si="11"/>
        <v>0</v>
      </c>
      <c r="AD80" s="245">
        <f t="shared" si="11"/>
        <v>0</v>
      </c>
      <c r="AE80" s="245">
        <f t="shared" si="11"/>
        <v>0</v>
      </c>
      <c r="AF80" s="245">
        <f t="shared" si="11"/>
        <v>0</v>
      </c>
      <c r="AG80" s="245">
        <f t="shared" si="11"/>
        <v>0</v>
      </c>
      <c r="AH80" s="245">
        <f t="shared" si="11"/>
        <v>0</v>
      </c>
      <c r="AI80" s="245">
        <f t="shared" si="11"/>
        <v>0</v>
      </c>
      <c r="AJ80" s="247">
        <f t="shared" si="12"/>
        <v>0</v>
      </c>
    </row>
    <row r="81" spans="1:36">
      <c r="A81" s="231" t="str">
        <f t="shared" si="13"/>
        <v>JBLM HOUSINGResidentialTIME-RES</v>
      </c>
      <c r="B81" s="243" t="s">
        <v>489</v>
      </c>
      <c r="C81" s="243" t="s">
        <v>490</v>
      </c>
      <c r="D81" s="243" t="s">
        <v>424</v>
      </c>
      <c r="E81" s="230">
        <v>32001</v>
      </c>
      <c r="F81" s="244">
        <v>106</v>
      </c>
      <c r="G81" s="244">
        <v>106</v>
      </c>
      <c r="H81" s="244"/>
      <c r="I81" s="244">
        <v>646.88</v>
      </c>
      <c r="J81" s="244">
        <v>976.5</v>
      </c>
      <c r="K81" s="244">
        <v>516.38</v>
      </c>
      <c r="L81" s="244">
        <v>779.63</v>
      </c>
      <c r="M81" s="244">
        <v>2572.8200000000002</v>
      </c>
      <c r="N81" s="244">
        <v>1235.25</v>
      </c>
      <c r="O81" s="244">
        <v>2260.13</v>
      </c>
      <c r="P81" s="244">
        <v>2018.25</v>
      </c>
      <c r="Q81" s="244">
        <v>1285.8800000000001</v>
      </c>
      <c r="R81" s="244">
        <v>5438</v>
      </c>
      <c r="S81" s="244">
        <v>459.24</v>
      </c>
      <c r="T81" s="244"/>
      <c r="U81" s="245"/>
      <c r="W81" s="245"/>
      <c r="X81" s="246"/>
      <c r="Y81" s="246">
        <f t="shared" si="14"/>
        <v>9.2122641509433958</v>
      </c>
      <c r="Z81" s="246">
        <f t="shared" si="14"/>
        <v>4.871509433962264</v>
      </c>
      <c r="AA81" s="245">
        <f t="shared" si="11"/>
        <v>7.3549999999999995</v>
      </c>
      <c r="AB81" s="245">
        <f t="shared" si="11"/>
        <v>24.271886792452833</v>
      </c>
      <c r="AC81" s="245">
        <f t="shared" si="11"/>
        <v>11.653301886792454</v>
      </c>
      <c r="AD81" s="245">
        <f t="shared" si="11"/>
        <v>21.321981132075472</v>
      </c>
      <c r="AE81" s="245">
        <f t="shared" si="11"/>
        <v>19.040094339622641</v>
      </c>
      <c r="AF81" s="245">
        <f t="shared" si="11"/>
        <v>12.130943396226415</v>
      </c>
      <c r="AG81" s="245">
        <f t="shared" si="11"/>
        <v>51.301886792452834</v>
      </c>
      <c r="AH81" s="245">
        <f t="shared" si="11"/>
        <v>4.3324528301886795</v>
      </c>
      <c r="AI81" s="245">
        <f t="shared" si="11"/>
        <v>0</v>
      </c>
      <c r="AJ81" s="247">
        <f t="shared" si="12"/>
        <v>165.49132075471698</v>
      </c>
    </row>
    <row r="82" spans="1:36">
      <c r="A82" s="231" t="str">
        <f t="shared" si="13"/>
        <v>JBLM HOUSINGResidentialUNRETURN-RES</v>
      </c>
      <c r="B82" s="243" t="s">
        <v>492</v>
      </c>
      <c r="C82" s="243" t="s">
        <v>493</v>
      </c>
      <c r="D82" s="243" t="s">
        <v>424</v>
      </c>
      <c r="E82" s="230">
        <v>32001</v>
      </c>
      <c r="F82" s="244">
        <v>0</v>
      </c>
      <c r="G82" s="244">
        <v>0</v>
      </c>
      <c r="H82" s="244"/>
      <c r="I82" s="244">
        <v>0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/>
      <c r="U82" s="245"/>
      <c r="W82" s="245"/>
      <c r="X82" s="246"/>
      <c r="Y82" s="246">
        <f t="shared" si="14"/>
        <v>0</v>
      </c>
      <c r="Z82" s="246">
        <f t="shared" si="14"/>
        <v>0</v>
      </c>
      <c r="AA82" s="245">
        <f t="shared" si="11"/>
        <v>0</v>
      </c>
      <c r="AB82" s="245">
        <f t="shared" si="11"/>
        <v>0</v>
      </c>
      <c r="AC82" s="245">
        <f t="shared" si="11"/>
        <v>0</v>
      </c>
      <c r="AD82" s="245">
        <f t="shared" si="11"/>
        <v>0</v>
      </c>
      <c r="AE82" s="245">
        <f t="shared" si="11"/>
        <v>0</v>
      </c>
      <c r="AF82" s="245">
        <f t="shared" si="11"/>
        <v>0</v>
      </c>
      <c r="AG82" s="245">
        <f t="shared" si="11"/>
        <v>0</v>
      </c>
      <c r="AH82" s="245">
        <f t="shared" si="11"/>
        <v>0</v>
      </c>
      <c r="AI82" s="245">
        <f t="shared" si="11"/>
        <v>0</v>
      </c>
      <c r="AJ82" s="247">
        <f t="shared" si="12"/>
        <v>0</v>
      </c>
    </row>
    <row r="83" spans="1:36">
      <c r="A83" s="231" t="str">
        <f t="shared" si="13"/>
        <v>JBLM HOUSINGResidentialADJ-RES</v>
      </c>
      <c r="B83" s="243" t="s">
        <v>494</v>
      </c>
      <c r="C83" s="243"/>
      <c r="D83" s="243"/>
      <c r="F83" s="244"/>
      <c r="G83" s="244"/>
      <c r="H83" s="244"/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5"/>
      <c r="V83" s="408">
        <f t="shared" ref="V75:V83" si="15">SUM(I83:T83)</f>
        <v>0</v>
      </c>
      <c r="W83" s="245"/>
      <c r="X83" s="246">
        <f t="shared" si="14"/>
        <v>0</v>
      </c>
      <c r="Y83" s="246">
        <f t="shared" si="14"/>
        <v>0</v>
      </c>
      <c r="Z83" s="246">
        <f t="shared" si="14"/>
        <v>0</v>
      </c>
      <c r="AA83" s="245">
        <f t="shared" si="11"/>
        <v>0</v>
      </c>
      <c r="AB83" s="245">
        <f t="shared" si="11"/>
        <v>0</v>
      </c>
      <c r="AC83" s="245">
        <f t="shared" si="11"/>
        <v>0</v>
      </c>
      <c r="AD83" s="245">
        <f t="shared" si="11"/>
        <v>0</v>
      </c>
      <c r="AE83" s="245">
        <f t="shared" si="11"/>
        <v>0</v>
      </c>
      <c r="AF83" s="245">
        <f t="shared" si="11"/>
        <v>0</v>
      </c>
      <c r="AG83" s="245">
        <f t="shared" si="11"/>
        <v>0</v>
      </c>
      <c r="AH83" s="245">
        <f t="shared" si="11"/>
        <v>0</v>
      </c>
      <c r="AI83" s="245">
        <f t="shared" si="11"/>
        <v>0</v>
      </c>
      <c r="AJ83" s="247">
        <f t="shared" si="12"/>
        <v>0</v>
      </c>
    </row>
    <row r="84" spans="1:36">
      <c r="B84" s="243"/>
      <c r="C84" s="243"/>
      <c r="D84" s="243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5"/>
      <c r="W84" s="245"/>
      <c r="X84" s="246"/>
      <c r="Y84" s="246"/>
      <c r="Z84" s="246"/>
      <c r="AA84" s="245"/>
      <c r="AB84" s="245"/>
      <c r="AC84" s="245"/>
      <c r="AD84" s="245"/>
      <c r="AE84" s="245"/>
      <c r="AF84" s="245"/>
      <c r="AG84" s="245"/>
      <c r="AH84" s="245"/>
      <c r="AI84" s="245"/>
      <c r="AJ84" s="247">
        <f t="shared" si="12"/>
        <v>0</v>
      </c>
    </row>
    <row r="85" spans="1:36">
      <c r="B85" s="243"/>
      <c r="C85" s="248" t="s">
        <v>143</v>
      </c>
      <c r="D85" s="243"/>
      <c r="F85" s="244"/>
      <c r="G85" s="244"/>
      <c r="H85" s="249"/>
      <c r="I85" s="250">
        <f>SUM(I11:I83)</f>
        <v>118773.18</v>
      </c>
      <c r="J85" s="250">
        <f>SUM(J11:J83)</f>
        <v>190443.81999999998</v>
      </c>
      <c r="K85" s="250">
        <f t="shared" ref="K85:V85" si="16">SUM(K11:K83)</f>
        <v>46241.749999999985</v>
      </c>
      <c r="L85" s="250">
        <f t="shared" si="16"/>
        <v>120695.67</v>
      </c>
      <c r="M85" s="250">
        <f t="shared" si="16"/>
        <v>123835.47</v>
      </c>
      <c r="N85" s="250">
        <f t="shared" si="16"/>
        <v>121756.74000000002</v>
      </c>
      <c r="O85" s="250">
        <f t="shared" si="16"/>
        <v>122543.68000000002</v>
      </c>
      <c r="P85" s="250">
        <f t="shared" si="16"/>
        <v>124097.50000000001</v>
      </c>
      <c r="Q85" s="250">
        <f t="shared" si="16"/>
        <v>122435.64000000001</v>
      </c>
      <c r="R85" s="250">
        <f t="shared" si="16"/>
        <v>127935.14</v>
      </c>
      <c r="S85" s="250">
        <f t="shared" si="16"/>
        <v>123674.54000000001</v>
      </c>
      <c r="T85" s="250">
        <f t="shared" si="16"/>
        <v>122853.07</v>
      </c>
      <c r="U85" s="251"/>
      <c r="V85" s="413">
        <f t="shared" si="16"/>
        <v>1423655.44</v>
      </c>
      <c r="W85" s="254"/>
      <c r="X85" s="246">
        <f>SUM(X11:X47)</f>
        <v>4252</v>
      </c>
      <c r="Y85" s="246">
        <f>SUM(Y11:Y47)</f>
        <v>7545.6428900138053</v>
      </c>
      <c r="Z85" s="246">
        <f>SUM(Z11:Z47)</f>
        <v>954.10722503451393</v>
      </c>
      <c r="AA85" s="246">
        <f t="shared" ref="AA85:AI85" si="17">SUM(AA11:AA47)</f>
        <v>4252</v>
      </c>
      <c r="AB85" s="246">
        <f t="shared" si="17"/>
        <v>4247.25</v>
      </c>
      <c r="AC85" s="246">
        <f t="shared" si="17"/>
        <v>4251</v>
      </c>
      <c r="AD85" s="246">
        <f t="shared" si="17"/>
        <v>4248.1433518005542</v>
      </c>
      <c r="AE85" s="246">
        <f t="shared" si="17"/>
        <v>4249.75</v>
      </c>
      <c r="AF85" s="246">
        <f>SUM(AF11:AF47)</f>
        <v>4253</v>
      </c>
      <c r="AG85" s="246">
        <f t="shared" si="17"/>
        <v>4252.8499999999995</v>
      </c>
      <c r="AH85" s="246">
        <f t="shared" si="17"/>
        <v>4253.7999999999993</v>
      </c>
      <c r="AI85" s="246">
        <f t="shared" si="17"/>
        <v>4257</v>
      </c>
      <c r="AJ85" s="247">
        <f t="shared" si="12"/>
        <v>51016.543466848874</v>
      </c>
    </row>
    <row r="86" spans="1:36">
      <c r="B86" s="243"/>
      <c r="C86" s="243"/>
      <c r="D86" s="243"/>
      <c r="F86" s="244"/>
      <c r="G86" s="244"/>
      <c r="H86" s="249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9"/>
      <c r="W86" s="272"/>
      <c r="X86" s="246"/>
      <c r="Y86" s="246"/>
      <c r="Z86" s="246"/>
      <c r="AA86" s="245"/>
      <c r="AB86" s="245"/>
      <c r="AC86" s="245"/>
      <c r="AD86" s="245"/>
      <c r="AE86" s="245"/>
      <c r="AF86" s="245"/>
      <c r="AG86" s="245"/>
      <c r="AH86" s="245"/>
      <c r="AI86" s="245"/>
      <c r="AJ86" s="247">
        <f t="shared" si="12"/>
        <v>0</v>
      </c>
    </row>
    <row r="87" spans="1:36">
      <c r="B87" s="252" t="s">
        <v>144</v>
      </c>
      <c r="C87" s="243"/>
      <c r="D87" s="243"/>
      <c r="F87" s="244"/>
      <c r="G87" s="244"/>
      <c r="H87" s="249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9"/>
      <c r="W87" s="272"/>
      <c r="X87" s="246"/>
      <c r="Y87" s="246"/>
      <c r="Z87" s="246"/>
      <c r="AA87" s="245"/>
      <c r="AB87" s="245"/>
      <c r="AC87" s="245"/>
      <c r="AD87" s="245"/>
      <c r="AE87" s="245"/>
      <c r="AF87" s="245"/>
      <c r="AG87" s="245"/>
      <c r="AH87" s="245"/>
      <c r="AI87" s="245"/>
      <c r="AJ87" s="247">
        <f t="shared" si="12"/>
        <v>0</v>
      </c>
    </row>
    <row r="88" spans="1:36">
      <c r="A88" s="231" t="str">
        <f>$A$3&amp;"Residential"&amp;B88</f>
        <v>JBLM HOUSINGResidentialRECBINONLYR</v>
      </c>
      <c r="B88" s="243" t="s">
        <v>498</v>
      </c>
      <c r="C88" s="243" t="s">
        <v>145</v>
      </c>
      <c r="D88" s="243" t="s">
        <v>499</v>
      </c>
      <c r="E88" s="230">
        <v>32100</v>
      </c>
      <c r="F88" s="244">
        <v>5.07</v>
      </c>
      <c r="G88" s="244">
        <v>5.07</v>
      </c>
      <c r="H88" s="244"/>
      <c r="I88" s="244">
        <v>10.14</v>
      </c>
      <c r="J88" s="244">
        <v>10.14</v>
      </c>
      <c r="K88" s="244">
        <v>10.14</v>
      </c>
      <c r="L88" s="244">
        <v>10.14</v>
      </c>
      <c r="M88" s="244">
        <v>10.14</v>
      </c>
      <c r="N88" s="244">
        <v>10.14</v>
      </c>
      <c r="O88" s="244">
        <v>10.14</v>
      </c>
      <c r="P88" s="244">
        <v>10.14</v>
      </c>
      <c r="Q88" s="244">
        <v>10.14</v>
      </c>
      <c r="R88" s="244">
        <v>10.14</v>
      </c>
      <c r="S88" s="244">
        <v>10.14</v>
      </c>
      <c r="T88" s="244">
        <v>10.14</v>
      </c>
      <c r="U88" s="245"/>
      <c r="V88" s="408">
        <f>SUM(I88:T88)</f>
        <v>121.68</v>
      </c>
      <c r="W88" s="245"/>
      <c r="X88" s="246">
        <f t="shared" ref="X88:Z90" si="18">IFERROR(I88/$F88,0)</f>
        <v>2</v>
      </c>
      <c r="Y88" s="246">
        <f t="shared" si="18"/>
        <v>2</v>
      </c>
      <c r="Z88" s="246">
        <f t="shared" si="18"/>
        <v>2</v>
      </c>
      <c r="AA88" s="245">
        <f t="shared" ref="AA88:AI90" si="19">IFERROR(L88/$G88,0)</f>
        <v>2</v>
      </c>
      <c r="AB88" s="245">
        <f t="shared" si="19"/>
        <v>2</v>
      </c>
      <c r="AC88" s="245">
        <f t="shared" si="19"/>
        <v>2</v>
      </c>
      <c r="AD88" s="245">
        <f t="shared" si="19"/>
        <v>2</v>
      </c>
      <c r="AE88" s="245">
        <f t="shared" si="19"/>
        <v>2</v>
      </c>
      <c r="AF88" s="245">
        <f t="shared" si="19"/>
        <v>2</v>
      </c>
      <c r="AG88" s="245">
        <f t="shared" si="19"/>
        <v>2</v>
      </c>
      <c r="AH88" s="245">
        <f t="shared" si="19"/>
        <v>2</v>
      </c>
      <c r="AI88" s="245">
        <f t="shared" si="19"/>
        <v>2</v>
      </c>
      <c r="AJ88" s="247">
        <f t="shared" si="12"/>
        <v>24</v>
      </c>
    </row>
    <row r="89" spans="1:36">
      <c r="A89" s="231" t="str">
        <f>$A$3&amp;"Residential"&amp;B89</f>
        <v>JBLM HOUSINGResidentialRECPROGADJ-RES</v>
      </c>
      <c r="B89" s="243" t="s">
        <v>500</v>
      </c>
      <c r="C89" s="243" t="s">
        <v>501</v>
      </c>
      <c r="D89" s="243" t="s">
        <v>499</v>
      </c>
      <c r="E89" s="230">
        <v>32100</v>
      </c>
      <c r="F89" s="244">
        <v>5.07</v>
      </c>
      <c r="G89" s="244">
        <v>5.07</v>
      </c>
      <c r="H89" s="244"/>
      <c r="I89" s="244">
        <v>21288.93</v>
      </c>
      <c r="J89" s="244">
        <v>21283.86</v>
      </c>
      <c r="K89" s="244">
        <v>21283.86</v>
      </c>
      <c r="L89" s="244">
        <v>21283.86</v>
      </c>
      <c r="M89" s="244">
        <v>21287.66</v>
      </c>
      <c r="N89" s="244">
        <v>21288.93</v>
      </c>
      <c r="O89" s="244">
        <v>21288.93</v>
      </c>
      <c r="P89" s="244">
        <v>21288.93</v>
      </c>
      <c r="Q89" s="244">
        <v>21309.21</v>
      </c>
      <c r="R89" s="244">
        <v>21258.510000000002</v>
      </c>
      <c r="S89" s="244">
        <v>21283.86</v>
      </c>
      <c r="T89" s="244">
        <v>21288.93</v>
      </c>
      <c r="U89" s="245"/>
      <c r="V89" s="408">
        <f>SUM(I89:T89)</f>
        <v>255435.46999999997</v>
      </c>
      <c r="W89" s="245"/>
      <c r="X89" s="246">
        <f t="shared" si="18"/>
        <v>4199</v>
      </c>
      <c r="Y89" s="246">
        <f t="shared" si="18"/>
        <v>4198</v>
      </c>
      <c r="Z89" s="246">
        <f t="shared" si="18"/>
        <v>4198</v>
      </c>
      <c r="AA89" s="245">
        <f t="shared" si="19"/>
        <v>4198</v>
      </c>
      <c r="AB89" s="245">
        <f t="shared" si="19"/>
        <v>4198.749506903353</v>
      </c>
      <c r="AC89" s="245">
        <f t="shared" si="19"/>
        <v>4199</v>
      </c>
      <c r="AD89" s="245">
        <f t="shared" si="19"/>
        <v>4199</v>
      </c>
      <c r="AE89" s="245">
        <f t="shared" si="19"/>
        <v>4199</v>
      </c>
      <c r="AF89" s="245">
        <f t="shared" si="19"/>
        <v>4203</v>
      </c>
      <c r="AG89" s="245">
        <f t="shared" si="19"/>
        <v>4193</v>
      </c>
      <c r="AH89" s="245">
        <f t="shared" si="19"/>
        <v>4198</v>
      </c>
      <c r="AI89" s="245">
        <f t="shared" si="19"/>
        <v>4199</v>
      </c>
      <c r="AJ89" s="247">
        <f t="shared" si="12"/>
        <v>50381.749506903354</v>
      </c>
    </row>
    <row r="90" spans="1:36">
      <c r="A90" s="231" t="str">
        <f>$A$3&amp;"Commercial Recycle"&amp;B90</f>
        <v>JBLM HOUSINGCommercial RecycleMFWBINS</v>
      </c>
      <c r="B90" s="243" t="s">
        <v>661</v>
      </c>
      <c r="C90" s="243" t="s">
        <v>662</v>
      </c>
      <c r="D90" s="243" t="s">
        <v>663</v>
      </c>
      <c r="E90" s="267">
        <v>33020</v>
      </c>
      <c r="F90" s="244">
        <v>1.7</v>
      </c>
      <c r="G90" s="244">
        <v>1.7</v>
      </c>
      <c r="H90" s="244"/>
      <c r="I90" s="244">
        <v>1198.5</v>
      </c>
      <c r="J90" s="244">
        <v>1198.5</v>
      </c>
      <c r="K90" s="244">
        <v>1198.5</v>
      </c>
      <c r="L90" s="244">
        <v>1198.5</v>
      </c>
      <c r="M90" s="244">
        <v>1198.5</v>
      </c>
      <c r="N90" s="244">
        <v>1198.5</v>
      </c>
      <c r="O90" s="244">
        <v>1198.5</v>
      </c>
      <c r="P90" s="244">
        <v>1198.5</v>
      </c>
      <c r="Q90" s="244">
        <v>1198.5</v>
      </c>
      <c r="R90" s="244">
        <v>1198.5</v>
      </c>
      <c r="S90" s="244">
        <v>1198.5</v>
      </c>
      <c r="T90" s="244">
        <v>1198.5</v>
      </c>
      <c r="U90" s="245"/>
      <c r="V90" s="408">
        <f>SUM(I90:T90)</f>
        <v>14382</v>
      </c>
      <c r="W90" s="245"/>
      <c r="X90" s="246">
        <f t="shared" si="18"/>
        <v>705</v>
      </c>
      <c r="Y90" s="246">
        <f t="shared" si="18"/>
        <v>705</v>
      </c>
      <c r="Z90" s="246">
        <f t="shared" si="18"/>
        <v>705</v>
      </c>
      <c r="AA90" s="245">
        <f t="shared" si="19"/>
        <v>705</v>
      </c>
      <c r="AB90" s="245">
        <f t="shared" si="19"/>
        <v>705</v>
      </c>
      <c r="AC90" s="245">
        <f t="shared" si="19"/>
        <v>705</v>
      </c>
      <c r="AD90" s="245">
        <f t="shared" si="19"/>
        <v>705</v>
      </c>
      <c r="AE90" s="245">
        <f t="shared" si="19"/>
        <v>705</v>
      </c>
      <c r="AF90" s="245">
        <f t="shared" si="19"/>
        <v>705</v>
      </c>
      <c r="AG90" s="245">
        <f t="shared" si="19"/>
        <v>705</v>
      </c>
      <c r="AH90" s="245">
        <f t="shared" si="19"/>
        <v>705</v>
      </c>
      <c r="AI90" s="245">
        <f t="shared" si="19"/>
        <v>705</v>
      </c>
      <c r="AJ90" s="247">
        <f t="shared" si="12"/>
        <v>8460</v>
      </c>
    </row>
    <row r="91" spans="1:36">
      <c r="B91" s="243"/>
      <c r="C91" s="243"/>
      <c r="D91" s="243"/>
      <c r="E91" s="267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5"/>
      <c r="W91" s="245"/>
      <c r="X91" s="246"/>
      <c r="Y91" s="246"/>
      <c r="Z91" s="246"/>
      <c r="AA91" s="245"/>
      <c r="AB91" s="245"/>
      <c r="AC91" s="245"/>
      <c r="AD91" s="245"/>
      <c r="AE91" s="245"/>
      <c r="AF91" s="245"/>
      <c r="AG91" s="245"/>
      <c r="AH91" s="245"/>
      <c r="AI91" s="245"/>
      <c r="AJ91" s="247">
        <f t="shared" si="12"/>
        <v>0</v>
      </c>
    </row>
    <row r="92" spans="1:36">
      <c r="B92" s="243"/>
      <c r="C92" s="248" t="s">
        <v>146</v>
      </c>
      <c r="D92" s="243"/>
      <c r="F92" s="244"/>
      <c r="G92" s="244"/>
      <c r="H92" s="249"/>
      <c r="I92" s="250">
        <f>SUM(I88:I91)</f>
        <v>22497.57</v>
      </c>
      <c r="J92" s="250">
        <f>SUM(J88:J91)</f>
        <v>22492.5</v>
      </c>
      <c r="K92" s="250">
        <f>SUM(K88:K91)</f>
        <v>22492.5</v>
      </c>
      <c r="L92" s="250">
        <f>SUM(L88:L91)</f>
        <v>22492.5</v>
      </c>
      <c r="M92" s="250">
        <f t="shared" ref="M92:S92" si="20">SUM(M88:M91)</f>
        <v>22496.3</v>
      </c>
      <c r="N92" s="250">
        <f t="shared" si="20"/>
        <v>22497.57</v>
      </c>
      <c r="O92" s="250">
        <f t="shared" si="20"/>
        <v>22497.57</v>
      </c>
      <c r="P92" s="250">
        <f t="shared" si="20"/>
        <v>22497.57</v>
      </c>
      <c r="Q92" s="250">
        <f t="shared" si="20"/>
        <v>22517.85</v>
      </c>
      <c r="R92" s="250">
        <f t="shared" si="20"/>
        <v>22467.15</v>
      </c>
      <c r="S92" s="250">
        <f t="shared" si="20"/>
        <v>22492.5</v>
      </c>
      <c r="T92" s="250">
        <f>SUM(T88:T91)</f>
        <v>22497.57</v>
      </c>
      <c r="U92" s="251"/>
      <c r="V92" s="413">
        <f>SUM(V88:V91)</f>
        <v>269939.14999999997</v>
      </c>
      <c r="W92" s="254"/>
      <c r="X92" s="246">
        <f>SUM(X88:X91)</f>
        <v>4906</v>
      </c>
      <c r="Y92" s="246">
        <f>SUM(Y88:Y91)</f>
        <v>4905</v>
      </c>
      <c r="Z92" s="246">
        <f t="shared" ref="Z92:AI92" si="21">SUM(Z88:Z91)</f>
        <v>4905</v>
      </c>
      <c r="AA92" s="246">
        <f>SUM(AA88:AA91)</f>
        <v>4905</v>
      </c>
      <c r="AB92" s="246">
        <f t="shared" si="21"/>
        <v>4905.749506903353</v>
      </c>
      <c r="AC92" s="246">
        <f t="shared" si="21"/>
        <v>4906</v>
      </c>
      <c r="AD92" s="246">
        <f t="shared" si="21"/>
        <v>4906</v>
      </c>
      <c r="AE92" s="246">
        <f t="shared" si="21"/>
        <v>4906</v>
      </c>
      <c r="AF92" s="246">
        <f t="shared" si="21"/>
        <v>4910</v>
      </c>
      <c r="AG92" s="246">
        <f t="shared" si="21"/>
        <v>4900</v>
      </c>
      <c r="AH92" s="246">
        <f t="shared" si="21"/>
        <v>4905</v>
      </c>
      <c r="AI92" s="246">
        <f t="shared" si="21"/>
        <v>4906</v>
      </c>
      <c r="AJ92" s="247">
        <f t="shared" si="12"/>
        <v>58865.749506903354</v>
      </c>
    </row>
    <row r="93" spans="1:36">
      <c r="B93" s="243"/>
      <c r="C93" s="248"/>
      <c r="D93" s="243"/>
      <c r="F93" s="244"/>
      <c r="G93" s="244"/>
      <c r="H93" s="249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4"/>
      <c r="V93" s="430"/>
      <c r="W93" s="254"/>
      <c r="X93" s="246"/>
      <c r="Y93" s="246"/>
      <c r="Z93" s="246"/>
      <c r="AA93" s="245"/>
      <c r="AB93" s="245"/>
      <c r="AC93" s="245"/>
      <c r="AD93" s="245"/>
      <c r="AE93" s="245"/>
      <c r="AF93" s="245"/>
      <c r="AG93" s="245"/>
      <c r="AH93" s="245"/>
      <c r="AI93" s="245"/>
      <c r="AJ93" s="247">
        <f t="shared" si="12"/>
        <v>0</v>
      </c>
    </row>
    <row r="94" spans="1:36">
      <c r="A94" s="231" t="str">
        <f>$A$3&amp;"Residential"&amp;B94</f>
        <v>JBLM HOUSINGResidentialRECVALRES</v>
      </c>
      <c r="B94" s="243" t="s">
        <v>507</v>
      </c>
      <c r="C94" s="243" t="s">
        <v>508</v>
      </c>
      <c r="D94" s="243" t="s">
        <v>505</v>
      </c>
      <c r="E94" s="230">
        <v>35527</v>
      </c>
      <c r="F94" s="244">
        <v>-0.48</v>
      </c>
      <c r="G94" s="244">
        <v>-0.48</v>
      </c>
      <c r="H94" s="244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45"/>
      <c r="W94" s="245"/>
      <c r="X94" s="246">
        <f>IFERROR(I94/$F94,0)</f>
        <v>0</v>
      </c>
      <c r="Y94" s="246">
        <f>IFERROR(J94/$F94,0)</f>
        <v>0</v>
      </c>
      <c r="Z94" s="246">
        <f>IFERROR(K94/$F94,0)</f>
        <v>0</v>
      </c>
      <c r="AA94" s="245">
        <f t="shared" ref="AA94:AI94" si="22">IFERROR(L94/$G94,0)</f>
        <v>0</v>
      </c>
      <c r="AB94" s="245">
        <f t="shared" si="22"/>
        <v>0</v>
      </c>
      <c r="AC94" s="245">
        <f t="shared" si="22"/>
        <v>0</v>
      </c>
      <c r="AD94" s="245">
        <f t="shared" si="22"/>
        <v>0</v>
      </c>
      <c r="AE94" s="245">
        <f t="shared" si="22"/>
        <v>0</v>
      </c>
      <c r="AF94" s="245">
        <f t="shared" si="22"/>
        <v>0</v>
      </c>
      <c r="AG94" s="245">
        <f t="shared" si="22"/>
        <v>0</v>
      </c>
      <c r="AH94" s="245">
        <f t="shared" si="22"/>
        <v>0</v>
      </c>
      <c r="AI94" s="245">
        <f t="shared" si="22"/>
        <v>0</v>
      </c>
      <c r="AJ94" s="247">
        <f t="shared" si="12"/>
        <v>0</v>
      </c>
    </row>
    <row r="95" spans="1:36">
      <c r="B95" s="243"/>
      <c r="C95" s="248"/>
      <c r="D95" s="243"/>
      <c r="F95" s="244"/>
      <c r="G95" s="244"/>
      <c r="H95" s="249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9"/>
      <c r="W95" s="272"/>
      <c r="X95" s="246"/>
      <c r="Y95" s="246"/>
      <c r="Z95" s="246"/>
      <c r="AA95" s="245"/>
      <c r="AB95" s="245"/>
      <c r="AC95" s="245"/>
      <c r="AD95" s="245"/>
      <c r="AE95" s="245"/>
      <c r="AF95" s="245"/>
      <c r="AG95" s="245"/>
      <c r="AH95" s="245"/>
      <c r="AI95" s="245"/>
      <c r="AJ95" s="247">
        <f t="shared" si="12"/>
        <v>0</v>
      </c>
    </row>
    <row r="96" spans="1:36">
      <c r="B96" s="252" t="s">
        <v>147</v>
      </c>
      <c r="C96" s="243"/>
      <c r="D96" s="243"/>
      <c r="F96" s="244"/>
      <c r="G96" s="244"/>
      <c r="H96" s="249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9"/>
      <c r="W96" s="272"/>
      <c r="X96" s="246"/>
      <c r="Y96" s="246"/>
      <c r="Z96" s="246"/>
      <c r="AA96" s="245"/>
      <c r="AB96" s="245"/>
      <c r="AC96" s="245"/>
      <c r="AD96" s="245"/>
      <c r="AE96" s="245"/>
      <c r="AF96" s="245"/>
      <c r="AG96" s="245"/>
      <c r="AH96" s="245"/>
      <c r="AI96" s="245"/>
      <c r="AJ96" s="247">
        <f t="shared" si="12"/>
        <v>0</v>
      </c>
    </row>
    <row r="97" spans="1:36">
      <c r="A97" s="231" t="str">
        <f>$A$3&amp;"Residential"&amp;B97</f>
        <v>JBLM HOUSINGResidentialGWRES</v>
      </c>
      <c r="B97" s="243" t="s">
        <v>517</v>
      </c>
      <c r="C97" s="243" t="s">
        <v>518</v>
      </c>
      <c r="D97" s="243" t="s">
        <v>519</v>
      </c>
      <c r="E97" s="230">
        <v>32110</v>
      </c>
      <c r="F97" s="244">
        <v>5.53</v>
      </c>
      <c r="G97" s="244">
        <v>5.53</v>
      </c>
      <c r="H97" s="244"/>
      <c r="I97" s="244">
        <v>3124.45</v>
      </c>
      <c r="J97" s="244">
        <v>3129.98</v>
      </c>
      <c r="K97" s="244">
        <v>3118.92</v>
      </c>
      <c r="L97" s="244">
        <v>3129.98</v>
      </c>
      <c r="M97" s="244">
        <v>3157.63</v>
      </c>
      <c r="N97" s="244">
        <v>3185.28</v>
      </c>
      <c r="O97" s="244">
        <v>3262.7</v>
      </c>
      <c r="P97" s="244">
        <v>3367.77</v>
      </c>
      <c r="Q97" s="244">
        <v>3400.95</v>
      </c>
      <c r="R97" s="244">
        <v>3412.01</v>
      </c>
      <c r="S97" s="244">
        <v>3439.66</v>
      </c>
      <c r="T97" s="244">
        <v>3453.49</v>
      </c>
      <c r="U97" s="245"/>
      <c r="V97" s="408">
        <f>SUM(I97:T97)</f>
        <v>39182.82</v>
      </c>
      <c r="W97" s="245"/>
      <c r="X97" s="246">
        <f t="shared" ref="X97:Z100" si="23">IFERROR(I97/$F97,0)</f>
        <v>564.99999999999989</v>
      </c>
      <c r="Y97" s="246">
        <f t="shared" si="23"/>
        <v>566</v>
      </c>
      <c r="Z97" s="246">
        <f t="shared" si="23"/>
        <v>564</v>
      </c>
      <c r="AA97" s="245">
        <f t="shared" ref="AA97:AI100" si="24">IFERROR(L97/$G97,0)</f>
        <v>566</v>
      </c>
      <c r="AB97" s="245">
        <f t="shared" si="24"/>
        <v>571</v>
      </c>
      <c r="AC97" s="245">
        <f t="shared" si="24"/>
        <v>576</v>
      </c>
      <c r="AD97" s="245">
        <f t="shared" si="24"/>
        <v>589.99999999999989</v>
      </c>
      <c r="AE97" s="245">
        <f t="shared" si="24"/>
        <v>609</v>
      </c>
      <c r="AF97" s="245">
        <f t="shared" si="24"/>
        <v>614.99999999999989</v>
      </c>
      <c r="AG97" s="245">
        <f t="shared" si="24"/>
        <v>617</v>
      </c>
      <c r="AH97" s="245">
        <f t="shared" si="24"/>
        <v>622</v>
      </c>
      <c r="AI97" s="245">
        <f t="shared" si="24"/>
        <v>624.50090415913189</v>
      </c>
      <c r="AJ97" s="247">
        <f t="shared" si="12"/>
        <v>7085.500904159132</v>
      </c>
    </row>
    <row r="98" spans="1:36">
      <c r="A98" s="231" t="str">
        <f>$A$3&amp;"Residential"&amp;B98</f>
        <v>JBLM HOUSINGResidentialGW3RES</v>
      </c>
      <c r="B98" s="243" t="s">
        <v>865</v>
      </c>
      <c r="C98" s="243" t="s">
        <v>866</v>
      </c>
      <c r="D98" s="243" t="s">
        <v>519</v>
      </c>
      <c r="E98" s="230">
        <v>32110</v>
      </c>
      <c r="F98" s="244">
        <v>0</v>
      </c>
      <c r="G98" s="244">
        <v>0</v>
      </c>
      <c r="H98" s="244"/>
      <c r="I98" s="244">
        <v>0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5"/>
      <c r="V98" s="408">
        <f>SUM(I98:T98)</f>
        <v>0</v>
      </c>
      <c r="W98" s="245"/>
      <c r="X98" s="246">
        <f t="shared" si="23"/>
        <v>0</v>
      </c>
      <c r="Y98" s="246">
        <f t="shared" si="23"/>
        <v>0</v>
      </c>
      <c r="Z98" s="246">
        <f t="shared" si="23"/>
        <v>0</v>
      </c>
      <c r="AA98" s="245">
        <f t="shared" si="24"/>
        <v>0</v>
      </c>
      <c r="AB98" s="245">
        <f t="shared" si="24"/>
        <v>0</v>
      </c>
      <c r="AC98" s="245">
        <f t="shared" si="24"/>
        <v>0</v>
      </c>
      <c r="AD98" s="245">
        <f t="shared" si="24"/>
        <v>0</v>
      </c>
      <c r="AE98" s="245">
        <f t="shared" si="24"/>
        <v>0</v>
      </c>
      <c r="AF98" s="245">
        <f t="shared" si="24"/>
        <v>0</v>
      </c>
      <c r="AG98" s="245">
        <f t="shared" si="24"/>
        <v>0</v>
      </c>
      <c r="AH98" s="245">
        <f t="shared" si="24"/>
        <v>0</v>
      </c>
      <c r="AI98" s="245">
        <f t="shared" si="24"/>
        <v>0</v>
      </c>
      <c r="AJ98" s="247">
        <f t="shared" si="12"/>
        <v>0</v>
      </c>
    </row>
    <row r="99" spans="1:36">
      <c r="A99" s="231" t="str">
        <f>$A$3&amp;"Residential"&amp;B99</f>
        <v>JBLM HOUSINGResidentialEXTRAGWC-RES</v>
      </c>
      <c r="B99" s="243" t="s">
        <v>520</v>
      </c>
      <c r="C99" s="243" t="s">
        <v>521</v>
      </c>
      <c r="D99" s="243" t="s">
        <v>519</v>
      </c>
      <c r="E99" s="230">
        <v>32111</v>
      </c>
      <c r="F99" s="244">
        <v>0</v>
      </c>
      <c r="G99" s="244">
        <v>0</v>
      </c>
      <c r="H99" s="244"/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5"/>
      <c r="V99" s="408">
        <f>SUM(I99:T99)</f>
        <v>0</v>
      </c>
      <c r="W99" s="245"/>
      <c r="X99" s="246">
        <f t="shared" si="23"/>
        <v>0</v>
      </c>
      <c r="Y99" s="246">
        <f t="shared" si="23"/>
        <v>0</v>
      </c>
      <c r="Z99" s="246">
        <f t="shared" si="23"/>
        <v>0</v>
      </c>
      <c r="AA99" s="245">
        <f t="shared" si="24"/>
        <v>0</v>
      </c>
      <c r="AB99" s="245">
        <f t="shared" si="24"/>
        <v>0</v>
      </c>
      <c r="AC99" s="245">
        <f t="shared" si="24"/>
        <v>0</v>
      </c>
      <c r="AD99" s="245">
        <f t="shared" si="24"/>
        <v>0</v>
      </c>
      <c r="AE99" s="245">
        <f t="shared" si="24"/>
        <v>0</v>
      </c>
      <c r="AF99" s="245">
        <f t="shared" si="24"/>
        <v>0</v>
      </c>
      <c r="AG99" s="245">
        <f t="shared" si="24"/>
        <v>0</v>
      </c>
      <c r="AH99" s="245">
        <f t="shared" si="24"/>
        <v>0</v>
      </c>
      <c r="AI99" s="245">
        <f t="shared" si="24"/>
        <v>0</v>
      </c>
      <c r="AJ99" s="247">
        <f t="shared" si="12"/>
        <v>0</v>
      </c>
    </row>
    <row r="100" spans="1:36">
      <c r="A100" s="231" t="str">
        <f>$A$3&amp;"Residential"&amp;B100</f>
        <v>JBLM HOUSINGResidentialSPGWSPCL-RES</v>
      </c>
      <c r="B100" s="243" t="s">
        <v>524</v>
      </c>
      <c r="C100" s="243" t="s">
        <v>525</v>
      </c>
      <c r="D100" s="243" t="s">
        <v>519</v>
      </c>
      <c r="E100" s="230">
        <v>32111</v>
      </c>
      <c r="F100" s="244">
        <v>0</v>
      </c>
      <c r="G100" s="244">
        <v>0</v>
      </c>
      <c r="H100" s="244"/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5"/>
      <c r="V100" s="408">
        <f>SUM(I100:T100)</f>
        <v>0</v>
      </c>
      <c r="W100" s="245"/>
      <c r="X100" s="246">
        <f t="shared" si="23"/>
        <v>0</v>
      </c>
      <c r="Y100" s="246">
        <f t="shared" si="23"/>
        <v>0</v>
      </c>
      <c r="Z100" s="246">
        <f t="shared" si="23"/>
        <v>0</v>
      </c>
      <c r="AA100" s="245">
        <f t="shared" si="24"/>
        <v>0</v>
      </c>
      <c r="AB100" s="245">
        <f t="shared" si="24"/>
        <v>0</v>
      </c>
      <c r="AC100" s="245">
        <f t="shared" si="24"/>
        <v>0</v>
      </c>
      <c r="AD100" s="245">
        <f t="shared" si="24"/>
        <v>0</v>
      </c>
      <c r="AE100" s="245">
        <f t="shared" si="24"/>
        <v>0</v>
      </c>
      <c r="AF100" s="245">
        <f t="shared" si="24"/>
        <v>0</v>
      </c>
      <c r="AG100" s="245">
        <f t="shared" si="24"/>
        <v>0</v>
      </c>
      <c r="AH100" s="245">
        <f t="shared" si="24"/>
        <v>0</v>
      </c>
      <c r="AI100" s="245">
        <f t="shared" si="24"/>
        <v>0</v>
      </c>
      <c r="AJ100" s="247">
        <f t="shared" si="12"/>
        <v>0</v>
      </c>
    </row>
    <row r="101" spans="1:36">
      <c r="B101" s="243"/>
      <c r="C101" s="248" t="s">
        <v>148</v>
      </c>
      <c r="D101" s="243"/>
      <c r="F101" s="244"/>
      <c r="G101" s="244"/>
      <c r="H101" s="249"/>
      <c r="I101" s="250">
        <f>SUM(I97:I100)</f>
        <v>3124.45</v>
      </c>
      <c r="J101" s="250">
        <f>SUM(J97:J100)</f>
        <v>3129.98</v>
      </c>
      <c r="K101" s="250">
        <f>SUM(K97:K100)</f>
        <v>3118.92</v>
      </c>
      <c r="L101" s="250">
        <f>SUM(L97:L100)</f>
        <v>3129.98</v>
      </c>
      <c r="M101" s="250">
        <f t="shared" ref="M101:S101" si="25">SUM(M97:M100)</f>
        <v>3157.63</v>
      </c>
      <c r="N101" s="250">
        <f t="shared" si="25"/>
        <v>3185.28</v>
      </c>
      <c r="O101" s="250">
        <f t="shared" si="25"/>
        <v>3262.7</v>
      </c>
      <c r="P101" s="250">
        <f t="shared" si="25"/>
        <v>3367.77</v>
      </c>
      <c r="Q101" s="250">
        <f t="shared" si="25"/>
        <v>3400.95</v>
      </c>
      <c r="R101" s="250">
        <f t="shared" si="25"/>
        <v>3412.01</v>
      </c>
      <c r="S101" s="250">
        <f t="shared" si="25"/>
        <v>3439.66</v>
      </c>
      <c r="T101" s="250">
        <f>SUM(T97:T100)</f>
        <v>3453.49</v>
      </c>
      <c r="U101" s="251"/>
      <c r="V101" s="413">
        <f>SUM(V97:V100)</f>
        <v>39182.82</v>
      </c>
      <c r="W101" s="254"/>
      <c r="X101" s="246">
        <f>SUM(X97:X100)</f>
        <v>564.99999999999989</v>
      </c>
      <c r="Y101" s="246">
        <f>SUM(Y97:Y100)</f>
        <v>566</v>
      </c>
      <c r="Z101" s="246">
        <f t="shared" ref="Z101:AI101" si="26">SUM(Z97:Z100)</f>
        <v>564</v>
      </c>
      <c r="AA101" s="246">
        <f t="shared" si="26"/>
        <v>566</v>
      </c>
      <c r="AB101" s="246">
        <f t="shared" si="26"/>
        <v>571</v>
      </c>
      <c r="AC101" s="246">
        <f t="shared" si="26"/>
        <v>576</v>
      </c>
      <c r="AD101" s="246">
        <f t="shared" si="26"/>
        <v>589.99999999999989</v>
      </c>
      <c r="AE101" s="246">
        <f t="shared" si="26"/>
        <v>609</v>
      </c>
      <c r="AF101" s="246">
        <f t="shared" si="26"/>
        <v>614.99999999999989</v>
      </c>
      <c r="AG101" s="246">
        <f t="shared" si="26"/>
        <v>617</v>
      </c>
      <c r="AH101" s="246">
        <f t="shared" si="26"/>
        <v>622</v>
      </c>
      <c r="AI101" s="246">
        <f t="shared" si="26"/>
        <v>624.50090415913189</v>
      </c>
      <c r="AJ101" s="247">
        <f t="shared" si="12"/>
        <v>7085.500904159132</v>
      </c>
    </row>
    <row r="102" spans="1:36">
      <c r="B102" s="243"/>
      <c r="C102" s="248"/>
      <c r="D102" s="243"/>
      <c r="F102" s="244"/>
      <c r="G102" s="244"/>
      <c r="H102" s="249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9"/>
      <c r="W102" s="272"/>
      <c r="X102" s="246"/>
      <c r="Y102" s="246"/>
      <c r="Z102" s="246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7">
        <f t="shared" si="12"/>
        <v>0</v>
      </c>
    </row>
    <row r="103" spans="1:36">
      <c r="F103" s="244"/>
      <c r="G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X103" s="246"/>
      <c r="Y103" s="246"/>
      <c r="Z103" s="246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7">
        <f t="shared" si="12"/>
        <v>0</v>
      </c>
    </row>
    <row r="104" spans="1:36">
      <c r="F104" s="244"/>
      <c r="G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X104" s="246"/>
      <c r="Y104" s="246"/>
      <c r="Z104" s="246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7">
        <f t="shared" si="12"/>
        <v>0</v>
      </c>
    </row>
    <row r="105" spans="1:36" s="228" customFormat="1">
      <c r="B105" s="228" t="s">
        <v>526</v>
      </c>
      <c r="E105" s="236"/>
      <c r="F105" s="244"/>
      <c r="G105" s="244"/>
      <c r="I105" s="259">
        <f>+I85+I92+I101+I94</f>
        <v>144395.20000000001</v>
      </c>
      <c r="J105" s="259">
        <f>+J85+J92+J101+J94</f>
        <v>216066.3</v>
      </c>
      <c r="K105" s="259">
        <f t="shared" ref="K105:T105" si="27">+K85+K92+K101+K94</f>
        <v>71853.169999999984</v>
      </c>
      <c r="L105" s="259">
        <f t="shared" si="27"/>
        <v>146318.15</v>
      </c>
      <c r="M105" s="259">
        <f t="shared" si="27"/>
        <v>149489.4</v>
      </c>
      <c r="N105" s="259">
        <f t="shared" si="27"/>
        <v>147439.59000000003</v>
      </c>
      <c r="O105" s="259">
        <f>+O85+O92+O101+O94</f>
        <v>148303.95000000004</v>
      </c>
      <c r="P105" s="259">
        <f>+P85+P92+P101+P94</f>
        <v>149962.84</v>
      </c>
      <c r="Q105" s="259">
        <f>+Q85+Q92+Q101+Q94</f>
        <v>148354.44000000003</v>
      </c>
      <c r="R105" s="259">
        <f>+R85+R92+R101+R94</f>
        <v>153814.30000000002</v>
      </c>
      <c r="S105" s="259">
        <f>+S85+S92+S101+S94</f>
        <v>149606.70000000001</v>
      </c>
      <c r="T105" s="259">
        <f t="shared" si="27"/>
        <v>148804.13</v>
      </c>
      <c r="U105" s="260"/>
      <c r="V105" s="416">
        <f>+V85+V92+V101+V94</f>
        <v>1732777.41</v>
      </c>
      <c r="W105" s="260"/>
      <c r="X105" s="246"/>
      <c r="Y105" s="246"/>
      <c r="Z105" s="246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7">
        <f t="shared" si="12"/>
        <v>0</v>
      </c>
    </row>
    <row r="106" spans="1:36" s="228" customFormat="1">
      <c r="E106" s="236"/>
      <c r="F106" s="244"/>
      <c r="G106" s="244"/>
      <c r="H106" s="261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62"/>
      <c r="V106" s="415"/>
      <c r="W106" s="260"/>
      <c r="X106" s="246"/>
      <c r="Y106" s="246"/>
      <c r="Z106" s="246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7">
        <f t="shared" si="12"/>
        <v>0</v>
      </c>
    </row>
    <row r="107" spans="1:36" s="228" customFormat="1">
      <c r="E107" s="236"/>
      <c r="F107" s="244"/>
      <c r="G107" s="244"/>
      <c r="H107" s="261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63"/>
      <c r="V107" s="415"/>
      <c r="W107" s="289"/>
      <c r="X107" s="246"/>
      <c r="Y107" s="246"/>
      <c r="Z107" s="246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7">
        <f t="shared" si="12"/>
        <v>0</v>
      </c>
    </row>
    <row r="108" spans="1:36">
      <c r="F108" s="244"/>
      <c r="G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X108" s="246"/>
      <c r="Y108" s="246"/>
      <c r="Z108" s="246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7">
        <f t="shared" si="12"/>
        <v>0</v>
      </c>
    </row>
    <row r="109" spans="1:36">
      <c r="E109" s="264"/>
      <c r="F109" s="244"/>
      <c r="G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X109" s="246"/>
      <c r="Y109" s="246"/>
      <c r="Z109" s="246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7">
        <f t="shared" si="12"/>
        <v>0</v>
      </c>
    </row>
    <row r="110" spans="1:36">
      <c r="B110" s="238" t="s">
        <v>527</v>
      </c>
      <c r="C110" s="239"/>
      <c r="D110" s="239"/>
      <c r="F110" s="244"/>
      <c r="G110" s="244"/>
      <c r="H110" s="240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65"/>
      <c r="X110" s="246"/>
      <c r="Y110" s="246"/>
      <c r="Z110" s="246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7">
        <f t="shared" si="12"/>
        <v>0</v>
      </c>
    </row>
    <row r="111" spans="1:36">
      <c r="B111" s="238"/>
      <c r="C111" s="239"/>
      <c r="D111" s="239"/>
      <c r="F111" s="244"/>
      <c r="G111" s="244"/>
      <c r="H111" s="240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65"/>
      <c r="X111" s="246"/>
      <c r="Y111" s="246"/>
      <c r="Z111" s="246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7">
        <f t="shared" si="12"/>
        <v>0</v>
      </c>
    </row>
    <row r="112" spans="1:36">
      <c r="B112" s="242" t="s">
        <v>149</v>
      </c>
      <c r="C112" s="239"/>
      <c r="D112" s="239"/>
      <c r="F112" s="244"/>
      <c r="G112" s="244"/>
      <c r="H112" s="240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65"/>
      <c r="X112" s="246"/>
      <c r="Y112" s="246"/>
      <c r="Z112" s="246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7">
        <f t="shared" si="12"/>
        <v>0</v>
      </c>
    </row>
    <row r="113" spans="1:36">
      <c r="A113" s="231" t="str">
        <f t="shared" ref="A113:A176" si="28">$A$3&amp;"Commercial"&amp;B113</f>
        <v>JBLM HOUSINGCommercialFL001.0Y1W001</v>
      </c>
      <c r="B113" s="243" t="s">
        <v>239</v>
      </c>
      <c r="C113" s="243" t="s">
        <v>240</v>
      </c>
      <c r="D113" s="243" t="s">
        <v>528</v>
      </c>
      <c r="E113" s="230">
        <v>33000</v>
      </c>
      <c r="F113" s="244">
        <v>0</v>
      </c>
      <c r="G113" s="244">
        <v>0</v>
      </c>
      <c r="H113" s="244"/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5"/>
      <c r="V113" s="408">
        <f t="shared" ref="V113:V144" si="29">SUM(I113:T113)</f>
        <v>0</v>
      </c>
      <c r="W113" s="245"/>
      <c r="X113" s="246">
        <f t="shared" ref="X113:Z144" si="30">IFERROR(I113/$F113,0)</f>
        <v>0</v>
      </c>
      <c r="Y113" s="246">
        <f t="shared" si="30"/>
        <v>0</v>
      </c>
      <c r="Z113" s="246">
        <f t="shared" si="30"/>
        <v>0</v>
      </c>
      <c r="AA113" s="245">
        <f t="shared" ref="AA113:AI141" si="31">IFERROR(L113/$G113,0)</f>
        <v>0</v>
      </c>
      <c r="AB113" s="245">
        <f t="shared" si="31"/>
        <v>0</v>
      </c>
      <c r="AC113" s="245">
        <f t="shared" si="31"/>
        <v>0</v>
      </c>
      <c r="AD113" s="245">
        <f t="shared" si="31"/>
        <v>0</v>
      </c>
      <c r="AE113" s="245">
        <f t="shared" si="31"/>
        <v>0</v>
      </c>
      <c r="AF113" s="245">
        <f t="shared" si="31"/>
        <v>0</v>
      </c>
      <c r="AG113" s="245">
        <f t="shared" si="31"/>
        <v>0</v>
      </c>
      <c r="AH113" s="245">
        <f t="shared" si="31"/>
        <v>0</v>
      </c>
      <c r="AI113" s="245">
        <f t="shared" si="31"/>
        <v>0</v>
      </c>
      <c r="AJ113" s="247">
        <f t="shared" si="12"/>
        <v>0</v>
      </c>
    </row>
    <row r="114" spans="1:36">
      <c r="A114" s="231" t="str">
        <f t="shared" si="28"/>
        <v>JBLM HOUSINGCommercialFL001.0Y2W001</v>
      </c>
      <c r="B114" s="243" t="s">
        <v>241</v>
      </c>
      <c r="C114" s="243" t="s">
        <v>242</v>
      </c>
      <c r="D114" s="243" t="s">
        <v>528</v>
      </c>
      <c r="E114" s="230">
        <v>33000</v>
      </c>
      <c r="F114" s="244">
        <v>0</v>
      </c>
      <c r="G114" s="244">
        <v>0</v>
      </c>
      <c r="H114" s="244"/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  <c r="N114" s="244">
        <v>0</v>
      </c>
      <c r="O114" s="244">
        <v>0</v>
      </c>
      <c r="P114" s="244">
        <v>0</v>
      </c>
      <c r="Q114" s="244">
        <v>0</v>
      </c>
      <c r="R114" s="244">
        <v>0</v>
      </c>
      <c r="S114" s="244">
        <v>0</v>
      </c>
      <c r="T114" s="244">
        <v>0</v>
      </c>
      <c r="U114" s="245"/>
      <c r="V114" s="408">
        <f t="shared" si="29"/>
        <v>0</v>
      </c>
      <c r="W114" s="245"/>
      <c r="X114" s="246">
        <f t="shared" si="30"/>
        <v>0</v>
      </c>
      <c r="Y114" s="246">
        <f t="shared" si="30"/>
        <v>0</v>
      </c>
      <c r="Z114" s="246">
        <f t="shared" si="30"/>
        <v>0</v>
      </c>
      <c r="AA114" s="245">
        <f t="shared" si="31"/>
        <v>0</v>
      </c>
      <c r="AB114" s="245">
        <f t="shared" si="31"/>
        <v>0</v>
      </c>
      <c r="AC114" s="245">
        <f t="shared" si="31"/>
        <v>0</v>
      </c>
      <c r="AD114" s="245">
        <f t="shared" si="31"/>
        <v>0</v>
      </c>
      <c r="AE114" s="245">
        <f t="shared" si="31"/>
        <v>0</v>
      </c>
      <c r="AF114" s="245">
        <f t="shared" si="31"/>
        <v>0</v>
      </c>
      <c r="AG114" s="245">
        <f t="shared" si="31"/>
        <v>0</v>
      </c>
      <c r="AH114" s="245">
        <f t="shared" si="31"/>
        <v>0</v>
      </c>
      <c r="AI114" s="245">
        <f t="shared" si="31"/>
        <v>0</v>
      </c>
      <c r="AJ114" s="247">
        <f t="shared" si="12"/>
        <v>0</v>
      </c>
    </row>
    <row r="115" spans="1:36">
      <c r="A115" s="231" t="str">
        <f t="shared" si="28"/>
        <v>JBLM HOUSINGCommercialFL001.0Y3W001</v>
      </c>
      <c r="B115" s="243" t="s">
        <v>243</v>
      </c>
      <c r="C115" s="243" t="s">
        <v>244</v>
      </c>
      <c r="D115" s="243" t="s">
        <v>528</v>
      </c>
      <c r="E115" s="230">
        <v>33000</v>
      </c>
      <c r="F115" s="244">
        <v>0</v>
      </c>
      <c r="G115" s="244">
        <v>0</v>
      </c>
      <c r="H115" s="244"/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5"/>
      <c r="V115" s="408">
        <f t="shared" si="29"/>
        <v>0</v>
      </c>
      <c r="W115" s="245"/>
      <c r="X115" s="246">
        <f t="shared" si="30"/>
        <v>0</v>
      </c>
      <c r="Y115" s="246">
        <f t="shared" si="30"/>
        <v>0</v>
      </c>
      <c r="Z115" s="246">
        <f t="shared" si="30"/>
        <v>0</v>
      </c>
      <c r="AA115" s="245">
        <f t="shared" si="31"/>
        <v>0</v>
      </c>
      <c r="AB115" s="245">
        <f t="shared" si="31"/>
        <v>0</v>
      </c>
      <c r="AC115" s="245">
        <f t="shared" si="31"/>
        <v>0</v>
      </c>
      <c r="AD115" s="245">
        <f t="shared" si="31"/>
        <v>0</v>
      </c>
      <c r="AE115" s="245">
        <f t="shared" si="31"/>
        <v>0</v>
      </c>
      <c r="AF115" s="245">
        <f t="shared" si="31"/>
        <v>0</v>
      </c>
      <c r="AG115" s="245">
        <f t="shared" si="31"/>
        <v>0</v>
      </c>
      <c r="AH115" s="245">
        <f t="shared" si="31"/>
        <v>0</v>
      </c>
      <c r="AI115" s="245">
        <f t="shared" si="31"/>
        <v>0</v>
      </c>
      <c r="AJ115" s="247">
        <f t="shared" si="12"/>
        <v>0</v>
      </c>
    </row>
    <row r="116" spans="1:36">
      <c r="A116" s="231" t="str">
        <f t="shared" si="28"/>
        <v>JBLM HOUSINGCommercialFL001.5Y1W001</v>
      </c>
      <c r="B116" s="243" t="s">
        <v>247</v>
      </c>
      <c r="C116" s="243" t="s">
        <v>248</v>
      </c>
      <c r="D116" s="243" t="s">
        <v>528</v>
      </c>
      <c r="E116" s="230">
        <v>33000</v>
      </c>
      <c r="F116" s="244">
        <v>0</v>
      </c>
      <c r="G116" s="244">
        <v>0</v>
      </c>
      <c r="H116" s="244"/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5"/>
      <c r="V116" s="408">
        <f t="shared" si="29"/>
        <v>0</v>
      </c>
      <c r="W116" s="245"/>
      <c r="X116" s="246">
        <f t="shared" si="30"/>
        <v>0</v>
      </c>
      <c r="Y116" s="246">
        <f t="shared" si="30"/>
        <v>0</v>
      </c>
      <c r="Z116" s="246">
        <f t="shared" si="30"/>
        <v>0</v>
      </c>
      <c r="AA116" s="245">
        <f t="shared" si="31"/>
        <v>0</v>
      </c>
      <c r="AB116" s="245">
        <f t="shared" si="31"/>
        <v>0</v>
      </c>
      <c r="AC116" s="245">
        <f t="shared" si="31"/>
        <v>0</v>
      </c>
      <c r="AD116" s="245">
        <f t="shared" si="31"/>
        <v>0</v>
      </c>
      <c r="AE116" s="245">
        <f t="shared" si="31"/>
        <v>0</v>
      </c>
      <c r="AF116" s="245">
        <f t="shared" si="31"/>
        <v>0</v>
      </c>
      <c r="AG116" s="245">
        <f t="shared" si="31"/>
        <v>0</v>
      </c>
      <c r="AH116" s="245">
        <f t="shared" si="31"/>
        <v>0</v>
      </c>
      <c r="AI116" s="245">
        <f t="shared" si="31"/>
        <v>0</v>
      </c>
      <c r="AJ116" s="247">
        <f t="shared" si="12"/>
        <v>0</v>
      </c>
    </row>
    <row r="117" spans="1:36">
      <c r="A117" s="231" t="str">
        <f t="shared" si="28"/>
        <v>JBLM HOUSINGCommercialFL001.5Y2W001</v>
      </c>
      <c r="B117" s="243" t="s">
        <v>249</v>
      </c>
      <c r="C117" s="243" t="s">
        <v>250</v>
      </c>
      <c r="D117" s="243" t="s">
        <v>528</v>
      </c>
      <c r="E117" s="230">
        <v>33000</v>
      </c>
      <c r="F117" s="244">
        <v>0</v>
      </c>
      <c r="G117" s="244">
        <v>0</v>
      </c>
      <c r="H117" s="244"/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5"/>
      <c r="V117" s="408">
        <f t="shared" si="29"/>
        <v>0</v>
      </c>
      <c r="W117" s="245"/>
      <c r="X117" s="246">
        <f t="shared" si="30"/>
        <v>0</v>
      </c>
      <c r="Y117" s="246">
        <f t="shared" si="30"/>
        <v>0</v>
      </c>
      <c r="Z117" s="246">
        <f t="shared" si="30"/>
        <v>0</v>
      </c>
      <c r="AA117" s="245">
        <f t="shared" si="31"/>
        <v>0</v>
      </c>
      <c r="AB117" s="245">
        <f t="shared" si="31"/>
        <v>0</v>
      </c>
      <c r="AC117" s="245">
        <f t="shared" si="31"/>
        <v>0</v>
      </c>
      <c r="AD117" s="245">
        <f t="shared" si="31"/>
        <v>0</v>
      </c>
      <c r="AE117" s="245">
        <f t="shared" si="31"/>
        <v>0</v>
      </c>
      <c r="AF117" s="245">
        <f t="shared" si="31"/>
        <v>0</v>
      </c>
      <c r="AG117" s="245">
        <f t="shared" si="31"/>
        <v>0</v>
      </c>
      <c r="AH117" s="245">
        <f t="shared" si="31"/>
        <v>0</v>
      </c>
      <c r="AI117" s="245">
        <f t="shared" si="31"/>
        <v>0</v>
      </c>
      <c r="AJ117" s="247">
        <f t="shared" si="12"/>
        <v>0</v>
      </c>
    </row>
    <row r="118" spans="1:36">
      <c r="A118" s="231" t="str">
        <f t="shared" si="28"/>
        <v>JBLM HOUSINGCommercialFL001.5Y3W001</v>
      </c>
      <c r="B118" s="243" t="s">
        <v>251</v>
      </c>
      <c r="C118" s="243" t="s">
        <v>252</v>
      </c>
      <c r="D118" s="243" t="s">
        <v>528</v>
      </c>
      <c r="E118" s="230">
        <v>33000</v>
      </c>
      <c r="F118" s="244">
        <v>0</v>
      </c>
      <c r="G118" s="244">
        <v>0</v>
      </c>
      <c r="H118" s="244"/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  <c r="O118" s="244">
        <v>0</v>
      </c>
      <c r="P118" s="244">
        <v>0</v>
      </c>
      <c r="Q118" s="244">
        <v>0</v>
      </c>
      <c r="R118" s="244">
        <v>0</v>
      </c>
      <c r="S118" s="244">
        <v>0</v>
      </c>
      <c r="T118" s="244">
        <v>0</v>
      </c>
      <c r="U118" s="245"/>
      <c r="V118" s="408">
        <f t="shared" si="29"/>
        <v>0</v>
      </c>
      <c r="W118" s="245"/>
      <c r="X118" s="246">
        <f t="shared" si="30"/>
        <v>0</v>
      </c>
      <c r="Y118" s="246">
        <f t="shared" si="30"/>
        <v>0</v>
      </c>
      <c r="Z118" s="246">
        <f t="shared" si="30"/>
        <v>0</v>
      </c>
      <c r="AA118" s="245">
        <f t="shared" si="31"/>
        <v>0</v>
      </c>
      <c r="AB118" s="245">
        <f t="shared" si="31"/>
        <v>0</v>
      </c>
      <c r="AC118" s="245">
        <f t="shared" si="31"/>
        <v>0</v>
      </c>
      <c r="AD118" s="245">
        <f t="shared" si="31"/>
        <v>0</v>
      </c>
      <c r="AE118" s="245">
        <f t="shared" si="31"/>
        <v>0</v>
      </c>
      <c r="AF118" s="245">
        <f t="shared" si="31"/>
        <v>0</v>
      </c>
      <c r="AG118" s="245">
        <f t="shared" si="31"/>
        <v>0</v>
      </c>
      <c r="AH118" s="245">
        <f t="shared" si="31"/>
        <v>0</v>
      </c>
      <c r="AI118" s="245">
        <f t="shared" si="31"/>
        <v>0</v>
      </c>
      <c r="AJ118" s="247">
        <f t="shared" si="12"/>
        <v>0</v>
      </c>
    </row>
    <row r="119" spans="1:36">
      <c r="A119" s="231" t="str">
        <f t="shared" si="28"/>
        <v>JBLM HOUSINGCommercialFL001.5Y4W001</v>
      </c>
      <c r="B119" s="243" t="s">
        <v>253</v>
      </c>
      <c r="C119" s="243" t="s">
        <v>254</v>
      </c>
      <c r="D119" s="243"/>
      <c r="F119" s="244">
        <v>0</v>
      </c>
      <c r="G119" s="244">
        <v>0</v>
      </c>
      <c r="H119" s="244"/>
      <c r="I119" s="244">
        <v>0</v>
      </c>
      <c r="J119" s="244">
        <v>0</v>
      </c>
      <c r="K119" s="244">
        <v>0</v>
      </c>
      <c r="L119" s="244">
        <v>0</v>
      </c>
      <c r="M119" s="244">
        <v>0</v>
      </c>
      <c r="N119" s="244">
        <v>0</v>
      </c>
      <c r="O119" s="244">
        <v>0</v>
      </c>
      <c r="P119" s="244">
        <v>0</v>
      </c>
      <c r="Q119" s="244">
        <v>0</v>
      </c>
      <c r="R119" s="244">
        <v>0</v>
      </c>
      <c r="S119" s="244">
        <v>0</v>
      </c>
      <c r="T119" s="244">
        <v>0</v>
      </c>
      <c r="U119" s="245"/>
      <c r="V119" s="408">
        <f t="shared" si="29"/>
        <v>0</v>
      </c>
      <c r="W119" s="245"/>
      <c r="X119" s="246">
        <f t="shared" si="30"/>
        <v>0</v>
      </c>
      <c r="Y119" s="246">
        <f t="shared" si="30"/>
        <v>0</v>
      </c>
      <c r="Z119" s="246">
        <f t="shared" si="30"/>
        <v>0</v>
      </c>
      <c r="AA119" s="245">
        <f t="shared" si="31"/>
        <v>0</v>
      </c>
      <c r="AB119" s="245">
        <f t="shared" si="31"/>
        <v>0</v>
      </c>
      <c r="AC119" s="245">
        <f t="shared" si="31"/>
        <v>0</v>
      </c>
      <c r="AD119" s="245">
        <f t="shared" si="31"/>
        <v>0</v>
      </c>
      <c r="AE119" s="245">
        <f t="shared" si="31"/>
        <v>0</v>
      </c>
      <c r="AF119" s="245">
        <f t="shared" si="31"/>
        <v>0</v>
      </c>
      <c r="AG119" s="245">
        <f t="shared" si="31"/>
        <v>0</v>
      </c>
      <c r="AH119" s="245">
        <f t="shared" si="31"/>
        <v>0</v>
      </c>
      <c r="AI119" s="245">
        <f t="shared" si="31"/>
        <v>0</v>
      </c>
      <c r="AJ119" s="247">
        <f t="shared" si="12"/>
        <v>0</v>
      </c>
    </row>
    <row r="120" spans="1:36">
      <c r="A120" s="231" t="str">
        <f t="shared" si="28"/>
        <v>JBLM HOUSINGCommercialFL001.5Y5W001</v>
      </c>
      <c r="B120" s="243" t="s">
        <v>255</v>
      </c>
      <c r="C120" s="243" t="s">
        <v>256</v>
      </c>
      <c r="D120" s="243"/>
      <c r="F120" s="244">
        <v>0</v>
      </c>
      <c r="G120" s="244">
        <v>0</v>
      </c>
      <c r="H120" s="244"/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0</v>
      </c>
      <c r="Q120" s="244">
        <v>0</v>
      </c>
      <c r="R120" s="244">
        <v>0</v>
      </c>
      <c r="S120" s="244">
        <v>0</v>
      </c>
      <c r="T120" s="244">
        <v>0</v>
      </c>
      <c r="U120" s="245"/>
      <c r="V120" s="408">
        <f t="shared" si="29"/>
        <v>0</v>
      </c>
      <c r="W120" s="245"/>
      <c r="X120" s="246">
        <f t="shared" si="30"/>
        <v>0</v>
      </c>
      <c r="Y120" s="246">
        <f t="shared" si="30"/>
        <v>0</v>
      </c>
      <c r="Z120" s="246">
        <f t="shared" si="30"/>
        <v>0</v>
      </c>
      <c r="AA120" s="245">
        <f t="shared" si="31"/>
        <v>0</v>
      </c>
      <c r="AB120" s="245">
        <f t="shared" si="31"/>
        <v>0</v>
      </c>
      <c r="AC120" s="245">
        <f t="shared" si="31"/>
        <v>0</v>
      </c>
      <c r="AD120" s="245">
        <f t="shared" si="31"/>
        <v>0</v>
      </c>
      <c r="AE120" s="245">
        <f t="shared" si="31"/>
        <v>0</v>
      </c>
      <c r="AF120" s="245">
        <f t="shared" si="31"/>
        <v>0</v>
      </c>
      <c r="AG120" s="245">
        <f t="shared" si="31"/>
        <v>0</v>
      </c>
      <c r="AH120" s="245">
        <f t="shared" si="31"/>
        <v>0</v>
      </c>
      <c r="AI120" s="245">
        <f t="shared" si="31"/>
        <v>0</v>
      </c>
      <c r="AJ120" s="247">
        <f t="shared" si="12"/>
        <v>0</v>
      </c>
    </row>
    <row r="121" spans="1:36">
      <c r="A121" s="231" t="str">
        <f t="shared" si="28"/>
        <v>JBLM HOUSINGCommercialFL002.0Y1W001</v>
      </c>
      <c r="B121" s="243" t="s">
        <v>257</v>
      </c>
      <c r="C121" s="243" t="s">
        <v>258</v>
      </c>
      <c r="D121" s="243" t="s">
        <v>528</v>
      </c>
      <c r="E121" s="230">
        <v>33000</v>
      </c>
      <c r="F121" s="244">
        <v>0</v>
      </c>
      <c r="G121" s="244">
        <v>0</v>
      </c>
      <c r="H121" s="244"/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  <c r="N121" s="244">
        <v>0</v>
      </c>
      <c r="O121" s="244">
        <v>0</v>
      </c>
      <c r="P121" s="244">
        <v>0</v>
      </c>
      <c r="Q121" s="244">
        <v>0</v>
      </c>
      <c r="R121" s="244">
        <v>0</v>
      </c>
      <c r="S121" s="244">
        <v>0</v>
      </c>
      <c r="T121" s="244">
        <v>0</v>
      </c>
      <c r="U121" s="245"/>
      <c r="V121" s="408">
        <f t="shared" si="29"/>
        <v>0</v>
      </c>
      <c r="W121" s="245"/>
      <c r="X121" s="246">
        <f t="shared" si="30"/>
        <v>0</v>
      </c>
      <c r="Y121" s="246">
        <f t="shared" si="30"/>
        <v>0</v>
      </c>
      <c r="Z121" s="246">
        <f t="shared" si="30"/>
        <v>0</v>
      </c>
      <c r="AA121" s="245">
        <f t="shared" si="31"/>
        <v>0</v>
      </c>
      <c r="AB121" s="245">
        <f t="shared" si="31"/>
        <v>0</v>
      </c>
      <c r="AC121" s="245">
        <f t="shared" si="31"/>
        <v>0</v>
      </c>
      <c r="AD121" s="245">
        <f t="shared" si="31"/>
        <v>0</v>
      </c>
      <c r="AE121" s="245">
        <f t="shared" si="31"/>
        <v>0</v>
      </c>
      <c r="AF121" s="245">
        <f t="shared" si="31"/>
        <v>0</v>
      </c>
      <c r="AG121" s="245">
        <f t="shared" si="31"/>
        <v>0</v>
      </c>
      <c r="AH121" s="245">
        <f t="shared" si="31"/>
        <v>0</v>
      </c>
      <c r="AI121" s="245">
        <f t="shared" si="31"/>
        <v>0</v>
      </c>
      <c r="AJ121" s="247">
        <f t="shared" si="12"/>
        <v>0</v>
      </c>
    </row>
    <row r="122" spans="1:36">
      <c r="A122" s="231" t="str">
        <f t="shared" si="28"/>
        <v>JBLM HOUSINGCommercialFL002.0Y2W001</v>
      </c>
      <c r="B122" s="243" t="s">
        <v>259</v>
      </c>
      <c r="C122" s="243" t="s">
        <v>260</v>
      </c>
      <c r="D122" s="243" t="s">
        <v>528</v>
      </c>
      <c r="E122" s="230">
        <v>33000</v>
      </c>
      <c r="F122" s="244">
        <v>0</v>
      </c>
      <c r="G122" s="244">
        <v>0</v>
      </c>
      <c r="H122" s="244"/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5"/>
      <c r="V122" s="408">
        <f t="shared" si="29"/>
        <v>0</v>
      </c>
      <c r="W122" s="245"/>
      <c r="X122" s="246">
        <f t="shared" si="30"/>
        <v>0</v>
      </c>
      <c r="Y122" s="246">
        <f t="shared" si="30"/>
        <v>0</v>
      </c>
      <c r="Z122" s="246">
        <f t="shared" si="30"/>
        <v>0</v>
      </c>
      <c r="AA122" s="245">
        <f t="shared" si="31"/>
        <v>0</v>
      </c>
      <c r="AB122" s="245">
        <f t="shared" si="31"/>
        <v>0</v>
      </c>
      <c r="AC122" s="245">
        <f t="shared" si="31"/>
        <v>0</v>
      </c>
      <c r="AD122" s="245">
        <f t="shared" si="31"/>
        <v>0</v>
      </c>
      <c r="AE122" s="245">
        <f t="shared" si="31"/>
        <v>0</v>
      </c>
      <c r="AF122" s="245">
        <f t="shared" si="31"/>
        <v>0</v>
      </c>
      <c r="AG122" s="245">
        <f t="shared" si="31"/>
        <v>0</v>
      </c>
      <c r="AH122" s="245">
        <f t="shared" si="31"/>
        <v>0</v>
      </c>
      <c r="AI122" s="245">
        <f t="shared" si="31"/>
        <v>0</v>
      </c>
      <c r="AJ122" s="247">
        <f t="shared" si="12"/>
        <v>0</v>
      </c>
    </row>
    <row r="123" spans="1:36">
      <c r="A123" s="231" t="str">
        <f t="shared" si="28"/>
        <v>JBLM HOUSINGCommercialFL002.0Y3W001</v>
      </c>
      <c r="B123" s="243" t="s">
        <v>261</v>
      </c>
      <c r="C123" s="243" t="s">
        <v>262</v>
      </c>
      <c r="D123" s="243" t="s">
        <v>528</v>
      </c>
      <c r="E123" s="230">
        <v>33000</v>
      </c>
      <c r="F123" s="244">
        <v>0</v>
      </c>
      <c r="G123" s="244">
        <v>0</v>
      </c>
      <c r="H123" s="244"/>
      <c r="I123" s="244">
        <v>0</v>
      </c>
      <c r="J123" s="244">
        <v>0</v>
      </c>
      <c r="K123" s="244">
        <v>0</v>
      </c>
      <c r="L123" s="244">
        <v>0</v>
      </c>
      <c r="M123" s="244">
        <v>0</v>
      </c>
      <c r="N123" s="244">
        <v>0</v>
      </c>
      <c r="O123" s="244">
        <v>0</v>
      </c>
      <c r="P123" s="244">
        <v>0</v>
      </c>
      <c r="Q123" s="244">
        <v>0</v>
      </c>
      <c r="R123" s="244">
        <v>0</v>
      </c>
      <c r="S123" s="244">
        <v>0</v>
      </c>
      <c r="T123" s="244">
        <v>0</v>
      </c>
      <c r="U123" s="245"/>
      <c r="V123" s="408">
        <f t="shared" si="29"/>
        <v>0</v>
      </c>
      <c r="W123" s="245"/>
      <c r="X123" s="246">
        <f t="shared" si="30"/>
        <v>0</v>
      </c>
      <c r="Y123" s="246">
        <f t="shared" si="30"/>
        <v>0</v>
      </c>
      <c r="Z123" s="246">
        <f t="shared" si="30"/>
        <v>0</v>
      </c>
      <c r="AA123" s="245">
        <f t="shared" si="31"/>
        <v>0</v>
      </c>
      <c r="AB123" s="245">
        <f t="shared" si="31"/>
        <v>0</v>
      </c>
      <c r="AC123" s="245">
        <f t="shared" si="31"/>
        <v>0</v>
      </c>
      <c r="AD123" s="245">
        <f t="shared" si="31"/>
        <v>0</v>
      </c>
      <c r="AE123" s="245">
        <f t="shared" si="31"/>
        <v>0</v>
      </c>
      <c r="AF123" s="245">
        <f t="shared" si="31"/>
        <v>0</v>
      </c>
      <c r="AG123" s="245">
        <f t="shared" si="31"/>
        <v>0</v>
      </c>
      <c r="AH123" s="245">
        <f t="shared" si="31"/>
        <v>0</v>
      </c>
      <c r="AI123" s="245">
        <f t="shared" si="31"/>
        <v>0</v>
      </c>
      <c r="AJ123" s="247">
        <f t="shared" si="12"/>
        <v>0</v>
      </c>
    </row>
    <row r="124" spans="1:36">
      <c r="A124" s="231" t="str">
        <f t="shared" si="28"/>
        <v>JBLM HOUSINGCommercialFL002.0Y5W001</v>
      </c>
      <c r="B124" s="243" t="s">
        <v>263</v>
      </c>
      <c r="C124" s="243" t="s">
        <v>264</v>
      </c>
      <c r="D124" s="243"/>
      <c r="F124" s="244">
        <v>0</v>
      </c>
      <c r="G124" s="244">
        <v>0</v>
      </c>
      <c r="H124" s="244"/>
      <c r="I124" s="244">
        <v>0</v>
      </c>
      <c r="J124" s="244">
        <v>0</v>
      </c>
      <c r="K124" s="244">
        <v>0</v>
      </c>
      <c r="L124" s="244">
        <v>0</v>
      </c>
      <c r="M124" s="244">
        <v>0</v>
      </c>
      <c r="N124" s="244">
        <v>0</v>
      </c>
      <c r="O124" s="244">
        <v>0</v>
      </c>
      <c r="P124" s="244">
        <v>0</v>
      </c>
      <c r="Q124" s="244">
        <v>0</v>
      </c>
      <c r="R124" s="244">
        <v>0</v>
      </c>
      <c r="S124" s="244">
        <v>0</v>
      </c>
      <c r="T124" s="244">
        <v>0</v>
      </c>
      <c r="U124" s="245"/>
      <c r="V124" s="408">
        <f t="shared" si="29"/>
        <v>0</v>
      </c>
      <c r="W124" s="245"/>
      <c r="X124" s="246">
        <f t="shared" si="30"/>
        <v>0</v>
      </c>
      <c r="Y124" s="246">
        <f t="shared" si="30"/>
        <v>0</v>
      </c>
      <c r="Z124" s="246">
        <f t="shared" si="30"/>
        <v>0</v>
      </c>
      <c r="AA124" s="245">
        <f t="shared" si="31"/>
        <v>0</v>
      </c>
      <c r="AB124" s="245">
        <f t="shared" si="31"/>
        <v>0</v>
      </c>
      <c r="AC124" s="245">
        <f t="shared" si="31"/>
        <v>0</v>
      </c>
      <c r="AD124" s="245">
        <f t="shared" si="31"/>
        <v>0</v>
      </c>
      <c r="AE124" s="245">
        <f t="shared" si="31"/>
        <v>0</v>
      </c>
      <c r="AF124" s="245">
        <f t="shared" si="31"/>
        <v>0</v>
      </c>
      <c r="AG124" s="245">
        <f t="shared" si="31"/>
        <v>0</v>
      </c>
      <c r="AH124" s="245">
        <f t="shared" si="31"/>
        <v>0</v>
      </c>
      <c r="AI124" s="245">
        <f t="shared" si="31"/>
        <v>0</v>
      </c>
      <c r="AJ124" s="247">
        <f t="shared" si="12"/>
        <v>0</v>
      </c>
    </row>
    <row r="125" spans="1:36">
      <c r="A125" s="231" t="str">
        <f t="shared" si="28"/>
        <v>JBLM HOUSINGCommercialFL003.0Y1W001</v>
      </c>
      <c r="B125" s="243" t="s">
        <v>265</v>
      </c>
      <c r="C125" s="243" t="s">
        <v>266</v>
      </c>
      <c r="D125" s="243" t="s">
        <v>528</v>
      </c>
      <c r="E125" s="230">
        <v>33000</v>
      </c>
      <c r="F125" s="244">
        <v>0</v>
      </c>
      <c r="G125" s="244">
        <v>0</v>
      </c>
      <c r="H125" s="244"/>
      <c r="I125" s="244">
        <v>0</v>
      </c>
      <c r="J125" s="244">
        <v>0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0</v>
      </c>
      <c r="Q125" s="244">
        <v>0</v>
      </c>
      <c r="R125" s="244">
        <v>0</v>
      </c>
      <c r="S125" s="244">
        <v>0</v>
      </c>
      <c r="T125" s="244">
        <v>0</v>
      </c>
      <c r="U125" s="245"/>
      <c r="V125" s="408">
        <f t="shared" si="29"/>
        <v>0</v>
      </c>
      <c r="W125" s="245"/>
      <c r="X125" s="246">
        <f t="shared" si="30"/>
        <v>0</v>
      </c>
      <c r="Y125" s="246">
        <f t="shared" si="30"/>
        <v>0</v>
      </c>
      <c r="Z125" s="246">
        <f t="shared" si="30"/>
        <v>0</v>
      </c>
      <c r="AA125" s="245">
        <f t="shared" si="31"/>
        <v>0</v>
      </c>
      <c r="AB125" s="245">
        <f t="shared" si="31"/>
        <v>0</v>
      </c>
      <c r="AC125" s="245">
        <f t="shared" si="31"/>
        <v>0</v>
      </c>
      <c r="AD125" s="245">
        <f t="shared" si="31"/>
        <v>0</v>
      </c>
      <c r="AE125" s="245">
        <f t="shared" si="31"/>
        <v>0</v>
      </c>
      <c r="AF125" s="245">
        <f t="shared" si="31"/>
        <v>0</v>
      </c>
      <c r="AG125" s="245">
        <f t="shared" si="31"/>
        <v>0</v>
      </c>
      <c r="AH125" s="245">
        <f t="shared" si="31"/>
        <v>0</v>
      </c>
      <c r="AI125" s="245">
        <f t="shared" si="31"/>
        <v>0</v>
      </c>
      <c r="AJ125" s="247">
        <f t="shared" si="12"/>
        <v>0</v>
      </c>
    </row>
    <row r="126" spans="1:36">
      <c r="A126" s="231" t="str">
        <f t="shared" si="28"/>
        <v>JBLM HOUSINGCommercialFL003.0Y2W001</v>
      </c>
      <c r="B126" s="243" t="s">
        <v>267</v>
      </c>
      <c r="C126" s="243" t="s">
        <v>268</v>
      </c>
      <c r="D126" s="243" t="s">
        <v>528</v>
      </c>
      <c r="E126" s="230">
        <v>33000</v>
      </c>
      <c r="F126" s="244">
        <v>0</v>
      </c>
      <c r="G126" s="244">
        <v>0</v>
      </c>
      <c r="H126" s="244"/>
      <c r="I126" s="244">
        <v>0</v>
      </c>
      <c r="J126" s="244">
        <v>0</v>
      </c>
      <c r="K126" s="244">
        <v>0</v>
      </c>
      <c r="L126" s="244">
        <v>0</v>
      </c>
      <c r="M126" s="244">
        <v>0</v>
      </c>
      <c r="N126" s="244">
        <v>0</v>
      </c>
      <c r="O126" s="244">
        <v>0</v>
      </c>
      <c r="P126" s="244">
        <v>0</v>
      </c>
      <c r="Q126" s="244">
        <v>0</v>
      </c>
      <c r="R126" s="244">
        <v>0</v>
      </c>
      <c r="S126" s="244">
        <v>0</v>
      </c>
      <c r="T126" s="244">
        <v>0</v>
      </c>
      <c r="U126" s="245"/>
      <c r="V126" s="408">
        <f t="shared" si="29"/>
        <v>0</v>
      </c>
      <c r="W126" s="245"/>
      <c r="X126" s="246">
        <f t="shared" si="30"/>
        <v>0</v>
      </c>
      <c r="Y126" s="246">
        <f t="shared" si="30"/>
        <v>0</v>
      </c>
      <c r="Z126" s="246">
        <f t="shared" si="30"/>
        <v>0</v>
      </c>
      <c r="AA126" s="245">
        <f t="shared" si="31"/>
        <v>0</v>
      </c>
      <c r="AB126" s="245">
        <f t="shared" si="31"/>
        <v>0</v>
      </c>
      <c r="AC126" s="245">
        <f t="shared" si="31"/>
        <v>0</v>
      </c>
      <c r="AD126" s="245">
        <f t="shared" si="31"/>
        <v>0</v>
      </c>
      <c r="AE126" s="245">
        <f t="shared" si="31"/>
        <v>0</v>
      </c>
      <c r="AF126" s="245">
        <f t="shared" si="31"/>
        <v>0</v>
      </c>
      <c r="AG126" s="245">
        <f t="shared" si="31"/>
        <v>0</v>
      </c>
      <c r="AH126" s="245">
        <f t="shared" si="31"/>
        <v>0</v>
      </c>
      <c r="AI126" s="245">
        <f t="shared" si="31"/>
        <v>0</v>
      </c>
      <c r="AJ126" s="247">
        <f t="shared" si="12"/>
        <v>0</v>
      </c>
    </row>
    <row r="127" spans="1:36">
      <c r="A127" s="231" t="str">
        <f t="shared" si="28"/>
        <v>JBLM HOUSINGCommercialFL003.0Y3W001</v>
      </c>
      <c r="B127" s="243" t="s">
        <v>269</v>
      </c>
      <c r="C127" s="243" t="s">
        <v>270</v>
      </c>
      <c r="D127" s="243" t="s">
        <v>528</v>
      </c>
      <c r="E127" s="230">
        <v>33000</v>
      </c>
      <c r="F127" s="244">
        <v>0</v>
      </c>
      <c r="G127" s="244">
        <v>0</v>
      </c>
      <c r="H127" s="244"/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  <c r="O127" s="244">
        <v>0</v>
      </c>
      <c r="P127" s="244">
        <v>0</v>
      </c>
      <c r="Q127" s="244">
        <v>0</v>
      </c>
      <c r="R127" s="244">
        <v>0</v>
      </c>
      <c r="S127" s="244">
        <v>0</v>
      </c>
      <c r="T127" s="244">
        <v>0</v>
      </c>
      <c r="U127" s="245"/>
      <c r="V127" s="408">
        <f t="shared" si="29"/>
        <v>0</v>
      </c>
      <c r="W127" s="245"/>
      <c r="X127" s="246">
        <f t="shared" si="30"/>
        <v>0</v>
      </c>
      <c r="Y127" s="246">
        <f t="shared" si="30"/>
        <v>0</v>
      </c>
      <c r="Z127" s="246">
        <f t="shared" si="30"/>
        <v>0</v>
      </c>
      <c r="AA127" s="245">
        <f t="shared" si="31"/>
        <v>0</v>
      </c>
      <c r="AB127" s="245">
        <f t="shared" si="31"/>
        <v>0</v>
      </c>
      <c r="AC127" s="245">
        <f t="shared" si="31"/>
        <v>0</v>
      </c>
      <c r="AD127" s="245">
        <f t="shared" si="31"/>
        <v>0</v>
      </c>
      <c r="AE127" s="245">
        <f t="shared" si="31"/>
        <v>0</v>
      </c>
      <c r="AF127" s="245">
        <f t="shared" si="31"/>
        <v>0</v>
      </c>
      <c r="AG127" s="245">
        <f t="shared" si="31"/>
        <v>0</v>
      </c>
      <c r="AH127" s="245">
        <f t="shared" si="31"/>
        <v>0</v>
      </c>
      <c r="AI127" s="245">
        <f t="shared" si="31"/>
        <v>0</v>
      </c>
      <c r="AJ127" s="247">
        <f t="shared" si="12"/>
        <v>0</v>
      </c>
    </row>
    <row r="128" spans="1:36">
      <c r="A128" s="231" t="str">
        <f t="shared" si="28"/>
        <v>JBLM HOUSINGCommercialFL003.0Y5W001</v>
      </c>
      <c r="B128" s="243" t="s">
        <v>271</v>
      </c>
      <c r="C128" s="243" t="s">
        <v>272</v>
      </c>
      <c r="D128" s="243" t="s">
        <v>528</v>
      </c>
      <c r="E128" s="230">
        <v>33000</v>
      </c>
      <c r="F128" s="244">
        <v>0</v>
      </c>
      <c r="G128" s="244">
        <v>0</v>
      </c>
      <c r="H128" s="244"/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  <c r="O128" s="244">
        <v>0</v>
      </c>
      <c r="P128" s="244">
        <v>0</v>
      </c>
      <c r="Q128" s="244">
        <v>0</v>
      </c>
      <c r="R128" s="244">
        <v>0</v>
      </c>
      <c r="S128" s="244">
        <v>0</v>
      </c>
      <c r="T128" s="244">
        <v>0</v>
      </c>
      <c r="U128" s="245"/>
      <c r="V128" s="408">
        <f t="shared" si="29"/>
        <v>0</v>
      </c>
      <c r="W128" s="245"/>
      <c r="X128" s="246">
        <f t="shared" si="30"/>
        <v>0</v>
      </c>
      <c r="Y128" s="246">
        <f t="shared" si="30"/>
        <v>0</v>
      </c>
      <c r="Z128" s="246">
        <f t="shared" si="30"/>
        <v>0</v>
      </c>
      <c r="AA128" s="245">
        <f t="shared" si="31"/>
        <v>0</v>
      </c>
      <c r="AB128" s="245">
        <f t="shared" si="31"/>
        <v>0</v>
      </c>
      <c r="AC128" s="245">
        <f t="shared" si="31"/>
        <v>0</v>
      </c>
      <c r="AD128" s="245">
        <f t="shared" si="31"/>
        <v>0</v>
      </c>
      <c r="AE128" s="245">
        <f t="shared" si="31"/>
        <v>0</v>
      </c>
      <c r="AF128" s="245">
        <f t="shared" si="31"/>
        <v>0</v>
      </c>
      <c r="AG128" s="245">
        <f t="shared" si="31"/>
        <v>0</v>
      </c>
      <c r="AH128" s="245">
        <f t="shared" si="31"/>
        <v>0</v>
      </c>
      <c r="AI128" s="245">
        <f t="shared" si="31"/>
        <v>0</v>
      </c>
      <c r="AJ128" s="247">
        <f t="shared" si="12"/>
        <v>0</v>
      </c>
    </row>
    <row r="129" spans="1:36">
      <c r="A129" s="231" t="str">
        <f t="shared" si="28"/>
        <v>JBLM HOUSINGCommercialFL004.0Y1W001</v>
      </c>
      <c r="B129" s="243" t="s">
        <v>273</v>
      </c>
      <c r="C129" s="243" t="s">
        <v>274</v>
      </c>
      <c r="D129" s="243" t="s">
        <v>528</v>
      </c>
      <c r="E129" s="230">
        <v>33000</v>
      </c>
      <c r="F129" s="244">
        <v>0</v>
      </c>
      <c r="G129" s="244">
        <v>0</v>
      </c>
      <c r="H129" s="244"/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  <c r="O129" s="244">
        <v>0</v>
      </c>
      <c r="P129" s="244">
        <v>0</v>
      </c>
      <c r="Q129" s="244">
        <v>0</v>
      </c>
      <c r="R129" s="244">
        <v>0</v>
      </c>
      <c r="S129" s="244">
        <v>0</v>
      </c>
      <c r="T129" s="244">
        <v>0</v>
      </c>
      <c r="U129" s="245"/>
      <c r="V129" s="408">
        <f t="shared" si="29"/>
        <v>0</v>
      </c>
      <c r="W129" s="245"/>
      <c r="X129" s="246">
        <f t="shared" si="30"/>
        <v>0</v>
      </c>
      <c r="Y129" s="246">
        <f t="shared" si="30"/>
        <v>0</v>
      </c>
      <c r="Z129" s="246">
        <f t="shared" si="30"/>
        <v>0</v>
      </c>
      <c r="AA129" s="245">
        <f t="shared" si="31"/>
        <v>0</v>
      </c>
      <c r="AB129" s="245">
        <f t="shared" si="31"/>
        <v>0</v>
      </c>
      <c r="AC129" s="245">
        <f t="shared" si="31"/>
        <v>0</v>
      </c>
      <c r="AD129" s="245">
        <f t="shared" si="31"/>
        <v>0</v>
      </c>
      <c r="AE129" s="245">
        <f t="shared" si="31"/>
        <v>0</v>
      </c>
      <c r="AF129" s="245">
        <f t="shared" si="31"/>
        <v>0</v>
      </c>
      <c r="AG129" s="245">
        <f t="shared" si="31"/>
        <v>0</v>
      </c>
      <c r="AH129" s="245">
        <f t="shared" si="31"/>
        <v>0</v>
      </c>
      <c r="AI129" s="245">
        <f t="shared" si="31"/>
        <v>0</v>
      </c>
      <c r="AJ129" s="247">
        <f t="shared" si="12"/>
        <v>0</v>
      </c>
    </row>
    <row r="130" spans="1:36">
      <c r="A130" s="231" t="str">
        <f t="shared" si="28"/>
        <v>JBLM HOUSINGCommercialFL004.0Y2W001</v>
      </c>
      <c r="B130" s="243" t="s">
        <v>275</v>
      </c>
      <c r="C130" s="243" t="s">
        <v>276</v>
      </c>
      <c r="D130" s="243" t="s">
        <v>528</v>
      </c>
      <c r="E130" s="230">
        <v>33000</v>
      </c>
      <c r="F130" s="244">
        <v>0</v>
      </c>
      <c r="G130" s="244">
        <v>0</v>
      </c>
      <c r="H130" s="244"/>
      <c r="I130" s="244">
        <v>0</v>
      </c>
      <c r="J130" s="244">
        <v>0</v>
      </c>
      <c r="K130" s="244">
        <v>0</v>
      </c>
      <c r="L130" s="244">
        <v>0</v>
      </c>
      <c r="M130" s="244">
        <v>0</v>
      </c>
      <c r="N130" s="244">
        <v>0</v>
      </c>
      <c r="O130" s="244">
        <v>0</v>
      </c>
      <c r="P130" s="244">
        <v>0</v>
      </c>
      <c r="Q130" s="244">
        <v>0</v>
      </c>
      <c r="R130" s="244">
        <v>0</v>
      </c>
      <c r="S130" s="244">
        <v>0</v>
      </c>
      <c r="T130" s="244">
        <v>0</v>
      </c>
      <c r="U130" s="245"/>
      <c r="V130" s="408">
        <f t="shared" si="29"/>
        <v>0</v>
      </c>
      <c r="W130" s="245"/>
      <c r="X130" s="246">
        <f t="shared" si="30"/>
        <v>0</v>
      </c>
      <c r="Y130" s="246">
        <f t="shared" si="30"/>
        <v>0</v>
      </c>
      <c r="Z130" s="246">
        <f t="shared" si="30"/>
        <v>0</v>
      </c>
      <c r="AA130" s="245">
        <f t="shared" si="31"/>
        <v>0</v>
      </c>
      <c r="AB130" s="245">
        <f t="shared" si="31"/>
        <v>0</v>
      </c>
      <c r="AC130" s="245">
        <f t="shared" si="31"/>
        <v>0</v>
      </c>
      <c r="AD130" s="245">
        <f t="shared" si="31"/>
        <v>0</v>
      </c>
      <c r="AE130" s="245">
        <f t="shared" si="31"/>
        <v>0</v>
      </c>
      <c r="AF130" s="245">
        <f t="shared" si="31"/>
        <v>0</v>
      </c>
      <c r="AG130" s="245">
        <f t="shared" si="31"/>
        <v>0</v>
      </c>
      <c r="AH130" s="245">
        <f t="shared" si="31"/>
        <v>0</v>
      </c>
      <c r="AI130" s="245">
        <f t="shared" si="31"/>
        <v>0</v>
      </c>
      <c r="AJ130" s="247">
        <f t="shared" si="12"/>
        <v>0</v>
      </c>
    </row>
    <row r="131" spans="1:36">
      <c r="A131" s="231" t="str">
        <f t="shared" si="28"/>
        <v>JBLM HOUSINGCommercialFL004.0Y3W001</v>
      </c>
      <c r="B131" s="243" t="s">
        <v>277</v>
      </c>
      <c r="C131" s="243" t="s">
        <v>278</v>
      </c>
      <c r="D131" s="243" t="s">
        <v>528</v>
      </c>
      <c r="E131" s="230">
        <v>33000</v>
      </c>
      <c r="F131" s="244">
        <v>0</v>
      </c>
      <c r="G131" s="244">
        <v>0</v>
      </c>
      <c r="H131" s="244"/>
      <c r="I131" s="244">
        <v>0</v>
      </c>
      <c r="J131" s="244">
        <v>0</v>
      </c>
      <c r="K131" s="244">
        <v>0</v>
      </c>
      <c r="L131" s="244">
        <v>0</v>
      </c>
      <c r="M131" s="244">
        <v>0</v>
      </c>
      <c r="N131" s="244">
        <v>0</v>
      </c>
      <c r="O131" s="244">
        <v>0</v>
      </c>
      <c r="P131" s="244">
        <v>0</v>
      </c>
      <c r="Q131" s="244">
        <v>0</v>
      </c>
      <c r="R131" s="244">
        <v>0</v>
      </c>
      <c r="S131" s="244">
        <v>0</v>
      </c>
      <c r="T131" s="244">
        <v>0</v>
      </c>
      <c r="U131" s="245"/>
      <c r="V131" s="408">
        <f t="shared" si="29"/>
        <v>0</v>
      </c>
      <c r="W131" s="245"/>
      <c r="X131" s="246">
        <f t="shared" si="30"/>
        <v>0</v>
      </c>
      <c r="Y131" s="246">
        <f t="shared" si="30"/>
        <v>0</v>
      </c>
      <c r="Z131" s="246">
        <f t="shared" si="30"/>
        <v>0</v>
      </c>
      <c r="AA131" s="245">
        <f t="shared" si="31"/>
        <v>0</v>
      </c>
      <c r="AB131" s="245">
        <f t="shared" si="31"/>
        <v>0</v>
      </c>
      <c r="AC131" s="245">
        <f t="shared" si="31"/>
        <v>0</v>
      </c>
      <c r="AD131" s="245">
        <f t="shared" si="31"/>
        <v>0</v>
      </c>
      <c r="AE131" s="245">
        <f t="shared" si="31"/>
        <v>0</v>
      </c>
      <c r="AF131" s="245">
        <f t="shared" si="31"/>
        <v>0</v>
      </c>
      <c r="AG131" s="245">
        <f t="shared" si="31"/>
        <v>0</v>
      </c>
      <c r="AH131" s="245">
        <f t="shared" si="31"/>
        <v>0</v>
      </c>
      <c r="AI131" s="245">
        <f t="shared" si="31"/>
        <v>0</v>
      </c>
      <c r="AJ131" s="247">
        <f t="shared" si="12"/>
        <v>0</v>
      </c>
    </row>
    <row r="132" spans="1:36">
      <c r="A132" s="231" t="str">
        <f t="shared" si="28"/>
        <v>JBLM HOUSINGCommercialFL004.0Y5W001</v>
      </c>
      <c r="B132" s="243" t="s">
        <v>281</v>
      </c>
      <c r="C132" s="243" t="s">
        <v>282</v>
      </c>
      <c r="D132" s="243" t="s">
        <v>528</v>
      </c>
      <c r="E132" s="230">
        <v>33000</v>
      </c>
      <c r="F132" s="244">
        <v>0</v>
      </c>
      <c r="G132" s="244">
        <v>0</v>
      </c>
      <c r="H132" s="244"/>
      <c r="I132" s="244">
        <v>0</v>
      </c>
      <c r="J132" s="244">
        <v>0</v>
      </c>
      <c r="K132" s="244">
        <v>0</v>
      </c>
      <c r="L132" s="244">
        <v>0</v>
      </c>
      <c r="M132" s="244">
        <v>0</v>
      </c>
      <c r="N132" s="244">
        <v>0</v>
      </c>
      <c r="O132" s="244">
        <v>0</v>
      </c>
      <c r="P132" s="244">
        <v>0</v>
      </c>
      <c r="Q132" s="244">
        <v>0</v>
      </c>
      <c r="R132" s="244">
        <v>0</v>
      </c>
      <c r="S132" s="244">
        <v>0</v>
      </c>
      <c r="T132" s="244">
        <v>0</v>
      </c>
      <c r="U132" s="245"/>
      <c r="V132" s="408">
        <f t="shared" si="29"/>
        <v>0</v>
      </c>
      <c r="W132" s="245"/>
      <c r="X132" s="246">
        <f t="shared" si="30"/>
        <v>0</v>
      </c>
      <c r="Y132" s="246">
        <f t="shared" si="30"/>
        <v>0</v>
      </c>
      <c r="Z132" s="246">
        <f t="shared" si="30"/>
        <v>0</v>
      </c>
      <c r="AA132" s="245">
        <f t="shared" si="31"/>
        <v>0</v>
      </c>
      <c r="AB132" s="245">
        <f t="shared" si="31"/>
        <v>0</v>
      </c>
      <c r="AC132" s="245">
        <f t="shared" si="31"/>
        <v>0</v>
      </c>
      <c r="AD132" s="245">
        <f t="shared" si="31"/>
        <v>0</v>
      </c>
      <c r="AE132" s="245">
        <f t="shared" si="31"/>
        <v>0</v>
      </c>
      <c r="AF132" s="245">
        <f t="shared" si="31"/>
        <v>0</v>
      </c>
      <c r="AG132" s="245">
        <f t="shared" si="31"/>
        <v>0</v>
      </c>
      <c r="AH132" s="245">
        <f t="shared" si="31"/>
        <v>0</v>
      </c>
      <c r="AI132" s="245">
        <f t="shared" si="31"/>
        <v>0</v>
      </c>
      <c r="AJ132" s="247">
        <f t="shared" si="12"/>
        <v>0</v>
      </c>
    </row>
    <row r="133" spans="1:36">
      <c r="A133" s="231" t="str">
        <f t="shared" si="28"/>
        <v>JBLM HOUSINGCommercialFL006.0Y1W001</v>
      </c>
      <c r="B133" s="243" t="s">
        <v>283</v>
      </c>
      <c r="C133" s="243" t="s">
        <v>284</v>
      </c>
      <c r="D133" s="243" t="s">
        <v>528</v>
      </c>
      <c r="E133" s="230">
        <v>33000</v>
      </c>
      <c r="F133" s="244">
        <v>0</v>
      </c>
      <c r="G133" s="244">
        <v>0</v>
      </c>
      <c r="H133" s="244"/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>
        <v>0</v>
      </c>
      <c r="Q133" s="244">
        <v>0</v>
      </c>
      <c r="R133" s="244">
        <v>0</v>
      </c>
      <c r="S133" s="244">
        <v>0</v>
      </c>
      <c r="T133" s="244">
        <v>0</v>
      </c>
      <c r="U133" s="245"/>
      <c r="V133" s="408">
        <f t="shared" si="29"/>
        <v>0</v>
      </c>
      <c r="W133" s="245"/>
      <c r="X133" s="246">
        <f t="shared" si="30"/>
        <v>0</v>
      </c>
      <c r="Y133" s="246">
        <f t="shared" si="30"/>
        <v>0</v>
      </c>
      <c r="Z133" s="246">
        <f t="shared" si="30"/>
        <v>0</v>
      </c>
      <c r="AA133" s="245">
        <f t="shared" si="31"/>
        <v>0</v>
      </c>
      <c r="AB133" s="245">
        <f t="shared" si="31"/>
        <v>0</v>
      </c>
      <c r="AC133" s="245">
        <f t="shared" si="31"/>
        <v>0</v>
      </c>
      <c r="AD133" s="245">
        <f t="shared" si="31"/>
        <v>0</v>
      </c>
      <c r="AE133" s="245">
        <f t="shared" si="31"/>
        <v>0</v>
      </c>
      <c r="AF133" s="245">
        <f t="shared" si="31"/>
        <v>0</v>
      </c>
      <c r="AG133" s="245">
        <f t="shared" si="31"/>
        <v>0</v>
      </c>
      <c r="AH133" s="245">
        <f t="shared" si="31"/>
        <v>0</v>
      </c>
      <c r="AI133" s="245">
        <f t="shared" si="31"/>
        <v>0</v>
      </c>
      <c r="AJ133" s="247">
        <f t="shared" si="12"/>
        <v>0</v>
      </c>
    </row>
    <row r="134" spans="1:36">
      <c r="A134" s="231" t="str">
        <f t="shared" si="28"/>
        <v>JBLM HOUSINGCommercialFL006.0Y2W001</v>
      </c>
      <c r="B134" s="243" t="s">
        <v>285</v>
      </c>
      <c r="C134" s="243" t="s">
        <v>286</v>
      </c>
      <c r="D134" s="243" t="s">
        <v>528</v>
      </c>
      <c r="E134" s="230">
        <v>33000</v>
      </c>
      <c r="F134" s="244">
        <v>0</v>
      </c>
      <c r="G134" s="244">
        <v>0</v>
      </c>
      <c r="H134" s="244"/>
      <c r="I134" s="244">
        <v>0</v>
      </c>
      <c r="J134" s="244">
        <v>0</v>
      </c>
      <c r="K134" s="244">
        <v>0</v>
      </c>
      <c r="L134" s="244">
        <v>0</v>
      </c>
      <c r="M134" s="244">
        <v>0</v>
      </c>
      <c r="N134" s="244">
        <v>0</v>
      </c>
      <c r="O134" s="244">
        <v>0</v>
      </c>
      <c r="P134" s="244">
        <v>0</v>
      </c>
      <c r="Q134" s="244">
        <v>0</v>
      </c>
      <c r="R134" s="244">
        <v>0</v>
      </c>
      <c r="S134" s="244">
        <v>0</v>
      </c>
      <c r="T134" s="244">
        <v>0</v>
      </c>
      <c r="U134" s="245"/>
      <c r="V134" s="408">
        <f t="shared" si="29"/>
        <v>0</v>
      </c>
      <c r="W134" s="245"/>
      <c r="X134" s="246">
        <f t="shared" si="30"/>
        <v>0</v>
      </c>
      <c r="Y134" s="246">
        <f t="shared" si="30"/>
        <v>0</v>
      </c>
      <c r="Z134" s="246">
        <f t="shared" si="30"/>
        <v>0</v>
      </c>
      <c r="AA134" s="245">
        <f t="shared" si="31"/>
        <v>0</v>
      </c>
      <c r="AB134" s="245">
        <f t="shared" si="31"/>
        <v>0</v>
      </c>
      <c r="AC134" s="245">
        <f t="shared" si="31"/>
        <v>0</v>
      </c>
      <c r="AD134" s="245">
        <f t="shared" si="31"/>
        <v>0</v>
      </c>
      <c r="AE134" s="245">
        <f t="shared" si="31"/>
        <v>0</v>
      </c>
      <c r="AF134" s="245">
        <f t="shared" si="31"/>
        <v>0</v>
      </c>
      <c r="AG134" s="245">
        <f t="shared" si="31"/>
        <v>0</v>
      </c>
      <c r="AH134" s="245">
        <f t="shared" si="31"/>
        <v>0</v>
      </c>
      <c r="AI134" s="245">
        <f t="shared" si="31"/>
        <v>0</v>
      </c>
      <c r="AJ134" s="247">
        <f t="shared" si="12"/>
        <v>0</v>
      </c>
    </row>
    <row r="135" spans="1:36">
      <c r="A135" s="231" t="str">
        <f t="shared" si="28"/>
        <v>JBLM HOUSINGCommercialFL006.0Y3W001</v>
      </c>
      <c r="B135" s="243" t="s">
        <v>287</v>
      </c>
      <c r="C135" s="243" t="s">
        <v>288</v>
      </c>
      <c r="D135" s="243" t="s">
        <v>528</v>
      </c>
      <c r="E135" s="230">
        <v>33000</v>
      </c>
      <c r="F135" s="244">
        <v>0</v>
      </c>
      <c r="G135" s="244">
        <v>0</v>
      </c>
      <c r="H135" s="244"/>
      <c r="I135" s="244">
        <v>0</v>
      </c>
      <c r="J135" s="244">
        <v>0</v>
      </c>
      <c r="K135" s="244">
        <v>0</v>
      </c>
      <c r="L135" s="244">
        <v>0</v>
      </c>
      <c r="M135" s="244">
        <v>0</v>
      </c>
      <c r="N135" s="244">
        <v>0</v>
      </c>
      <c r="O135" s="244">
        <v>0</v>
      </c>
      <c r="P135" s="244">
        <v>0</v>
      </c>
      <c r="Q135" s="244">
        <v>0</v>
      </c>
      <c r="R135" s="244">
        <v>0</v>
      </c>
      <c r="S135" s="244">
        <v>0</v>
      </c>
      <c r="T135" s="244">
        <v>0</v>
      </c>
      <c r="U135" s="245"/>
      <c r="V135" s="408">
        <f t="shared" si="29"/>
        <v>0</v>
      </c>
      <c r="W135" s="245"/>
      <c r="X135" s="246">
        <f t="shared" si="30"/>
        <v>0</v>
      </c>
      <c r="Y135" s="246">
        <f t="shared" si="30"/>
        <v>0</v>
      </c>
      <c r="Z135" s="246">
        <f t="shared" si="30"/>
        <v>0</v>
      </c>
      <c r="AA135" s="245">
        <f t="shared" si="31"/>
        <v>0</v>
      </c>
      <c r="AB135" s="245">
        <f t="shared" si="31"/>
        <v>0</v>
      </c>
      <c r="AC135" s="245">
        <f t="shared" si="31"/>
        <v>0</v>
      </c>
      <c r="AD135" s="245">
        <f t="shared" si="31"/>
        <v>0</v>
      </c>
      <c r="AE135" s="245">
        <f t="shared" si="31"/>
        <v>0</v>
      </c>
      <c r="AF135" s="245">
        <f t="shared" si="31"/>
        <v>0</v>
      </c>
      <c r="AG135" s="245">
        <f t="shared" si="31"/>
        <v>0</v>
      </c>
      <c r="AH135" s="245">
        <f t="shared" si="31"/>
        <v>0</v>
      </c>
      <c r="AI135" s="245">
        <f t="shared" si="31"/>
        <v>0</v>
      </c>
      <c r="AJ135" s="247">
        <f t="shared" si="12"/>
        <v>0</v>
      </c>
    </row>
    <row r="136" spans="1:36">
      <c r="A136" s="231" t="str">
        <f t="shared" si="28"/>
        <v>JBLM HOUSINGCommercialFL006.0Y4W001</v>
      </c>
      <c r="B136" s="243" t="s">
        <v>289</v>
      </c>
      <c r="C136" s="243" t="s">
        <v>290</v>
      </c>
      <c r="D136" s="243" t="s">
        <v>528</v>
      </c>
      <c r="E136" s="230">
        <v>33000</v>
      </c>
      <c r="F136" s="244">
        <v>0</v>
      </c>
      <c r="G136" s="244">
        <v>0</v>
      </c>
      <c r="H136" s="244"/>
      <c r="I136" s="244">
        <v>0</v>
      </c>
      <c r="J136" s="244">
        <v>0</v>
      </c>
      <c r="K136" s="244">
        <v>0</v>
      </c>
      <c r="L136" s="244">
        <v>0</v>
      </c>
      <c r="M136" s="244">
        <v>0</v>
      </c>
      <c r="N136" s="244">
        <v>0</v>
      </c>
      <c r="O136" s="244">
        <v>0</v>
      </c>
      <c r="P136" s="244">
        <v>0</v>
      </c>
      <c r="Q136" s="244">
        <v>0</v>
      </c>
      <c r="R136" s="244">
        <v>0</v>
      </c>
      <c r="S136" s="244">
        <v>0</v>
      </c>
      <c r="T136" s="244">
        <v>0</v>
      </c>
      <c r="U136" s="245"/>
      <c r="V136" s="408">
        <f t="shared" si="29"/>
        <v>0</v>
      </c>
      <c r="W136" s="245"/>
      <c r="X136" s="246">
        <f t="shared" si="30"/>
        <v>0</v>
      </c>
      <c r="Y136" s="246">
        <f t="shared" si="30"/>
        <v>0</v>
      </c>
      <c r="Z136" s="246">
        <f t="shared" si="30"/>
        <v>0</v>
      </c>
      <c r="AA136" s="245">
        <f t="shared" si="31"/>
        <v>0</v>
      </c>
      <c r="AB136" s="245">
        <f t="shared" si="31"/>
        <v>0</v>
      </c>
      <c r="AC136" s="245">
        <f t="shared" si="31"/>
        <v>0</v>
      </c>
      <c r="AD136" s="245">
        <f t="shared" si="31"/>
        <v>0</v>
      </c>
      <c r="AE136" s="245">
        <f t="shared" si="31"/>
        <v>0</v>
      </c>
      <c r="AF136" s="245">
        <f t="shared" si="31"/>
        <v>0</v>
      </c>
      <c r="AG136" s="245">
        <f t="shared" si="31"/>
        <v>0</v>
      </c>
      <c r="AH136" s="245">
        <f t="shared" si="31"/>
        <v>0</v>
      </c>
      <c r="AI136" s="245">
        <f t="shared" si="31"/>
        <v>0</v>
      </c>
      <c r="AJ136" s="247">
        <f t="shared" si="12"/>
        <v>0</v>
      </c>
    </row>
    <row r="137" spans="1:36">
      <c r="A137" s="231" t="str">
        <f t="shared" si="28"/>
        <v>JBLM HOUSINGCommercialFL006.0Y5W001</v>
      </c>
      <c r="B137" s="243" t="s">
        <v>291</v>
      </c>
      <c r="C137" s="243" t="s">
        <v>292</v>
      </c>
      <c r="D137" s="243" t="s">
        <v>528</v>
      </c>
      <c r="E137" s="230">
        <v>33000</v>
      </c>
      <c r="F137" s="244">
        <v>0</v>
      </c>
      <c r="G137" s="244">
        <v>0</v>
      </c>
      <c r="H137" s="244"/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  <c r="O137" s="244">
        <v>0</v>
      </c>
      <c r="P137" s="244">
        <v>0</v>
      </c>
      <c r="Q137" s="244">
        <v>0</v>
      </c>
      <c r="R137" s="244">
        <v>0</v>
      </c>
      <c r="S137" s="244">
        <v>0</v>
      </c>
      <c r="T137" s="244">
        <v>0</v>
      </c>
      <c r="U137" s="245"/>
      <c r="V137" s="408">
        <f t="shared" si="29"/>
        <v>0</v>
      </c>
      <c r="W137" s="245"/>
      <c r="X137" s="246">
        <f t="shared" si="30"/>
        <v>0</v>
      </c>
      <c r="Y137" s="246">
        <f t="shared" si="30"/>
        <v>0</v>
      </c>
      <c r="Z137" s="246">
        <f t="shared" si="30"/>
        <v>0</v>
      </c>
      <c r="AA137" s="245">
        <f t="shared" si="31"/>
        <v>0</v>
      </c>
      <c r="AB137" s="245">
        <f t="shared" si="31"/>
        <v>0</v>
      </c>
      <c r="AC137" s="245">
        <f t="shared" si="31"/>
        <v>0</v>
      </c>
      <c r="AD137" s="245">
        <f t="shared" si="31"/>
        <v>0</v>
      </c>
      <c r="AE137" s="245">
        <f t="shared" si="31"/>
        <v>0</v>
      </c>
      <c r="AF137" s="245">
        <f t="shared" si="31"/>
        <v>0</v>
      </c>
      <c r="AG137" s="245">
        <f t="shared" si="31"/>
        <v>0</v>
      </c>
      <c r="AH137" s="245">
        <f t="shared" si="31"/>
        <v>0</v>
      </c>
      <c r="AI137" s="245">
        <f t="shared" si="31"/>
        <v>0</v>
      </c>
      <c r="AJ137" s="247">
        <f t="shared" si="12"/>
        <v>0</v>
      </c>
    </row>
    <row r="138" spans="1:36">
      <c r="A138" s="231" t="str">
        <f t="shared" si="28"/>
        <v>JBLM HOUSINGCommercialFL002.0Y1W001CMP</v>
      </c>
      <c r="B138" s="243" t="s">
        <v>293</v>
      </c>
      <c r="C138" s="243" t="s">
        <v>294</v>
      </c>
      <c r="D138" s="243" t="s">
        <v>528</v>
      </c>
      <c r="E138" s="230">
        <v>33000</v>
      </c>
      <c r="F138" s="244">
        <v>0</v>
      </c>
      <c r="G138" s="244">
        <v>0</v>
      </c>
      <c r="H138" s="244"/>
      <c r="I138" s="244">
        <v>0</v>
      </c>
      <c r="J138" s="244">
        <v>0</v>
      </c>
      <c r="K138" s="244">
        <v>0</v>
      </c>
      <c r="L138" s="244">
        <v>0</v>
      </c>
      <c r="M138" s="244">
        <v>0</v>
      </c>
      <c r="N138" s="244">
        <v>0</v>
      </c>
      <c r="O138" s="244">
        <v>0</v>
      </c>
      <c r="P138" s="244">
        <v>0</v>
      </c>
      <c r="Q138" s="244">
        <v>0</v>
      </c>
      <c r="R138" s="244">
        <v>0</v>
      </c>
      <c r="S138" s="244">
        <v>0</v>
      </c>
      <c r="T138" s="244">
        <v>0</v>
      </c>
      <c r="U138" s="245"/>
      <c r="V138" s="408">
        <f t="shared" si="29"/>
        <v>0</v>
      </c>
      <c r="W138" s="245"/>
      <c r="X138" s="246">
        <f t="shared" si="30"/>
        <v>0</v>
      </c>
      <c r="Y138" s="246">
        <f t="shared" si="30"/>
        <v>0</v>
      </c>
      <c r="Z138" s="246">
        <f t="shared" si="30"/>
        <v>0</v>
      </c>
      <c r="AA138" s="245">
        <f t="shared" si="31"/>
        <v>0</v>
      </c>
      <c r="AB138" s="245">
        <f t="shared" si="31"/>
        <v>0</v>
      </c>
      <c r="AC138" s="245">
        <f t="shared" si="31"/>
        <v>0</v>
      </c>
      <c r="AD138" s="245">
        <f t="shared" si="31"/>
        <v>0</v>
      </c>
      <c r="AE138" s="245">
        <f t="shared" si="31"/>
        <v>0</v>
      </c>
      <c r="AF138" s="245">
        <f t="shared" si="31"/>
        <v>0</v>
      </c>
      <c r="AG138" s="245">
        <f t="shared" si="31"/>
        <v>0</v>
      </c>
      <c r="AH138" s="245">
        <f t="shared" si="31"/>
        <v>0</v>
      </c>
      <c r="AI138" s="245">
        <f t="shared" si="31"/>
        <v>0</v>
      </c>
      <c r="AJ138" s="247">
        <f t="shared" si="12"/>
        <v>0</v>
      </c>
    </row>
    <row r="139" spans="1:36">
      <c r="A139" s="231" t="str">
        <f t="shared" si="28"/>
        <v>JBLM HOUSINGCommercialFL003.0Y2W001CMP</v>
      </c>
      <c r="B139" s="243" t="s">
        <v>297</v>
      </c>
      <c r="C139" s="243" t="s">
        <v>298</v>
      </c>
      <c r="D139" s="243" t="s">
        <v>528</v>
      </c>
      <c r="E139" s="230">
        <v>33000</v>
      </c>
      <c r="F139" s="244">
        <v>0</v>
      </c>
      <c r="G139" s="244">
        <v>0</v>
      </c>
      <c r="H139" s="244"/>
      <c r="I139" s="244">
        <v>0</v>
      </c>
      <c r="J139" s="244">
        <v>0</v>
      </c>
      <c r="K139" s="244">
        <v>0</v>
      </c>
      <c r="L139" s="244">
        <v>0</v>
      </c>
      <c r="M139" s="244">
        <v>0</v>
      </c>
      <c r="N139" s="244">
        <v>0</v>
      </c>
      <c r="O139" s="244">
        <v>0</v>
      </c>
      <c r="P139" s="244">
        <v>0</v>
      </c>
      <c r="Q139" s="244">
        <v>0</v>
      </c>
      <c r="R139" s="244">
        <v>0</v>
      </c>
      <c r="S139" s="244">
        <v>0</v>
      </c>
      <c r="T139" s="244">
        <v>0</v>
      </c>
      <c r="U139" s="245"/>
      <c r="V139" s="408">
        <f t="shared" si="29"/>
        <v>0</v>
      </c>
      <c r="W139" s="245"/>
      <c r="X139" s="246">
        <f t="shared" si="30"/>
        <v>0</v>
      </c>
      <c r="Y139" s="246">
        <f t="shared" si="30"/>
        <v>0</v>
      </c>
      <c r="Z139" s="246">
        <f t="shared" si="30"/>
        <v>0</v>
      </c>
      <c r="AA139" s="245">
        <f t="shared" si="31"/>
        <v>0</v>
      </c>
      <c r="AB139" s="245">
        <f t="shared" si="31"/>
        <v>0</v>
      </c>
      <c r="AC139" s="245">
        <f t="shared" si="31"/>
        <v>0</v>
      </c>
      <c r="AD139" s="245">
        <f t="shared" si="31"/>
        <v>0</v>
      </c>
      <c r="AE139" s="245">
        <f t="shared" si="31"/>
        <v>0</v>
      </c>
      <c r="AF139" s="245">
        <f t="shared" si="31"/>
        <v>0</v>
      </c>
      <c r="AG139" s="245">
        <f t="shared" si="31"/>
        <v>0</v>
      </c>
      <c r="AH139" s="245">
        <f t="shared" si="31"/>
        <v>0</v>
      </c>
      <c r="AI139" s="245">
        <f t="shared" si="31"/>
        <v>0</v>
      </c>
      <c r="AJ139" s="247">
        <f t="shared" si="12"/>
        <v>0</v>
      </c>
    </row>
    <row r="140" spans="1:36">
      <c r="A140" s="231" t="str">
        <f t="shared" si="28"/>
        <v>JBLM HOUSINGCommercialFL004.0Y1W001CMP</v>
      </c>
      <c r="B140" s="243" t="s">
        <v>299</v>
      </c>
      <c r="C140" s="243" t="s">
        <v>300</v>
      </c>
      <c r="D140" s="243" t="s">
        <v>528</v>
      </c>
      <c r="E140" s="230">
        <v>33000</v>
      </c>
      <c r="F140" s="244">
        <v>0</v>
      </c>
      <c r="G140" s="244">
        <v>0</v>
      </c>
      <c r="H140" s="244"/>
      <c r="I140" s="244">
        <v>0</v>
      </c>
      <c r="J140" s="244">
        <v>0</v>
      </c>
      <c r="K140" s="244">
        <v>0</v>
      </c>
      <c r="L140" s="244">
        <v>0</v>
      </c>
      <c r="M140" s="244">
        <v>0</v>
      </c>
      <c r="N140" s="244">
        <v>0</v>
      </c>
      <c r="O140" s="244">
        <v>0</v>
      </c>
      <c r="P140" s="244">
        <v>0</v>
      </c>
      <c r="Q140" s="244">
        <v>0</v>
      </c>
      <c r="R140" s="244">
        <v>0</v>
      </c>
      <c r="S140" s="244">
        <v>0</v>
      </c>
      <c r="T140" s="244">
        <v>0</v>
      </c>
      <c r="U140" s="245"/>
      <c r="V140" s="408">
        <f t="shared" si="29"/>
        <v>0</v>
      </c>
      <c r="W140" s="245"/>
      <c r="X140" s="246">
        <f t="shared" si="30"/>
        <v>0</v>
      </c>
      <c r="Y140" s="246">
        <f t="shared" si="30"/>
        <v>0</v>
      </c>
      <c r="Z140" s="246">
        <f t="shared" si="30"/>
        <v>0</v>
      </c>
      <c r="AA140" s="245">
        <f t="shared" si="31"/>
        <v>0</v>
      </c>
      <c r="AB140" s="245">
        <f t="shared" si="31"/>
        <v>0</v>
      </c>
      <c r="AC140" s="245">
        <f t="shared" si="31"/>
        <v>0</v>
      </c>
      <c r="AD140" s="245">
        <f t="shared" si="31"/>
        <v>0</v>
      </c>
      <c r="AE140" s="245">
        <f t="shared" si="31"/>
        <v>0</v>
      </c>
      <c r="AF140" s="245">
        <f t="shared" si="31"/>
        <v>0</v>
      </c>
      <c r="AG140" s="245">
        <f t="shared" si="31"/>
        <v>0</v>
      </c>
      <c r="AH140" s="245">
        <f t="shared" si="31"/>
        <v>0</v>
      </c>
      <c r="AI140" s="245">
        <f t="shared" si="31"/>
        <v>0</v>
      </c>
      <c r="AJ140" s="247">
        <f t="shared" ref="AJ140:AJ203" si="32">SUM(X140:AI140)</f>
        <v>0</v>
      </c>
    </row>
    <row r="141" spans="1:36">
      <c r="A141" s="231" t="str">
        <f t="shared" si="28"/>
        <v>JBLM HOUSINGCommercialFL004.0Y2W001CMP</v>
      </c>
      <c r="B141" s="243" t="s">
        <v>301</v>
      </c>
      <c r="C141" s="243" t="s">
        <v>302</v>
      </c>
      <c r="D141" s="243" t="s">
        <v>528</v>
      </c>
      <c r="E141" s="230">
        <v>33000</v>
      </c>
      <c r="F141" s="244">
        <v>0</v>
      </c>
      <c r="G141" s="244">
        <v>0</v>
      </c>
      <c r="H141" s="244"/>
      <c r="I141" s="244">
        <v>0</v>
      </c>
      <c r="J141" s="244">
        <v>0</v>
      </c>
      <c r="K141" s="244">
        <v>0</v>
      </c>
      <c r="L141" s="244">
        <v>0</v>
      </c>
      <c r="M141" s="244">
        <v>0</v>
      </c>
      <c r="N141" s="244">
        <v>0</v>
      </c>
      <c r="O141" s="244">
        <v>0</v>
      </c>
      <c r="P141" s="244">
        <v>0</v>
      </c>
      <c r="Q141" s="244">
        <v>0</v>
      </c>
      <c r="R141" s="244">
        <v>0</v>
      </c>
      <c r="S141" s="244">
        <v>0</v>
      </c>
      <c r="T141" s="244">
        <v>0</v>
      </c>
      <c r="U141" s="245"/>
      <c r="V141" s="408">
        <f t="shared" si="29"/>
        <v>0</v>
      </c>
      <c r="W141" s="245"/>
      <c r="X141" s="246">
        <f t="shared" si="30"/>
        <v>0</v>
      </c>
      <c r="Y141" s="246">
        <f t="shared" si="30"/>
        <v>0</v>
      </c>
      <c r="Z141" s="246">
        <f t="shared" si="30"/>
        <v>0</v>
      </c>
      <c r="AA141" s="245">
        <f t="shared" si="31"/>
        <v>0</v>
      </c>
      <c r="AB141" s="245">
        <f t="shared" si="31"/>
        <v>0</v>
      </c>
      <c r="AC141" s="245">
        <f t="shared" si="31"/>
        <v>0</v>
      </c>
      <c r="AD141" s="245">
        <f t="shared" ref="AD141:AI172" si="33">IFERROR(O141/$G141,0)</f>
        <v>0</v>
      </c>
      <c r="AE141" s="245">
        <f t="shared" si="33"/>
        <v>0</v>
      </c>
      <c r="AF141" s="245">
        <f t="shared" si="33"/>
        <v>0</v>
      </c>
      <c r="AG141" s="245">
        <f t="shared" si="33"/>
        <v>0</v>
      </c>
      <c r="AH141" s="245">
        <f t="shared" si="33"/>
        <v>0</v>
      </c>
      <c r="AI141" s="245">
        <f t="shared" si="33"/>
        <v>0</v>
      </c>
      <c r="AJ141" s="247">
        <f t="shared" si="32"/>
        <v>0</v>
      </c>
    </row>
    <row r="142" spans="1:36">
      <c r="A142" s="231" t="str">
        <f t="shared" si="28"/>
        <v>JBLM HOUSINGCommercialFL001.0Y1W001MF</v>
      </c>
      <c r="B142" s="243" t="s">
        <v>867</v>
      </c>
      <c r="C142" s="243" t="s">
        <v>868</v>
      </c>
      <c r="D142" s="243" t="s">
        <v>528</v>
      </c>
      <c r="E142" s="230">
        <v>33000</v>
      </c>
      <c r="F142" s="244">
        <v>0</v>
      </c>
      <c r="G142" s="244">
        <v>0</v>
      </c>
      <c r="H142" s="244"/>
      <c r="I142" s="244">
        <v>0</v>
      </c>
      <c r="J142" s="244">
        <v>0</v>
      </c>
      <c r="K142" s="244">
        <v>0</v>
      </c>
      <c r="L142" s="244">
        <v>0</v>
      </c>
      <c r="M142" s="244">
        <v>0</v>
      </c>
      <c r="N142" s="244">
        <v>0</v>
      </c>
      <c r="O142" s="244">
        <v>0</v>
      </c>
      <c r="P142" s="244">
        <v>0</v>
      </c>
      <c r="Q142" s="244">
        <v>0</v>
      </c>
      <c r="R142" s="244">
        <v>0</v>
      </c>
      <c r="S142" s="244">
        <v>0</v>
      </c>
      <c r="T142" s="244">
        <v>0</v>
      </c>
      <c r="U142" s="245"/>
      <c r="V142" s="408">
        <f t="shared" si="29"/>
        <v>0</v>
      </c>
      <c r="W142" s="245"/>
      <c r="X142" s="246">
        <f t="shared" si="30"/>
        <v>0</v>
      </c>
      <c r="Y142" s="246">
        <f t="shared" si="30"/>
        <v>0</v>
      </c>
      <c r="Z142" s="246">
        <f t="shared" si="30"/>
        <v>0</v>
      </c>
      <c r="AA142" s="245">
        <f t="shared" ref="AA142:AI173" si="34">IFERROR(L142/$G142,0)</f>
        <v>0</v>
      </c>
      <c r="AB142" s="245">
        <f t="shared" si="34"/>
        <v>0</v>
      </c>
      <c r="AC142" s="245">
        <f t="shared" si="34"/>
        <v>0</v>
      </c>
      <c r="AD142" s="245">
        <f t="shared" si="33"/>
        <v>0</v>
      </c>
      <c r="AE142" s="245">
        <f t="shared" si="33"/>
        <v>0</v>
      </c>
      <c r="AF142" s="245">
        <f t="shared" si="33"/>
        <v>0</v>
      </c>
      <c r="AG142" s="245">
        <f t="shared" si="33"/>
        <v>0</v>
      </c>
      <c r="AH142" s="245">
        <f t="shared" si="33"/>
        <v>0</v>
      </c>
      <c r="AI142" s="245">
        <f t="shared" si="33"/>
        <v>0</v>
      </c>
      <c r="AJ142" s="247">
        <f t="shared" si="32"/>
        <v>0</v>
      </c>
    </row>
    <row r="143" spans="1:36">
      <c r="A143" s="231" t="str">
        <f t="shared" si="28"/>
        <v>JBLM HOUSINGCommercialFL001.5Y1W001MF</v>
      </c>
      <c r="B143" s="243" t="s">
        <v>869</v>
      </c>
      <c r="C143" s="243" t="s">
        <v>870</v>
      </c>
      <c r="D143" s="243" t="s">
        <v>528</v>
      </c>
      <c r="E143" s="230">
        <v>33000</v>
      </c>
      <c r="F143" s="244">
        <v>0</v>
      </c>
      <c r="G143" s="244">
        <v>0</v>
      </c>
      <c r="H143" s="244"/>
      <c r="I143" s="244">
        <v>0</v>
      </c>
      <c r="J143" s="244">
        <v>0</v>
      </c>
      <c r="K143" s="244">
        <v>0</v>
      </c>
      <c r="L143" s="244">
        <v>0</v>
      </c>
      <c r="M143" s="244">
        <v>0</v>
      </c>
      <c r="N143" s="244">
        <v>0</v>
      </c>
      <c r="O143" s="244">
        <v>0</v>
      </c>
      <c r="P143" s="244">
        <v>0</v>
      </c>
      <c r="Q143" s="244">
        <v>0</v>
      </c>
      <c r="R143" s="244">
        <v>0</v>
      </c>
      <c r="S143" s="244">
        <v>0</v>
      </c>
      <c r="T143" s="244">
        <v>0</v>
      </c>
      <c r="U143" s="245"/>
      <c r="V143" s="408">
        <f t="shared" si="29"/>
        <v>0</v>
      </c>
      <c r="W143" s="245"/>
      <c r="X143" s="246">
        <f t="shared" si="30"/>
        <v>0</v>
      </c>
      <c r="Y143" s="246">
        <f t="shared" si="30"/>
        <v>0</v>
      </c>
      <c r="Z143" s="246">
        <f t="shared" si="30"/>
        <v>0</v>
      </c>
      <c r="AA143" s="245">
        <f t="shared" si="34"/>
        <v>0</v>
      </c>
      <c r="AB143" s="245">
        <f t="shared" si="34"/>
        <v>0</v>
      </c>
      <c r="AC143" s="245">
        <f t="shared" si="34"/>
        <v>0</v>
      </c>
      <c r="AD143" s="245">
        <f t="shared" si="33"/>
        <v>0</v>
      </c>
      <c r="AE143" s="245">
        <f t="shared" si="33"/>
        <v>0</v>
      </c>
      <c r="AF143" s="245">
        <f t="shared" si="33"/>
        <v>0</v>
      </c>
      <c r="AG143" s="245">
        <f t="shared" si="33"/>
        <v>0</v>
      </c>
      <c r="AH143" s="245">
        <f t="shared" si="33"/>
        <v>0</v>
      </c>
      <c r="AI143" s="245">
        <f t="shared" si="33"/>
        <v>0</v>
      </c>
      <c r="AJ143" s="247">
        <f t="shared" si="32"/>
        <v>0</v>
      </c>
    </row>
    <row r="144" spans="1:36">
      <c r="A144" s="231" t="str">
        <f t="shared" si="28"/>
        <v>JBLM HOUSINGCommercialFL001.5Y2W001MF</v>
      </c>
      <c r="B144" s="243" t="s">
        <v>871</v>
      </c>
      <c r="C144" s="243" t="s">
        <v>872</v>
      </c>
      <c r="D144" s="243" t="s">
        <v>528</v>
      </c>
      <c r="E144" s="230">
        <v>33000</v>
      </c>
      <c r="F144" s="244">
        <v>0</v>
      </c>
      <c r="G144" s="244">
        <v>0</v>
      </c>
      <c r="H144" s="244"/>
      <c r="I144" s="244">
        <v>0</v>
      </c>
      <c r="J144" s="244">
        <v>0</v>
      </c>
      <c r="K144" s="244">
        <v>0</v>
      </c>
      <c r="L144" s="244">
        <v>0</v>
      </c>
      <c r="M144" s="244">
        <v>0</v>
      </c>
      <c r="N144" s="244">
        <v>0</v>
      </c>
      <c r="O144" s="244">
        <v>0</v>
      </c>
      <c r="P144" s="244">
        <v>0</v>
      </c>
      <c r="Q144" s="244">
        <v>0</v>
      </c>
      <c r="R144" s="244">
        <v>0</v>
      </c>
      <c r="S144" s="244">
        <v>0</v>
      </c>
      <c r="T144" s="244">
        <v>0</v>
      </c>
      <c r="U144" s="245"/>
      <c r="V144" s="408">
        <f t="shared" si="29"/>
        <v>0</v>
      </c>
      <c r="W144" s="245"/>
      <c r="X144" s="246">
        <f t="shared" si="30"/>
        <v>0</v>
      </c>
      <c r="Y144" s="246">
        <f t="shared" si="30"/>
        <v>0</v>
      </c>
      <c r="Z144" s="246">
        <f t="shared" si="30"/>
        <v>0</v>
      </c>
      <c r="AA144" s="245">
        <f t="shared" si="34"/>
        <v>0</v>
      </c>
      <c r="AB144" s="245">
        <f t="shared" si="34"/>
        <v>0</v>
      </c>
      <c r="AC144" s="245">
        <f t="shared" si="34"/>
        <v>0</v>
      </c>
      <c r="AD144" s="245">
        <f t="shared" si="33"/>
        <v>0</v>
      </c>
      <c r="AE144" s="245">
        <f t="shared" si="33"/>
        <v>0</v>
      </c>
      <c r="AF144" s="245">
        <f t="shared" si="33"/>
        <v>0</v>
      </c>
      <c r="AG144" s="245">
        <f t="shared" si="33"/>
        <v>0</v>
      </c>
      <c r="AH144" s="245">
        <f t="shared" si="33"/>
        <v>0</v>
      </c>
      <c r="AI144" s="245">
        <f t="shared" si="33"/>
        <v>0</v>
      </c>
      <c r="AJ144" s="247">
        <f t="shared" si="32"/>
        <v>0</v>
      </c>
    </row>
    <row r="145" spans="1:36">
      <c r="A145" s="231" t="str">
        <f t="shared" si="28"/>
        <v>JBLM HOUSINGCommercialFL002.0Y1W001MF</v>
      </c>
      <c r="B145" s="243" t="s">
        <v>873</v>
      </c>
      <c r="C145" s="243" t="s">
        <v>874</v>
      </c>
      <c r="D145" s="243" t="s">
        <v>528</v>
      </c>
      <c r="E145" s="230">
        <v>33000</v>
      </c>
      <c r="F145" s="244">
        <v>0</v>
      </c>
      <c r="G145" s="244">
        <v>0</v>
      </c>
      <c r="H145" s="244"/>
      <c r="I145" s="244">
        <v>0</v>
      </c>
      <c r="J145" s="244">
        <v>0</v>
      </c>
      <c r="K145" s="244">
        <v>0</v>
      </c>
      <c r="L145" s="244">
        <v>0</v>
      </c>
      <c r="M145" s="244">
        <v>0</v>
      </c>
      <c r="N145" s="244">
        <v>0</v>
      </c>
      <c r="O145" s="244">
        <v>0</v>
      </c>
      <c r="P145" s="244">
        <v>0</v>
      </c>
      <c r="Q145" s="244">
        <v>0</v>
      </c>
      <c r="R145" s="244">
        <v>0</v>
      </c>
      <c r="S145" s="244">
        <v>0</v>
      </c>
      <c r="T145" s="244">
        <v>0</v>
      </c>
      <c r="U145" s="245"/>
      <c r="V145" s="408">
        <f t="shared" ref="V145:V176" si="35">SUM(I145:T145)</f>
        <v>0</v>
      </c>
      <c r="W145" s="245"/>
      <c r="X145" s="246">
        <f t="shared" ref="X145:Z176" si="36">IFERROR(I145/$F145,0)</f>
        <v>0</v>
      </c>
      <c r="Y145" s="246">
        <f t="shared" si="36"/>
        <v>0</v>
      </c>
      <c r="Z145" s="246">
        <f t="shared" si="36"/>
        <v>0</v>
      </c>
      <c r="AA145" s="245">
        <f t="shared" si="34"/>
        <v>0</v>
      </c>
      <c r="AB145" s="245">
        <f t="shared" si="34"/>
        <v>0</v>
      </c>
      <c r="AC145" s="245">
        <f t="shared" si="34"/>
        <v>0</v>
      </c>
      <c r="AD145" s="245">
        <f t="shared" si="33"/>
        <v>0</v>
      </c>
      <c r="AE145" s="245">
        <f t="shared" si="33"/>
        <v>0</v>
      </c>
      <c r="AF145" s="245">
        <f t="shared" si="33"/>
        <v>0</v>
      </c>
      <c r="AG145" s="245">
        <f t="shared" si="33"/>
        <v>0</v>
      </c>
      <c r="AH145" s="245">
        <f t="shared" si="33"/>
        <v>0</v>
      </c>
      <c r="AI145" s="245">
        <f t="shared" si="33"/>
        <v>0</v>
      </c>
      <c r="AJ145" s="247">
        <f t="shared" si="32"/>
        <v>0</v>
      </c>
    </row>
    <row r="146" spans="1:36">
      <c r="A146" s="231" t="str">
        <f t="shared" si="28"/>
        <v>JBLM HOUSINGCommercialFL002.0Y2W001MF</v>
      </c>
      <c r="B146" s="243" t="s">
        <v>875</v>
      </c>
      <c r="C146" s="243" t="s">
        <v>876</v>
      </c>
      <c r="D146" s="243" t="s">
        <v>528</v>
      </c>
      <c r="E146" s="230">
        <v>33000</v>
      </c>
      <c r="F146" s="244">
        <v>0</v>
      </c>
      <c r="G146" s="244">
        <v>0</v>
      </c>
      <c r="H146" s="244"/>
      <c r="I146" s="244">
        <v>0</v>
      </c>
      <c r="J146" s="244">
        <v>0</v>
      </c>
      <c r="K146" s="244">
        <v>0</v>
      </c>
      <c r="L146" s="244">
        <v>0</v>
      </c>
      <c r="M146" s="244">
        <v>0</v>
      </c>
      <c r="N146" s="244">
        <v>0</v>
      </c>
      <c r="O146" s="244">
        <v>0</v>
      </c>
      <c r="P146" s="244">
        <v>0</v>
      </c>
      <c r="Q146" s="244">
        <v>0</v>
      </c>
      <c r="R146" s="244">
        <v>0</v>
      </c>
      <c r="S146" s="244">
        <v>0</v>
      </c>
      <c r="T146" s="244">
        <v>0</v>
      </c>
      <c r="U146" s="245"/>
      <c r="V146" s="408">
        <f t="shared" si="35"/>
        <v>0</v>
      </c>
      <c r="W146" s="245"/>
      <c r="X146" s="246">
        <f t="shared" si="36"/>
        <v>0</v>
      </c>
      <c r="Y146" s="246">
        <f t="shared" si="36"/>
        <v>0</v>
      </c>
      <c r="Z146" s="246">
        <f t="shared" si="36"/>
        <v>0</v>
      </c>
      <c r="AA146" s="245">
        <f t="shared" si="34"/>
        <v>0</v>
      </c>
      <c r="AB146" s="245">
        <f t="shared" si="34"/>
        <v>0</v>
      </c>
      <c r="AC146" s="245">
        <f t="shared" si="34"/>
        <v>0</v>
      </c>
      <c r="AD146" s="245">
        <f t="shared" si="33"/>
        <v>0</v>
      </c>
      <c r="AE146" s="245">
        <f t="shared" si="33"/>
        <v>0</v>
      </c>
      <c r="AF146" s="245">
        <f t="shared" si="33"/>
        <v>0</v>
      </c>
      <c r="AG146" s="245">
        <f t="shared" si="33"/>
        <v>0</v>
      </c>
      <c r="AH146" s="245">
        <f t="shared" si="33"/>
        <v>0</v>
      </c>
      <c r="AI146" s="245">
        <f t="shared" si="33"/>
        <v>0</v>
      </c>
      <c r="AJ146" s="247">
        <f t="shared" si="32"/>
        <v>0</v>
      </c>
    </row>
    <row r="147" spans="1:36">
      <c r="A147" s="231" t="str">
        <f t="shared" si="28"/>
        <v>JBLM HOUSINGCommercialFL003.0Y1W001MF</v>
      </c>
      <c r="B147" s="243" t="s">
        <v>877</v>
      </c>
      <c r="C147" s="243" t="s">
        <v>878</v>
      </c>
      <c r="D147" s="243" t="s">
        <v>528</v>
      </c>
      <c r="E147" s="230">
        <v>33000</v>
      </c>
      <c r="F147" s="244">
        <v>0</v>
      </c>
      <c r="G147" s="244">
        <v>0</v>
      </c>
      <c r="H147" s="244"/>
      <c r="I147" s="244">
        <v>0</v>
      </c>
      <c r="J147" s="244">
        <v>0</v>
      </c>
      <c r="K147" s="244">
        <v>0</v>
      </c>
      <c r="L147" s="244">
        <v>0</v>
      </c>
      <c r="M147" s="244">
        <v>0</v>
      </c>
      <c r="N147" s="244">
        <v>0</v>
      </c>
      <c r="O147" s="244">
        <v>0</v>
      </c>
      <c r="P147" s="244">
        <v>0</v>
      </c>
      <c r="Q147" s="244">
        <v>0</v>
      </c>
      <c r="R147" s="244">
        <v>0</v>
      </c>
      <c r="S147" s="244">
        <v>0</v>
      </c>
      <c r="T147" s="244">
        <v>0</v>
      </c>
      <c r="U147" s="245"/>
      <c r="V147" s="408">
        <f t="shared" si="35"/>
        <v>0</v>
      </c>
      <c r="W147" s="245"/>
      <c r="X147" s="246">
        <f t="shared" si="36"/>
        <v>0</v>
      </c>
      <c r="Y147" s="246">
        <f t="shared" si="36"/>
        <v>0</v>
      </c>
      <c r="Z147" s="246">
        <f t="shared" si="36"/>
        <v>0</v>
      </c>
      <c r="AA147" s="245">
        <f t="shared" si="34"/>
        <v>0</v>
      </c>
      <c r="AB147" s="245">
        <f t="shared" si="34"/>
        <v>0</v>
      </c>
      <c r="AC147" s="245">
        <f t="shared" si="34"/>
        <v>0</v>
      </c>
      <c r="AD147" s="245">
        <f t="shared" si="33"/>
        <v>0</v>
      </c>
      <c r="AE147" s="245">
        <f t="shared" si="33"/>
        <v>0</v>
      </c>
      <c r="AF147" s="245">
        <f t="shared" si="33"/>
        <v>0</v>
      </c>
      <c r="AG147" s="245">
        <f t="shared" si="33"/>
        <v>0</v>
      </c>
      <c r="AH147" s="245">
        <f t="shared" si="33"/>
        <v>0</v>
      </c>
      <c r="AI147" s="245">
        <f t="shared" si="33"/>
        <v>0</v>
      </c>
      <c r="AJ147" s="247">
        <f t="shared" si="32"/>
        <v>0</v>
      </c>
    </row>
    <row r="148" spans="1:36">
      <c r="A148" s="231" t="str">
        <f t="shared" si="28"/>
        <v>JBLM HOUSINGCommercialFL001.0YXX001TEMPC</v>
      </c>
      <c r="B148" s="243" t="s">
        <v>347</v>
      </c>
      <c r="C148" s="243" t="s">
        <v>348</v>
      </c>
      <c r="D148" s="243" t="s">
        <v>528</v>
      </c>
      <c r="E148" s="230">
        <v>33000</v>
      </c>
      <c r="F148" s="244">
        <v>0</v>
      </c>
      <c r="G148" s="244">
        <v>0</v>
      </c>
      <c r="H148" s="244"/>
      <c r="I148" s="244">
        <v>0</v>
      </c>
      <c r="J148" s="244">
        <v>0</v>
      </c>
      <c r="K148" s="244">
        <v>0</v>
      </c>
      <c r="L148" s="244">
        <v>0</v>
      </c>
      <c r="M148" s="244">
        <v>0</v>
      </c>
      <c r="N148" s="244">
        <v>0</v>
      </c>
      <c r="O148" s="244">
        <v>0</v>
      </c>
      <c r="P148" s="244">
        <v>0</v>
      </c>
      <c r="Q148" s="244">
        <v>0</v>
      </c>
      <c r="R148" s="244">
        <v>0</v>
      </c>
      <c r="S148" s="244">
        <v>0</v>
      </c>
      <c r="T148" s="244">
        <v>0</v>
      </c>
      <c r="U148" s="245"/>
      <c r="V148" s="408">
        <f t="shared" si="35"/>
        <v>0</v>
      </c>
      <c r="W148" s="245"/>
      <c r="X148" s="246">
        <f t="shared" si="36"/>
        <v>0</v>
      </c>
      <c r="Y148" s="246">
        <f t="shared" si="36"/>
        <v>0</v>
      </c>
      <c r="Z148" s="246">
        <f t="shared" si="36"/>
        <v>0</v>
      </c>
      <c r="AA148" s="245">
        <f t="shared" si="34"/>
        <v>0</v>
      </c>
      <c r="AB148" s="245">
        <f t="shared" si="34"/>
        <v>0</v>
      </c>
      <c r="AC148" s="245">
        <f t="shared" si="34"/>
        <v>0</v>
      </c>
      <c r="AD148" s="245">
        <f t="shared" si="33"/>
        <v>0</v>
      </c>
      <c r="AE148" s="245">
        <f t="shared" si="33"/>
        <v>0</v>
      </c>
      <c r="AF148" s="245">
        <f t="shared" si="33"/>
        <v>0</v>
      </c>
      <c r="AG148" s="245">
        <f t="shared" si="33"/>
        <v>0</v>
      </c>
      <c r="AH148" s="245">
        <f t="shared" si="33"/>
        <v>0</v>
      </c>
      <c r="AI148" s="245">
        <f t="shared" si="33"/>
        <v>0</v>
      </c>
      <c r="AJ148" s="247">
        <f t="shared" si="32"/>
        <v>0</v>
      </c>
    </row>
    <row r="149" spans="1:36">
      <c r="A149" s="231" t="str">
        <f t="shared" si="28"/>
        <v>JBLM HOUSINGCommercialFL001.5YXX001TEMPC</v>
      </c>
      <c r="B149" s="243" t="s">
        <v>349</v>
      </c>
      <c r="C149" s="243" t="s">
        <v>350</v>
      </c>
      <c r="D149" s="243" t="s">
        <v>528</v>
      </c>
      <c r="E149" s="230">
        <v>33000</v>
      </c>
      <c r="F149" s="244">
        <v>0</v>
      </c>
      <c r="G149" s="244">
        <v>0</v>
      </c>
      <c r="H149" s="244"/>
      <c r="I149" s="244">
        <v>0</v>
      </c>
      <c r="J149" s="244">
        <v>0</v>
      </c>
      <c r="K149" s="244">
        <v>0</v>
      </c>
      <c r="L149" s="244">
        <v>0</v>
      </c>
      <c r="M149" s="244">
        <v>0</v>
      </c>
      <c r="N149" s="244">
        <v>0</v>
      </c>
      <c r="O149" s="244">
        <v>0</v>
      </c>
      <c r="P149" s="244">
        <v>0</v>
      </c>
      <c r="Q149" s="244">
        <v>0</v>
      </c>
      <c r="R149" s="244">
        <v>0</v>
      </c>
      <c r="S149" s="244">
        <v>0</v>
      </c>
      <c r="T149" s="244">
        <v>0</v>
      </c>
      <c r="U149" s="245"/>
      <c r="V149" s="408">
        <f t="shared" si="35"/>
        <v>0</v>
      </c>
      <c r="W149" s="245"/>
      <c r="X149" s="246">
        <f t="shared" si="36"/>
        <v>0</v>
      </c>
      <c r="Y149" s="246">
        <f t="shared" si="36"/>
        <v>0</v>
      </c>
      <c r="Z149" s="246">
        <f t="shared" si="36"/>
        <v>0</v>
      </c>
      <c r="AA149" s="245">
        <f t="shared" si="34"/>
        <v>0</v>
      </c>
      <c r="AB149" s="245">
        <f t="shared" si="34"/>
        <v>0</v>
      </c>
      <c r="AC149" s="245">
        <f t="shared" si="34"/>
        <v>0</v>
      </c>
      <c r="AD149" s="245">
        <f t="shared" si="33"/>
        <v>0</v>
      </c>
      <c r="AE149" s="245">
        <f t="shared" si="33"/>
        <v>0</v>
      </c>
      <c r="AF149" s="245">
        <f t="shared" si="33"/>
        <v>0</v>
      </c>
      <c r="AG149" s="245">
        <f t="shared" si="33"/>
        <v>0</v>
      </c>
      <c r="AH149" s="245">
        <f t="shared" si="33"/>
        <v>0</v>
      </c>
      <c r="AI149" s="245">
        <f t="shared" si="33"/>
        <v>0</v>
      </c>
      <c r="AJ149" s="247">
        <f t="shared" si="32"/>
        <v>0</v>
      </c>
    </row>
    <row r="150" spans="1:36">
      <c r="A150" s="231" t="str">
        <f t="shared" si="28"/>
        <v>JBLM HOUSINGCommercialFL002.0YXX001TEMPC</v>
      </c>
      <c r="B150" s="243" t="s">
        <v>351</v>
      </c>
      <c r="C150" s="243" t="s">
        <v>352</v>
      </c>
      <c r="D150" s="243" t="s">
        <v>528</v>
      </c>
      <c r="E150" s="230">
        <v>33000</v>
      </c>
      <c r="F150" s="244">
        <v>0</v>
      </c>
      <c r="G150" s="244">
        <v>0</v>
      </c>
      <c r="H150" s="244"/>
      <c r="I150" s="244">
        <v>0</v>
      </c>
      <c r="J150" s="244">
        <v>0</v>
      </c>
      <c r="K150" s="244">
        <v>0</v>
      </c>
      <c r="L150" s="244">
        <v>0</v>
      </c>
      <c r="M150" s="244">
        <v>0</v>
      </c>
      <c r="N150" s="244">
        <v>0</v>
      </c>
      <c r="O150" s="244">
        <v>0</v>
      </c>
      <c r="P150" s="244">
        <v>0</v>
      </c>
      <c r="Q150" s="244">
        <v>0</v>
      </c>
      <c r="R150" s="244">
        <v>0</v>
      </c>
      <c r="S150" s="244">
        <v>0</v>
      </c>
      <c r="T150" s="244">
        <v>0</v>
      </c>
      <c r="U150" s="245"/>
      <c r="V150" s="408">
        <f t="shared" si="35"/>
        <v>0</v>
      </c>
      <c r="W150" s="245"/>
      <c r="X150" s="246">
        <f t="shared" si="36"/>
        <v>0</v>
      </c>
      <c r="Y150" s="246">
        <f t="shared" si="36"/>
        <v>0</v>
      </c>
      <c r="Z150" s="246">
        <f t="shared" si="36"/>
        <v>0</v>
      </c>
      <c r="AA150" s="245">
        <f t="shared" si="34"/>
        <v>0</v>
      </c>
      <c r="AB150" s="245">
        <f t="shared" si="34"/>
        <v>0</v>
      </c>
      <c r="AC150" s="245">
        <f t="shared" si="34"/>
        <v>0</v>
      </c>
      <c r="AD150" s="245">
        <f t="shared" si="33"/>
        <v>0</v>
      </c>
      <c r="AE150" s="245">
        <f t="shared" si="33"/>
        <v>0</v>
      </c>
      <c r="AF150" s="245">
        <f t="shared" si="33"/>
        <v>0</v>
      </c>
      <c r="AG150" s="245">
        <f t="shared" si="33"/>
        <v>0</v>
      </c>
      <c r="AH150" s="245">
        <f t="shared" si="33"/>
        <v>0</v>
      </c>
      <c r="AI150" s="245">
        <f t="shared" si="33"/>
        <v>0</v>
      </c>
      <c r="AJ150" s="247">
        <f t="shared" si="32"/>
        <v>0</v>
      </c>
    </row>
    <row r="151" spans="1:36">
      <c r="A151" s="231" t="str">
        <f t="shared" si="28"/>
        <v>JBLM HOUSINGCommercialFL003.0YXX001TEMPC</v>
      </c>
      <c r="B151" s="243" t="s">
        <v>353</v>
      </c>
      <c r="C151" s="243" t="s">
        <v>354</v>
      </c>
      <c r="D151" s="243" t="s">
        <v>528</v>
      </c>
      <c r="E151" s="230">
        <v>33000</v>
      </c>
      <c r="F151" s="244">
        <v>0</v>
      </c>
      <c r="G151" s="244">
        <v>0</v>
      </c>
      <c r="H151" s="244"/>
      <c r="I151" s="244">
        <v>0</v>
      </c>
      <c r="J151" s="244">
        <v>0</v>
      </c>
      <c r="K151" s="244">
        <v>0</v>
      </c>
      <c r="L151" s="244">
        <v>0</v>
      </c>
      <c r="M151" s="244">
        <v>0</v>
      </c>
      <c r="N151" s="244">
        <v>0</v>
      </c>
      <c r="O151" s="244">
        <v>0</v>
      </c>
      <c r="P151" s="244">
        <v>0</v>
      </c>
      <c r="Q151" s="244">
        <v>0</v>
      </c>
      <c r="R151" s="244">
        <v>0</v>
      </c>
      <c r="S151" s="244">
        <v>0</v>
      </c>
      <c r="T151" s="244">
        <v>0</v>
      </c>
      <c r="U151" s="245"/>
      <c r="V151" s="408">
        <f t="shared" si="35"/>
        <v>0</v>
      </c>
      <c r="W151" s="245"/>
      <c r="X151" s="246">
        <f t="shared" si="36"/>
        <v>0</v>
      </c>
      <c r="Y151" s="246">
        <f t="shared" si="36"/>
        <v>0</v>
      </c>
      <c r="Z151" s="246">
        <f t="shared" si="36"/>
        <v>0</v>
      </c>
      <c r="AA151" s="245">
        <f t="shared" si="34"/>
        <v>0</v>
      </c>
      <c r="AB151" s="245">
        <f t="shared" si="34"/>
        <v>0</v>
      </c>
      <c r="AC151" s="245">
        <f t="shared" si="34"/>
        <v>0</v>
      </c>
      <c r="AD151" s="245">
        <f t="shared" si="33"/>
        <v>0</v>
      </c>
      <c r="AE151" s="245">
        <f t="shared" si="33"/>
        <v>0</v>
      </c>
      <c r="AF151" s="245">
        <f t="shared" si="33"/>
        <v>0</v>
      </c>
      <c r="AG151" s="245">
        <f t="shared" si="33"/>
        <v>0</v>
      </c>
      <c r="AH151" s="245">
        <f t="shared" si="33"/>
        <v>0</v>
      </c>
      <c r="AI151" s="245">
        <f t="shared" si="33"/>
        <v>0</v>
      </c>
      <c r="AJ151" s="247">
        <f t="shared" si="32"/>
        <v>0</v>
      </c>
    </row>
    <row r="152" spans="1:36">
      <c r="A152" s="231" t="str">
        <f t="shared" si="28"/>
        <v>JBLM HOUSINGCommercialFL004.0YXX001TEMPC</v>
      </c>
      <c r="B152" s="243" t="s">
        <v>355</v>
      </c>
      <c r="C152" s="243" t="s">
        <v>356</v>
      </c>
      <c r="D152" s="243" t="s">
        <v>528</v>
      </c>
      <c r="E152" s="230">
        <v>33000</v>
      </c>
      <c r="F152" s="244">
        <v>0</v>
      </c>
      <c r="G152" s="244">
        <v>0</v>
      </c>
      <c r="H152" s="244"/>
      <c r="I152" s="244">
        <v>0</v>
      </c>
      <c r="J152" s="244">
        <v>0</v>
      </c>
      <c r="K152" s="244">
        <v>0</v>
      </c>
      <c r="L152" s="244">
        <v>0</v>
      </c>
      <c r="M152" s="244">
        <v>0</v>
      </c>
      <c r="N152" s="244">
        <v>0</v>
      </c>
      <c r="O152" s="244">
        <v>0</v>
      </c>
      <c r="P152" s="244">
        <v>0</v>
      </c>
      <c r="Q152" s="244">
        <v>0</v>
      </c>
      <c r="R152" s="244">
        <v>0</v>
      </c>
      <c r="S152" s="244">
        <v>0</v>
      </c>
      <c r="T152" s="244">
        <v>0</v>
      </c>
      <c r="U152" s="245"/>
      <c r="V152" s="408">
        <f t="shared" si="35"/>
        <v>0</v>
      </c>
      <c r="W152" s="245"/>
      <c r="X152" s="246">
        <f t="shared" si="36"/>
        <v>0</v>
      </c>
      <c r="Y152" s="246">
        <f t="shared" si="36"/>
        <v>0</v>
      </c>
      <c r="Z152" s="246">
        <f t="shared" si="36"/>
        <v>0</v>
      </c>
      <c r="AA152" s="245">
        <f t="shared" si="34"/>
        <v>0</v>
      </c>
      <c r="AB152" s="245">
        <f t="shared" si="34"/>
        <v>0</v>
      </c>
      <c r="AC152" s="245">
        <f t="shared" si="34"/>
        <v>0</v>
      </c>
      <c r="AD152" s="245">
        <f t="shared" si="33"/>
        <v>0</v>
      </c>
      <c r="AE152" s="245">
        <f t="shared" si="33"/>
        <v>0</v>
      </c>
      <c r="AF152" s="245">
        <f t="shared" si="33"/>
        <v>0</v>
      </c>
      <c r="AG152" s="245">
        <f t="shared" si="33"/>
        <v>0</v>
      </c>
      <c r="AH152" s="245">
        <f t="shared" si="33"/>
        <v>0</v>
      </c>
      <c r="AI152" s="245">
        <f t="shared" si="33"/>
        <v>0</v>
      </c>
      <c r="AJ152" s="247">
        <f t="shared" si="32"/>
        <v>0</v>
      </c>
    </row>
    <row r="153" spans="1:36">
      <c r="A153" s="231" t="str">
        <f t="shared" si="28"/>
        <v>JBLM HOUSINGCommercialFL006.0YXX001TEMPC</v>
      </c>
      <c r="B153" s="243" t="s">
        <v>357</v>
      </c>
      <c r="C153" s="243" t="s">
        <v>358</v>
      </c>
      <c r="D153" s="243" t="s">
        <v>528</v>
      </c>
      <c r="E153" s="230">
        <v>33000</v>
      </c>
      <c r="F153" s="244">
        <v>72.180000000000007</v>
      </c>
      <c r="G153" s="244">
        <v>73.69</v>
      </c>
      <c r="H153" s="244"/>
      <c r="I153" s="244">
        <v>0</v>
      </c>
      <c r="J153" s="244">
        <v>0</v>
      </c>
      <c r="K153" s="244">
        <v>0</v>
      </c>
      <c r="L153" s="244">
        <v>0</v>
      </c>
      <c r="M153" s="244">
        <v>0</v>
      </c>
      <c r="N153" s="244">
        <v>0</v>
      </c>
      <c r="O153" s="244">
        <v>0</v>
      </c>
      <c r="P153" s="244">
        <v>0</v>
      </c>
      <c r="Q153" s="244">
        <v>0</v>
      </c>
      <c r="R153" s="244">
        <v>0</v>
      </c>
      <c r="S153" s="244">
        <v>0</v>
      </c>
      <c r="T153" s="244">
        <v>0</v>
      </c>
      <c r="U153" s="245"/>
      <c r="V153" s="408">
        <f t="shared" si="35"/>
        <v>0</v>
      </c>
      <c r="W153" s="245"/>
      <c r="X153" s="246">
        <f t="shared" si="36"/>
        <v>0</v>
      </c>
      <c r="Y153" s="246">
        <f t="shared" si="36"/>
        <v>0</v>
      </c>
      <c r="Z153" s="246">
        <f t="shared" si="36"/>
        <v>0</v>
      </c>
      <c r="AA153" s="245">
        <f t="shared" si="34"/>
        <v>0</v>
      </c>
      <c r="AB153" s="245">
        <f t="shared" si="34"/>
        <v>0</v>
      </c>
      <c r="AC153" s="245">
        <f t="shared" si="34"/>
        <v>0</v>
      </c>
      <c r="AD153" s="245">
        <f t="shared" si="33"/>
        <v>0</v>
      </c>
      <c r="AE153" s="245">
        <f t="shared" si="33"/>
        <v>0</v>
      </c>
      <c r="AF153" s="245">
        <f t="shared" si="33"/>
        <v>0</v>
      </c>
      <c r="AG153" s="245">
        <f t="shared" si="33"/>
        <v>0</v>
      </c>
      <c r="AH153" s="245">
        <f t="shared" si="33"/>
        <v>0</v>
      </c>
      <c r="AI153" s="245">
        <f t="shared" si="33"/>
        <v>0</v>
      </c>
      <c r="AJ153" s="247">
        <f t="shared" si="32"/>
        <v>0</v>
      </c>
    </row>
    <row r="154" spans="1:36">
      <c r="A154" s="231" t="str">
        <f t="shared" si="28"/>
        <v>JBLM HOUSINGCommercialRENT1.5TEMP-COMM</v>
      </c>
      <c r="B154" s="243" t="s">
        <v>532</v>
      </c>
      <c r="C154" s="243" t="s">
        <v>533</v>
      </c>
      <c r="D154" s="243" t="s">
        <v>528</v>
      </c>
      <c r="E154" s="230">
        <v>33000</v>
      </c>
      <c r="F154" s="244">
        <v>0</v>
      </c>
      <c r="G154" s="244">
        <v>0</v>
      </c>
      <c r="H154" s="244"/>
      <c r="I154" s="244">
        <v>0</v>
      </c>
      <c r="J154" s="244">
        <v>0</v>
      </c>
      <c r="K154" s="244">
        <v>0</v>
      </c>
      <c r="L154" s="244">
        <v>0</v>
      </c>
      <c r="M154" s="244">
        <v>0</v>
      </c>
      <c r="N154" s="244">
        <v>0</v>
      </c>
      <c r="O154" s="244">
        <v>0</v>
      </c>
      <c r="P154" s="244">
        <v>0</v>
      </c>
      <c r="Q154" s="244">
        <v>0</v>
      </c>
      <c r="R154" s="244">
        <v>0</v>
      </c>
      <c r="S154" s="244">
        <v>0</v>
      </c>
      <c r="T154" s="244">
        <v>0</v>
      </c>
      <c r="U154" s="245"/>
      <c r="V154" s="408">
        <f t="shared" si="35"/>
        <v>0</v>
      </c>
      <c r="W154" s="245"/>
      <c r="X154" s="246">
        <f t="shared" si="36"/>
        <v>0</v>
      </c>
      <c r="Y154" s="246">
        <f t="shared" si="36"/>
        <v>0</v>
      </c>
      <c r="Z154" s="246">
        <f t="shared" si="36"/>
        <v>0</v>
      </c>
      <c r="AA154" s="245">
        <f t="shared" si="34"/>
        <v>0</v>
      </c>
      <c r="AB154" s="245">
        <f t="shared" si="34"/>
        <v>0</v>
      </c>
      <c r="AC154" s="245">
        <f t="shared" si="34"/>
        <v>0</v>
      </c>
      <c r="AD154" s="245">
        <f t="shared" si="33"/>
        <v>0</v>
      </c>
      <c r="AE154" s="245">
        <f t="shared" si="33"/>
        <v>0</v>
      </c>
      <c r="AF154" s="245">
        <f t="shared" si="33"/>
        <v>0</v>
      </c>
      <c r="AG154" s="245">
        <f t="shared" si="33"/>
        <v>0</v>
      </c>
      <c r="AH154" s="245">
        <f t="shared" si="33"/>
        <v>0</v>
      </c>
      <c r="AI154" s="245">
        <f t="shared" si="33"/>
        <v>0</v>
      </c>
      <c r="AJ154" s="247">
        <f t="shared" si="32"/>
        <v>0</v>
      </c>
    </row>
    <row r="155" spans="1:36">
      <c r="A155" s="231" t="str">
        <f t="shared" si="28"/>
        <v>JBLM HOUSINGCommercialRENT1TEMP-COMM</v>
      </c>
      <c r="B155" s="243" t="s">
        <v>534</v>
      </c>
      <c r="C155" s="243" t="s">
        <v>535</v>
      </c>
      <c r="D155" s="243" t="s">
        <v>528</v>
      </c>
      <c r="E155" s="230">
        <v>33000</v>
      </c>
      <c r="F155" s="244">
        <v>0</v>
      </c>
      <c r="G155" s="244">
        <v>0</v>
      </c>
      <c r="H155" s="244"/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  <c r="O155" s="244">
        <v>0</v>
      </c>
      <c r="P155" s="244">
        <v>0</v>
      </c>
      <c r="Q155" s="244">
        <v>0</v>
      </c>
      <c r="R155" s="244">
        <v>0</v>
      </c>
      <c r="S155" s="244">
        <v>0</v>
      </c>
      <c r="T155" s="244">
        <v>0</v>
      </c>
      <c r="U155" s="245"/>
      <c r="V155" s="408">
        <f t="shared" si="35"/>
        <v>0</v>
      </c>
      <c r="W155" s="245"/>
      <c r="X155" s="246">
        <f t="shared" si="36"/>
        <v>0</v>
      </c>
      <c r="Y155" s="246">
        <f t="shared" si="36"/>
        <v>0</v>
      </c>
      <c r="Z155" s="246">
        <f t="shared" si="36"/>
        <v>0</v>
      </c>
      <c r="AA155" s="245">
        <f t="shared" si="34"/>
        <v>0</v>
      </c>
      <c r="AB155" s="245">
        <f t="shared" si="34"/>
        <v>0</v>
      </c>
      <c r="AC155" s="245">
        <f t="shared" si="34"/>
        <v>0</v>
      </c>
      <c r="AD155" s="245">
        <f t="shared" si="33"/>
        <v>0</v>
      </c>
      <c r="AE155" s="245">
        <f t="shared" si="33"/>
        <v>0</v>
      </c>
      <c r="AF155" s="245">
        <f t="shared" si="33"/>
        <v>0</v>
      </c>
      <c r="AG155" s="245">
        <f t="shared" si="33"/>
        <v>0</v>
      </c>
      <c r="AH155" s="245">
        <f t="shared" si="33"/>
        <v>0</v>
      </c>
      <c r="AI155" s="245">
        <f t="shared" si="33"/>
        <v>0</v>
      </c>
      <c r="AJ155" s="247">
        <f t="shared" si="32"/>
        <v>0</v>
      </c>
    </row>
    <row r="156" spans="1:36">
      <c r="A156" s="231" t="str">
        <f t="shared" si="28"/>
        <v>JBLM HOUSINGCommercialRENT2TEMP-COMM</v>
      </c>
      <c r="B156" s="243" t="s">
        <v>536</v>
      </c>
      <c r="C156" s="243" t="s">
        <v>537</v>
      </c>
      <c r="D156" s="243" t="s">
        <v>528</v>
      </c>
      <c r="E156" s="230">
        <v>33000</v>
      </c>
      <c r="F156" s="244">
        <v>0.63</v>
      </c>
      <c r="G156" s="244">
        <v>0.63</v>
      </c>
      <c r="H156" s="244"/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  <c r="O156" s="244">
        <v>0</v>
      </c>
      <c r="P156" s="244">
        <v>0</v>
      </c>
      <c r="Q156" s="244">
        <v>0</v>
      </c>
      <c r="R156" s="244">
        <v>0</v>
      </c>
      <c r="S156" s="244">
        <v>0</v>
      </c>
      <c r="T156" s="244">
        <v>0</v>
      </c>
      <c r="U156" s="245"/>
      <c r="V156" s="408">
        <f t="shared" si="35"/>
        <v>0</v>
      </c>
      <c r="W156" s="245"/>
      <c r="X156" s="246">
        <f t="shared" si="36"/>
        <v>0</v>
      </c>
      <c r="Y156" s="246">
        <f t="shared" si="36"/>
        <v>0</v>
      </c>
      <c r="Z156" s="246">
        <f t="shared" si="36"/>
        <v>0</v>
      </c>
      <c r="AA156" s="245">
        <f t="shared" si="34"/>
        <v>0</v>
      </c>
      <c r="AB156" s="245">
        <f t="shared" si="34"/>
        <v>0</v>
      </c>
      <c r="AC156" s="245">
        <f t="shared" si="34"/>
        <v>0</v>
      </c>
      <c r="AD156" s="245">
        <f t="shared" si="33"/>
        <v>0</v>
      </c>
      <c r="AE156" s="245">
        <f t="shared" si="33"/>
        <v>0</v>
      </c>
      <c r="AF156" s="245">
        <f t="shared" si="33"/>
        <v>0</v>
      </c>
      <c r="AG156" s="245">
        <f t="shared" si="33"/>
        <v>0</v>
      </c>
      <c r="AH156" s="245">
        <f t="shared" si="33"/>
        <v>0</v>
      </c>
      <c r="AI156" s="245">
        <f t="shared" si="33"/>
        <v>0</v>
      </c>
      <c r="AJ156" s="247">
        <f t="shared" si="32"/>
        <v>0</v>
      </c>
    </row>
    <row r="157" spans="1:36">
      <c r="A157" s="231" t="str">
        <f t="shared" si="28"/>
        <v>JBLM HOUSINGCommercialRENT3TEMP-COMM</v>
      </c>
      <c r="B157" s="243" t="s">
        <v>538</v>
      </c>
      <c r="C157" s="243" t="s">
        <v>539</v>
      </c>
      <c r="D157" s="243" t="s">
        <v>528</v>
      </c>
      <c r="E157" s="230">
        <v>33000</v>
      </c>
      <c r="F157" s="244">
        <v>0</v>
      </c>
      <c r="G157" s="244">
        <v>0</v>
      </c>
      <c r="H157" s="244"/>
      <c r="I157" s="244">
        <v>0</v>
      </c>
      <c r="J157" s="244">
        <v>0</v>
      </c>
      <c r="K157" s="244">
        <v>0</v>
      </c>
      <c r="L157" s="244">
        <v>0</v>
      </c>
      <c r="M157" s="244">
        <v>0</v>
      </c>
      <c r="N157" s="244">
        <v>0</v>
      </c>
      <c r="O157" s="244">
        <v>0</v>
      </c>
      <c r="P157" s="244">
        <v>0</v>
      </c>
      <c r="Q157" s="244">
        <v>0</v>
      </c>
      <c r="R157" s="244">
        <v>0</v>
      </c>
      <c r="S157" s="244">
        <v>0</v>
      </c>
      <c r="T157" s="244">
        <v>0</v>
      </c>
      <c r="U157" s="245"/>
      <c r="V157" s="408">
        <f t="shared" si="35"/>
        <v>0</v>
      </c>
      <c r="W157" s="245"/>
      <c r="X157" s="246">
        <f t="shared" si="36"/>
        <v>0</v>
      </c>
      <c r="Y157" s="246">
        <f t="shared" si="36"/>
        <v>0</v>
      </c>
      <c r="Z157" s="246">
        <f t="shared" si="36"/>
        <v>0</v>
      </c>
      <c r="AA157" s="245">
        <f t="shared" si="34"/>
        <v>0</v>
      </c>
      <c r="AB157" s="245">
        <f t="shared" si="34"/>
        <v>0</v>
      </c>
      <c r="AC157" s="245">
        <f t="shared" si="34"/>
        <v>0</v>
      </c>
      <c r="AD157" s="245">
        <f t="shared" si="33"/>
        <v>0</v>
      </c>
      <c r="AE157" s="245">
        <f t="shared" si="33"/>
        <v>0</v>
      </c>
      <c r="AF157" s="245">
        <f t="shared" si="33"/>
        <v>0</v>
      </c>
      <c r="AG157" s="245">
        <f t="shared" si="33"/>
        <v>0</v>
      </c>
      <c r="AH157" s="245">
        <f t="shared" si="33"/>
        <v>0</v>
      </c>
      <c r="AI157" s="245">
        <f t="shared" si="33"/>
        <v>0</v>
      </c>
      <c r="AJ157" s="247">
        <f t="shared" si="32"/>
        <v>0</v>
      </c>
    </row>
    <row r="158" spans="1:36">
      <c r="A158" s="231" t="str">
        <f t="shared" si="28"/>
        <v>JBLM HOUSINGCommercialRENT4TEMP-COMM</v>
      </c>
      <c r="B158" s="243" t="s">
        <v>540</v>
      </c>
      <c r="C158" s="243" t="s">
        <v>541</v>
      </c>
      <c r="D158" s="243" t="s">
        <v>528</v>
      </c>
      <c r="E158" s="230">
        <v>33000</v>
      </c>
      <c r="F158" s="244">
        <v>0</v>
      </c>
      <c r="G158" s="244">
        <v>0</v>
      </c>
      <c r="H158" s="244"/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  <c r="O158" s="244">
        <v>0</v>
      </c>
      <c r="P158" s="244">
        <v>0</v>
      </c>
      <c r="Q158" s="244">
        <v>0</v>
      </c>
      <c r="R158" s="244">
        <v>0</v>
      </c>
      <c r="S158" s="244">
        <v>0</v>
      </c>
      <c r="T158" s="244">
        <v>0</v>
      </c>
      <c r="U158" s="245"/>
      <c r="V158" s="408">
        <f t="shared" si="35"/>
        <v>0</v>
      </c>
      <c r="W158" s="245"/>
      <c r="X158" s="246">
        <f t="shared" si="36"/>
        <v>0</v>
      </c>
      <c r="Y158" s="246">
        <f t="shared" si="36"/>
        <v>0</v>
      </c>
      <c r="Z158" s="246">
        <f t="shared" si="36"/>
        <v>0</v>
      </c>
      <c r="AA158" s="245">
        <f t="shared" si="34"/>
        <v>0</v>
      </c>
      <c r="AB158" s="245">
        <f t="shared" si="34"/>
        <v>0</v>
      </c>
      <c r="AC158" s="245">
        <f t="shared" si="34"/>
        <v>0</v>
      </c>
      <c r="AD158" s="245">
        <f t="shared" si="33"/>
        <v>0</v>
      </c>
      <c r="AE158" s="245">
        <f t="shared" si="33"/>
        <v>0</v>
      </c>
      <c r="AF158" s="245">
        <f t="shared" si="33"/>
        <v>0</v>
      </c>
      <c r="AG158" s="245">
        <f t="shared" si="33"/>
        <v>0</v>
      </c>
      <c r="AH158" s="245">
        <f t="shared" si="33"/>
        <v>0</v>
      </c>
      <c r="AI158" s="245">
        <f t="shared" si="33"/>
        <v>0</v>
      </c>
      <c r="AJ158" s="247">
        <f t="shared" si="32"/>
        <v>0</v>
      </c>
    </row>
    <row r="159" spans="1:36">
      <c r="A159" s="231" t="str">
        <f t="shared" si="28"/>
        <v>JBLM HOUSINGCommercialRENT6TEMP-COMM</v>
      </c>
      <c r="B159" s="243" t="s">
        <v>542</v>
      </c>
      <c r="C159" s="243" t="s">
        <v>543</v>
      </c>
      <c r="D159" s="243" t="s">
        <v>528</v>
      </c>
      <c r="E159" s="230">
        <v>33000</v>
      </c>
      <c r="F159" s="244">
        <v>1.32</v>
      </c>
      <c r="G159" s="244">
        <v>1.32</v>
      </c>
      <c r="H159" s="244"/>
      <c r="I159" s="244">
        <v>0</v>
      </c>
      <c r="J159" s="244">
        <v>0</v>
      </c>
      <c r="K159" s="244">
        <v>0</v>
      </c>
      <c r="L159" s="244">
        <v>0</v>
      </c>
      <c r="M159" s="244">
        <v>0</v>
      </c>
      <c r="N159" s="244">
        <v>0</v>
      </c>
      <c r="O159" s="244">
        <v>0</v>
      </c>
      <c r="P159" s="244">
        <v>0</v>
      </c>
      <c r="Q159" s="244">
        <v>0</v>
      </c>
      <c r="R159" s="244">
        <v>0</v>
      </c>
      <c r="S159" s="244">
        <v>0</v>
      </c>
      <c r="T159" s="244">
        <v>0</v>
      </c>
      <c r="U159" s="245"/>
      <c r="V159" s="408">
        <f t="shared" si="35"/>
        <v>0</v>
      </c>
      <c r="W159" s="245"/>
      <c r="X159" s="246">
        <f t="shared" si="36"/>
        <v>0</v>
      </c>
      <c r="Y159" s="246">
        <f t="shared" si="36"/>
        <v>0</v>
      </c>
      <c r="Z159" s="246">
        <f t="shared" si="36"/>
        <v>0</v>
      </c>
      <c r="AA159" s="245">
        <f t="shared" si="34"/>
        <v>0</v>
      </c>
      <c r="AB159" s="245">
        <f t="shared" si="34"/>
        <v>0</v>
      </c>
      <c r="AC159" s="245">
        <f t="shared" si="34"/>
        <v>0</v>
      </c>
      <c r="AD159" s="245">
        <f t="shared" si="33"/>
        <v>0</v>
      </c>
      <c r="AE159" s="245">
        <f t="shared" si="33"/>
        <v>0</v>
      </c>
      <c r="AF159" s="245">
        <f t="shared" si="33"/>
        <v>0</v>
      </c>
      <c r="AG159" s="245">
        <f t="shared" si="33"/>
        <v>0</v>
      </c>
      <c r="AH159" s="245">
        <f t="shared" si="33"/>
        <v>0</v>
      </c>
      <c r="AI159" s="245">
        <f t="shared" si="33"/>
        <v>0</v>
      </c>
      <c r="AJ159" s="247">
        <f t="shared" si="32"/>
        <v>0</v>
      </c>
    </row>
    <row r="160" spans="1:36" s="229" customFormat="1">
      <c r="A160" s="231" t="str">
        <f t="shared" si="28"/>
        <v>JBLM HOUSINGCommercialRL020.0G1W001COMM</v>
      </c>
      <c r="B160" s="243" t="s">
        <v>529</v>
      </c>
      <c r="C160" s="243" t="s">
        <v>530</v>
      </c>
      <c r="D160" s="243" t="s">
        <v>528</v>
      </c>
      <c r="E160" s="230">
        <v>33000</v>
      </c>
      <c r="F160" s="244">
        <v>0</v>
      </c>
      <c r="G160" s="244">
        <v>0</v>
      </c>
      <c r="H160" s="244"/>
      <c r="I160" s="244">
        <v>0</v>
      </c>
      <c r="J160" s="244">
        <v>0</v>
      </c>
      <c r="K160" s="244">
        <v>0</v>
      </c>
      <c r="L160" s="244">
        <v>0</v>
      </c>
      <c r="M160" s="244">
        <v>0</v>
      </c>
      <c r="N160" s="244">
        <v>0</v>
      </c>
      <c r="O160" s="244">
        <v>0</v>
      </c>
      <c r="P160" s="244">
        <v>0</v>
      </c>
      <c r="Q160" s="244">
        <v>0</v>
      </c>
      <c r="R160" s="244">
        <v>0</v>
      </c>
      <c r="S160" s="244">
        <v>0</v>
      </c>
      <c r="T160" s="244">
        <v>0</v>
      </c>
      <c r="U160" s="245"/>
      <c r="V160" s="408">
        <f t="shared" si="35"/>
        <v>0</v>
      </c>
      <c r="W160" s="245"/>
      <c r="X160" s="246">
        <f t="shared" si="36"/>
        <v>0</v>
      </c>
      <c r="Y160" s="246">
        <f t="shared" si="36"/>
        <v>0</v>
      </c>
      <c r="Z160" s="246">
        <f t="shared" si="36"/>
        <v>0</v>
      </c>
      <c r="AA160" s="245">
        <f t="shared" si="34"/>
        <v>0</v>
      </c>
      <c r="AB160" s="245">
        <f t="shared" si="34"/>
        <v>0</v>
      </c>
      <c r="AC160" s="245">
        <f t="shared" si="34"/>
        <v>0</v>
      </c>
      <c r="AD160" s="245">
        <f t="shared" si="33"/>
        <v>0</v>
      </c>
      <c r="AE160" s="245">
        <f t="shared" si="33"/>
        <v>0</v>
      </c>
      <c r="AF160" s="245">
        <f t="shared" si="33"/>
        <v>0</v>
      </c>
      <c r="AG160" s="245">
        <f t="shared" si="33"/>
        <v>0</v>
      </c>
      <c r="AH160" s="245">
        <f t="shared" si="33"/>
        <v>0</v>
      </c>
      <c r="AI160" s="245">
        <f t="shared" si="33"/>
        <v>0</v>
      </c>
      <c r="AJ160" s="247">
        <f t="shared" si="32"/>
        <v>0</v>
      </c>
    </row>
    <row r="161" spans="1:36">
      <c r="A161" s="231" t="str">
        <f t="shared" si="28"/>
        <v>JBLM HOUSINGCommercialRL032.0G1W001NORECC</v>
      </c>
      <c r="B161" s="243" t="s">
        <v>303</v>
      </c>
      <c r="C161" s="243" t="s">
        <v>304</v>
      </c>
      <c r="D161" s="243" t="s">
        <v>528</v>
      </c>
      <c r="E161" s="230">
        <v>33000</v>
      </c>
      <c r="F161" s="244">
        <v>0</v>
      </c>
      <c r="G161" s="244">
        <v>0</v>
      </c>
      <c r="H161" s="244"/>
      <c r="I161" s="244">
        <v>0</v>
      </c>
      <c r="J161" s="244">
        <v>0</v>
      </c>
      <c r="K161" s="244">
        <v>0</v>
      </c>
      <c r="L161" s="244">
        <v>0</v>
      </c>
      <c r="M161" s="244">
        <v>0</v>
      </c>
      <c r="N161" s="244">
        <v>0</v>
      </c>
      <c r="O161" s="244">
        <v>0</v>
      </c>
      <c r="P161" s="244">
        <v>0</v>
      </c>
      <c r="Q161" s="244">
        <v>0</v>
      </c>
      <c r="R161" s="244">
        <v>0</v>
      </c>
      <c r="S161" s="244">
        <v>0</v>
      </c>
      <c r="T161" s="244">
        <v>0</v>
      </c>
      <c r="U161" s="245"/>
      <c r="V161" s="408">
        <f t="shared" si="35"/>
        <v>0</v>
      </c>
      <c r="W161" s="245"/>
      <c r="X161" s="246">
        <f t="shared" si="36"/>
        <v>0</v>
      </c>
      <c r="Y161" s="246">
        <f t="shared" si="36"/>
        <v>0</v>
      </c>
      <c r="Z161" s="246">
        <f t="shared" si="36"/>
        <v>0</v>
      </c>
      <c r="AA161" s="245">
        <f t="shared" si="34"/>
        <v>0</v>
      </c>
      <c r="AB161" s="245">
        <f t="shared" si="34"/>
        <v>0</v>
      </c>
      <c r="AC161" s="245">
        <f t="shared" si="34"/>
        <v>0</v>
      </c>
      <c r="AD161" s="245">
        <f t="shared" si="33"/>
        <v>0</v>
      </c>
      <c r="AE161" s="245">
        <f t="shared" si="33"/>
        <v>0</v>
      </c>
      <c r="AF161" s="245">
        <f t="shared" si="33"/>
        <v>0</v>
      </c>
      <c r="AG161" s="245">
        <f t="shared" si="33"/>
        <v>0</v>
      </c>
      <c r="AH161" s="245">
        <f t="shared" si="33"/>
        <v>0</v>
      </c>
      <c r="AI161" s="245">
        <f t="shared" si="33"/>
        <v>0</v>
      </c>
      <c r="AJ161" s="247">
        <f t="shared" si="32"/>
        <v>0</v>
      </c>
    </row>
    <row r="162" spans="1:36">
      <c r="A162" s="231" t="str">
        <f t="shared" si="28"/>
        <v>JBLM HOUSINGCommercialRL032.0G1W001WRECC</v>
      </c>
      <c r="B162" s="243" t="s">
        <v>305</v>
      </c>
      <c r="C162" s="243" t="s">
        <v>306</v>
      </c>
      <c r="D162" s="243" t="s">
        <v>528</v>
      </c>
      <c r="E162" s="230">
        <v>33000</v>
      </c>
      <c r="F162" s="244">
        <v>0</v>
      </c>
      <c r="G162" s="244">
        <v>0</v>
      </c>
      <c r="H162" s="244"/>
      <c r="I162" s="244">
        <v>0</v>
      </c>
      <c r="J162" s="244">
        <v>0</v>
      </c>
      <c r="K162" s="244">
        <v>0</v>
      </c>
      <c r="L162" s="244">
        <v>0</v>
      </c>
      <c r="M162" s="244">
        <v>0</v>
      </c>
      <c r="N162" s="244">
        <v>0</v>
      </c>
      <c r="O162" s="244">
        <v>0</v>
      </c>
      <c r="P162" s="244">
        <v>0</v>
      </c>
      <c r="Q162" s="244">
        <v>0</v>
      </c>
      <c r="R162" s="244">
        <v>0</v>
      </c>
      <c r="S162" s="244">
        <v>0</v>
      </c>
      <c r="T162" s="244">
        <v>0</v>
      </c>
      <c r="U162" s="245"/>
      <c r="V162" s="408">
        <f t="shared" si="35"/>
        <v>0</v>
      </c>
      <c r="W162" s="245"/>
      <c r="X162" s="246">
        <f t="shared" si="36"/>
        <v>0</v>
      </c>
      <c r="Y162" s="246">
        <f t="shared" si="36"/>
        <v>0</v>
      </c>
      <c r="Z162" s="246">
        <f t="shared" si="36"/>
        <v>0</v>
      </c>
      <c r="AA162" s="245">
        <f t="shared" si="34"/>
        <v>0</v>
      </c>
      <c r="AB162" s="245">
        <f t="shared" si="34"/>
        <v>0</v>
      </c>
      <c r="AC162" s="245">
        <f t="shared" si="34"/>
        <v>0</v>
      </c>
      <c r="AD162" s="245">
        <f t="shared" si="33"/>
        <v>0</v>
      </c>
      <c r="AE162" s="245">
        <f t="shared" si="33"/>
        <v>0</v>
      </c>
      <c r="AF162" s="245">
        <f t="shared" si="33"/>
        <v>0</v>
      </c>
      <c r="AG162" s="245">
        <f t="shared" si="33"/>
        <v>0</v>
      </c>
      <c r="AH162" s="245">
        <f t="shared" si="33"/>
        <v>0</v>
      </c>
      <c r="AI162" s="245">
        <f t="shared" si="33"/>
        <v>0</v>
      </c>
      <c r="AJ162" s="247">
        <f t="shared" si="32"/>
        <v>0</v>
      </c>
    </row>
    <row r="163" spans="1:36">
      <c r="A163" s="231" t="str">
        <f t="shared" si="28"/>
        <v>JBLM HOUSINGCommercialRL032.0G1W002NORECC</v>
      </c>
      <c r="B163" s="243" t="s">
        <v>307</v>
      </c>
      <c r="C163" s="243" t="s">
        <v>304</v>
      </c>
      <c r="D163" s="243" t="s">
        <v>528</v>
      </c>
      <c r="E163" s="230">
        <v>33000</v>
      </c>
      <c r="F163" s="244">
        <v>0</v>
      </c>
      <c r="G163" s="244">
        <v>0</v>
      </c>
      <c r="H163" s="244"/>
      <c r="I163" s="244">
        <v>0</v>
      </c>
      <c r="J163" s="244">
        <v>0</v>
      </c>
      <c r="K163" s="244">
        <v>0</v>
      </c>
      <c r="L163" s="244">
        <v>0</v>
      </c>
      <c r="M163" s="244">
        <v>0</v>
      </c>
      <c r="N163" s="244">
        <v>0</v>
      </c>
      <c r="O163" s="244">
        <v>0</v>
      </c>
      <c r="P163" s="244">
        <v>0</v>
      </c>
      <c r="Q163" s="244">
        <v>0</v>
      </c>
      <c r="R163" s="244">
        <v>0</v>
      </c>
      <c r="S163" s="244">
        <v>0</v>
      </c>
      <c r="T163" s="244">
        <v>0</v>
      </c>
      <c r="U163" s="245"/>
      <c r="V163" s="408">
        <f t="shared" si="35"/>
        <v>0</v>
      </c>
      <c r="W163" s="245"/>
      <c r="X163" s="246">
        <f t="shared" si="36"/>
        <v>0</v>
      </c>
      <c r="Y163" s="246">
        <f t="shared" si="36"/>
        <v>0</v>
      </c>
      <c r="Z163" s="246">
        <f t="shared" si="36"/>
        <v>0</v>
      </c>
      <c r="AA163" s="245">
        <f t="shared" si="34"/>
        <v>0</v>
      </c>
      <c r="AB163" s="245">
        <f t="shared" si="34"/>
        <v>0</v>
      </c>
      <c r="AC163" s="245">
        <f t="shared" si="34"/>
        <v>0</v>
      </c>
      <c r="AD163" s="245">
        <f t="shared" si="33"/>
        <v>0</v>
      </c>
      <c r="AE163" s="245">
        <f t="shared" si="33"/>
        <v>0</v>
      </c>
      <c r="AF163" s="245">
        <f t="shared" si="33"/>
        <v>0</v>
      </c>
      <c r="AG163" s="245">
        <f t="shared" si="33"/>
        <v>0</v>
      </c>
      <c r="AH163" s="245">
        <f t="shared" si="33"/>
        <v>0</v>
      </c>
      <c r="AI163" s="245">
        <f t="shared" si="33"/>
        <v>0</v>
      </c>
      <c r="AJ163" s="247">
        <f t="shared" si="32"/>
        <v>0</v>
      </c>
    </row>
    <row r="164" spans="1:36">
      <c r="A164" s="231" t="str">
        <f t="shared" si="28"/>
        <v>JBLM HOUSINGCommercialRL032.0G1W002WRECC</v>
      </c>
      <c r="B164" s="243" t="s">
        <v>308</v>
      </c>
      <c r="C164" s="243" t="s">
        <v>309</v>
      </c>
      <c r="D164" s="243" t="s">
        <v>528</v>
      </c>
      <c r="E164" s="230">
        <v>33000</v>
      </c>
      <c r="F164" s="244">
        <v>0</v>
      </c>
      <c r="G164" s="244">
        <v>0</v>
      </c>
      <c r="H164" s="244"/>
      <c r="I164" s="244">
        <v>0</v>
      </c>
      <c r="J164" s="244">
        <v>0</v>
      </c>
      <c r="K164" s="244">
        <v>0</v>
      </c>
      <c r="L164" s="244">
        <v>0</v>
      </c>
      <c r="M164" s="244">
        <v>0</v>
      </c>
      <c r="N164" s="244">
        <v>0</v>
      </c>
      <c r="O164" s="244">
        <v>0</v>
      </c>
      <c r="P164" s="244">
        <v>0</v>
      </c>
      <c r="Q164" s="244">
        <v>0</v>
      </c>
      <c r="R164" s="244">
        <v>0</v>
      </c>
      <c r="S164" s="244">
        <v>0</v>
      </c>
      <c r="T164" s="244">
        <v>0</v>
      </c>
      <c r="U164" s="245"/>
      <c r="V164" s="408">
        <f t="shared" si="35"/>
        <v>0</v>
      </c>
      <c r="W164" s="245"/>
      <c r="X164" s="246">
        <f t="shared" si="36"/>
        <v>0</v>
      </c>
      <c r="Y164" s="246">
        <f t="shared" si="36"/>
        <v>0</v>
      </c>
      <c r="Z164" s="246">
        <f t="shared" si="36"/>
        <v>0</v>
      </c>
      <c r="AA164" s="245">
        <f t="shared" si="34"/>
        <v>0</v>
      </c>
      <c r="AB164" s="245">
        <f t="shared" si="34"/>
        <v>0</v>
      </c>
      <c r="AC164" s="245">
        <f t="shared" si="34"/>
        <v>0</v>
      </c>
      <c r="AD164" s="245">
        <f t="shared" si="33"/>
        <v>0</v>
      </c>
      <c r="AE164" s="245">
        <f t="shared" si="33"/>
        <v>0</v>
      </c>
      <c r="AF164" s="245">
        <f t="shared" si="33"/>
        <v>0</v>
      </c>
      <c r="AG164" s="245">
        <f t="shared" si="33"/>
        <v>0</v>
      </c>
      <c r="AH164" s="245">
        <f t="shared" si="33"/>
        <v>0</v>
      </c>
      <c r="AI164" s="245">
        <f t="shared" si="33"/>
        <v>0</v>
      </c>
      <c r="AJ164" s="247">
        <f t="shared" si="32"/>
        <v>0</v>
      </c>
    </row>
    <row r="165" spans="1:36">
      <c r="A165" s="231" t="str">
        <f t="shared" si="28"/>
        <v>JBLM HOUSINGCommercialRL032.0G1W003NORECC</v>
      </c>
      <c r="B165" s="243" t="s">
        <v>310</v>
      </c>
      <c r="C165" s="243" t="s">
        <v>304</v>
      </c>
      <c r="D165" s="243" t="s">
        <v>528</v>
      </c>
      <c r="E165" s="230">
        <v>33000</v>
      </c>
      <c r="F165" s="244">
        <v>0</v>
      </c>
      <c r="G165" s="244">
        <v>0</v>
      </c>
      <c r="H165" s="244"/>
      <c r="I165" s="244">
        <v>0</v>
      </c>
      <c r="J165" s="244">
        <v>0</v>
      </c>
      <c r="K165" s="244">
        <v>0</v>
      </c>
      <c r="L165" s="244">
        <v>0</v>
      </c>
      <c r="M165" s="244">
        <v>0</v>
      </c>
      <c r="N165" s="244">
        <v>0</v>
      </c>
      <c r="O165" s="244">
        <v>0</v>
      </c>
      <c r="P165" s="244">
        <v>0</v>
      </c>
      <c r="Q165" s="244">
        <v>0</v>
      </c>
      <c r="R165" s="244">
        <v>0</v>
      </c>
      <c r="S165" s="244">
        <v>0</v>
      </c>
      <c r="T165" s="244">
        <v>0</v>
      </c>
      <c r="U165" s="245"/>
      <c r="V165" s="408">
        <f t="shared" si="35"/>
        <v>0</v>
      </c>
      <c r="W165" s="245"/>
      <c r="X165" s="246">
        <f t="shared" si="36"/>
        <v>0</v>
      </c>
      <c r="Y165" s="246">
        <f t="shared" si="36"/>
        <v>0</v>
      </c>
      <c r="Z165" s="246">
        <f t="shared" si="36"/>
        <v>0</v>
      </c>
      <c r="AA165" s="245">
        <f t="shared" si="34"/>
        <v>0</v>
      </c>
      <c r="AB165" s="245">
        <f t="shared" si="34"/>
        <v>0</v>
      </c>
      <c r="AC165" s="245">
        <f t="shared" si="34"/>
        <v>0</v>
      </c>
      <c r="AD165" s="245">
        <f t="shared" si="33"/>
        <v>0</v>
      </c>
      <c r="AE165" s="245">
        <f t="shared" si="33"/>
        <v>0</v>
      </c>
      <c r="AF165" s="245">
        <f t="shared" si="33"/>
        <v>0</v>
      </c>
      <c r="AG165" s="245">
        <f t="shared" si="33"/>
        <v>0</v>
      </c>
      <c r="AH165" s="245">
        <f t="shared" si="33"/>
        <v>0</v>
      </c>
      <c r="AI165" s="245">
        <f t="shared" si="33"/>
        <v>0</v>
      </c>
      <c r="AJ165" s="247">
        <f t="shared" si="32"/>
        <v>0</v>
      </c>
    </row>
    <row r="166" spans="1:36">
      <c r="A166" s="231" t="str">
        <f t="shared" si="28"/>
        <v>JBLM HOUSINGCommercialRL032.0G1W003WRECC</v>
      </c>
      <c r="B166" s="243" t="s">
        <v>311</v>
      </c>
      <c r="C166" s="243" t="s">
        <v>312</v>
      </c>
      <c r="D166" s="243" t="s">
        <v>528</v>
      </c>
      <c r="E166" s="230">
        <v>33000</v>
      </c>
      <c r="F166" s="244">
        <v>0</v>
      </c>
      <c r="G166" s="244">
        <v>0</v>
      </c>
      <c r="H166" s="244"/>
      <c r="I166" s="244">
        <v>0</v>
      </c>
      <c r="J166" s="244">
        <v>0</v>
      </c>
      <c r="K166" s="244">
        <v>0</v>
      </c>
      <c r="L166" s="244">
        <v>0</v>
      </c>
      <c r="M166" s="244">
        <v>0</v>
      </c>
      <c r="N166" s="244">
        <v>0</v>
      </c>
      <c r="O166" s="244">
        <v>0</v>
      </c>
      <c r="P166" s="244">
        <v>0</v>
      </c>
      <c r="Q166" s="244">
        <v>0</v>
      </c>
      <c r="R166" s="244">
        <v>0</v>
      </c>
      <c r="S166" s="244">
        <v>0</v>
      </c>
      <c r="T166" s="244">
        <v>0</v>
      </c>
      <c r="U166" s="245"/>
      <c r="V166" s="408">
        <f t="shared" si="35"/>
        <v>0</v>
      </c>
      <c r="W166" s="245"/>
      <c r="X166" s="246">
        <f t="shared" si="36"/>
        <v>0</v>
      </c>
      <c r="Y166" s="246">
        <f t="shared" si="36"/>
        <v>0</v>
      </c>
      <c r="Z166" s="246">
        <f t="shared" si="36"/>
        <v>0</v>
      </c>
      <c r="AA166" s="245">
        <f t="shared" si="34"/>
        <v>0</v>
      </c>
      <c r="AB166" s="245">
        <f t="shared" si="34"/>
        <v>0</v>
      </c>
      <c r="AC166" s="245">
        <f t="shared" si="34"/>
        <v>0</v>
      </c>
      <c r="AD166" s="245">
        <f t="shared" si="33"/>
        <v>0</v>
      </c>
      <c r="AE166" s="245">
        <f t="shared" si="33"/>
        <v>0</v>
      </c>
      <c r="AF166" s="245">
        <f t="shared" si="33"/>
        <v>0</v>
      </c>
      <c r="AG166" s="245">
        <f t="shared" si="33"/>
        <v>0</v>
      </c>
      <c r="AH166" s="245">
        <f t="shared" si="33"/>
        <v>0</v>
      </c>
      <c r="AI166" s="245">
        <f t="shared" si="33"/>
        <v>0</v>
      </c>
      <c r="AJ166" s="247">
        <f t="shared" si="32"/>
        <v>0</v>
      </c>
    </row>
    <row r="167" spans="1:36">
      <c r="A167" s="231" t="str">
        <f t="shared" si="28"/>
        <v>JBLM HOUSINGCommercialRL032.0G1W004NORECC</v>
      </c>
      <c r="B167" s="243" t="s">
        <v>879</v>
      </c>
      <c r="C167" s="243" t="s">
        <v>880</v>
      </c>
      <c r="D167" s="243" t="s">
        <v>528</v>
      </c>
      <c r="E167" s="230">
        <v>33000</v>
      </c>
      <c r="F167" s="244">
        <v>0</v>
      </c>
      <c r="G167" s="244">
        <v>0</v>
      </c>
      <c r="H167" s="244"/>
      <c r="I167" s="244">
        <v>0</v>
      </c>
      <c r="J167" s="244">
        <v>0</v>
      </c>
      <c r="K167" s="244">
        <v>0</v>
      </c>
      <c r="L167" s="244">
        <v>0</v>
      </c>
      <c r="M167" s="244">
        <v>0</v>
      </c>
      <c r="N167" s="244">
        <v>0</v>
      </c>
      <c r="O167" s="244">
        <v>0</v>
      </c>
      <c r="P167" s="244">
        <v>0</v>
      </c>
      <c r="Q167" s="244">
        <v>0</v>
      </c>
      <c r="R167" s="244">
        <v>0</v>
      </c>
      <c r="S167" s="244">
        <v>0</v>
      </c>
      <c r="T167" s="244">
        <v>0</v>
      </c>
      <c r="U167" s="245"/>
      <c r="V167" s="408">
        <f t="shared" si="35"/>
        <v>0</v>
      </c>
      <c r="W167" s="245"/>
      <c r="X167" s="246">
        <f t="shared" si="36"/>
        <v>0</v>
      </c>
      <c r="Y167" s="246">
        <f t="shared" si="36"/>
        <v>0</v>
      </c>
      <c r="Z167" s="246">
        <f t="shared" si="36"/>
        <v>0</v>
      </c>
      <c r="AA167" s="245">
        <f t="shared" si="34"/>
        <v>0</v>
      </c>
      <c r="AB167" s="245">
        <f t="shared" si="34"/>
        <v>0</v>
      </c>
      <c r="AC167" s="245">
        <f t="shared" si="34"/>
        <v>0</v>
      </c>
      <c r="AD167" s="245">
        <f t="shared" si="33"/>
        <v>0</v>
      </c>
      <c r="AE167" s="245">
        <f t="shared" si="33"/>
        <v>0</v>
      </c>
      <c r="AF167" s="245">
        <f t="shared" si="33"/>
        <v>0</v>
      </c>
      <c r="AG167" s="245">
        <f t="shared" si="33"/>
        <v>0</v>
      </c>
      <c r="AH167" s="245">
        <f t="shared" si="33"/>
        <v>0</v>
      </c>
      <c r="AI167" s="245">
        <f t="shared" si="33"/>
        <v>0</v>
      </c>
      <c r="AJ167" s="247">
        <f t="shared" si="32"/>
        <v>0</v>
      </c>
    </row>
    <row r="168" spans="1:36">
      <c r="A168" s="231" t="str">
        <f t="shared" si="28"/>
        <v>JBLM HOUSINGCommercialRL032.0G1W004WRECC</v>
      </c>
      <c r="B168" s="243" t="s">
        <v>313</v>
      </c>
      <c r="C168" s="243" t="s">
        <v>314</v>
      </c>
      <c r="D168" s="243" t="s">
        <v>528</v>
      </c>
      <c r="E168" s="230">
        <v>33000</v>
      </c>
      <c r="F168" s="244">
        <v>0</v>
      </c>
      <c r="G168" s="244">
        <v>0</v>
      </c>
      <c r="H168" s="244"/>
      <c r="I168" s="244">
        <v>0</v>
      </c>
      <c r="J168" s="244">
        <v>0</v>
      </c>
      <c r="K168" s="244">
        <v>0</v>
      </c>
      <c r="L168" s="244">
        <v>0</v>
      </c>
      <c r="M168" s="244">
        <v>0</v>
      </c>
      <c r="N168" s="244">
        <v>0</v>
      </c>
      <c r="O168" s="244">
        <v>0</v>
      </c>
      <c r="P168" s="244">
        <v>0</v>
      </c>
      <c r="Q168" s="244">
        <v>0</v>
      </c>
      <c r="R168" s="244">
        <v>0</v>
      </c>
      <c r="S168" s="244">
        <v>0</v>
      </c>
      <c r="T168" s="244">
        <v>0</v>
      </c>
      <c r="U168" s="245"/>
      <c r="V168" s="408">
        <f t="shared" si="35"/>
        <v>0</v>
      </c>
      <c r="W168" s="245"/>
      <c r="X168" s="246">
        <f t="shared" si="36"/>
        <v>0</v>
      </c>
      <c r="Y168" s="246">
        <f t="shared" si="36"/>
        <v>0</v>
      </c>
      <c r="Z168" s="246">
        <f t="shared" si="36"/>
        <v>0</v>
      </c>
      <c r="AA168" s="245">
        <f t="shared" si="34"/>
        <v>0</v>
      </c>
      <c r="AB168" s="245">
        <f t="shared" si="34"/>
        <v>0</v>
      </c>
      <c r="AC168" s="245">
        <f t="shared" si="34"/>
        <v>0</v>
      </c>
      <c r="AD168" s="245">
        <f t="shared" si="33"/>
        <v>0</v>
      </c>
      <c r="AE168" s="245">
        <f t="shared" si="33"/>
        <v>0</v>
      </c>
      <c r="AF168" s="245">
        <f t="shared" si="33"/>
        <v>0</v>
      </c>
      <c r="AG168" s="245">
        <f t="shared" si="33"/>
        <v>0</v>
      </c>
      <c r="AH168" s="245">
        <f t="shared" si="33"/>
        <v>0</v>
      </c>
      <c r="AI168" s="245">
        <f t="shared" si="33"/>
        <v>0</v>
      </c>
      <c r="AJ168" s="247">
        <f t="shared" si="32"/>
        <v>0</v>
      </c>
    </row>
    <row r="169" spans="1:36">
      <c r="A169" s="231" t="str">
        <f t="shared" si="28"/>
        <v>JBLM HOUSINGCommercialRL032.0G1W005WRECC</v>
      </c>
      <c r="B169" s="243" t="s">
        <v>315</v>
      </c>
      <c r="C169" s="243" t="s">
        <v>316</v>
      </c>
      <c r="D169" s="243" t="s">
        <v>528</v>
      </c>
      <c r="E169" s="230">
        <v>33000</v>
      </c>
      <c r="F169" s="244">
        <v>0</v>
      </c>
      <c r="G169" s="244">
        <v>0</v>
      </c>
      <c r="H169" s="244"/>
      <c r="I169" s="244">
        <v>0</v>
      </c>
      <c r="J169" s="244">
        <v>0</v>
      </c>
      <c r="K169" s="244">
        <v>0</v>
      </c>
      <c r="L169" s="244">
        <v>0</v>
      </c>
      <c r="M169" s="244">
        <v>0</v>
      </c>
      <c r="N169" s="244">
        <v>0</v>
      </c>
      <c r="O169" s="244">
        <v>0</v>
      </c>
      <c r="P169" s="244">
        <v>0</v>
      </c>
      <c r="Q169" s="244">
        <v>0</v>
      </c>
      <c r="R169" s="244">
        <v>0</v>
      </c>
      <c r="S169" s="244">
        <v>0</v>
      </c>
      <c r="T169" s="244">
        <v>0</v>
      </c>
      <c r="U169" s="245"/>
      <c r="V169" s="408">
        <f t="shared" si="35"/>
        <v>0</v>
      </c>
      <c r="W169" s="245"/>
      <c r="X169" s="246">
        <f t="shared" si="36"/>
        <v>0</v>
      </c>
      <c r="Y169" s="246">
        <f t="shared" si="36"/>
        <v>0</v>
      </c>
      <c r="Z169" s="246">
        <f t="shared" si="36"/>
        <v>0</v>
      </c>
      <c r="AA169" s="245">
        <f t="shared" si="34"/>
        <v>0</v>
      </c>
      <c r="AB169" s="245">
        <f t="shared" si="34"/>
        <v>0</v>
      </c>
      <c r="AC169" s="245">
        <f t="shared" si="34"/>
        <v>0</v>
      </c>
      <c r="AD169" s="245">
        <f t="shared" si="33"/>
        <v>0</v>
      </c>
      <c r="AE169" s="245">
        <f t="shared" si="33"/>
        <v>0</v>
      </c>
      <c r="AF169" s="245">
        <f t="shared" si="33"/>
        <v>0</v>
      </c>
      <c r="AG169" s="245">
        <f t="shared" si="33"/>
        <v>0</v>
      </c>
      <c r="AH169" s="245">
        <f t="shared" si="33"/>
        <v>0</v>
      </c>
      <c r="AI169" s="245">
        <f t="shared" si="33"/>
        <v>0</v>
      </c>
      <c r="AJ169" s="247">
        <f t="shared" si="32"/>
        <v>0</v>
      </c>
    </row>
    <row r="170" spans="1:36">
      <c r="A170" s="231" t="str">
        <f t="shared" si="28"/>
        <v>JBLM HOUSINGCommercialRL032.0G1W006WRECC</v>
      </c>
      <c r="B170" s="243" t="s">
        <v>881</v>
      </c>
      <c r="C170" s="243" t="s">
        <v>882</v>
      </c>
      <c r="D170" s="243" t="s">
        <v>528</v>
      </c>
      <c r="E170" s="230">
        <v>33000</v>
      </c>
      <c r="F170" s="244">
        <v>0</v>
      </c>
      <c r="G170" s="244">
        <v>0</v>
      </c>
      <c r="H170" s="244"/>
      <c r="I170" s="244">
        <v>0</v>
      </c>
      <c r="J170" s="244">
        <v>0</v>
      </c>
      <c r="K170" s="244">
        <v>0</v>
      </c>
      <c r="L170" s="244">
        <v>0</v>
      </c>
      <c r="M170" s="244">
        <v>0</v>
      </c>
      <c r="N170" s="244">
        <v>0</v>
      </c>
      <c r="O170" s="244">
        <v>0</v>
      </c>
      <c r="P170" s="244">
        <v>0</v>
      </c>
      <c r="Q170" s="244">
        <v>0</v>
      </c>
      <c r="R170" s="244">
        <v>0</v>
      </c>
      <c r="S170" s="244">
        <v>0</v>
      </c>
      <c r="T170" s="244">
        <v>0</v>
      </c>
      <c r="U170" s="245"/>
      <c r="V170" s="408">
        <f t="shared" si="35"/>
        <v>0</v>
      </c>
      <c r="W170" s="245"/>
      <c r="X170" s="246">
        <f t="shared" si="36"/>
        <v>0</v>
      </c>
      <c r="Y170" s="246">
        <f t="shared" si="36"/>
        <v>0</v>
      </c>
      <c r="Z170" s="246">
        <f t="shared" si="36"/>
        <v>0</v>
      </c>
      <c r="AA170" s="245">
        <f t="shared" si="34"/>
        <v>0</v>
      </c>
      <c r="AB170" s="245">
        <f t="shared" si="34"/>
        <v>0</v>
      </c>
      <c r="AC170" s="245">
        <f t="shared" si="34"/>
        <v>0</v>
      </c>
      <c r="AD170" s="245">
        <f t="shared" si="33"/>
        <v>0</v>
      </c>
      <c r="AE170" s="245">
        <f t="shared" si="33"/>
        <v>0</v>
      </c>
      <c r="AF170" s="245">
        <f t="shared" si="33"/>
        <v>0</v>
      </c>
      <c r="AG170" s="245">
        <f t="shared" si="33"/>
        <v>0</v>
      </c>
      <c r="AH170" s="245">
        <f t="shared" si="33"/>
        <v>0</v>
      </c>
      <c r="AI170" s="245">
        <f t="shared" si="33"/>
        <v>0</v>
      </c>
      <c r="AJ170" s="247">
        <f t="shared" si="32"/>
        <v>0</v>
      </c>
    </row>
    <row r="171" spans="1:36">
      <c r="A171" s="231" t="str">
        <f t="shared" si="28"/>
        <v>JBLM HOUSINGCommercialRL001.0Y1W001</v>
      </c>
      <c r="B171" s="243" t="s">
        <v>883</v>
      </c>
      <c r="C171" s="243" t="s">
        <v>240</v>
      </c>
      <c r="D171" s="243" t="s">
        <v>528</v>
      </c>
      <c r="E171" s="230">
        <v>33000</v>
      </c>
      <c r="F171" s="244">
        <v>0</v>
      </c>
      <c r="G171" s="244">
        <v>0</v>
      </c>
      <c r="H171" s="244"/>
      <c r="I171" s="244">
        <v>0</v>
      </c>
      <c r="J171" s="244">
        <v>0</v>
      </c>
      <c r="K171" s="244">
        <v>0</v>
      </c>
      <c r="L171" s="244">
        <v>0</v>
      </c>
      <c r="M171" s="244">
        <v>0</v>
      </c>
      <c r="N171" s="244">
        <v>0</v>
      </c>
      <c r="O171" s="244">
        <v>0</v>
      </c>
      <c r="P171" s="244">
        <v>0</v>
      </c>
      <c r="Q171" s="244">
        <v>0</v>
      </c>
      <c r="R171" s="244">
        <v>0</v>
      </c>
      <c r="S171" s="244">
        <v>0</v>
      </c>
      <c r="T171" s="244">
        <v>0</v>
      </c>
      <c r="U171" s="245"/>
      <c r="V171" s="408">
        <f t="shared" si="35"/>
        <v>0</v>
      </c>
      <c r="W171" s="245"/>
      <c r="X171" s="246">
        <f t="shared" si="36"/>
        <v>0</v>
      </c>
      <c r="Y171" s="246">
        <f t="shared" si="36"/>
        <v>0</v>
      </c>
      <c r="Z171" s="246">
        <f t="shared" si="36"/>
        <v>0</v>
      </c>
      <c r="AA171" s="245">
        <f t="shared" si="34"/>
        <v>0</v>
      </c>
      <c r="AB171" s="245">
        <f t="shared" si="34"/>
        <v>0</v>
      </c>
      <c r="AC171" s="245">
        <f t="shared" si="34"/>
        <v>0</v>
      </c>
      <c r="AD171" s="245">
        <f t="shared" si="33"/>
        <v>0</v>
      </c>
      <c r="AE171" s="245">
        <f t="shared" si="33"/>
        <v>0</v>
      </c>
      <c r="AF171" s="245">
        <f t="shared" si="33"/>
        <v>0</v>
      </c>
      <c r="AG171" s="245">
        <f t="shared" si="33"/>
        <v>0</v>
      </c>
      <c r="AH171" s="245">
        <f t="shared" si="33"/>
        <v>0</v>
      </c>
      <c r="AI171" s="245">
        <f t="shared" si="33"/>
        <v>0</v>
      </c>
      <c r="AJ171" s="247">
        <f t="shared" si="32"/>
        <v>0</v>
      </c>
    </row>
    <row r="172" spans="1:36">
      <c r="A172" s="231" t="str">
        <f t="shared" si="28"/>
        <v>JBLM HOUSINGCommercialRL001.5Y1W001</v>
      </c>
      <c r="B172" s="243" t="s">
        <v>884</v>
      </c>
      <c r="C172" s="243" t="s">
        <v>248</v>
      </c>
      <c r="D172" s="243" t="s">
        <v>528</v>
      </c>
      <c r="E172" s="230">
        <v>33000</v>
      </c>
      <c r="F172" s="244">
        <v>0</v>
      </c>
      <c r="G172" s="244">
        <v>0</v>
      </c>
      <c r="H172" s="244"/>
      <c r="I172" s="244">
        <v>0</v>
      </c>
      <c r="J172" s="244">
        <v>0</v>
      </c>
      <c r="K172" s="244">
        <v>0</v>
      </c>
      <c r="L172" s="244">
        <v>0</v>
      </c>
      <c r="M172" s="244">
        <v>0</v>
      </c>
      <c r="N172" s="244">
        <v>0</v>
      </c>
      <c r="O172" s="244">
        <v>0</v>
      </c>
      <c r="P172" s="244">
        <v>0</v>
      </c>
      <c r="Q172" s="244">
        <v>0</v>
      </c>
      <c r="R172" s="244">
        <v>0</v>
      </c>
      <c r="S172" s="244">
        <v>0</v>
      </c>
      <c r="T172" s="244">
        <v>0</v>
      </c>
      <c r="U172" s="245"/>
      <c r="V172" s="408">
        <f t="shared" si="35"/>
        <v>0</v>
      </c>
      <c r="W172" s="245"/>
      <c r="X172" s="246">
        <f t="shared" si="36"/>
        <v>0</v>
      </c>
      <c r="Y172" s="246">
        <f t="shared" si="36"/>
        <v>0</v>
      </c>
      <c r="Z172" s="246">
        <f t="shared" si="36"/>
        <v>0</v>
      </c>
      <c r="AA172" s="245">
        <f t="shared" si="34"/>
        <v>0</v>
      </c>
      <c r="AB172" s="245">
        <f t="shared" si="34"/>
        <v>0</v>
      </c>
      <c r="AC172" s="245">
        <f t="shared" si="34"/>
        <v>0</v>
      </c>
      <c r="AD172" s="245">
        <f t="shared" si="33"/>
        <v>0</v>
      </c>
      <c r="AE172" s="245">
        <f t="shared" si="33"/>
        <v>0</v>
      </c>
      <c r="AF172" s="245">
        <f t="shared" si="33"/>
        <v>0</v>
      </c>
      <c r="AG172" s="245">
        <f t="shared" si="33"/>
        <v>0</v>
      </c>
      <c r="AH172" s="245">
        <f t="shared" si="33"/>
        <v>0</v>
      </c>
      <c r="AI172" s="245">
        <f t="shared" si="33"/>
        <v>0</v>
      </c>
      <c r="AJ172" s="247">
        <f t="shared" si="32"/>
        <v>0</v>
      </c>
    </row>
    <row r="173" spans="1:36">
      <c r="A173" s="231" t="str">
        <f t="shared" si="28"/>
        <v>JBLM HOUSINGCommercialSL035.0G1M001WRECC</v>
      </c>
      <c r="B173" s="243" t="s">
        <v>885</v>
      </c>
      <c r="C173" s="243" t="s">
        <v>886</v>
      </c>
      <c r="D173" s="243" t="s">
        <v>528</v>
      </c>
      <c r="E173" s="230">
        <v>33000</v>
      </c>
      <c r="F173" s="244">
        <v>0</v>
      </c>
      <c r="G173" s="244">
        <v>0</v>
      </c>
      <c r="H173" s="244"/>
      <c r="I173" s="244">
        <v>0</v>
      </c>
      <c r="J173" s="244">
        <v>0</v>
      </c>
      <c r="K173" s="244">
        <v>0</v>
      </c>
      <c r="L173" s="244">
        <v>0</v>
      </c>
      <c r="M173" s="244">
        <v>0</v>
      </c>
      <c r="N173" s="244">
        <v>0</v>
      </c>
      <c r="O173" s="244">
        <v>0</v>
      </c>
      <c r="P173" s="244">
        <v>0</v>
      </c>
      <c r="Q173" s="244">
        <v>0</v>
      </c>
      <c r="R173" s="244">
        <v>0</v>
      </c>
      <c r="S173" s="244">
        <v>0</v>
      </c>
      <c r="T173" s="244">
        <v>0</v>
      </c>
      <c r="U173" s="245"/>
      <c r="V173" s="408">
        <f t="shared" si="35"/>
        <v>0</v>
      </c>
      <c r="W173" s="245"/>
      <c r="X173" s="246">
        <f t="shared" si="36"/>
        <v>0</v>
      </c>
      <c r="Y173" s="246">
        <f t="shared" si="36"/>
        <v>0</v>
      </c>
      <c r="Z173" s="246">
        <f t="shared" si="36"/>
        <v>0</v>
      </c>
      <c r="AA173" s="245">
        <f t="shared" si="34"/>
        <v>0</v>
      </c>
      <c r="AB173" s="245">
        <f t="shared" si="34"/>
        <v>0</v>
      </c>
      <c r="AC173" s="245">
        <f t="shared" si="34"/>
        <v>0</v>
      </c>
      <c r="AD173" s="245">
        <f t="shared" si="34"/>
        <v>0</v>
      </c>
      <c r="AE173" s="245">
        <f t="shared" si="34"/>
        <v>0</v>
      </c>
      <c r="AF173" s="245">
        <f t="shared" si="34"/>
        <v>0</v>
      </c>
      <c r="AG173" s="245">
        <f t="shared" si="34"/>
        <v>0</v>
      </c>
      <c r="AH173" s="245">
        <f t="shared" si="34"/>
        <v>0</v>
      </c>
      <c r="AI173" s="245">
        <f t="shared" si="34"/>
        <v>0</v>
      </c>
      <c r="AJ173" s="247">
        <f t="shared" si="32"/>
        <v>0</v>
      </c>
    </row>
    <row r="174" spans="1:36">
      <c r="A174" s="231" t="str">
        <f t="shared" si="28"/>
        <v>JBLM HOUSINGCommercialSL065.0G1M001NORECC</v>
      </c>
      <c r="B174" s="243" t="s">
        <v>887</v>
      </c>
      <c r="C174" s="243" t="s">
        <v>888</v>
      </c>
      <c r="D174" s="243" t="s">
        <v>528</v>
      </c>
      <c r="E174" s="230">
        <v>33000</v>
      </c>
      <c r="F174" s="244">
        <v>0</v>
      </c>
      <c r="G174" s="244">
        <v>0</v>
      </c>
      <c r="H174" s="244"/>
      <c r="I174" s="244">
        <v>0</v>
      </c>
      <c r="J174" s="244">
        <v>0</v>
      </c>
      <c r="K174" s="244">
        <v>0</v>
      </c>
      <c r="L174" s="244">
        <v>0</v>
      </c>
      <c r="M174" s="244">
        <v>0</v>
      </c>
      <c r="N174" s="244">
        <v>0</v>
      </c>
      <c r="O174" s="244">
        <v>0</v>
      </c>
      <c r="P174" s="244">
        <v>0</v>
      </c>
      <c r="Q174" s="244">
        <v>0</v>
      </c>
      <c r="R174" s="244">
        <v>0</v>
      </c>
      <c r="S174" s="244">
        <v>0</v>
      </c>
      <c r="T174" s="244">
        <v>0</v>
      </c>
      <c r="U174" s="245"/>
      <c r="V174" s="408">
        <f t="shared" si="35"/>
        <v>0</v>
      </c>
      <c r="W174" s="245"/>
      <c r="X174" s="246">
        <f t="shared" si="36"/>
        <v>0</v>
      </c>
      <c r="Y174" s="246">
        <f t="shared" si="36"/>
        <v>0</v>
      </c>
      <c r="Z174" s="246">
        <f t="shared" si="36"/>
        <v>0</v>
      </c>
      <c r="AA174" s="245">
        <f t="shared" ref="AA174:AI202" si="37">IFERROR(L174/$G174,0)</f>
        <v>0</v>
      </c>
      <c r="AB174" s="245">
        <f t="shared" si="37"/>
        <v>0</v>
      </c>
      <c r="AC174" s="245">
        <f t="shared" si="37"/>
        <v>0</v>
      </c>
      <c r="AD174" s="245">
        <f t="shared" si="37"/>
        <v>0</v>
      </c>
      <c r="AE174" s="245">
        <f t="shared" si="37"/>
        <v>0</v>
      </c>
      <c r="AF174" s="245">
        <f t="shared" si="37"/>
        <v>0</v>
      </c>
      <c r="AG174" s="245">
        <f t="shared" si="37"/>
        <v>0</v>
      </c>
      <c r="AH174" s="245">
        <f t="shared" si="37"/>
        <v>0</v>
      </c>
      <c r="AI174" s="245">
        <f t="shared" si="37"/>
        <v>0</v>
      </c>
      <c r="AJ174" s="247">
        <f t="shared" si="32"/>
        <v>0</v>
      </c>
    </row>
    <row r="175" spans="1:36">
      <c r="A175" s="231" t="str">
        <f t="shared" si="28"/>
        <v>JBLM HOUSINGCommercialSL065.0G1M001WRECC</v>
      </c>
      <c r="B175" s="243" t="s">
        <v>317</v>
      </c>
      <c r="C175" s="243" t="s">
        <v>318</v>
      </c>
      <c r="D175" s="243" t="s">
        <v>528</v>
      </c>
      <c r="E175" s="230">
        <v>33000</v>
      </c>
      <c r="F175" s="244">
        <v>0</v>
      </c>
      <c r="G175" s="244">
        <v>0</v>
      </c>
      <c r="H175" s="244"/>
      <c r="I175" s="244">
        <v>0</v>
      </c>
      <c r="J175" s="244">
        <v>0</v>
      </c>
      <c r="K175" s="244">
        <v>0</v>
      </c>
      <c r="L175" s="244">
        <v>0</v>
      </c>
      <c r="M175" s="244">
        <v>0</v>
      </c>
      <c r="N175" s="244">
        <v>0</v>
      </c>
      <c r="O175" s="244">
        <v>0</v>
      </c>
      <c r="P175" s="244">
        <v>0</v>
      </c>
      <c r="Q175" s="244">
        <v>0</v>
      </c>
      <c r="R175" s="244">
        <v>0</v>
      </c>
      <c r="S175" s="244">
        <v>0</v>
      </c>
      <c r="T175" s="244">
        <v>0</v>
      </c>
      <c r="U175" s="245"/>
      <c r="V175" s="408">
        <f t="shared" si="35"/>
        <v>0</v>
      </c>
      <c r="W175" s="245"/>
      <c r="X175" s="246">
        <f t="shared" si="36"/>
        <v>0</v>
      </c>
      <c r="Y175" s="246">
        <f t="shared" si="36"/>
        <v>0</v>
      </c>
      <c r="Z175" s="246">
        <f t="shared" si="36"/>
        <v>0</v>
      </c>
      <c r="AA175" s="245">
        <f t="shared" si="37"/>
        <v>0</v>
      </c>
      <c r="AB175" s="245">
        <f t="shared" si="37"/>
        <v>0</v>
      </c>
      <c r="AC175" s="245">
        <f t="shared" si="37"/>
        <v>0</v>
      </c>
      <c r="AD175" s="245">
        <f t="shared" si="37"/>
        <v>0</v>
      </c>
      <c r="AE175" s="245">
        <f t="shared" si="37"/>
        <v>0</v>
      </c>
      <c r="AF175" s="245">
        <f t="shared" si="37"/>
        <v>0</v>
      </c>
      <c r="AG175" s="245">
        <f t="shared" si="37"/>
        <v>0</v>
      </c>
      <c r="AH175" s="245">
        <f t="shared" si="37"/>
        <v>0</v>
      </c>
      <c r="AI175" s="245">
        <f t="shared" si="37"/>
        <v>0</v>
      </c>
      <c r="AJ175" s="247">
        <f t="shared" si="32"/>
        <v>0</v>
      </c>
    </row>
    <row r="176" spans="1:36">
      <c r="A176" s="231" t="str">
        <f t="shared" si="28"/>
        <v>JBLM HOUSINGCommercialSL065.0G1W001NORECC</v>
      </c>
      <c r="B176" s="243" t="s">
        <v>319</v>
      </c>
      <c r="C176" s="243" t="s">
        <v>320</v>
      </c>
      <c r="D176" s="243" t="s">
        <v>528</v>
      </c>
      <c r="E176" s="230">
        <v>33000</v>
      </c>
      <c r="F176" s="244">
        <v>21.73</v>
      </c>
      <c r="G176" s="244">
        <v>22.1</v>
      </c>
      <c r="H176" s="244"/>
      <c r="I176" s="244">
        <v>0</v>
      </c>
      <c r="J176" s="244">
        <v>0</v>
      </c>
      <c r="K176" s="244">
        <v>21.73</v>
      </c>
      <c r="L176" s="244">
        <v>22.1</v>
      </c>
      <c r="M176" s="244">
        <v>0</v>
      </c>
      <c r="N176" s="244">
        <v>0</v>
      </c>
      <c r="O176" s="244">
        <v>0</v>
      </c>
      <c r="P176" s="244">
        <v>0</v>
      </c>
      <c r="Q176" s="244">
        <v>0</v>
      </c>
      <c r="R176" s="244">
        <v>0</v>
      </c>
      <c r="S176" s="244">
        <v>0</v>
      </c>
      <c r="T176" s="244">
        <v>0</v>
      </c>
      <c r="U176" s="245"/>
      <c r="V176" s="408">
        <f t="shared" si="35"/>
        <v>43.83</v>
      </c>
      <c r="W176" s="245"/>
      <c r="X176" s="246">
        <f t="shared" si="36"/>
        <v>0</v>
      </c>
      <c r="Y176" s="246">
        <f t="shared" si="36"/>
        <v>0</v>
      </c>
      <c r="Z176" s="246">
        <f t="shared" si="36"/>
        <v>1</v>
      </c>
      <c r="AA176" s="245">
        <f t="shared" si="37"/>
        <v>1</v>
      </c>
      <c r="AB176" s="245">
        <f t="shared" si="37"/>
        <v>0</v>
      </c>
      <c r="AC176" s="245">
        <f t="shared" si="37"/>
        <v>0</v>
      </c>
      <c r="AD176" s="245">
        <f t="shared" si="37"/>
        <v>0</v>
      </c>
      <c r="AE176" s="245">
        <f t="shared" si="37"/>
        <v>0</v>
      </c>
      <c r="AF176" s="245">
        <f t="shared" si="37"/>
        <v>0</v>
      </c>
      <c r="AG176" s="245">
        <f t="shared" si="37"/>
        <v>0</v>
      </c>
      <c r="AH176" s="245">
        <f t="shared" si="37"/>
        <v>0</v>
      </c>
      <c r="AI176" s="245">
        <f t="shared" si="37"/>
        <v>0</v>
      </c>
      <c r="AJ176" s="247">
        <f t="shared" si="32"/>
        <v>2</v>
      </c>
    </row>
    <row r="177" spans="1:36">
      <c r="A177" s="231" t="str">
        <f t="shared" ref="A177:A240" si="38">$A$3&amp;"Commercial"&amp;B177</f>
        <v>JBLM HOUSINGCommercialSL065.0G1W001WRECC</v>
      </c>
      <c r="B177" s="243" t="s">
        <v>321</v>
      </c>
      <c r="C177" s="243" t="s">
        <v>322</v>
      </c>
      <c r="D177" s="243" t="s">
        <v>528</v>
      </c>
      <c r="E177" s="230">
        <v>33000</v>
      </c>
      <c r="F177" s="244">
        <v>21.73</v>
      </c>
      <c r="G177" s="244">
        <v>22.1</v>
      </c>
      <c r="H177" s="244"/>
      <c r="I177" s="244">
        <v>0</v>
      </c>
      <c r="J177" s="287">
        <v>0</v>
      </c>
      <c r="K177" s="287">
        <v>0</v>
      </c>
      <c r="L177" s="244">
        <v>0</v>
      </c>
      <c r="M177" s="244">
        <v>0</v>
      </c>
      <c r="N177" s="244">
        <v>0</v>
      </c>
      <c r="O177" s="244">
        <v>0</v>
      </c>
      <c r="P177" s="244">
        <v>0</v>
      </c>
      <c r="Q177" s="244">
        <v>0</v>
      </c>
      <c r="R177" s="244">
        <v>0</v>
      </c>
      <c r="S177" s="244">
        <v>0</v>
      </c>
      <c r="T177" s="244">
        <v>0</v>
      </c>
      <c r="U177" s="245"/>
      <c r="V177" s="408">
        <f t="shared" ref="V177:V208" si="39">SUM(I177:T177)</f>
        <v>0</v>
      </c>
      <c r="W177" s="245"/>
      <c r="X177" s="246">
        <f t="shared" ref="X177:Z208" si="40">IFERROR(I177/$F177,0)</f>
        <v>0</v>
      </c>
      <c r="Y177" s="246">
        <f t="shared" si="40"/>
        <v>0</v>
      </c>
      <c r="Z177" s="246">
        <f t="shared" si="40"/>
        <v>0</v>
      </c>
      <c r="AA177" s="245">
        <f t="shared" si="37"/>
        <v>0</v>
      </c>
      <c r="AB177" s="245">
        <f t="shared" si="37"/>
        <v>0</v>
      </c>
      <c r="AC177" s="245">
        <f t="shared" si="37"/>
        <v>0</v>
      </c>
      <c r="AD177" s="245">
        <f t="shared" si="37"/>
        <v>0</v>
      </c>
      <c r="AE177" s="245">
        <f t="shared" si="37"/>
        <v>0</v>
      </c>
      <c r="AF177" s="245">
        <f t="shared" si="37"/>
        <v>0</v>
      </c>
      <c r="AG177" s="245">
        <f t="shared" si="37"/>
        <v>0</v>
      </c>
      <c r="AH177" s="245">
        <f t="shared" si="37"/>
        <v>0</v>
      </c>
      <c r="AI177" s="245">
        <f t="shared" si="37"/>
        <v>0</v>
      </c>
      <c r="AJ177" s="247">
        <f t="shared" si="32"/>
        <v>0</v>
      </c>
    </row>
    <row r="178" spans="1:36">
      <c r="A178" s="231" t="str">
        <f t="shared" si="38"/>
        <v>JBLM HOUSINGCommercialSL065.0G1W002NORECC</v>
      </c>
      <c r="B178" s="243" t="s">
        <v>323</v>
      </c>
      <c r="C178" s="243" t="s">
        <v>324</v>
      </c>
      <c r="D178" s="243" t="s">
        <v>528</v>
      </c>
      <c r="E178" s="230">
        <v>33000</v>
      </c>
      <c r="F178" s="244">
        <v>0</v>
      </c>
      <c r="G178" s="244">
        <v>0</v>
      </c>
      <c r="H178" s="244"/>
      <c r="I178" s="244">
        <v>0</v>
      </c>
      <c r="J178" s="244">
        <v>0</v>
      </c>
      <c r="K178" s="244">
        <v>0</v>
      </c>
      <c r="L178" s="244">
        <v>0</v>
      </c>
      <c r="M178" s="244">
        <v>0</v>
      </c>
      <c r="N178" s="244">
        <v>0</v>
      </c>
      <c r="O178" s="244">
        <v>0</v>
      </c>
      <c r="P178" s="244">
        <v>0</v>
      </c>
      <c r="Q178" s="244">
        <v>0</v>
      </c>
      <c r="R178" s="244">
        <v>0</v>
      </c>
      <c r="S178" s="244">
        <v>0</v>
      </c>
      <c r="T178" s="244">
        <v>0</v>
      </c>
      <c r="U178" s="245"/>
      <c r="V178" s="408">
        <f t="shared" si="39"/>
        <v>0</v>
      </c>
      <c r="W178" s="245"/>
      <c r="X178" s="246">
        <f t="shared" si="40"/>
        <v>0</v>
      </c>
      <c r="Y178" s="246">
        <f t="shared" si="40"/>
        <v>0</v>
      </c>
      <c r="Z178" s="246">
        <f t="shared" si="40"/>
        <v>0</v>
      </c>
      <c r="AA178" s="245">
        <f t="shared" si="37"/>
        <v>0</v>
      </c>
      <c r="AB178" s="245">
        <f t="shared" si="37"/>
        <v>0</v>
      </c>
      <c r="AC178" s="245">
        <f t="shared" si="37"/>
        <v>0</v>
      </c>
      <c r="AD178" s="245">
        <f t="shared" si="37"/>
        <v>0</v>
      </c>
      <c r="AE178" s="245">
        <f t="shared" si="37"/>
        <v>0</v>
      </c>
      <c r="AF178" s="245">
        <f t="shared" si="37"/>
        <v>0</v>
      </c>
      <c r="AG178" s="245">
        <f t="shared" si="37"/>
        <v>0</v>
      </c>
      <c r="AH178" s="245">
        <f t="shared" si="37"/>
        <v>0</v>
      </c>
      <c r="AI178" s="245">
        <f t="shared" si="37"/>
        <v>0</v>
      </c>
      <c r="AJ178" s="247">
        <f t="shared" si="32"/>
        <v>0</v>
      </c>
    </row>
    <row r="179" spans="1:36">
      <c r="A179" s="231" t="str">
        <f t="shared" si="38"/>
        <v>JBLM HOUSINGCommercialSL065.0GEO001NORECC</v>
      </c>
      <c r="B179" s="243" t="s">
        <v>325</v>
      </c>
      <c r="C179" s="243" t="s">
        <v>326</v>
      </c>
      <c r="D179" s="243" t="s">
        <v>528</v>
      </c>
      <c r="E179" s="230">
        <v>33000</v>
      </c>
      <c r="F179" s="244">
        <v>0</v>
      </c>
      <c r="G179" s="244">
        <v>0</v>
      </c>
      <c r="H179" s="244"/>
      <c r="I179" s="244">
        <v>0</v>
      </c>
      <c r="J179" s="244">
        <v>0</v>
      </c>
      <c r="K179" s="244">
        <v>0</v>
      </c>
      <c r="L179" s="244">
        <v>0</v>
      </c>
      <c r="M179" s="244">
        <v>0</v>
      </c>
      <c r="N179" s="244">
        <v>0</v>
      </c>
      <c r="O179" s="244">
        <v>0</v>
      </c>
      <c r="P179" s="244">
        <v>0</v>
      </c>
      <c r="Q179" s="244">
        <v>0</v>
      </c>
      <c r="R179" s="244">
        <v>0</v>
      </c>
      <c r="S179" s="244">
        <v>0</v>
      </c>
      <c r="T179" s="244">
        <v>0</v>
      </c>
      <c r="U179" s="245"/>
      <c r="V179" s="408">
        <f t="shared" si="39"/>
        <v>0</v>
      </c>
      <c r="W179" s="245"/>
      <c r="X179" s="246">
        <f t="shared" si="40"/>
        <v>0</v>
      </c>
      <c r="Y179" s="246">
        <f t="shared" si="40"/>
        <v>0</v>
      </c>
      <c r="Z179" s="246">
        <f t="shared" si="40"/>
        <v>0</v>
      </c>
      <c r="AA179" s="245">
        <f t="shared" si="37"/>
        <v>0</v>
      </c>
      <c r="AB179" s="245">
        <f t="shared" si="37"/>
        <v>0</v>
      </c>
      <c r="AC179" s="245">
        <f t="shared" si="37"/>
        <v>0</v>
      </c>
      <c r="AD179" s="245">
        <f t="shared" si="37"/>
        <v>0</v>
      </c>
      <c r="AE179" s="245">
        <f t="shared" si="37"/>
        <v>0</v>
      </c>
      <c r="AF179" s="245">
        <f t="shared" si="37"/>
        <v>0</v>
      </c>
      <c r="AG179" s="245">
        <f t="shared" si="37"/>
        <v>0</v>
      </c>
      <c r="AH179" s="245">
        <f t="shared" si="37"/>
        <v>0</v>
      </c>
      <c r="AI179" s="245">
        <f t="shared" si="37"/>
        <v>0</v>
      </c>
      <c r="AJ179" s="247">
        <f t="shared" si="32"/>
        <v>0</v>
      </c>
    </row>
    <row r="180" spans="1:36">
      <c r="A180" s="231" t="str">
        <f t="shared" si="38"/>
        <v>JBLM HOUSINGCommercialSL065.0GEO001WRECC</v>
      </c>
      <c r="B180" s="243" t="s">
        <v>327</v>
      </c>
      <c r="C180" s="243" t="s">
        <v>328</v>
      </c>
      <c r="D180" s="243" t="s">
        <v>528</v>
      </c>
      <c r="E180" s="230">
        <v>33000</v>
      </c>
      <c r="F180" s="244">
        <v>0</v>
      </c>
      <c r="G180" s="244">
        <v>0</v>
      </c>
      <c r="H180" s="244"/>
      <c r="I180" s="244">
        <v>0</v>
      </c>
      <c r="J180" s="244">
        <v>0</v>
      </c>
      <c r="K180" s="244">
        <v>0</v>
      </c>
      <c r="L180" s="244">
        <v>0</v>
      </c>
      <c r="M180" s="244">
        <v>0</v>
      </c>
      <c r="N180" s="244">
        <v>0</v>
      </c>
      <c r="O180" s="244">
        <v>0</v>
      </c>
      <c r="P180" s="244">
        <v>0</v>
      </c>
      <c r="Q180" s="244">
        <v>0</v>
      </c>
      <c r="R180" s="244">
        <v>0</v>
      </c>
      <c r="S180" s="244">
        <v>0</v>
      </c>
      <c r="T180" s="244">
        <v>0</v>
      </c>
      <c r="U180" s="245"/>
      <c r="V180" s="408">
        <f t="shared" si="39"/>
        <v>0</v>
      </c>
      <c r="W180" s="245"/>
      <c r="X180" s="246">
        <f t="shared" si="40"/>
        <v>0</v>
      </c>
      <c r="Y180" s="246">
        <f t="shared" si="40"/>
        <v>0</v>
      </c>
      <c r="Z180" s="246">
        <f t="shared" si="40"/>
        <v>0</v>
      </c>
      <c r="AA180" s="245">
        <f t="shared" si="37"/>
        <v>0</v>
      </c>
      <c r="AB180" s="245">
        <f t="shared" si="37"/>
        <v>0</v>
      </c>
      <c r="AC180" s="245">
        <f t="shared" si="37"/>
        <v>0</v>
      </c>
      <c r="AD180" s="245">
        <f t="shared" si="37"/>
        <v>0</v>
      </c>
      <c r="AE180" s="245">
        <f t="shared" si="37"/>
        <v>0</v>
      </c>
      <c r="AF180" s="245">
        <f t="shared" si="37"/>
        <v>0</v>
      </c>
      <c r="AG180" s="245">
        <f t="shared" si="37"/>
        <v>0</v>
      </c>
      <c r="AH180" s="245">
        <f t="shared" si="37"/>
        <v>0</v>
      </c>
      <c r="AI180" s="245">
        <f t="shared" si="37"/>
        <v>0</v>
      </c>
      <c r="AJ180" s="247">
        <f t="shared" si="32"/>
        <v>0</v>
      </c>
    </row>
    <row r="181" spans="1:36">
      <c r="A181" s="231" t="str">
        <f t="shared" si="38"/>
        <v>JBLM HOUSINGCommercialSL095.0G1W001NORECC</v>
      </c>
      <c r="B181" s="243" t="s">
        <v>329</v>
      </c>
      <c r="C181" s="243" t="s">
        <v>330</v>
      </c>
      <c r="D181" s="243" t="s">
        <v>528</v>
      </c>
      <c r="E181" s="230">
        <v>33000</v>
      </c>
      <c r="F181" s="244">
        <v>0</v>
      </c>
      <c r="G181" s="244">
        <v>0</v>
      </c>
      <c r="H181" s="244"/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  <c r="O181" s="244">
        <v>0</v>
      </c>
      <c r="P181" s="244">
        <v>0</v>
      </c>
      <c r="Q181" s="244">
        <v>0</v>
      </c>
      <c r="R181" s="244">
        <v>0</v>
      </c>
      <c r="S181" s="244">
        <v>0</v>
      </c>
      <c r="T181" s="244">
        <v>0</v>
      </c>
      <c r="U181" s="245"/>
      <c r="V181" s="408">
        <f t="shared" si="39"/>
        <v>0</v>
      </c>
      <c r="W181" s="245"/>
      <c r="X181" s="246">
        <f t="shared" si="40"/>
        <v>0</v>
      </c>
      <c r="Y181" s="246">
        <f t="shared" si="40"/>
        <v>0</v>
      </c>
      <c r="Z181" s="246">
        <f t="shared" si="40"/>
        <v>0</v>
      </c>
      <c r="AA181" s="245">
        <f t="shared" si="37"/>
        <v>0</v>
      </c>
      <c r="AB181" s="245">
        <f t="shared" si="37"/>
        <v>0</v>
      </c>
      <c r="AC181" s="245">
        <f t="shared" si="37"/>
        <v>0</v>
      </c>
      <c r="AD181" s="245">
        <f t="shared" si="37"/>
        <v>0</v>
      </c>
      <c r="AE181" s="245">
        <f t="shared" si="37"/>
        <v>0</v>
      </c>
      <c r="AF181" s="245">
        <f t="shared" si="37"/>
        <v>0</v>
      </c>
      <c r="AG181" s="245">
        <f t="shared" si="37"/>
        <v>0</v>
      </c>
      <c r="AH181" s="245">
        <f t="shared" si="37"/>
        <v>0</v>
      </c>
      <c r="AI181" s="245">
        <f t="shared" si="37"/>
        <v>0</v>
      </c>
      <c r="AJ181" s="247">
        <f t="shared" si="32"/>
        <v>0</v>
      </c>
    </row>
    <row r="182" spans="1:36">
      <c r="A182" s="231" t="str">
        <f t="shared" si="38"/>
        <v>JBLM HOUSINGCommercialSL095.0G1W001WRECC</v>
      </c>
      <c r="B182" s="243" t="s">
        <v>331</v>
      </c>
      <c r="C182" s="243" t="s">
        <v>332</v>
      </c>
      <c r="D182" s="243" t="s">
        <v>528</v>
      </c>
      <c r="E182" s="230">
        <v>33000</v>
      </c>
      <c r="F182" s="244">
        <v>28.35</v>
      </c>
      <c r="G182" s="244">
        <v>28.88</v>
      </c>
      <c r="H182" s="244"/>
      <c r="I182" s="244">
        <v>0</v>
      </c>
      <c r="J182" s="244">
        <v>0</v>
      </c>
      <c r="K182" s="244">
        <v>0</v>
      </c>
      <c r="L182" s="244">
        <v>0</v>
      </c>
      <c r="M182" s="244">
        <v>23.1</v>
      </c>
      <c r="N182" s="244">
        <v>28.88</v>
      </c>
      <c r="O182" s="244">
        <v>28.88</v>
      </c>
      <c r="P182" s="244">
        <v>12.84</v>
      </c>
      <c r="Q182" s="244">
        <v>0</v>
      </c>
      <c r="R182" s="244">
        <v>0</v>
      </c>
      <c r="S182" s="244">
        <v>0</v>
      </c>
      <c r="T182" s="244">
        <v>0</v>
      </c>
      <c r="U182" s="245"/>
      <c r="V182" s="408">
        <f t="shared" si="39"/>
        <v>93.7</v>
      </c>
      <c r="W182" s="245"/>
      <c r="X182" s="246">
        <f t="shared" si="40"/>
        <v>0</v>
      </c>
      <c r="Y182" s="246">
        <f t="shared" si="40"/>
        <v>0</v>
      </c>
      <c r="Z182" s="246">
        <f t="shared" si="40"/>
        <v>0</v>
      </c>
      <c r="AA182" s="245">
        <f t="shared" si="37"/>
        <v>0</v>
      </c>
      <c r="AB182" s="245">
        <f t="shared" si="37"/>
        <v>0.79986149584487543</v>
      </c>
      <c r="AC182" s="245">
        <f t="shared" si="37"/>
        <v>1</v>
      </c>
      <c r="AD182" s="245">
        <f t="shared" si="37"/>
        <v>1</v>
      </c>
      <c r="AE182" s="245">
        <f t="shared" si="37"/>
        <v>0.44459833795013853</v>
      </c>
      <c r="AF182" s="245">
        <f t="shared" si="37"/>
        <v>0</v>
      </c>
      <c r="AG182" s="245">
        <f t="shared" si="37"/>
        <v>0</v>
      </c>
      <c r="AH182" s="245">
        <f t="shared" si="37"/>
        <v>0</v>
      </c>
      <c r="AI182" s="245">
        <f t="shared" si="37"/>
        <v>0</v>
      </c>
      <c r="AJ182" s="247">
        <f t="shared" si="32"/>
        <v>3.2444598337950139</v>
      </c>
    </row>
    <row r="183" spans="1:36">
      <c r="A183" s="231" t="str">
        <f t="shared" si="38"/>
        <v>JBLM HOUSINGCommercialSL095.0GEO001NORECC</v>
      </c>
      <c r="B183" s="243" t="s">
        <v>333</v>
      </c>
      <c r="C183" s="243" t="s">
        <v>334</v>
      </c>
      <c r="D183" s="243" t="s">
        <v>528</v>
      </c>
      <c r="E183" s="230">
        <v>33000</v>
      </c>
      <c r="F183" s="244">
        <v>0</v>
      </c>
      <c r="G183" s="244">
        <v>0</v>
      </c>
      <c r="H183" s="244"/>
      <c r="I183" s="244">
        <v>0</v>
      </c>
      <c r="J183" s="244">
        <v>0</v>
      </c>
      <c r="K183" s="244">
        <v>0</v>
      </c>
      <c r="L183" s="244">
        <v>0</v>
      </c>
      <c r="M183" s="244">
        <v>0</v>
      </c>
      <c r="N183" s="244">
        <v>0</v>
      </c>
      <c r="O183" s="244">
        <v>0</v>
      </c>
      <c r="P183" s="244">
        <v>0</v>
      </c>
      <c r="Q183" s="244">
        <v>0</v>
      </c>
      <c r="R183" s="244">
        <v>0</v>
      </c>
      <c r="S183" s="244">
        <v>0</v>
      </c>
      <c r="T183" s="244">
        <v>0</v>
      </c>
      <c r="U183" s="245"/>
      <c r="V183" s="408">
        <f t="shared" si="39"/>
        <v>0</v>
      </c>
      <c r="W183" s="245"/>
      <c r="X183" s="246">
        <f t="shared" si="40"/>
        <v>0</v>
      </c>
      <c r="Y183" s="246">
        <f t="shared" si="40"/>
        <v>0</v>
      </c>
      <c r="Z183" s="246">
        <f t="shared" si="40"/>
        <v>0</v>
      </c>
      <c r="AA183" s="245">
        <f t="shared" si="37"/>
        <v>0</v>
      </c>
      <c r="AB183" s="245">
        <f t="shared" si="37"/>
        <v>0</v>
      </c>
      <c r="AC183" s="245">
        <f t="shared" si="37"/>
        <v>0</v>
      </c>
      <c r="AD183" s="245">
        <f t="shared" si="37"/>
        <v>0</v>
      </c>
      <c r="AE183" s="245">
        <f t="shared" si="37"/>
        <v>0</v>
      </c>
      <c r="AF183" s="245">
        <f t="shared" si="37"/>
        <v>0</v>
      </c>
      <c r="AG183" s="245">
        <f t="shared" si="37"/>
        <v>0</v>
      </c>
      <c r="AH183" s="245">
        <f t="shared" si="37"/>
        <v>0</v>
      </c>
      <c r="AI183" s="245">
        <f t="shared" si="37"/>
        <v>0</v>
      </c>
      <c r="AJ183" s="247">
        <f t="shared" si="32"/>
        <v>0</v>
      </c>
    </row>
    <row r="184" spans="1:36">
      <c r="A184" s="231" t="str">
        <f t="shared" si="38"/>
        <v>JBLM HOUSINGCommercialSL095.0GEO001WRECC</v>
      </c>
      <c r="B184" s="243" t="s">
        <v>335</v>
      </c>
      <c r="C184" s="243" t="s">
        <v>336</v>
      </c>
      <c r="D184" s="243" t="s">
        <v>528</v>
      </c>
      <c r="E184" s="230">
        <v>33000</v>
      </c>
      <c r="F184" s="244">
        <v>0</v>
      </c>
      <c r="G184" s="244">
        <v>0</v>
      </c>
      <c r="H184" s="244"/>
      <c r="I184" s="244">
        <v>0</v>
      </c>
      <c r="J184" s="244">
        <v>0</v>
      </c>
      <c r="K184" s="244">
        <v>0</v>
      </c>
      <c r="L184" s="244">
        <v>0</v>
      </c>
      <c r="M184" s="244">
        <v>0</v>
      </c>
      <c r="N184" s="244">
        <v>0</v>
      </c>
      <c r="O184" s="244">
        <v>0</v>
      </c>
      <c r="P184" s="244">
        <v>0</v>
      </c>
      <c r="Q184" s="244">
        <v>0</v>
      </c>
      <c r="R184" s="244">
        <v>0</v>
      </c>
      <c r="S184" s="244">
        <v>0</v>
      </c>
      <c r="T184" s="244">
        <v>0</v>
      </c>
      <c r="U184" s="245"/>
      <c r="V184" s="408">
        <f t="shared" si="39"/>
        <v>0</v>
      </c>
      <c r="W184" s="245"/>
      <c r="X184" s="246">
        <f t="shared" si="40"/>
        <v>0</v>
      </c>
      <c r="Y184" s="246">
        <f t="shared" si="40"/>
        <v>0</v>
      </c>
      <c r="Z184" s="246">
        <f t="shared" si="40"/>
        <v>0</v>
      </c>
      <c r="AA184" s="245">
        <f t="shared" si="37"/>
        <v>0</v>
      </c>
      <c r="AB184" s="245">
        <f t="shared" si="37"/>
        <v>0</v>
      </c>
      <c r="AC184" s="245">
        <f t="shared" si="37"/>
        <v>0</v>
      </c>
      <c r="AD184" s="245">
        <f t="shared" si="37"/>
        <v>0</v>
      </c>
      <c r="AE184" s="245">
        <f t="shared" si="37"/>
        <v>0</v>
      </c>
      <c r="AF184" s="245">
        <f t="shared" si="37"/>
        <v>0</v>
      </c>
      <c r="AG184" s="245">
        <f t="shared" si="37"/>
        <v>0</v>
      </c>
      <c r="AH184" s="245">
        <f t="shared" si="37"/>
        <v>0</v>
      </c>
      <c r="AI184" s="245">
        <f t="shared" si="37"/>
        <v>0</v>
      </c>
      <c r="AJ184" s="247">
        <f t="shared" si="32"/>
        <v>0</v>
      </c>
    </row>
    <row r="185" spans="1:36">
      <c r="A185" s="231" t="str">
        <f t="shared" si="38"/>
        <v>JBLM HOUSINGCommercialCANCOUNT65-COMM</v>
      </c>
      <c r="B185" s="243" t="s">
        <v>337</v>
      </c>
      <c r="C185" s="243" t="s">
        <v>338</v>
      </c>
      <c r="D185" s="243" t="s">
        <v>528</v>
      </c>
      <c r="E185" s="230">
        <v>33000</v>
      </c>
      <c r="F185" s="244">
        <v>0</v>
      </c>
      <c r="G185" s="244">
        <v>0</v>
      </c>
      <c r="H185" s="244"/>
      <c r="I185" s="244">
        <v>0</v>
      </c>
      <c r="J185" s="244">
        <v>0</v>
      </c>
      <c r="K185" s="244">
        <v>0</v>
      </c>
      <c r="L185" s="244">
        <v>0</v>
      </c>
      <c r="M185" s="244">
        <v>0</v>
      </c>
      <c r="N185" s="244">
        <v>0</v>
      </c>
      <c r="O185" s="244">
        <v>0</v>
      </c>
      <c r="P185" s="244">
        <v>0</v>
      </c>
      <c r="Q185" s="244">
        <v>0</v>
      </c>
      <c r="R185" s="244">
        <v>0</v>
      </c>
      <c r="S185" s="244">
        <v>0</v>
      </c>
      <c r="T185" s="244">
        <v>0</v>
      </c>
      <c r="U185" s="245"/>
      <c r="V185" s="408">
        <f t="shared" si="39"/>
        <v>0</v>
      </c>
      <c r="W185" s="245"/>
      <c r="X185" s="246">
        <f t="shared" si="40"/>
        <v>0</v>
      </c>
      <c r="Y185" s="246">
        <f t="shared" si="40"/>
        <v>0</v>
      </c>
      <c r="Z185" s="246">
        <f t="shared" si="40"/>
        <v>0</v>
      </c>
      <c r="AA185" s="245">
        <f t="shared" si="37"/>
        <v>0</v>
      </c>
      <c r="AB185" s="245">
        <f t="shared" si="37"/>
        <v>0</v>
      </c>
      <c r="AC185" s="245">
        <f t="shared" si="37"/>
        <v>0</v>
      </c>
      <c r="AD185" s="245">
        <f t="shared" si="37"/>
        <v>0</v>
      </c>
      <c r="AE185" s="245">
        <f t="shared" si="37"/>
        <v>0</v>
      </c>
      <c r="AF185" s="245">
        <f t="shared" si="37"/>
        <v>0</v>
      </c>
      <c r="AG185" s="245">
        <f t="shared" si="37"/>
        <v>0</v>
      </c>
      <c r="AH185" s="245">
        <f t="shared" si="37"/>
        <v>0</v>
      </c>
      <c r="AI185" s="245">
        <f t="shared" si="37"/>
        <v>0</v>
      </c>
      <c r="AJ185" s="247">
        <f t="shared" si="32"/>
        <v>0</v>
      </c>
    </row>
    <row r="186" spans="1:36">
      <c r="A186" s="231" t="str">
        <f t="shared" si="38"/>
        <v>JBLM HOUSINGCommercialCANCOUNT95-COMM</v>
      </c>
      <c r="B186" s="243" t="s">
        <v>339</v>
      </c>
      <c r="C186" s="243" t="s">
        <v>340</v>
      </c>
      <c r="D186" s="243" t="s">
        <v>528</v>
      </c>
      <c r="E186" s="230">
        <v>33000</v>
      </c>
      <c r="F186" s="244">
        <v>0</v>
      </c>
      <c r="G186" s="244">
        <v>0</v>
      </c>
      <c r="H186" s="244"/>
      <c r="I186" s="244">
        <v>0</v>
      </c>
      <c r="J186" s="244">
        <v>0</v>
      </c>
      <c r="K186" s="244">
        <v>0</v>
      </c>
      <c r="L186" s="244">
        <v>0</v>
      </c>
      <c r="M186" s="244">
        <v>0</v>
      </c>
      <c r="N186" s="244">
        <v>0</v>
      </c>
      <c r="O186" s="244">
        <v>0</v>
      </c>
      <c r="P186" s="244">
        <v>0</v>
      </c>
      <c r="Q186" s="244">
        <v>0</v>
      </c>
      <c r="R186" s="244">
        <v>0</v>
      </c>
      <c r="S186" s="244">
        <v>0</v>
      </c>
      <c r="T186" s="244">
        <v>0</v>
      </c>
      <c r="U186" s="245"/>
      <c r="V186" s="408">
        <f t="shared" si="39"/>
        <v>0</v>
      </c>
      <c r="W186" s="245"/>
      <c r="X186" s="246">
        <f t="shared" si="40"/>
        <v>0</v>
      </c>
      <c r="Y186" s="246">
        <f t="shared" si="40"/>
        <v>0</v>
      </c>
      <c r="Z186" s="246">
        <f t="shared" si="40"/>
        <v>0</v>
      </c>
      <c r="AA186" s="245">
        <f t="shared" si="37"/>
        <v>0</v>
      </c>
      <c r="AB186" s="245">
        <f t="shared" si="37"/>
        <v>0</v>
      </c>
      <c r="AC186" s="245">
        <f t="shared" si="37"/>
        <v>0</v>
      </c>
      <c r="AD186" s="245">
        <f t="shared" si="37"/>
        <v>0</v>
      </c>
      <c r="AE186" s="245">
        <f t="shared" si="37"/>
        <v>0</v>
      </c>
      <c r="AF186" s="245">
        <f t="shared" si="37"/>
        <v>0</v>
      </c>
      <c r="AG186" s="245">
        <f t="shared" si="37"/>
        <v>0</v>
      </c>
      <c r="AH186" s="245">
        <f t="shared" si="37"/>
        <v>0</v>
      </c>
      <c r="AI186" s="245">
        <f t="shared" si="37"/>
        <v>0</v>
      </c>
      <c r="AJ186" s="247">
        <f t="shared" si="32"/>
        <v>0</v>
      </c>
    </row>
    <row r="187" spans="1:36">
      <c r="A187" s="231" t="str">
        <f t="shared" si="38"/>
        <v>JBLM HOUSINGCommercialCANCOUNT-COMM</v>
      </c>
      <c r="B187" s="243" t="s">
        <v>341</v>
      </c>
      <c r="C187" s="243" t="s">
        <v>342</v>
      </c>
      <c r="D187" s="243" t="s">
        <v>528</v>
      </c>
      <c r="E187" s="230">
        <v>33000</v>
      </c>
      <c r="F187" s="244">
        <v>0</v>
      </c>
      <c r="G187" s="244">
        <v>0</v>
      </c>
      <c r="H187" s="244"/>
      <c r="I187" s="244">
        <v>0</v>
      </c>
      <c r="J187" s="244">
        <v>0</v>
      </c>
      <c r="K187" s="244">
        <v>0</v>
      </c>
      <c r="L187" s="244">
        <v>0</v>
      </c>
      <c r="M187" s="244">
        <v>0</v>
      </c>
      <c r="N187" s="244">
        <v>0</v>
      </c>
      <c r="O187" s="244">
        <v>0</v>
      </c>
      <c r="P187" s="244">
        <v>0</v>
      </c>
      <c r="Q187" s="244">
        <v>0</v>
      </c>
      <c r="R187" s="244">
        <v>0</v>
      </c>
      <c r="S187" s="244">
        <v>0</v>
      </c>
      <c r="T187" s="244">
        <v>0</v>
      </c>
      <c r="U187" s="245"/>
      <c r="V187" s="408">
        <f t="shared" si="39"/>
        <v>0</v>
      </c>
      <c r="W187" s="245"/>
      <c r="X187" s="246">
        <f t="shared" si="40"/>
        <v>0</v>
      </c>
      <c r="Y187" s="246">
        <f t="shared" si="40"/>
        <v>0</v>
      </c>
      <c r="Z187" s="246">
        <f t="shared" si="40"/>
        <v>0</v>
      </c>
      <c r="AA187" s="245">
        <f t="shared" si="37"/>
        <v>0</v>
      </c>
      <c r="AB187" s="245">
        <f t="shared" si="37"/>
        <v>0</v>
      </c>
      <c r="AC187" s="245">
        <f t="shared" si="37"/>
        <v>0</v>
      </c>
      <c r="AD187" s="245">
        <f t="shared" si="37"/>
        <v>0</v>
      </c>
      <c r="AE187" s="245">
        <f t="shared" si="37"/>
        <v>0</v>
      </c>
      <c r="AF187" s="245">
        <f t="shared" si="37"/>
        <v>0</v>
      </c>
      <c r="AG187" s="245">
        <f t="shared" si="37"/>
        <v>0</v>
      </c>
      <c r="AH187" s="245">
        <f t="shared" si="37"/>
        <v>0</v>
      </c>
      <c r="AI187" s="245">
        <f t="shared" si="37"/>
        <v>0</v>
      </c>
      <c r="AJ187" s="247">
        <f t="shared" si="32"/>
        <v>0</v>
      </c>
    </row>
    <row r="188" spans="1:36">
      <c r="A188" s="231" t="str">
        <f t="shared" si="38"/>
        <v>JBLM HOUSINGCommercialDIST4CAN-COMM</v>
      </c>
      <c r="B188" s="243" t="s">
        <v>343</v>
      </c>
      <c r="C188" s="243" t="s">
        <v>344</v>
      </c>
      <c r="D188" s="243" t="s">
        <v>528</v>
      </c>
      <c r="E188" s="230">
        <v>33000</v>
      </c>
      <c r="F188" s="244">
        <v>0</v>
      </c>
      <c r="G188" s="244">
        <v>0</v>
      </c>
      <c r="H188" s="244"/>
      <c r="I188" s="244">
        <v>0</v>
      </c>
      <c r="J188" s="244">
        <v>0</v>
      </c>
      <c r="K188" s="244">
        <v>0</v>
      </c>
      <c r="L188" s="244">
        <v>0</v>
      </c>
      <c r="M188" s="244">
        <v>0</v>
      </c>
      <c r="N188" s="244">
        <v>0</v>
      </c>
      <c r="O188" s="244">
        <v>0</v>
      </c>
      <c r="P188" s="244">
        <v>0</v>
      </c>
      <c r="Q188" s="244">
        <v>0</v>
      </c>
      <c r="R188" s="244">
        <v>0</v>
      </c>
      <c r="S188" s="244">
        <v>0</v>
      </c>
      <c r="T188" s="244">
        <v>0</v>
      </c>
      <c r="U188" s="245"/>
      <c r="V188" s="408">
        <f t="shared" si="39"/>
        <v>0</v>
      </c>
      <c r="W188" s="245"/>
      <c r="X188" s="246">
        <f t="shared" si="40"/>
        <v>0</v>
      </c>
      <c r="Y188" s="246">
        <f t="shared" si="40"/>
        <v>0</v>
      </c>
      <c r="Z188" s="246">
        <f t="shared" si="40"/>
        <v>0</v>
      </c>
      <c r="AA188" s="245">
        <f t="shared" si="37"/>
        <v>0</v>
      </c>
      <c r="AB188" s="245">
        <f t="shared" si="37"/>
        <v>0</v>
      </c>
      <c r="AC188" s="245">
        <f t="shared" si="37"/>
        <v>0</v>
      </c>
      <c r="AD188" s="245">
        <f t="shared" si="37"/>
        <v>0</v>
      </c>
      <c r="AE188" s="245">
        <f t="shared" si="37"/>
        <v>0</v>
      </c>
      <c r="AF188" s="245">
        <f t="shared" si="37"/>
        <v>0</v>
      </c>
      <c r="AG188" s="245">
        <f t="shared" si="37"/>
        <v>0</v>
      </c>
      <c r="AH188" s="245">
        <f t="shared" si="37"/>
        <v>0</v>
      </c>
      <c r="AI188" s="245">
        <f t="shared" si="37"/>
        <v>0</v>
      </c>
      <c r="AJ188" s="247">
        <f t="shared" si="32"/>
        <v>0</v>
      </c>
    </row>
    <row r="189" spans="1:36">
      <c r="A189" s="231" t="str">
        <f t="shared" si="38"/>
        <v>JBLM HOUSINGCommercialDIST5CAN-COMM</v>
      </c>
      <c r="B189" s="243" t="s">
        <v>345</v>
      </c>
      <c r="C189" s="243" t="s">
        <v>346</v>
      </c>
      <c r="D189" s="243" t="s">
        <v>528</v>
      </c>
      <c r="E189" s="230">
        <v>33000</v>
      </c>
      <c r="F189" s="244">
        <v>0</v>
      </c>
      <c r="G189" s="244">
        <v>0</v>
      </c>
      <c r="H189" s="244"/>
      <c r="I189" s="244">
        <v>0</v>
      </c>
      <c r="J189" s="244">
        <v>0</v>
      </c>
      <c r="K189" s="244">
        <v>0</v>
      </c>
      <c r="L189" s="244">
        <v>0</v>
      </c>
      <c r="M189" s="244">
        <v>0</v>
      </c>
      <c r="N189" s="244">
        <v>0</v>
      </c>
      <c r="O189" s="244">
        <v>0</v>
      </c>
      <c r="P189" s="244">
        <v>0</v>
      </c>
      <c r="Q189" s="244">
        <v>0</v>
      </c>
      <c r="R189" s="244">
        <v>0</v>
      </c>
      <c r="S189" s="244">
        <v>0</v>
      </c>
      <c r="T189" s="244">
        <v>0</v>
      </c>
      <c r="U189" s="245"/>
      <c r="V189" s="408">
        <f t="shared" si="39"/>
        <v>0</v>
      </c>
      <c r="W189" s="245"/>
      <c r="X189" s="246">
        <f t="shared" si="40"/>
        <v>0</v>
      </c>
      <c r="Y189" s="246">
        <f t="shared" si="40"/>
        <v>0</v>
      </c>
      <c r="Z189" s="246">
        <f t="shared" si="40"/>
        <v>0</v>
      </c>
      <c r="AA189" s="245">
        <f t="shared" si="37"/>
        <v>0</v>
      </c>
      <c r="AB189" s="245">
        <f t="shared" si="37"/>
        <v>0</v>
      </c>
      <c r="AC189" s="245">
        <f t="shared" si="37"/>
        <v>0</v>
      </c>
      <c r="AD189" s="245">
        <f t="shared" si="37"/>
        <v>0</v>
      </c>
      <c r="AE189" s="245">
        <f t="shared" si="37"/>
        <v>0</v>
      </c>
      <c r="AF189" s="245">
        <f t="shared" si="37"/>
        <v>0</v>
      </c>
      <c r="AG189" s="245">
        <f t="shared" si="37"/>
        <v>0</v>
      </c>
      <c r="AH189" s="245">
        <f t="shared" si="37"/>
        <v>0</v>
      </c>
      <c r="AI189" s="245">
        <f t="shared" si="37"/>
        <v>0</v>
      </c>
      <c r="AJ189" s="247">
        <f t="shared" si="32"/>
        <v>0</v>
      </c>
    </row>
    <row r="190" spans="1:36">
      <c r="A190" s="231" t="str">
        <f t="shared" si="38"/>
        <v>JBLM HOUSINGCommercialADD32GLCOMM</v>
      </c>
      <c r="B190" s="243" t="s">
        <v>359</v>
      </c>
      <c r="C190" s="243" t="s">
        <v>360</v>
      </c>
      <c r="D190" s="243" t="s">
        <v>544</v>
      </c>
      <c r="E190" s="230">
        <v>33001</v>
      </c>
      <c r="F190" s="244">
        <v>0</v>
      </c>
      <c r="G190" s="244">
        <v>0</v>
      </c>
      <c r="H190" s="244"/>
      <c r="I190" s="244">
        <v>0</v>
      </c>
      <c r="J190" s="244">
        <v>0</v>
      </c>
      <c r="K190" s="244">
        <v>0</v>
      </c>
      <c r="L190" s="244">
        <v>0</v>
      </c>
      <c r="M190" s="244">
        <v>0</v>
      </c>
      <c r="N190" s="244">
        <v>0</v>
      </c>
      <c r="O190" s="244">
        <v>0</v>
      </c>
      <c r="P190" s="244">
        <v>0</v>
      </c>
      <c r="Q190" s="244">
        <v>0</v>
      </c>
      <c r="R190" s="244">
        <v>0</v>
      </c>
      <c r="S190" s="244">
        <v>0</v>
      </c>
      <c r="T190" s="244">
        <v>0</v>
      </c>
      <c r="U190" s="245"/>
      <c r="V190" s="408">
        <f t="shared" si="39"/>
        <v>0</v>
      </c>
      <c r="W190" s="245"/>
      <c r="X190" s="246">
        <f t="shared" si="40"/>
        <v>0</v>
      </c>
      <c r="Y190" s="246">
        <f t="shared" si="40"/>
        <v>0</v>
      </c>
      <c r="Z190" s="246">
        <f t="shared" si="40"/>
        <v>0</v>
      </c>
      <c r="AA190" s="245">
        <f t="shared" si="37"/>
        <v>0</v>
      </c>
      <c r="AB190" s="245">
        <f t="shared" si="37"/>
        <v>0</v>
      </c>
      <c r="AC190" s="245">
        <f t="shared" si="37"/>
        <v>0</v>
      </c>
      <c r="AD190" s="245">
        <f t="shared" si="37"/>
        <v>0</v>
      </c>
      <c r="AE190" s="245">
        <f t="shared" si="37"/>
        <v>0</v>
      </c>
      <c r="AF190" s="245">
        <f t="shared" si="37"/>
        <v>0</v>
      </c>
      <c r="AG190" s="245">
        <f t="shared" si="37"/>
        <v>0</v>
      </c>
      <c r="AH190" s="245">
        <f t="shared" si="37"/>
        <v>0</v>
      </c>
      <c r="AI190" s="245">
        <f t="shared" si="37"/>
        <v>0</v>
      </c>
      <c r="AJ190" s="247">
        <f t="shared" si="32"/>
        <v>0</v>
      </c>
    </row>
    <row r="191" spans="1:36">
      <c r="A191" s="231" t="str">
        <f t="shared" si="38"/>
        <v>JBLM HOUSINGCommercialBULKY-COMM</v>
      </c>
      <c r="B191" s="243" t="s">
        <v>361</v>
      </c>
      <c r="C191" s="243" t="s">
        <v>362</v>
      </c>
      <c r="D191" s="243" t="s">
        <v>544</v>
      </c>
      <c r="E191" s="230">
        <v>33001</v>
      </c>
      <c r="F191" s="244">
        <v>0</v>
      </c>
      <c r="G191" s="244">
        <v>0</v>
      </c>
      <c r="H191" s="244"/>
      <c r="I191" s="244">
        <v>0</v>
      </c>
      <c r="J191" s="244">
        <v>0</v>
      </c>
      <c r="K191" s="244">
        <v>0</v>
      </c>
      <c r="L191" s="244">
        <v>0</v>
      </c>
      <c r="M191" s="244">
        <v>0</v>
      </c>
      <c r="N191" s="244">
        <v>0</v>
      </c>
      <c r="O191" s="244">
        <v>0</v>
      </c>
      <c r="P191" s="244">
        <v>0</v>
      </c>
      <c r="Q191" s="244">
        <v>0</v>
      </c>
      <c r="R191" s="244">
        <v>0</v>
      </c>
      <c r="S191" s="244">
        <v>0</v>
      </c>
      <c r="T191" s="244">
        <v>0</v>
      </c>
      <c r="U191" s="245"/>
      <c r="V191" s="408">
        <f t="shared" si="39"/>
        <v>0</v>
      </c>
      <c r="W191" s="245"/>
      <c r="X191" s="246">
        <f t="shared" si="40"/>
        <v>0</v>
      </c>
      <c r="Y191" s="246">
        <f t="shared" si="40"/>
        <v>0</v>
      </c>
      <c r="Z191" s="246">
        <f t="shared" si="40"/>
        <v>0</v>
      </c>
      <c r="AA191" s="245">
        <f t="shared" si="37"/>
        <v>0</v>
      </c>
      <c r="AB191" s="245">
        <f t="shared" si="37"/>
        <v>0</v>
      </c>
      <c r="AC191" s="245">
        <f t="shared" si="37"/>
        <v>0</v>
      </c>
      <c r="AD191" s="245">
        <f t="shared" si="37"/>
        <v>0</v>
      </c>
      <c r="AE191" s="245">
        <f t="shared" si="37"/>
        <v>0</v>
      </c>
      <c r="AF191" s="245">
        <f t="shared" si="37"/>
        <v>0</v>
      </c>
      <c r="AG191" s="245">
        <f t="shared" si="37"/>
        <v>0</v>
      </c>
      <c r="AH191" s="245">
        <f t="shared" si="37"/>
        <v>0</v>
      </c>
      <c r="AI191" s="245">
        <f t="shared" si="37"/>
        <v>0</v>
      </c>
      <c r="AJ191" s="247">
        <f t="shared" si="32"/>
        <v>0</v>
      </c>
    </row>
    <row r="192" spans="1:36">
      <c r="A192" s="231" t="str">
        <f t="shared" si="38"/>
        <v>JBLM HOUSINGCommercialEP96GW-COMM</v>
      </c>
      <c r="B192" s="243" t="s">
        <v>363</v>
      </c>
      <c r="C192" s="243" t="s">
        <v>364</v>
      </c>
      <c r="D192" s="243" t="s">
        <v>544</v>
      </c>
      <c r="E192" s="230">
        <v>33001</v>
      </c>
      <c r="F192" s="244">
        <v>0</v>
      </c>
      <c r="G192" s="244">
        <v>0</v>
      </c>
      <c r="H192" s="244"/>
      <c r="I192" s="244">
        <v>0</v>
      </c>
      <c r="J192" s="244">
        <v>0</v>
      </c>
      <c r="K192" s="244">
        <v>0</v>
      </c>
      <c r="L192" s="244">
        <v>0</v>
      </c>
      <c r="M192" s="244">
        <v>0</v>
      </c>
      <c r="N192" s="244">
        <v>0</v>
      </c>
      <c r="O192" s="244">
        <v>0</v>
      </c>
      <c r="P192" s="244">
        <v>0</v>
      </c>
      <c r="Q192" s="244">
        <v>0</v>
      </c>
      <c r="R192" s="244">
        <v>0</v>
      </c>
      <c r="S192" s="244">
        <v>0</v>
      </c>
      <c r="T192" s="244">
        <v>0</v>
      </c>
      <c r="U192" s="245"/>
      <c r="V192" s="408">
        <f t="shared" si="39"/>
        <v>0</v>
      </c>
      <c r="W192" s="245"/>
      <c r="X192" s="246">
        <f t="shared" si="40"/>
        <v>0</v>
      </c>
      <c r="Y192" s="246">
        <f t="shared" si="40"/>
        <v>0</v>
      </c>
      <c r="Z192" s="246">
        <f t="shared" si="40"/>
        <v>0</v>
      </c>
      <c r="AA192" s="245">
        <f t="shared" si="37"/>
        <v>0</v>
      </c>
      <c r="AB192" s="245">
        <f t="shared" si="37"/>
        <v>0</v>
      </c>
      <c r="AC192" s="245">
        <f t="shared" si="37"/>
        <v>0</v>
      </c>
      <c r="AD192" s="245">
        <f t="shared" si="37"/>
        <v>0</v>
      </c>
      <c r="AE192" s="245">
        <f t="shared" si="37"/>
        <v>0</v>
      </c>
      <c r="AF192" s="245">
        <f t="shared" si="37"/>
        <v>0</v>
      </c>
      <c r="AG192" s="245">
        <f t="shared" si="37"/>
        <v>0</v>
      </c>
      <c r="AH192" s="245">
        <f t="shared" si="37"/>
        <v>0</v>
      </c>
      <c r="AI192" s="245">
        <f t="shared" si="37"/>
        <v>0</v>
      </c>
      <c r="AJ192" s="247">
        <f t="shared" si="32"/>
        <v>0</v>
      </c>
    </row>
    <row r="193" spans="1:36">
      <c r="A193" s="231" t="str">
        <f t="shared" si="38"/>
        <v>JBLM HOUSINGCommercialEXTRA-COMM</v>
      </c>
      <c r="B193" s="243" t="s">
        <v>365</v>
      </c>
      <c r="C193" s="243" t="s">
        <v>366</v>
      </c>
      <c r="D193" s="243" t="s">
        <v>544</v>
      </c>
      <c r="E193" s="230">
        <v>33001</v>
      </c>
      <c r="F193" s="244">
        <v>0</v>
      </c>
      <c r="G193" s="244">
        <v>0</v>
      </c>
      <c r="H193" s="244"/>
      <c r="I193" s="244">
        <v>0</v>
      </c>
      <c r="J193" s="244">
        <v>0</v>
      </c>
      <c r="K193" s="244">
        <v>0</v>
      </c>
      <c r="L193" s="244">
        <v>0</v>
      </c>
      <c r="M193" s="244">
        <v>0</v>
      </c>
      <c r="N193" s="244">
        <v>0</v>
      </c>
      <c r="O193" s="244">
        <v>0</v>
      </c>
      <c r="P193" s="244">
        <v>0</v>
      </c>
      <c r="Q193" s="244">
        <v>0</v>
      </c>
      <c r="R193" s="244">
        <v>0</v>
      </c>
      <c r="S193" s="244">
        <v>0</v>
      </c>
      <c r="T193" s="244">
        <v>0</v>
      </c>
      <c r="U193" s="245"/>
      <c r="V193" s="408">
        <f t="shared" si="39"/>
        <v>0</v>
      </c>
      <c r="W193" s="245"/>
      <c r="X193" s="246">
        <f t="shared" si="40"/>
        <v>0</v>
      </c>
      <c r="Y193" s="246">
        <f t="shared" si="40"/>
        <v>0</v>
      </c>
      <c r="Z193" s="246">
        <f t="shared" si="40"/>
        <v>0</v>
      </c>
      <c r="AA193" s="245">
        <f t="shared" si="37"/>
        <v>0</v>
      </c>
      <c r="AB193" s="245">
        <f t="shared" si="37"/>
        <v>0</v>
      </c>
      <c r="AC193" s="245">
        <f t="shared" si="37"/>
        <v>0</v>
      </c>
      <c r="AD193" s="245">
        <f t="shared" si="37"/>
        <v>0</v>
      </c>
      <c r="AE193" s="245">
        <f t="shared" si="37"/>
        <v>0</v>
      </c>
      <c r="AF193" s="245">
        <f t="shared" si="37"/>
        <v>0</v>
      </c>
      <c r="AG193" s="245">
        <f t="shared" si="37"/>
        <v>0</v>
      </c>
      <c r="AH193" s="245">
        <f t="shared" si="37"/>
        <v>0</v>
      </c>
      <c r="AI193" s="245">
        <f t="shared" si="37"/>
        <v>0</v>
      </c>
      <c r="AJ193" s="247">
        <f t="shared" si="32"/>
        <v>0</v>
      </c>
    </row>
    <row r="194" spans="1:36">
      <c r="A194" s="231" t="str">
        <f t="shared" si="38"/>
        <v>JBLM HOUSINGCommercialEXTRAGWC-COMM</v>
      </c>
      <c r="B194" s="243" t="s">
        <v>545</v>
      </c>
      <c r="C194" s="243" t="s">
        <v>546</v>
      </c>
      <c r="D194" s="243" t="s">
        <v>544</v>
      </c>
      <c r="E194" s="230">
        <v>33001</v>
      </c>
      <c r="F194" s="244">
        <v>0</v>
      </c>
      <c r="G194" s="244">
        <v>0</v>
      </c>
      <c r="H194" s="244"/>
      <c r="I194" s="244">
        <v>0</v>
      </c>
      <c r="J194" s="244">
        <v>0</v>
      </c>
      <c r="K194" s="244">
        <v>0</v>
      </c>
      <c r="L194" s="244">
        <v>0</v>
      </c>
      <c r="M194" s="244">
        <v>0</v>
      </c>
      <c r="N194" s="244">
        <v>0</v>
      </c>
      <c r="O194" s="244">
        <v>0</v>
      </c>
      <c r="P194" s="244">
        <v>0</v>
      </c>
      <c r="Q194" s="244">
        <v>0</v>
      </c>
      <c r="R194" s="244">
        <v>0</v>
      </c>
      <c r="S194" s="244">
        <v>0</v>
      </c>
      <c r="T194" s="244">
        <v>0</v>
      </c>
      <c r="U194" s="245"/>
      <c r="V194" s="408">
        <f t="shared" si="39"/>
        <v>0</v>
      </c>
      <c r="W194" s="245"/>
      <c r="X194" s="246">
        <f t="shared" si="40"/>
        <v>0</v>
      </c>
      <c r="Y194" s="246">
        <f t="shared" si="40"/>
        <v>0</v>
      </c>
      <c r="Z194" s="246">
        <f t="shared" si="40"/>
        <v>0</v>
      </c>
      <c r="AA194" s="245">
        <f t="shared" si="37"/>
        <v>0</v>
      </c>
      <c r="AB194" s="245">
        <f t="shared" si="37"/>
        <v>0</v>
      </c>
      <c r="AC194" s="245">
        <f t="shared" si="37"/>
        <v>0</v>
      </c>
      <c r="AD194" s="245">
        <f t="shared" si="37"/>
        <v>0</v>
      </c>
      <c r="AE194" s="245">
        <f t="shared" si="37"/>
        <v>0</v>
      </c>
      <c r="AF194" s="245">
        <f t="shared" si="37"/>
        <v>0</v>
      </c>
      <c r="AG194" s="245">
        <f t="shared" si="37"/>
        <v>0</v>
      </c>
      <c r="AH194" s="245">
        <f t="shared" si="37"/>
        <v>0</v>
      </c>
      <c r="AI194" s="245">
        <f t="shared" si="37"/>
        <v>0</v>
      </c>
      <c r="AJ194" s="247">
        <f t="shared" si="32"/>
        <v>0</v>
      </c>
    </row>
    <row r="195" spans="1:36">
      <c r="A195" s="231" t="str">
        <f t="shared" si="38"/>
        <v>JBLM HOUSINGCommercialEXTRAYDG-COM</v>
      </c>
      <c r="B195" s="243" t="s">
        <v>367</v>
      </c>
      <c r="C195" s="243" t="s">
        <v>368</v>
      </c>
      <c r="D195" s="243" t="s">
        <v>544</v>
      </c>
      <c r="E195" s="230">
        <v>33001</v>
      </c>
      <c r="F195" s="244">
        <v>0</v>
      </c>
      <c r="G195" s="244">
        <v>0</v>
      </c>
      <c r="H195" s="244"/>
      <c r="I195" s="244">
        <v>0</v>
      </c>
      <c r="J195" s="244">
        <v>0</v>
      </c>
      <c r="K195" s="244">
        <v>0</v>
      </c>
      <c r="L195" s="244">
        <v>0</v>
      </c>
      <c r="M195" s="244">
        <v>0</v>
      </c>
      <c r="N195" s="244">
        <v>0</v>
      </c>
      <c r="O195" s="244">
        <v>0</v>
      </c>
      <c r="P195" s="244">
        <v>0</v>
      </c>
      <c r="Q195" s="244">
        <v>0</v>
      </c>
      <c r="R195" s="244">
        <v>0</v>
      </c>
      <c r="S195" s="244">
        <v>0</v>
      </c>
      <c r="T195" s="244">
        <v>0</v>
      </c>
      <c r="U195" s="245"/>
      <c r="V195" s="408">
        <f t="shared" si="39"/>
        <v>0</v>
      </c>
      <c r="W195" s="245"/>
      <c r="X195" s="246">
        <f t="shared" si="40"/>
        <v>0</v>
      </c>
      <c r="Y195" s="246">
        <f t="shared" si="40"/>
        <v>0</v>
      </c>
      <c r="Z195" s="246">
        <f t="shared" si="40"/>
        <v>0</v>
      </c>
      <c r="AA195" s="245">
        <f t="shared" si="37"/>
        <v>0</v>
      </c>
      <c r="AB195" s="245">
        <f t="shared" si="37"/>
        <v>0</v>
      </c>
      <c r="AC195" s="245">
        <f t="shared" si="37"/>
        <v>0</v>
      </c>
      <c r="AD195" s="245">
        <f t="shared" si="37"/>
        <v>0</v>
      </c>
      <c r="AE195" s="245">
        <f t="shared" si="37"/>
        <v>0</v>
      </c>
      <c r="AF195" s="245">
        <f t="shared" si="37"/>
        <v>0</v>
      </c>
      <c r="AG195" s="245">
        <f t="shared" si="37"/>
        <v>0</v>
      </c>
      <c r="AH195" s="245">
        <f t="shared" si="37"/>
        <v>0</v>
      </c>
      <c r="AI195" s="245">
        <f t="shared" si="37"/>
        <v>0</v>
      </c>
      <c r="AJ195" s="247">
        <f t="shared" si="32"/>
        <v>0</v>
      </c>
    </row>
    <row r="196" spans="1:36">
      <c r="A196" s="231" t="str">
        <f t="shared" si="38"/>
        <v>JBLM HOUSINGCommercialOC-COMM</v>
      </c>
      <c r="B196" s="243" t="s">
        <v>547</v>
      </c>
      <c r="C196" s="243" t="s">
        <v>548</v>
      </c>
      <c r="D196" s="243" t="s">
        <v>544</v>
      </c>
      <c r="E196" s="230">
        <v>33001</v>
      </c>
      <c r="F196" s="244">
        <v>0</v>
      </c>
      <c r="G196" s="244">
        <v>0</v>
      </c>
      <c r="H196" s="244"/>
      <c r="I196" s="244">
        <v>0</v>
      </c>
      <c r="J196" s="244">
        <v>0</v>
      </c>
      <c r="K196" s="244">
        <v>0</v>
      </c>
      <c r="L196" s="244">
        <v>0</v>
      </c>
      <c r="M196" s="244">
        <v>0</v>
      </c>
      <c r="N196" s="244">
        <v>0</v>
      </c>
      <c r="O196" s="244">
        <v>0</v>
      </c>
      <c r="P196" s="244">
        <v>0</v>
      </c>
      <c r="Q196" s="244">
        <v>0</v>
      </c>
      <c r="R196" s="244">
        <v>0</v>
      </c>
      <c r="S196" s="244">
        <v>0</v>
      </c>
      <c r="T196" s="244">
        <v>0</v>
      </c>
      <c r="U196" s="245"/>
      <c r="V196" s="408">
        <f t="shared" si="39"/>
        <v>0</v>
      </c>
      <c r="W196" s="245"/>
      <c r="X196" s="246">
        <f t="shared" si="40"/>
        <v>0</v>
      </c>
      <c r="Y196" s="246">
        <f t="shared" si="40"/>
        <v>0</v>
      </c>
      <c r="Z196" s="246">
        <f t="shared" si="40"/>
        <v>0</v>
      </c>
      <c r="AA196" s="245">
        <f t="shared" si="37"/>
        <v>0</v>
      </c>
      <c r="AB196" s="245">
        <f t="shared" si="37"/>
        <v>0</v>
      </c>
      <c r="AC196" s="245">
        <f t="shared" si="37"/>
        <v>0</v>
      </c>
      <c r="AD196" s="245">
        <f t="shared" si="37"/>
        <v>0</v>
      </c>
      <c r="AE196" s="245">
        <f t="shared" si="37"/>
        <v>0</v>
      </c>
      <c r="AF196" s="245">
        <f t="shared" si="37"/>
        <v>0</v>
      </c>
      <c r="AG196" s="245">
        <f t="shared" si="37"/>
        <v>0</v>
      </c>
      <c r="AH196" s="245">
        <f t="shared" si="37"/>
        <v>0</v>
      </c>
      <c r="AI196" s="245">
        <f t="shared" si="37"/>
        <v>0</v>
      </c>
      <c r="AJ196" s="247">
        <f t="shared" si="32"/>
        <v>0</v>
      </c>
    </row>
    <row r="197" spans="1:36">
      <c r="A197" s="231" t="str">
        <f t="shared" si="38"/>
        <v>JBLM HOUSINGCommercialOFOWCONT-COMM</v>
      </c>
      <c r="B197" s="243" t="s">
        <v>549</v>
      </c>
      <c r="C197" s="243" t="s">
        <v>433</v>
      </c>
      <c r="D197" s="243" t="s">
        <v>544</v>
      </c>
      <c r="E197" s="230">
        <v>33001</v>
      </c>
      <c r="F197" s="244">
        <v>0</v>
      </c>
      <c r="G197" s="244">
        <v>0</v>
      </c>
      <c r="H197" s="244"/>
      <c r="I197" s="244">
        <v>0</v>
      </c>
      <c r="J197" s="244">
        <v>0</v>
      </c>
      <c r="K197" s="244">
        <v>0</v>
      </c>
      <c r="L197" s="244">
        <v>0</v>
      </c>
      <c r="M197" s="244">
        <v>0</v>
      </c>
      <c r="N197" s="244">
        <v>0</v>
      </c>
      <c r="O197" s="244">
        <v>0</v>
      </c>
      <c r="P197" s="244">
        <v>0</v>
      </c>
      <c r="Q197" s="244">
        <v>0</v>
      </c>
      <c r="R197" s="244">
        <v>0</v>
      </c>
      <c r="S197" s="244">
        <v>0</v>
      </c>
      <c r="T197" s="244">
        <v>0</v>
      </c>
      <c r="U197" s="245"/>
      <c r="V197" s="408">
        <f t="shared" si="39"/>
        <v>0</v>
      </c>
      <c r="W197" s="245"/>
      <c r="X197" s="246">
        <f t="shared" si="40"/>
        <v>0</v>
      </c>
      <c r="Y197" s="246">
        <f t="shared" si="40"/>
        <v>0</v>
      </c>
      <c r="Z197" s="246">
        <f t="shared" si="40"/>
        <v>0</v>
      </c>
      <c r="AA197" s="245">
        <f t="shared" si="37"/>
        <v>0</v>
      </c>
      <c r="AB197" s="245">
        <f t="shared" si="37"/>
        <v>0</v>
      </c>
      <c r="AC197" s="245">
        <f t="shared" si="37"/>
        <v>0</v>
      </c>
      <c r="AD197" s="245">
        <f t="shared" si="37"/>
        <v>0</v>
      </c>
      <c r="AE197" s="245">
        <f t="shared" si="37"/>
        <v>0</v>
      </c>
      <c r="AF197" s="245">
        <f t="shared" si="37"/>
        <v>0</v>
      </c>
      <c r="AG197" s="245">
        <f t="shared" si="37"/>
        <v>0</v>
      </c>
      <c r="AH197" s="245">
        <f t="shared" si="37"/>
        <v>0</v>
      </c>
      <c r="AI197" s="245">
        <f t="shared" si="37"/>
        <v>0</v>
      </c>
      <c r="AJ197" s="247">
        <f t="shared" si="32"/>
        <v>0</v>
      </c>
    </row>
    <row r="198" spans="1:36">
      <c r="A198" s="231" t="str">
        <f t="shared" si="38"/>
        <v>JBLM HOUSINGCommercialOS-COMM</v>
      </c>
      <c r="B198" s="243" t="s">
        <v>550</v>
      </c>
      <c r="C198" s="243" t="s">
        <v>551</v>
      </c>
      <c r="D198" s="243" t="s">
        <v>544</v>
      </c>
      <c r="E198" s="230">
        <v>33001</v>
      </c>
      <c r="F198" s="244">
        <v>0</v>
      </c>
      <c r="G198" s="244">
        <v>0</v>
      </c>
      <c r="H198" s="244"/>
      <c r="I198" s="244">
        <v>0</v>
      </c>
      <c r="J198" s="244">
        <v>0</v>
      </c>
      <c r="K198" s="244">
        <v>0</v>
      </c>
      <c r="L198" s="244">
        <v>0</v>
      </c>
      <c r="M198" s="244">
        <v>0</v>
      </c>
      <c r="N198" s="244">
        <v>0</v>
      </c>
      <c r="O198" s="244">
        <v>0</v>
      </c>
      <c r="P198" s="244">
        <v>0</v>
      </c>
      <c r="Q198" s="244">
        <v>0</v>
      </c>
      <c r="R198" s="244">
        <v>0</v>
      </c>
      <c r="S198" s="244">
        <v>0</v>
      </c>
      <c r="T198" s="244">
        <v>0</v>
      </c>
      <c r="U198" s="245"/>
      <c r="V198" s="408">
        <f t="shared" si="39"/>
        <v>0</v>
      </c>
      <c r="W198" s="245"/>
      <c r="X198" s="246">
        <f t="shared" si="40"/>
        <v>0</v>
      </c>
      <c r="Y198" s="246">
        <f t="shared" si="40"/>
        <v>0</v>
      </c>
      <c r="Z198" s="246">
        <f t="shared" si="40"/>
        <v>0</v>
      </c>
      <c r="AA198" s="245">
        <f t="shared" si="37"/>
        <v>0</v>
      </c>
      <c r="AB198" s="245">
        <f t="shared" si="37"/>
        <v>0</v>
      </c>
      <c r="AC198" s="245">
        <f t="shared" si="37"/>
        <v>0</v>
      </c>
      <c r="AD198" s="245">
        <f t="shared" si="37"/>
        <v>0</v>
      </c>
      <c r="AE198" s="245">
        <f t="shared" si="37"/>
        <v>0</v>
      </c>
      <c r="AF198" s="245">
        <f t="shared" si="37"/>
        <v>0</v>
      </c>
      <c r="AG198" s="245">
        <f t="shared" si="37"/>
        <v>0</v>
      </c>
      <c r="AH198" s="245">
        <f t="shared" si="37"/>
        <v>0</v>
      </c>
      <c r="AI198" s="245">
        <f t="shared" si="37"/>
        <v>0</v>
      </c>
      <c r="AJ198" s="247">
        <f t="shared" si="32"/>
        <v>0</v>
      </c>
    </row>
    <row r="199" spans="1:36">
      <c r="A199" s="231" t="str">
        <f t="shared" si="38"/>
        <v>JBLM HOUSINGCommercialACCESS-COMM</v>
      </c>
      <c r="B199" s="243" t="s">
        <v>552</v>
      </c>
      <c r="C199" s="243" t="s">
        <v>553</v>
      </c>
      <c r="D199" s="243" t="s">
        <v>528</v>
      </c>
      <c r="E199" s="230">
        <v>33000</v>
      </c>
      <c r="F199" s="244">
        <v>0</v>
      </c>
      <c r="G199" s="244">
        <v>0</v>
      </c>
      <c r="H199" s="244"/>
      <c r="I199" s="244">
        <v>0</v>
      </c>
      <c r="J199" s="244">
        <v>0</v>
      </c>
      <c r="K199" s="244">
        <v>0</v>
      </c>
      <c r="L199" s="244">
        <v>0</v>
      </c>
      <c r="M199" s="244">
        <v>0</v>
      </c>
      <c r="N199" s="244">
        <v>0</v>
      </c>
      <c r="O199" s="244">
        <v>0</v>
      </c>
      <c r="P199" s="244">
        <v>0</v>
      </c>
      <c r="Q199" s="244">
        <v>0</v>
      </c>
      <c r="R199" s="244">
        <v>0</v>
      </c>
      <c r="S199" s="244">
        <v>0</v>
      </c>
      <c r="T199" s="244">
        <v>0</v>
      </c>
      <c r="U199" s="245"/>
      <c r="V199" s="408">
        <f t="shared" si="39"/>
        <v>0</v>
      </c>
      <c r="W199" s="245"/>
      <c r="X199" s="246">
        <f t="shared" si="40"/>
        <v>0</v>
      </c>
      <c r="Y199" s="246">
        <f t="shared" si="40"/>
        <v>0</v>
      </c>
      <c r="Z199" s="246">
        <f t="shared" si="40"/>
        <v>0</v>
      </c>
      <c r="AA199" s="245">
        <f t="shared" si="37"/>
        <v>0</v>
      </c>
      <c r="AB199" s="245">
        <f t="shared" si="37"/>
        <v>0</v>
      </c>
      <c r="AC199" s="245">
        <f t="shared" si="37"/>
        <v>0</v>
      </c>
      <c r="AD199" s="245">
        <f t="shared" si="37"/>
        <v>0</v>
      </c>
      <c r="AE199" s="245">
        <f t="shared" si="37"/>
        <v>0</v>
      </c>
      <c r="AF199" s="245">
        <f t="shared" si="37"/>
        <v>0</v>
      </c>
      <c r="AG199" s="245">
        <f t="shared" si="37"/>
        <v>0</v>
      </c>
      <c r="AH199" s="245">
        <f t="shared" si="37"/>
        <v>0</v>
      </c>
      <c r="AI199" s="245">
        <f t="shared" si="37"/>
        <v>0</v>
      </c>
      <c r="AJ199" s="247">
        <f t="shared" si="32"/>
        <v>0</v>
      </c>
    </row>
    <row r="200" spans="1:36">
      <c r="A200" s="231" t="str">
        <f t="shared" si="38"/>
        <v>JBLM HOUSINGCommercialACCESS-MF</v>
      </c>
      <c r="B200" s="243" t="s">
        <v>554</v>
      </c>
      <c r="C200" s="243" t="s">
        <v>555</v>
      </c>
      <c r="D200" s="243" t="s">
        <v>528</v>
      </c>
      <c r="E200" s="230">
        <v>33000</v>
      </c>
      <c r="F200" s="244">
        <v>0</v>
      </c>
      <c r="G200" s="244">
        <v>0</v>
      </c>
      <c r="H200" s="244"/>
      <c r="I200" s="244">
        <v>0</v>
      </c>
      <c r="J200" s="244">
        <v>0</v>
      </c>
      <c r="K200" s="244">
        <v>0</v>
      </c>
      <c r="L200" s="244">
        <v>0</v>
      </c>
      <c r="M200" s="244">
        <v>0</v>
      </c>
      <c r="N200" s="244">
        <v>0</v>
      </c>
      <c r="O200" s="244">
        <v>0</v>
      </c>
      <c r="P200" s="244">
        <v>0</v>
      </c>
      <c r="Q200" s="244">
        <v>0</v>
      </c>
      <c r="R200" s="244">
        <v>0</v>
      </c>
      <c r="S200" s="244">
        <v>0</v>
      </c>
      <c r="T200" s="244">
        <v>0</v>
      </c>
      <c r="U200" s="245"/>
      <c r="V200" s="408">
        <f t="shared" si="39"/>
        <v>0</v>
      </c>
      <c r="W200" s="245"/>
      <c r="X200" s="246">
        <f t="shared" si="40"/>
        <v>0</v>
      </c>
      <c r="Y200" s="246">
        <f t="shared" si="40"/>
        <v>0</v>
      </c>
      <c r="Z200" s="246">
        <f t="shared" si="40"/>
        <v>0</v>
      </c>
      <c r="AA200" s="245">
        <f t="shared" si="37"/>
        <v>0</v>
      </c>
      <c r="AB200" s="245">
        <f t="shared" si="37"/>
        <v>0</v>
      </c>
      <c r="AC200" s="245">
        <f t="shared" si="37"/>
        <v>0</v>
      </c>
      <c r="AD200" s="245">
        <f t="shared" si="37"/>
        <v>0</v>
      </c>
      <c r="AE200" s="245">
        <f t="shared" si="37"/>
        <v>0</v>
      </c>
      <c r="AF200" s="245">
        <f t="shared" si="37"/>
        <v>0</v>
      </c>
      <c r="AG200" s="245">
        <f t="shared" si="37"/>
        <v>0</v>
      </c>
      <c r="AH200" s="245">
        <f t="shared" si="37"/>
        <v>0</v>
      </c>
      <c r="AI200" s="245">
        <f t="shared" si="37"/>
        <v>0</v>
      </c>
      <c r="AJ200" s="247">
        <f t="shared" si="32"/>
        <v>0</v>
      </c>
    </row>
    <row r="201" spans="1:36">
      <c r="A201" s="231" t="str">
        <f t="shared" si="38"/>
        <v>JBLM HOUSINGCommercialAPPLIANCEC</v>
      </c>
      <c r="B201" s="243" t="s">
        <v>556</v>
      </c>
      <c r="C201" s="243" t="s">
        <v>557</v>
      </c>
      <c r="D201" s="243" t="s">
        <v>528</v>
      </c>
      <c r="E201" s="230">
        <v>33000</v>
      </c>
      <c r="F201" s="244">
        <v>0</v>
      </c>
      <c r="G201" s="244">
        <v>0</v>
      </c>
      <c r="H201" s="244"/>
      <c r="I201" s="244">
        <v>0</v>
      </c>
      <c r="J201" s="244">
        <v>0</v>
      </c>
      <c r="K201" s="244">
        <v>0</v>
      </c>
      <c r="L201" s="244">
        <v>0</v>
      </c>
      <c r="M201" s="244">
        <v>0</v>
      </c>
      <c r="N201" s="244">
        <v>0</v>
      </c>
      <c r="O201" s="244">
        <v>0</v>
      </c>
      <c r="P201" s="244">
        <v>0</v>
      </c>
      <c r="Q201" s="244">
        <v>0</v>
      </c>
      <c r="R201" s="244">
        <v>0</v>
      </c>
      <c r="S201" s="244">
        <v>0</v>
      </c>
      <c r="T201" s="244">
        <v>0</v>
      </c>
      <c r="U201" s="245"/>
      <c r="V201" s="408">
        <f t="shared" si="39"/>
        <v>0</v>
      </c>
      <c r="W201" s="245"/>
      <c r="X201" s="246">
        <f t="shared" si="40"/>
        <v>0</v>
      </c>
      <c r="Y201" s="246">
        <f t="shared" si="40"/>
        <v>0</v>
      </c>
      <c r="Z201" s="246">
        <f t="shared" si="40"/>
        <v>0</v>
      </c>
      <c r="AA201" s="245">
        <f t="shared" si="37"/>
        <v>0</v>
      </c>
      <c r="AB201" s="245">
        <f t="shared" si="37"/>
        <v>0</v>
      </c>
      <c r="AC201" s="245">
        <f t="shared" si="37"/>
        <v>0</v>
      </c>
      <c r="AD201" s="245">
        <f t="shared" si="37"/>
        <v>0</v>
      </c>
      <c r="AE201" s="245">
        <f t="shared" si="37"/>
        <v>0</v>
      </c>
      <c r="AF201" s="245">
        <f t="shared" si="37"/>
        <v>0</v>
      </c>
      <c r="AG201" s="245">
        <f t="shared" si="37"/>
        <v>0</v>
      </c>
      <c r="AH201" s="245">
        <f t="shared" si="37"/>
        <v>0</v>
      </c>
      <c r="AI201" s="245">
        <f t="shared" si="37"/>
        <v>0</v>
      </c>
      <c r="AJ201" s="247">
        <f t="shared" si="32"/>
        <v>0</v>
      </c>
    </row>
    <row r="202" spans="1:36">
      <c r="A202" s="231" t="str">
        <f t="shared" si="38"/>
        <v>JBLM HOUSINGCommercialCLEAN-COMM</v>
      </c>
      <c r="B202" s="243" t="s">
        <v>588</v>
      </c>
      <c r="C202" s="243" t="s">
        <v>889</v>
      </c>
      <c r="D202" s="243" t="s">
        <v>528</v>
      </c>
      <c r="E202" s="230">
        <v>33000</v>
      </c>
      <c r="F202" s="244">
        <v>0</v>
      </c>
      <c r="G202" s="244">
        <v>0</v>
      </c>
      <c r="H202" s="244"/>
      <c r="I202" s="244">
        <v>0</v>
      </c>
      <c r="J202" s="244">
        <v>0</v>
      </c>
      <c r="K202" s="244">
        <v>0</v>
      </c>
      <c r="L202" s="244">
        <v>0</v>
      </c>
      <c r="M202" s="244">
        <v>0</v>
      </c>
      <c r="N202" s="244">
        <v>0</v>
      </c>
      <c r="O202" s="244">
        <v>0</v>
      </c>
      <c r="P202" s="244">
        <v>0</v>
      </c>
      <c r="Q202" s="244">
        <v>0</v>
      </c>
      <c r="R202" s="244">
        <v>0</v>
      </c>
      <c r="S202" s="244">
        <v>0</v>
      </c>
      <c r="T202" s="244">
        <v>0</v>
      </c>
      <c r="U202" s="245"/>
      <c r="V202" s="408">
        <f t="shared" si="39"/>
        <v>0</v>
      </c>
      <c r="W202" s="245"/>
      <c r="X202" s="246">
        <f t="shared" si="40"/>
        <v>0</v>
      </c>
      <c r="Y202" s="246">
        <f t="shared" si="40"/>
        <v>0</v>
      </c>
      <c r="Z202" s="246">
        <f t="shared" si="40"/>
        <v>0</v>
      </c>
      <c r="AA202" s="245">
        <f t="shared" si="37"/>
        <v>0</v>
      </c>
      <c r="AB202" s="245">
        <f t="shared" si="37"/>
        <v>0</v>
      </c>
      <c r="AC202" s="245">
        <f t="shared" si="37"/>
        <v>0</v>
      </c>
      <c r="AD202" s="245">
        <f t="shared" ref="AD202:AI233" si="41">IFERROR(O202/$G202,0)</f>
        <v>0</v>
      </c>
      <c r="AE202" s="245">
        <f t="shared" si="41"/>
        <v>0</v>
      </c>
      <c r="AF202" s="245">
        <f t="shared" si="41"/>
        <v>0</v>
      </c>
      <c r="AG202" s="245">
        <f t="shared" si="41"/>
        <v>0</v>
      </c>
      <c r="AH202" s="245">
        <f t="shared" si="41"/>
        <v>0</v>
      </c>
      <c r="AI202" s="245">
        <f t="shared" si="41"/>
        <v>0</v>
      </c>
      <c r="AJ202" s="247">
        <f t="shared" si="32"/>
        <v>0</v>
      </c>
    </row>
    <row r="203" spans="1:36" s="229" customFormat="1">
      <c r="A203" s="231" t="str">
        <f t="shared" si="38"/>
        <v>JBLM HOUSINGCommercialDISP-COMM</v>
      </c>
      <c r="B203" s="243" t="s">
        <v>558</v>
      </c>
      <c r="C203" s="243" t="s">
        <v>559</v>
      </c>
      <c r="D203" s="243" t="s">
        <v>528</v>
      </c>
      <c r="E203" s="230">
        <v>33000</v>
      </c>
      <c r="F203" s="244">
        <v>0</v>
      </c>
      <c r="G203" s="244">
        <v>0</v>
      </c>
      <c r="H203" s="244"/>
      <c r="I203" s="244">
        <v>0</v>
      </c>
      <c r="J203" s="244">
        <v>0</v>
      </c>
      <c r="K203" s="244">
        <v>0</v>
      </c>
      <c r="L203" s="244">
        <v>0</v>
      </c>
      <c r="M203" s="244">
        <v>0</v>
      </c>
      <c r="N203" s="244">
        <v>0</v>
      </c>
      <c r="O203" s="244">
        <v>0</v>
      </c>
      <c r="P203" s="244">
        <v>0</v>
      </c>
      <c r="Q203" s="244">
        <v>0</v>
      </c>
      <c r="R203" s="244">
        <v>0</v>
      </c>
      <c r="S203" s="244">
        <v>0</v>
      </c>
      <c r="T203" s="244">
        <v>0</v>
      </c>
      <c r="U203" s="245"/>
      <c r="V203" s="408">
        <f t="shared" si="39"/>
        <v>0</v>
      </c>
      <c r="W203" s="245"/>
      <c r="X203" s="246">
        <f t="shared" si="40"/>
        <v>0</v>
      </c>
      <c r="Y203" s="246">
        <f t="shared" si="40"/>
        <v>0</v>
      </c>
      <c r="Z203" s="246">
        <f t="shared" si="40"/>
        <v>0</v>
      </c>
      <c r="AA203" s="245">
        <f t="shared" ref="AA203:AI234" si="42">IFERROR(L203/$G203,0)</f>
        <v>0</v>
      </c>
      <c r="AB203" s="245">
        <f t="shared" si="42"/>
        <v>0</v>
      </c>
      <c r="AC203" s="245">
        <f t="shared" si="42"/>
        <v>0</v>
      </c>
      <c r="AD203" s="245">
        <f t="shared" si="41"/>
        <v>0</v>
      </c>
      <c r="AE203" s="245">
        <f t="shared" si="41"/>
        <v>0</v>
      </c>
      <c r="AF203" s="245">
        <f t="shared" si="41"/>
        <v>0</v>
      </c>
      <c r="AG203" s="245">
        <f t="shared" si="41"/>
        <v>0</v>
      </c>
      <c r="AH203" s="245">
        <f t="shared" si="41"/>
        <v>0</v>
      </c>
      <c r="AI203" s="245">
        <f t="shared" si="41"/>
        <v>0</v>
      </c>
      <c r="AJ203" s="247">
        <f t="shared" si="32"/>
        <v>0</v>
      </c>
    </row>
    <row r="204" spans="1:36">
      <c r="A204" s="231" t="str">
        <f t="shared" si="38"/>
        <v>JBLM HOUSINGCommercialDRIVEIN1-COMM</v>
      </c>
      <c r="B204" s="243" t="s">
        <v>560</v>
      </c>
      <c r="C204" s="243" t="s">
        <v>561</v>
      </c>
      <c r="D204" s="243" t="s">
        <v>528</v>
      </c>
      <c r="E204" s="230">
        <v>33000</v>
      </c>
      <c r="F204" s="244">
        <v>0</v>
      </c>
      <c r="G204" s="244">
        <v>0</v>
      </c>
      <c r="H204" s="244"/>
      <c r="I204" s="244">
        <v>0</v>
      </c>
      <c r="J204" s="244">
        <v>0</v>
      </c>
      <c r="K204" s="244">
        <v>0</v>
      </c>
      <c r="L204" s="244">
        <v>0</v>
      </c>
      <c r="M204" s="244">
        <v>0</v>
      </c>
      <c r="N204" s="244">
        <v>0</v>
      </c>
      <c r="O204" s="244">
        <v>0</v>
      </c>
      <c r="P204" s="244">
        <v>0</v>
      </c>
      <c r="Q204" s="244">
        <v>0</v>
      </c>
      <c r="R204" s="244">
        <v>0</v>
      </c>
      <c r="S204" s="244">
        <v>0</v>
      </c>
      <c r="T204" s="244">
        <v>0</v>
      </c>
      <c r="U204" s="245"/>
      <c r="V204" s="408">
        <f t="shared" si="39"/>
        <v>0</v>
      </c>
      <c r="W204" s="245"/>
      <c r="X204" s="246">
        <f t="shared" si="40"/>
        <v>0</v>
      </c>
      <c r="Y204" s="246">
        <f t="shared" si="40"/>
        <v>0</v>
      </c>
      <c r="Z204" s="246">
        <f t="shared" si="40"/>
        <v>0</v>
      </c>
      <c r="AA204" s="245">
        <f t="shared" si="42"/>
        <v>0</v>
      </c>
      <c r="AB204" s="245">
        <f t="shared" si="42"/>
        <v>0</v>
      </c>
      <c r="AC204" s="245">
        <f t="shared" si="42"/>
        <v>0</v>
      </c>
      <c r="AD204" s="245">
        <f t="shared" si="41"/>
        <v>0</v>
      </c>
      <c r="AE204" s="245">
        <f t="shared" si="41"/>
        <v>0</v>
      </c>
      <c r="AF204" s="245">
        <f t="shared" si="41"/>
        <v>0</v>
      </c>
      <c r="AG204" s="245">
        <f t="shared" si="41"/>
        <v>0</v>
      </c>
      <c r="AH204" s="245">
        <f t="shared" si="41"/>
        <v>0</v>
      </c>
      <c r="AI204" s="245">
        <f t="shared" si="41"/>
        <v>0</v>
      </c>
      <c r="AJ204" s="247">
        <f t="shared" ref="AJ204:AJ267" si="43">SUM(X204:AI204)</f>
        <v>0</v>
      </c>
    </row>
    <row r="205" spans="1:36" s="229" customFormat="1">
      <c r="A205" s="231" t="str">
        <f t="shared" si="38"/>
        <v>JBLM HOUSINGCommercialEQUIP-COMM</v>
      </c>
      <c r="B205" s="243" t="s">
        <v>564</v>
      </c>
      <c r="C205" s="243" t="s">
        <v>565</v>
      </c>
      <c r="D205" s="243" t="s">
        <v>528</v>
      </c>
      <c r="E205" s="230">
        <v>33000</v>
      </c>
      <c r="F205" s="244">
        <v>0</v>
      </c>
      <c r="G205" s="244">
        <v>0</v>
      </c>
      <c r="H205" s="244"/>
      <c r="I205" s="244">
        <v>0</v>
      </c>
      <c r="J205" s="244">
        <v>0</v>
      </c>
      <c r="K205" s="244">
        <v>0</v>
      </c>
      <c r="L205" s="244">
        <v>0</v>
      </c>
      <c r="M205" s="244">
        <v>0</v>
      </c>
      <c r="N205" s="244">
        <v>0</v>
      </c>
      <c r="O205" s="244">
        <v>0</v>
      </c>
      <c r="P205" s="244">
        <v>0</v>
      </c>
      <c r="Q205" s="244">
        <v>0</v>
      </c>
      <c r="R205" s="244">
        <v>0</v>
      </c>
      <c r="S205" s="244">
        <v>0</v>
      </c>
      <c r="T205" s="244">
        <v>0</v>
      </c>
      <c r="U205" s="245"/>
      <c r="V205" s="408">
        <f t="shared" si="39"/>
        <v>0</v>
      </c>
      <c r="W205" s="245"/>
      <c r="X205" s="246">
        <f t="shared" si="40"/>
        <v>0</v>
      </c>
      <c r="Y205" s="246">
        <f t="shared" si="40"/>
        <v>0</v>
      </c>
      <c r="Z205" s="246">
        <f t="shared" si="40"/>
        <v>0</v>
      </c>
      <c r="AA205" s="245">
        <f t="shared" si="42"/>
        <v>0</v>
      </c>
      <c r="AB205" s="245">
        <f t="shared" si="42"/>
        <v>0</v>
      </c>
      <c r="AC205" s="245">
        <f t="shared" si="42"/>
        <v>0</v>
      </c>
      <c r="AD205" s="245">
        <f t="shared" si="41"/>
        <v>0</v>
      </c>
      <c r="AE205" s="245">
        <f t="shared" si="41"/>
        <v>0</v>
      </c>
      <c r="AF205" s="245">
        <f t="shared" si="41"/>
        <v>0</v>
      </c>
      <c r="AG205" s="245">
        <f t="shared" si="41"/>
        <v>0</v>
      </c>
      <c r="AH205" s="245">
        <f t="shared" si="41"/>
        <v>0</v>
      </c>
      <c r="AI205" s="245">
        <f t="shared" si="41"/>
        <v>0</v>
      </c>
      <c r="AJ205" s="247">
        <f t="shared" si="43"/>
        <v>0</v>
      </c>
    </row>
    <row r="206" spans="1:36">
      <c r="A206" s="231" t="str">
        <f t="shared" si="38"/>
        <v>JBLM HOUSINGCommercialROLL-COMM</v>
      </c>
      <c r="B206" s="243" t="s">
        <v>566</v>
      </c>
      <c r="C206" s="243" t="s">
        <v>567</v>
      </c>
      <c r="D206" s="243" t="s">
        <v>528</v>
      </c>
      <c r="E206" s="230">
        <v>33000</v>
      </c>
      <c r="F206" s="244">
        <v>0</v>
      </c>
      <c r="G206" s="244">
        <v>0</v>
      </c>
      <c r="H206" s="244"/>
      <c r="I206" s="244">
        <v>0</v>
      </c>
      <c r="J206" s="244">
        <v>0</v>
      </c>
      <c r="K206" s="244">
        <v>0</v>
      </c>
      <c r="L206" s="244">
        <v>0</v>
      </c>
      <c r="M206" s="244">
        <v>0</v>
      </c>
      <c r="N206" s="244">
        <v>0</v>
      </c>
      <c r="O206" s="244">
        <v>0</v>
      </c>
      <c r="P206" s="244">
        <v>0</v>
      </c>
      <c r="Q206" s="244">
        <v>0</v>
      </c>
      <c r="R206" s="244">
        <v>0</v>
      </c>
      <c r="S206" s="244">
        <v>0</v>
      </c>
      <c r="T206" s="244">
        <v>0</v>
      </c>
      <c r="U206" s="245"/>
      <c r="V206" s="408">
        <f t="shared" si="39"/>
        <v>0</v>
      </c>
      <c r="W206" s="245"/>
      <c r="X206" s="246">
        <f t="shared" si="40"/>
        <v>0</v>
      </c>
      <c r="Y206" s="246">
        <f t="shared" si="40"/>
        <v>0</v>
      </c>
      <c r="Z206" s="246">
        <f t="shared" si="40"/>
        <v>0</v>
      </c>
      <c r="AA206" s="245">
        <f t="shared" si="42"/>
        <v>0</v>
      </c>
      <c r="AB206" s="245">
        <f t="shared" si="42"/>
        <v>0</v>
      </c>
      <c r="AC206" s="245">
        <f t="shared" si="42"/>
        <v>0</v>
      </c>
      <c r="AD206" s="245">
        <f t="shared" si="41"/>
        <v>0</v>
      </c>
      <c r="AE206" s="245">
        <f t="shared" si="41"/>
        <v>0</v>
      </c>
      <c r="AF206" s="245">
        <f t="shared" si="41"/>
        <v>0</v>
      </c>
      <c r="AG206" s="245">
        <f t="shared" si="41"/>
        <v>0</v>
      </c>
      <c r="AH206" s="245">
        <f t="shared" si="41"/>
        <v>0</v>
      </c>
      <c r="AI206" s="245">
        <f t="shared" si="41"/>
        <v>0</v>
      </c>
      <c r="AJ206" s="247">
        <f t="shared" si="43"/>
        <v>0</v>
      </c>
    </row>
    <row r="207" spans="1:36">
      <c r="A207" s="231" t="str">
        <f t="shared" si="38"/>
        <v>JBLM HOUSINGCommercialWI1-COMM</v>
      </c>
      <c r="B207" s="243" t="s">
        <v>568</v>
      </c>
      <c r="C207" s="243" t="s">
        <v>569</v>
      </c>
      <c r="D207" s="243" t="s">
        <v>528</v>
      </c>
      <c r="E207" s="230">
        <v>33000</v>
      </c>
      <c r="F207" s="244">
        <v>0</v>
      </c>
      <c r="G207" s="244">
        <v>0</v>
      </c>
      <c r="H207" s="244"/>
      <c r="I207" s="244">
        <v>0</v>
      </c>
      <c r="J207" s="244">
        <v>0</v>
      </c>
      <c r="K207" s="244">
        <v>0</v>
      </c>
      <c r="L207" s="244">
        <v>0</v>
      </c>
      <c r="M207" s="244">
        <v>0</v>
      </c>
      <c r="N207" s="244">
        <v>0</v>
      </c>
      <c r="O207" s="244">
        <v>0</v>
      </c>
      <c r="P207" s="244">
        <v>0</v>
      </c>
      <c r="Q207" s="244">
        <v>0</v>
      </c>
      <c r="R207" s="244">
        <v>0</v>
      </c>
      <c r="S207" s="244">
        <v>0</v>
      </c>
      <c r="T207" s="244">
        <v>0</v>
      </c>
      <c r="U207" s="245"/>
      <c r="V207" s="408">
        <f t="shared" si="39"/>
        <v>0</v>
      </c>
      <c r="W207" s="245"/>
      <c r="X207" s="246">
        <f t="shared" si="40"/>
        <v>0</v>
      </c>
      <c r="Y207" s="246">
        <f t="shared" si="40"/>
        <v>0</v>
      </c>
      <c r="Z207" s="246">
        <f t="shared" si="40"/>
        <v>0</v>
      </c>
      <c r="AA207" s="245">
        <f t="shared" si="42"/>
        <v>0</v>
      </c>
      <c r="AB207" s="245">
        <f t="shared" si="42"/>
        <v>0</v>
      </c>
      <c r="AC207" s="245">
        <f t="shared" si="42"/>
        <v>0</v>
      </c>
      <c r="AD207" s="245">
        <f t="shared" si="41"/>
        <v>0</v>
      </c>
      <c r="AE207" s="245">
        <f t="shared" si="41"/>
        <v>0</v>
      </c>
      <c r="AF207" s="245">
        <f t="shared" si="41"/>
        <v>0</v>
      </c>
      <c r="AG207" s="245">
        <f t="shared" si="41"/>
        <v>0</v>
      </c>
      <c r="AH207" s="245">
        <f t="shared" si="41"/>
        <v>0</v>
      </c>
      <c r="AI207" s="245">
        <f t="shared" si="41"/>
        <v>0</v>
      </c>
      <c r="AJ207" s="247">
        <f t="shared" si="43"/>
        <v>0</v>
      </c>
    </row>
    <row r="208" spans="1:36">
      <c r="A208" s="231" t="str">
        <f t="shared" si="38"/>
        <v>JBLM HOUSINGCommercialWI2-COMM</v>
      </c>
      <c r="B208" s="243" t="s">
        <v>570</v>
      </c>
      <c r="C208" s="243" t="s">
        <v>571</v>
      </c>
      <c r="D208" s="243" t="s">
        <v>528</v>
      </c>
      <c r="E208" s="230">
        <v>33000</v>
      </c>
      <c r="F208" s="244">
        <v>0</v>
      </c>
      <c r="G208" s="244">
        <v>0</v>
      </c>
      <c r="H208" s="244"/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5"/>
      <c r="V208" s="408">
        <f t="shared" si="39"/>
        <v>0</v>
      </c>
      <c r="W208" s="245"/>
      <c r="X208" s="246">
        <f t="shared" si="40"/>
        <v>0</v>
      </c>
      <c r="Y208" s="246">
        <f t="shared" si="40"/>
        <v>0</v>
      </c>
      <c r="Z208" s="246">
        <f t="shared" si="40"/>
        <v>0</v>
      </c>
      <c r="AA208" s="245">
        <f t="shared" si="42"/>
        <v>0</v>
      </c>
      <c r="AB208" s="245">
        <f t="shared" si="42"/>
        <v>0</v>
      </c>
      <c r="AC208" s="245">
        <f t="shared" si="42"/>
        <v>0</v>
      </c>
      <c r="AD208" s="245">
        <f t="shared" si="41"/>
        <v>0</v>
      </c>
      <c r="AE208" s="245">
        <f t="shared" si="41"/>
        <v>0</v>
      </c>
      <c r="AF208" s="245">
        <f t="shared" si="41"/>
        <v>0</v>
      </c>
      <c r="AG208" s="245">
        <f t="shared" si="41"/>
        <v>0</v>
      </c>
      <c r="AH208" s="245">
        <f t="shared" si="41"/>
        <v>0</v>
      </c>
      <c r="AI208" s="245">
        <f t="shared" si="41"/>
        <v>0</v>
      </c>
      <c r="AJ208" s="247">
        <f t="shared" si="43"/>
        <v>0</v>
      </c>
    </row>
    <row r="209" spans="1:36">
      <c r="A209" s="231" t="str">
        <f t="shared" si="38"/>
        <v>JBLM HOUSINGCommercialWI4-COMM</v>
      </c>
      <c r="B209" s="243" t="s">
        <v>572</v>
      </c>
      <c r="C209" s="243" t="s">
        <v>573</v>
      </c>
      <c r="D209" s="243" t="s">
        <v>528</v>
      </c>
      <c r="E209" s="230">
        <v>33000</v>
      </c>
      <c r="F209" s="244">
        <v>0</v>
      </c>
      <c r="G209" s="244">
        <v>0</v>
      </c>
      <c r="H209" s="244"/>
      <c r="I209" s="244">
        <v>0</v>
      </c>
      <c r="J209" s="244">
        <v>0</v>
      </c>
      <c r="K209" s="244">
        <v>0</v>
      </c>
      <c r="L209" s="244">
        <v>0</v>
      </c>
      <c r="M209" s="244">
        <v>0</v>
      </c>
      <c r="N209" s="244">
        <v>0</v>
      </c>
      <c r="O209" s="244">
        <v>0</v>
      </c>
      <c r="P209" s="244">
        <v>0</v>
      </c>
      <c r="Q209" s="244">
        <v>0</v>
      </c>
      <c r="R209" s="244">
        <v>0</v>
      </c>
      <c r="S209" s="244">
        <v>0</v>
      </c>
      <c r="T209" s="244">
        <v>0</v>
      </c>
      <c r="U209" s="245"/>
      <c r="V209" s="408">
        <f t="shared" ref="V209:V245" si="44">SUM(I209:T209)</f>
        <v>0</v>
      </c>
      <c r="W209" s="245"/>
      <c r="X209" s="246">
        <f t="shared" ref="X209:Z245" si="45">IFERROR(I209/$F209,0)</f>
        <v>0</v>
      </c>
      <c r="Y209" s="246">
        <f t="shared" si="45"/>
        <v>0</v>
      </c>
      <c r="Z209" s="246">
        <f t="shared" si="45"/>
        <v>0</v>
      </c>
      <c r="AA209" s="245">
        <f t="shared" si="42"/>
        <v>0</v>
      </c>
      <c r="AB209" s="245">
        <f t="shared" si="42"/>
        <v>0</v>
      </c>
      <c r="AC209" s="245">
        <f t="shared" si="42"/>
        <v>0</v>
      </c>
      <c r="AD209" s="245">
        <f t="shared" si="41"/>
        <v>0</v>
      </c>
      <c r="AE209" s="245">
        <f t="shared" si="41"/>
        <v>0</v>
      </c>
      <c r="AF209" s="245">
        <f t="shared" si="41"/>
        <v>0</v>
      </c>
      <c r="AG209" s="245">
        <f t="shared" si="41"/>
        <v>0</v>
      </c>
      <c r="AH209" s="245">
        <f t="shared" si="41"/>
        <v>0</v>
      </c>
      <c r="AI209" s="245">
        <f t="shared" si="41"/>
        <v>0</v>
      </c>
      <c r="AJ209" s="247">
        <f t="shared" si="43"/>
        <v>0</v>
      </c>
    </row>
    <row r="210" spans="1:36">
      <c r="A210" s="231" t="str">
        <f t="shared" si="38"/>
        <v>JBLM HOUSINGCommercialWI5-COMM</v>
      </c>
      <c r="B210" s="243" t="s">
        <v>574</v>
      </c>
      <c r="C210" s="243" t="s">
        <v>575</v>
      </c>
      <c r="D210" s="243" t="s">
        <v>528</v>
      </c>
      <c r="E210" s="230">
        <v>33000</v>
      </c>
      <c r="F210" s="244">
        <v>0</v>
      </c>
      <c r="G210" s="244">
        <v>0</v>
      </c>
      <c r="H210" s="244"/>
      <c r="I210" s="244">
        <v>0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5"/>
      <c r="V210" s="408">
        <f t="shared" si="44"/>
        <v>0</v>
      </c>
      <c r="W210" s="245"/>
      <c r="X210" s="246">
        <f t="shared" si="45"/>
        <v>0</v>
      </c>
      <c r="Y210" s="246">
        <f t="shared" si="45"/>
        <v>0</v>
      </c>
      <c r="Z210" s="246">
        <f t="shared" si="45"/>
        <v>0</v>
      </c>
      <c r="AA210" s="245">
        <f t="shared" si="42"/>
        <v>0</v>
      </c>
      <c r="AB210" s="245">
        <f t="shared" si="42"/>
        <v>0</v>
      </c>
      <c r="AC210" s="245">
        <f t="shared" si="42"/>
        <v>0</v>
      </c>
      <c r="AD210" s="245">
        <f t="shared" si="41"/>
        <v>0</v>
      </c>
      <c r="AE210" s="245">
        <f t="shared" si="41"/>
        <v>0</v>
      </c>
      <c r="AF210" s="245">
        <f t="shared" si="41"/>
        <v>0</v>
      </c>
      <c r="AG210" s="245">
        <f t="shared" si="41"/>
        <v>0</v>
      </c>
      <c r="AH210" s="245">
        <f t="shared" si="41"/>
        <v>0</v>
      </c>
      <c r="AI210" s="245">
        <f t="shared" si="41"/>
        <v>0</v>
      </c>
      <c r="AJ210" s="247">
        <f t="shared" si="43"/>
        <v>0</v>
      </c>
    </row>
    <row r="211" spans="1:36">
      <c r="A211" s="231" t="str">
        <f t="shared" si="38"/>
        <v>JBLM HOUSINGCommercialCLEAN1.5-COMM</v>
      </c>
      <c r="B211" s="243" t="s">
        <v>576</v>
      </c>
      <c r="C211" s="243" t="s">
        <v>577</v>
      </c>
      <c r="D211" s="243" t="s">
        <v>544</v>
      </c>
      <c r="E211" s="230">
        <v>33001</v>
      </c>
      <c r="F211" s="244">
        <v>0</v>
      </c>
      <c r="G211" s="244">
        <v>0</v>
      </c>
      <c r="H211" s="244"/>
      <c r="I211" s="244">
        <v>0</v>
      </c>
      <c r="J211" s="244">
        <v>0</v>
      </c>
      <c r="K211" s="244">
        <v>0</v>
      </c>
      <c r="L211" s="244">
        <v>0</v>
      </c>
      <c r="M211" s="244">
        <v>0</v>
      </c>
      <c r="N211" s="244">
        <v>0</v>
      </c>
      <c r="O211" s="244">
        <v>0</v>
      </c>
      <c r="P211" s="244">
        <v>0</v>
      </c>
      <c r="Q211" s="244">
        <v>0</v>
      </c>
      <c r="R211" s="244">
        <v>0</v>
      </c>
      <c r="S211" s="244">
        <v>0</v>
      </c>
      <c r="T211" s="244">
        <v>0</v>
      </c>
      <c r="U211" s="245"/>
      <c r="V211" s="408">
        <f t="shared" si="44"/>
        <v>0</v>
      </c>
      <c r="W211" s="245"/>
      <c r="X211" s="246">
        <f t="shared" si="45"/>
        <v>0</v>
      </c>
      <c r="Y211" s="246">
        <f t="shared" si="45"/>
        <v>0</v>
      </c>
      <c r="Z211" s="246">
        <f t="shared" si="45"/>
        <v>0</v>
      </c>
      <c r="AA211" s="245">
        <f t="shared" si="42"/>
        <v>0</v>
      </c>
      <c r="AB211" s="245">
        <f t="shared" si="42"/>
        <v>0</v>
      </c>
      <c r="AC211" s="245">
        <f t="shared" si="42"/>
        <v>0</v>
      </c>
      <c r="AD211" s="245">
        <f t="shared" si="41"/>
        <v>0</v>
      </c>
      <c r="AE211" s="245">
        <f t="shared" si="41"/>
        <v>0</v>
      </c>
      <c r="AF211" s="245">
        <f t="shared" si="41"/>
        <v>0</v>
      </c>
      <c r="AG211" s="245">
        <f t="shared" si="41"/>
        <v>0</v>
      </c>
      <c r="AH211" s="245">
        <f t="shared" si="41"/>
        <v>0</v>
      </c>
      <c r="AI211" s="245">
        <f t="shared" si="41"/>
        <v>0</v>
      </c>
      <c r="AJ211" s="247">
        <f t="shared" si="43"/>
        <v>0</v>
      </c>
    </row>
    <row r="212" spans="1:36">
      <c r="A212" s="231" t="str">
        <f t="shared" si="38"/>
        <v>JBLM HOUSINGCommercialCLEAN1-COMM</v>
      </c>
      <c r="B212" s="243" t="s">
        <v>578</v>
      </c>
      <c r="C212" s="243" t="s">
        <v>579</v>
      </c>
      <c r="D212" s="243" t="s">
        <v>544</v>
      </c>
      <c r="E212" s="230">
        <v>33001</v>
      </c>
      <c r="F212" s="244">
        <v>0</v>
      </c>
      <c r="G212" s="244">
        <v>0</v>
      </c>
      <c r="H212" s="244"/>
      <c r="I212" s="244">
        <v>0</v>
      </c>
      <c r="J212" s="244">
        <v>0</v>
      </c>
      <c r="K212" s="244">
        <v>0</v>
      </c>
      <c r="L212" s="244">
        <v>0</v>
      </c>
      <c r="M212" s="244">
        <v>0</v>
      </c>
      <c r="N212" s="244">
        <v>0</v>
      </c>
      <c r="O212" s="244">
        <v>0</v>
      </c>
      <c r="P212" s="244">
        <v>0</v>
      </c>
      <c r="Q212" s="244">
        <v>0</v>
      </c>
      <c r="R212" s="244">
        <v>0</v>
      </c>
      <c r="S212" s="244">
        <v>0</v>
      </c>
      <c r="T212" s="244">
        <v>0</v>
      </c>
      <c r="U212" s="245"/>
      <c r="V212" s="408">
        <f t="shared" si="44"/>
        <v>0</v>
      </c>
      <c r="W212" s="245"/>
      <c r="X212" s="246">
        <f t="shared" si="45"/>
        <v>0</v>
      </c>
      <c r="Y212" s="246">
        <f t="shared" si="45"/>
        <v>0</v>
      </c>
      <c r="Z212" s="246">
        <f t="shared" si="45"/>
        <v>0</v>
      </c>
      <c r="AA212" s="245">
        <f t="shared" si="42"/>
        <v>0</v>
      </c>
      <c r="AB212" s="245">
        <f t="shared" si="42"/>
        <v>0</v>
      </c>
      <c r="AC212" s="245">
        <f t="shared" si="42"/>
        <v>0</v>
      </c>
      <c r="AD212" s="245">
        <f t="shared" si="41"/>
        <v>0</v>
      </c>
      <c r="AE212" s="245">
        <f t="shared" si="41"/>
        <v>0</v>
      </c>
      <c r="AF212" s="245">
        <f t="shared" si="41"/>
        <v>0</v>
      </c>
      <c r="AG212" s="245">
        <f t="shared" si="41"/>
        <v>0</v>
      </c>
      <c r="AH212" s="245">
        <f t="shared" si="41"/>
        <v>0</v>
      </c>
      <c r="AI212" s="245">
        <f t="shared" si="41"/>
        <v>0</v>
      </c>
      <c r="AJ212" s="247">
        <f t="shared" si="43"/>
        <v>0</v>
      </c>
    </row>
    <row r="213" spans="1:36">
      <c r="A213" s="231" t="str">
        <f t="shared" si="38"/>
        <v>JBLM HOUSINGCommercialCLEAN2-COMM</v>
      </c>
      <c r="B213" s="243" t="s">
        <v>580</v>
      </c>
      <c r="C213" s="243" t="s">
        <v>581</v>
      </c>
      <c r="D213" s="243" t="s">
        <v>544</v>
      </c>
      <c r="E213" s="230">
        <v>33001</v>
      </c>
      <c r="F213" s="244">
        <v>0</v>
      </c>
      <c r="G213" s="244">
        <v>0</v>
      </c>
      <c r="H213" s="244"/>
      <c r="I213" s="244">
        <v>0</v>
      </c>
      <c r="J213" s="244">
        <v>0</v>
      </c>
      <c r="K213" s="244">
        <v>0</v>
      </c>
      <c r="L213" s="244">
        <v>0</v>
      </c>
      <c r="M213" s="244">
        <v>0</v>
      </c>
      <c r="N213" s="244">
        <v>0</v>
      </c>
      <c r="O213" s="244">
        <v>0</v>
      </c>
      <c r="P213" s="244">
        <v>0</v>
      </c>
      <c r="Q213" s="244">
        <v>0</v>
      </c>
      <c r="R213" s="244">
        <v>0</v>
      </c>
      <c r="S213" s="244">
        <v>0</v>
      </c>
      <c r="T213" s="244">
        <v>0</v>
      </c>
      <c r="U213" s="245"/>
      <c r="V213" s="408">
        <f t="shared" si="44"/>
        <v>0</v>
      </c>
      <c r="W213" s="245"/>
      <c r="X213" s="246">
        <f t="shared" si="45"/>
        <v>0</v>
      </c>
      <c r="Y213" s="246">
        <f t="shared" si="45"/>
        <v>0</v>
      </c>
      <c r="Z213" s="246">
        <f t="shared" si="45"/>
        <v>0</v>
      </c>
      <c r="AA213" s="245">
        <f t="shared" si="42"/>
        <v>0</v>
      </c>
      <c r="AB213" s="245">
        <f t="shared" si="42"/>
        <v>0</v>
      </c>
      <c r="AC213" s="245">
        <f t="shared" si="42"/>
        <v>0</v>
      </c>
      <c r="AD213" s="245">
        <f t="shared" si="41"/>
        <v>0</v>
      </c>
      <c r="AE213" s="245">
        <f t="shared" si="41"/>
        <v>0</v>
      </c>
      <c r="AF213" s="245">
        <f t="shared" si="41"/>
        <v>0</v>
      </c>
      <c r="AG213" s="245">
        <f t="shared" si="41"/>
        <v>0</v>
      </c>
      <c r="AH213" s="245">
        <f t="shared" si="41"/>
        <v>0</v>
      </c>
      <c r="AI213" s="245">
        <f t="shared" si="41"/>
        <v>0</v>
      </c>
      <c r="AJ213" s="247">
        <f t="shared" si="43"/>
        <v>0</v>
      </c>
    </row>
    <row r="214" spans="1:36">
      <c r="A214" s="231" t="str">
        <f t="shared" si="38"/>
        <v>JBLM HOUSINGCommercialCLEAN3-COMM</v>
      </c>
      <c r="B214" s="243" t="s">
        <v>582</v>
      </c>
      <c r="C214" s="243" t="s">
        <v>583</v>
      </c>
      <c r="D214" s="243" t="s">
        <v>544</v>
      </c>
      <c r="E214" s="230">
        <v>33001</v>
      </c>
      <c r="F214" s="244">
        <v>0</v>
      </c>
      <c r="G214" s="244">
        <v>0</v>
      </c>
      <c r="H214" s="244"/>
      <c r="I214" s="244">
        <v>0</v>
      </c>
      <c r="J214" s="244">
        <v>0</v>
      </c>
      <c r="K214" s="244">
        <v>0</v>
      </c>
      <c r="L214" s="244">
        <v>0</v>
      </c>
      <c r="M214" s="244">
        <v>0</v>
      </c>
      <c r="N214" s="244">
        <v>0</v>
      </c>
      <c r="O214" s="244">
        <v>0</v>
      </c>
      <c r="P214" s="244">
        <v>0</v>
      </c>
      <c r="Q214" s="244">
        <v>0</v>
      </c>
      <c r="R214" s="244">
        <v>0</v>
      </c>
      <c r="S214" s="244">
        <v>0</v>
      </c>
      <c r="T214" s="244">
        <v>0</v>
      </c>
      <c r="U214" s="245"/>
      <c r="V214" s="408">
        <f t="shared" si="44"/>
        <v>0</v>
      </c>
      <c r="W214" s="245"/>
      <c r="X214" s="246">
        <f t="shared" si="45"/>
        <v>0</v>
      </c>
      <c r="Y214" s="246">
        <f t="shared" si="45"/>
        <v>0</v>
      </c>
      <c r="Z214" s="246">
        <f t="shared" si="45"/>
        <v>0</v>
      </c>
      <c r="AA214" s="245">
        <f t="shared" si="42"/>
        <v>0</v>
      </c>
      <c r="AB214" s="245">
        <f t="shared" si="42"/>
        <v>0</v>
      </c>
      <c r="AC214" s="245">
        <f t="shared" si="42"/>
        <v>0</v>
      </c>
      <c r="AD214" s="245">
        <f t="shared" si="41"/>
        <v>0</v>
      </c>
      <c r="AE214" s="245">
        <f t="shared" si="41"/>
        <v>0</v>
      </c>
      <c r="AF214" s="245">
        <f t="shared" si="41"/>
        <v>0</v>
      </c>
      <c r="AG214" s="245">
        <f t="shared" si="41"/>
        <v>0</v>
      </c>
      <c r="AH214" s="245">
        <f t="shared" si="41"/>
        <v>0</v>
      </c>
      <c r="AI214" s="245">
        <f t="shared" si="41"/>
        <v>0</v>
      </c>
      <c r="AJ214" s="247">
        <f t="shared" si="43"/>
        <v>0</v>
      </c>
    </row>
    <row r="215" spans="1:36">
      <c r="A215" s="231" t="str">
        <f t="shared" si="38"/>
        <v>JBLM HOUSINGCommercialCLEAN4-COMM</v>
      </c>
      <c r="B215" s="243" t="s">
        <v>584</v>
      </c>
      <c r="C215" s="243" t="s">
        <v>585</v>
      </c>
      <c r="D215" s="243" t="s">
        <v>544</v>
      </c>
      <c r="E215" s="230">
        <v>33001</v>
      </c>
      <c r="F215" s="244">
        <v>0</v>
      </c>
      <c r="G215" s="244">
        <v>0</v>
      </c>
      <c r="H215" s="244"/>
      <c r="I215" s="244">
        <v>0</v>
      </c>
      <c r="J215" s="244">
        <v>0</v>
      </c>
      <c r="K215" s="244">
        <v>0</v>
      </c>
      <c r="L215" s="244">
        <v>0</v>
      </c>
      <c r="M215" s="244">
        <v>0</v>
      </c>
      <c r="N215" s="244">
        <v>0</v>
      </c>
      <c r="O215" s="244">
        <v>0</v>
      </c>
      <c r="P215" s="244">
        <v>0</v>
      </c>
      <c r="Q215" s="244">
        <v>0</v>
      </c>
      <c r="R215" s="244">
        <v>0</v>
      </c>
      <c r="S215" s="244">
        <v>0</v>
      </c>
      <c r="T215" s="244">
        <v>0</v>
      </c>
      <c r="U215" s="245"/>
      <c r="V215" s="408">
        <f t="shared" si="44"/>
        <v>0</v>
      </c>
      <c r="W215" s="245"/>
      <c r="X215" s="246">
        <f t="shared" si="45"/>
        <v>0</v>
      </c>
      <c r="Y215" s="246">
        <f t="shared" si="45"/>
        <v>0</v>
      </c>
      <c r="Z215" s="246">
        <f t="shared" si="45"/>
        <v>0</v>
      </c>
      <c r="AA215" s="245">
        <f t="shared" si="42"/>
        <v>0</v>
      </c>
      <c r="AB215" s="245">
        <f t="shared" si="42"/>
        <v>0</v>
      </c>
      <c r="AC215" s="245">
        <f t="shared" si="42"/>
        <v>0</v>
      </c>
      <c r="AD215" s="245">
        <f t="shared" si="41"/>
        <v>0</v>
      </c>
      <c r="AE215" s="245">
        <f t="shared" si="41"/>
        <v>0</v>
      </c>
      <c r="AF215" s="245">
        <f t="shared" si="41"/>
        <v>0</v>
      </c>
      <c r="AG215" s="245">
        <f t="shared" si="41"/>
        <v>0</v>
      </c>
      <c r="AH215" s="245">
        <f t="shared" si="41"/>
        <v>0</v>
      </c>
      <c r="AI215" s="245">
        <f t="shared" si="41"/>
        <v>0</v>
      </c>
      <c r="AJ215" s="247">
        <f t="shared" si="43"/>
        <v>0</v>
      </c>
    </row>
    <row r="216" spans="1:36">
      <c r="A216" s="231" t="str">
        <f t="shared" si="38"/>
        <v>JBLM HOUSINGCommercialCLEAN6-COMM</v>
      </c>
      <c r="B216" s="243" t="s">
        <v>586</v>
      </c>
      <c r="C216" s="243" t="s">
        <v>587</v>
      </c>
      <c r="D216" s="243" t="s">
        <v>544</v>
      </c>
      <c r="E216" s="230">
        <v>33001</v>
      </c>
      <c r="F216" s="244">
        <v>28.5</v>
      </c>
      <c r="G216" s="244">
        <v>28.5</v>
      </c>
      <c r="H216" s="244"/>
      <c r="I216" s="244">
        <v>0</v>
      </c>
      <c r="J216" s="244">
        <v>0</v>
      </c>
      <c r="K216" s="244">
        <v>0</v>
      </c>
      <c r="L216" s="244">
        <v>0</v>
      </c>
      <c r="M216" s="244">
        <v>0</v>
      </c>
      <c r="N216" s="244">
        <v>0</v>
      </c>
      <c r="O216" s="244">
        <v>0</v>
      </c>
      <c r="P216" s="244">
        <v>0</v>
      </c>
      <c r="Q216" s="244">
        <v>0</v>
      </c>
      <c r="R216" s="244">
        <v>0</v>
      </c>
      <c r="S216" s="244">
        <v>0</v>
      </c>
      <c r="T216" s="244">
        <v>0</v>
      </c>
      <c r="U216" s="245"/>
      <c r="V216" s="408">
        <f t="shared" si="44"/>
        <v>0</v>
      </c>
      <c r="W216" s="245"/>
      <c r="X216" s="246">
        <f t="shared" si="45"/>
        <v>0</v>
      </c>
      <c r="Y216" s="246">
        <f t="shared" si="45"/>
        <v>0</v>
      </c>
      <c r="Z216" s="246">
        <f t="shared" si="45"/>
        <v>0</v>
      </c>
      <c r="AA216" s="245">
        <f t="shared" si="42"/>
        <v>0</v>
      </c>
      <c r="AB216" s="245">
        <f t="shared" si="42"/>
        <v>0</v>
      </c>
      <c r="AC216" s="245">
        <f t="shared" si="42"/>
        <v>0</v>
      </c>
      <c r="AD216" s="245">
        <f t="shared" si="41"/>
        <v>0</v>
      </c>
      <c r="AE216" s="245">
        <f t="shared" si="41"/>
        <v>0</v>
      </c>
      <c r="AF216" s="245">
        <f t="shared" si="41"/>
        <v>0</v>
      </c>
      <c r="AG216" s="245">
        <f t="shared" si="41"/>
        <v>0</v>
      </c>
      <c r="AH216" s="245">
        <f t="shared" si="41"/>
        <v>0</v>
      </c>
      <c r="AI216" s="245">
        <f t="shared" si="41"/>
        <v>0</v>
      </c>
      <c r="AJ216" s="247">
        <f t="shared" si="43"/>
        <v>0</v>
      </c>
    </row>
    <row r="217" spans="1:36">
      <c r="A217" s="231" t="str">
        <f t="shared" si="38"/>
        <v>JBLM HOUSINGCommercialDEL1.5TEMP-COMM</v>
      </c>
      <c r="B217" s="243" t="s">
        <v>590</v>
      </c>
      <c r="C217" s="243" t="s">
        <v>591</v>
      </c>
      <c r="D217" s="243" t="s">
        <v>544</v>
      </c>
      <c r="E217" s="230">
        <v>33001</v>
      </c>
      <c r="F217" s="244">
        <v>0</v>
      </c>
      <c r="G217" s="244">
        <v>0</v>
      </c>
      <c r="H217" s="244"/>
      <c r="I217" s="244">
        <v>0</v>
      </c>
      <c r="J217" s="244">
        <v>0</v>
      </c>
      <c r="K217" s="244">
        <v>0</v>
      </c>
      <c r="L217" s="244">
        <v>0</v>
      </c>
      <c r="M217" s="244">
        <v>0</v>
      </c>
      <c r="N217" s="244">
        <v>0</v>
      </c>
      <c r="O217" s="244">
        <v>0</v>
      </c>
      <c r="P217" s="244">
        <v>0</v>
      </c>
      <c r="Q217" s="244">
        <v>0</v>
      </c>
      <c r="R217" s="244">
        <v>0</v>
      </c>
      <c r="S217" s="244">
        <v>0</v>
      </c>
      <c r="T217" s="244">
        <v>0</v>
      </c>
      <c r="U217" s="245"/>
      <c r="V217" s="408">
        <f t="shared" si="44"/>
        <v>0</v>
      </c>
      <c r="W217" s="245"/>
      <c r="X217" s="246">
        <f t="shared" si="45"/>
        <v>0</v>
      </c>
      <c r="Y217" s="246">
        <f t="shared" si="45"/>
        <v>0</v>
      </c>
      <c r="Z217" s="246">
        <f t="shared" si="45"/>
        <v>0</v>
      </c>
      <c r="AA217" s="245">
        <f t="shared" si="42"/>
        <v>0</v>
      </c>
      <c r="AB217" s="245">
        <f t="shared" si="42"/>
        <v>0</v>
      </c>
      <c r="AC217" s="245">
        <f t="shared" si="42"/>
        <v>0</v>
      </c>
      <c r="AD217" s="245">
        <f t="shared" si="41"/>
        <v>0</v>
      </c>
      <c r="AE217" s="245">
        <f t="shared" si="41"/>
        <v>0</v>
      </c>
      <c r="AF217" s="245">
        <f t="shared" si="41"/>
        <v>0</v>
      </c>
      <c r="AG217" s="245">
        <f t="shared" si="41"/>
        <v>0</v>
      </c>
      <c r="AH217" s="245">
        <f t="shared" si="41"/>
        <v>0</v>
      </c>
      <c r="AI217" s="245">
        <f t="shared" si="41"/>
        <v>0</v>
      </c>
      <c r="AJ217" s="247">
        <f t="shared" si="43"/>
        <v>0</v>
      </c>
    </row>
    <row r="218" spans="1:36">
      <c r="A218" s="231" t="str">
        <f t="shared" si="38"/>
        <v>JBLM HOUSINGCommercialDEL1TEMP-COMM</v>
      </c>
      <c r="B218" s="243" t="s">
        <v>592</v>
      </c>
      <c r="C218" s="243" t="s">
        <v>593</v>
      </c>
      <c r="D218" s="243" t="s">
        <v>544</v>
      </c>
      <c r="E218" s="230">
        <v>33001</v>
      </c>
      <c r="F218" s="244">
        <v>0</v>
      </c>
      <c r="G218" s="244">
        <v>0</v>
      </c>
      <c r="H218" s="244"/>
      <c r="I218" s="244">
        <v>0</v>
      </c>
      <c r="J218" s="244">
        <v>0</v>
      </c>
      <c r="K218" s="244">
        <v>0</v>
      </c>
      <c r="L218" s="244">
        <v>0</v>
      </c>
      <c r="M218" s="244">
        <v>0</v>
      </c>
      <c r="N218" s="244">
        <v>0</v>
      </c>
      <c r="O218" s="244">
        <v>0</v>
      </c>
      <c r="P218" s="244">
        <v>0</v>
      </c>
      <c r="Q218" s="244">
        <v>0</v>
      </c>
      <c r="R218" s="244">
        <v>0</v>
      </c>
      <c r="S218" s="244">
        <v>0</v>
      </c>
      <c r="T218" s="244">
        <v>0</v>
      </c>
      <c r="U218" s="245"/>
      <c r="V218" s="408">
        <f t="shared" si="44"/>
        <v>0</v>
      </c>
      <c r="W218" s="245"/>
      <c r="X218" s="246">
        <f t="shared" si="45"/>
        <v>0</v>
      </c>
      <c r="Y218" s="246">
        <f t="shared" si="45"/>
        <v>0</v>
      </c>
      <c r="Z218" s="246">
        <f t="shared" si="45"/>
        <v>0</v>
      </c>
      <c r="AA218" s="245">
        <f t="shared" si="42"/>
        <v>0</v>
      </c>
      <c r="AB218" s="245">
        <f t="shared" si="42"/>
        <v>0</v>
      </c>
      <c r="AC218" s="245">
        <f t="shared" si="42"/>
        <v>0</v>
      </c>
      <c r="AD218" s="245">
        <f t="shared" si="41"/>
        <v>0</v>
      </c>
      <c r="AE218" s="245">
        <f t="shared" si="41"/>
        <v>0</v>
      </c>
      <c r="AF218" s="245">
        <f t="shared" si="41"/>
        <v>0</v>
      </c>
      <c r="AG218" s="245">
        <f t="shared" si="41"/>
        <v>0</v>
      </c>
      <c r="AH218" s="245">
        <f t="shared" si="41"/>
        <v>0</v>
      </c>
      <c r="AI218" s="245">
        <f t="shared" si="41"/>
        <v>0</v>
      </c>
      <c r="AJ218" s="247">
        <f t="shared" si="43"/>
        <v>0</v>
      </c>
    </row>
    <row r="219" spans="1:36">
      <c r="A219" s="231" t="str">
        <f t="shared" si="38"/>
        <v>JBLM HOUSINGCommercialDEL2TEMP-COMM</v>
      </c>
      <c r="B219" s="243" t="s">
        <v>594</v>
      </c>
      <c r="C219" s="243" t="s">
        <v>595</v>
      </c>
      <c r="D219" s="243" t="s">
        <v>544</v>
      </c>
      <c r="E219" s="230">
        <v>33001</v>
      </c>
      <c r="F219" s="244">
        <v>22.71</v>
      </c>
      <c r="G219" s="244">
        <v>22.71</v>
      </c>
      <c r="H219" s="244"/>
      <c r="I219" s="244">
        <v>0</v>
      </c>
      <c r="J219" s="244">
        <v>0</v>
      </c>
      <c r="K219" s="244">
        <v>0</v>
      </c>
      <c r="L219" s="244">
        <v>0</v>
      </c>
      <c r="M219" s="244">
        <v>0</v>
      </c>
      <c r="N219" s="244">
        <v>0</v>
      </c>
      <c r="O219" s="244">
        <v>0</v>
      </c>
      <c r="P219" s="244">
        <v>0</v>
      </c>
      <c r="Q219" s="244">
        <v>0</v>
      </c>
      <c r="R219" s="244">
        <v>0</v>
      </c>
      <c r="S219" s="244">
        <v>0</v>
      </c>
      <c r="T219" s="244">
        <v>0</v>
      </c>
      <c r="U219" s="245"/>
      <c r="V219" s="408">
        <f t="shared" si="44"/>
        <v>0</v>
      </c>
      <c r="W219" s="245"/>
      <c r="X219" s="246">
        <f t="shared" si="45"/>
        <v>0</v>
      </c>
      <c r="Y219" s="246">
        <f t="shared" si="45"/>
        <v>0</v>
      </c>
      <c r="Z219" s="246">
        <f t="shared" si="45"/>
        <v>0</v>
      </c>
      <c r="AA219" s="245">
        <f t="shared" si="42"/>
        <v>0</v>
      </c>
      <c r="AB219" s="245">
        <f t="shared" si="42"/>
        <v>0</v>
      </c>
      <c r="AC219" s="245">
        <f t="shared" si="42"/>
        <v>0</v>
      </c>
      <c r="AD219" s="245">
        <f t="shared" si="41"/>
        <v>0</v>
      </c>
      <c r="AE219" s="245">
        <f t="shared" si="41"/>
        <v>0</v>
      </c>
      <c r="AF219" s="245">
        <f t="shared" si="41"/>
        <v>0</v>
      </c>
      <c r="AG219" s="245">
        <f t="shared" si="41"/>
        <v>0</v>
      </c>
      <c r="AH219" s="245">
        <f t="shared" si="41"/>
        <v>0</v>
      </c>
      <c r="AI219" s="245">
        <f t="shared" si="41"/>
        <v>0</v>
      </c>
      <c r="AJ219" s="247">
        <f t="shared" si="43"/>
        <v>0</v>
      </c>
    </row>
    <row r="220" spans="1:36">
      <c r="A220" s="231" t="str">
        <f t="shared" si="38"/>
        <v>JBLM HOUSINGCommercialDEL3TEMP-COMM</v>
      </c>
      <c r="B220" s="243" t="s">
        <v>596</v>
      </c>
      <c r="C220" s="243" t="s">
        <v>597</v>
      </c>
      <c r="D220" s="243" t="s">
        <v>544</v>
      </c>
      <c r="E220" s="230">
        <v>33001</v>
      </c>
      <c r="F220" s="244">
        <v>0</v>
      </c>
      <c r="G220" s="244">
        <v>0</v>
      </c>
      <c r="H220" s="244"/>
      <c r="I220" s="244">
        <v>0</v>
      </c>
      <c r="J220" s="244">
        <v>0</v>
      </c>
      <c r="K220" s="244">
        <v>0</v>
      </c>
      <c r="L220" s="244">
        <v>0</v>
      </c>
      <c r="M220" s="244">
        <v>0</v>
      </c>
      <c r="N220" s="244">
        <v>0</v>
      </c>
      <c r="O220" s="244">
        <v>0</v>
      </c>
      <c r="P220" s="244">
        <v>0</v>
      </c>
      <c r="Q220" s="244">
        <v>0</v>
      </c>
      <c r="R220" s="244">
        <v>0</v>
      </c>
      <c r="S220" s="244">
        <v>0</v>
      </c>
      <c r="T220" s="244">
        <v>0</v>
      </c>
      <c r="U220" s="245"/>
      <c r="V220" s="408">
        <f t="shared" si="44"/>
        <v>0</v>
      </c>
      <c r="W220" s="245"/>
      <c r="X220" s="246">
        <f t="shared" si="45"/>
        <v>0</v>
      </c>
      <c r="Y220" s="246">
        <f t="shared" si="45"/>
        <v>0</v>
      </c>
      <c r="Z220" s="246">
        <f t="shared" si="45"/>
        <v>0</v>
      </c>
      <c r="AA220" s="245">
        <f t="shared" si="42"/>
        <v>0</v>
      </c>
      <c r="AB220" s="245">
        <f t="shared" si="42"/>
        <v>0</v>
      </c>
      <c r="AC220" s="245">
        <f t="shared" si="42"/>
        <v>0</v>
      </c>
      <c r="AD220" s="245">
        <f t="shared" si="41"/>
        <v>0</v>
      </c>
      <c r="AE220" s="245">
        <f t="shared" si="41"/>
        <v>0</v>
      </c>
      <c r="AF220" s="245">
        <f t="shared" si="41"/>
        <v>0</v>
      </c>
      <c r="AG220" s="245">
        <f t="shared" si="41"/>
        <v>0</v>
      </c>
      <c r="AH220" s="245">
        <f t="shared" si="41"/>
        <v>0</v>
      </c>
      <c r="AI220" s="245">
        <f t="shared" si="41"/>
        <v>0</v>
      </c>
      <c r="AJ220" s="247">
        <f t="shared" si="43"/>
        <v>0</v>
      </c>
    </row>
    <row r="221" spans="1:36">
      <c r="A221" s="231" t="str">
        <f t="shared" si="38"/>
        <v>JBLM HOUSINGCommercialDEL4TEMP-COMM</v>
      </c>
      <c r="B221" s="243" t="s">
        <v>598</v>
      </c>
      <c r="C221" s="243" t="s">
        <v>599</v>
      </c>
      <c r="D221" s="243" t="s">
        <v>544</v>
      </c>
      <c r="E221" s="230">
        <v>33001</v>
      </c>
      <c r="F221" s="244">
        <v>0</v>
      </c>
      <c r="G221" s="244">
        <v>0</v>
      </c>
      <c r="H221" s="244"/>
      <c r="I221" s="244">
        <v>0</v>
      </c>
      <c r="J221" s="244">
        <v>0</v>
      </c>
      <c r="K221" s="244">
        <v>0</v>
      </c>
      <c r="L221" s="244">
        <v>0</v>
      </c>
      <c r="M221" s="244">
        <v>0</v>
      </c>
      <c r="N221" s="244">
        <v>0</v>
      </c>
      <c r="O221" s="244">
        <v>0</v>
      </c>
      <c r="P221" s="244">
        <v>0</v>
      </c>
      <c r="Q221" s="244">
        <v>0</v>
      </c>
      <c r="R221" s="244">
        <v>0</v>
      </c>
      <c r="S221" s="244">
        <v>0</v>
      </c>
      <c r="T221" s="244">
        <v>0</v>
      </c>
      <c r="U221" s="245"/>
      <c r="V221" s="408">
        <f t="shared" si="44"/>
        <v>0</v>
      </c>
      <c r="W221" s="245"/>
      <c r="X221" s="246">
        <f t="shared" si="45"/>
        <v>0</v>
      </c>
      <c r="Y221" s="246">
        <f t="shared" si="45"/>
        <v>0</v>
      </c>
      <c r="Z221" s="246">
        <f t="shared" si="45"/>
        <v>0</v>
      </c>
      <c r="AA221" s="245">
        <f t="shared" si="42"/>
        <v>0</v>
      </c>
      <c r="AB221" s="245">
        <f t="shared" si="42"/>
        <v>0</v>
      </c>
      <c r="AC221" s="245">
        <f t="shared" si="42"/>
        <v>0</v>
      </c>
      <c r="AD221" s="245">
        <f t="shared" si="41"/>
        <v>0</v>
      </c>
      <c r="AE221" s="245">
        <f t="shared" si="41"/>
        <v>0</v>
      </c>
      <c r="AF221" s="245">
        <f t="shared" si="41"/>
        <v>0</v>
      </c>
      <c r="AG221" s="245">
        <f t="shared" si="41"/>
        <v>0</v>
      </c>
      <c r="AH221" s="245">
        <f t="shared" si="41"/>
        <v>0</v>
      </c>
      <c r="AI221" s="245">
        <f t="shared" si="41"/>
        <v>0</v>
      </c>
      <c r="AJ221" s="247">
        <f t="shared" si="43"/>
        <v>0</v>
      </c>
    </row>
    <row r="222" spans="1:36">
      <c r="A222" s="231" t="str">
        <f t="shared" si="38"/>
        <v>JBLM HOUSINGCommercialDEL6TEMP-COMM</v>
      </c>
      <c r="B222" s="243" t="s">
        <v>600</v>
      </c>
      <c r="C222" s="243" t="s">
        <v>601</v>
      </c>
      <c r="D222" s="243" t="s">
        <v>544</v>
      </c>
      <c r="E222" s="230">
        <v>33001</v>
      </c>
      <c r="F222" s="244">
        <v>42.77</v>
      </c>
      <c r="G222" s="244">
        <v>42.77</v>
      </c>
      <c r="H222" s="244"/>
      <c r="I222" s="244">
        <v>0</v>
      </c>
      <c r="J222" s="244">
        <v>0</v>
      </c>
      <c r="K222" s="244">
        <v>0</v>
      </c>
      <c r="L222" s="244">
        <v>0</v>
      </c>
      <c r="M222" s="244">
        <v>0</v>
      </c>
      <c r="N222" s="244">
        <v>0</v>
      </c>
      <c r="O222" s="244">
        <v>0</v>
      </c>
      <c r="P222" s="244">
        <v>0</v>
      </c>
      <c r="Q222" s="244">
        <v>0</v>
      </c>
      <c r="R222" s="244">
        <v>0</v>
      </c>
      <c r="S222" s="244">
        <v>0</v>
      </c>
      <c r="T222" s="244">
        <v>0</v>
      </c>
      <c r="U222" s="245"/>
      <c r="V222" s="408">
        <f t="shared" si="44"/>
        <v>0</v>
      </c>
      <c r="W222" s="245"/>
      <c r="X222" s="246">
        <f t="shared" si="45"/>
        <v>0</v>
      </c>
      <c r="Y222" s="246">
        <f t="shared" si="45"/>
        <v>0</v>
      </c>
      <c r="Z222" s="246">
        <f t="shared" si="45"/>
        <v>0</v>
      </c>
      <c r="AA222" s="245">
        <f t="shared" si="42"/>
        <v>0</v>
      </c>
      <c r="AB222" s="245">
        <f t="shared" si="42"/>
        <v>0</v>
      </c>
      <c r="AC222" s="245">
        <f t="shared" si="42"/>
        <v>0</v>
      </c>
      <c r="AD222" s="245">
        <f t="shared" si="41"/>
        <v>0</v>
      </c>
      <c r="AE222" s="245">
        <f t="shared" si="41"/>
        <v>0</v>
      </c>
      <c r="AF222" s="245">
        <f t="shared" si="41"/>
        <v>0</v>
      </c>
      <c r="AG222" s="245">
        <f t="shared" si="41"/>
        <v>0</v>
      </c>
      <c r="AH222" s="245">
        <f t="shared" si="41"/>
        <v>0</v>
      </c>
      <c r="AI222" s="245">
        <f t="shared" si="41"/>
        <v>0</v>
      </c>
      <c r="AJ222" s="247">
        <f t="shared" si="43"/>
        <v>0</v>
      </c>
    </row>
    <row r="223" spans="1:36" s="229" customFormat="1">
      <c r="A223" s="231" t="str">
        <f t="shared" si="38"/>
        <v>JBLM HOUSINGCommercialDEL-COMM</v>
      </c>
      <c r="B223" s="243" t="s">
        <v>602</v>
      </c>
      <c r="C223" s="243" t="s">
        <v>603</v>
      </c>
      <c r="D223" s="243" t="s">
        <v>544</v>
      </c>
      <c r="E223" s="230">
        <v>33001</v>
      </c>
      <c r="F223" s="244">
        <v>0</v>
      </c>
      <c r="G223" s="244">
        <v>0</v>
      </c>
      <c r="H223" s="244"/>
      <c r="I223" s="244">
        <v>0</v>
      </c>
      <c r="J223" s="244">
        <v>0</v>
      </c>
      <c r="K223" s="244">
        <v>0</v>
      </c>
      <c r="L223" s="244">
        <v>0</v>
      </c>
      <c r="M223" s="244">
        <v>0</v>
      </c>
      <c r="N223" s="244">
        <v>0</v>
      </c>
      <c r="O223" s="244">
        <v>0</v>
      </c>
      <c r="P223" s="244">
        <v>0</v>
      </c>
      <c r="Q223" s="244">
        <v>0</v>
      </c>
      <c r="R223" s="244">
        <v>0</v>
      </c>
      <c r="S223" s="244">
        <v>0</v>
      </c>
      <c r="T223" s="244">
        <v>0</v>
      </c>
      <c r="U223" s="245"/>
      <c r="V223" s="408">
        <f t="shared" si="44"/>
        <v>0</v>
      </c>
      <c r="W223" s="245"/>
      <c r="X223" s="246">
        <f t="shared" si="45"/>
        <v>0</v>
      </c>
      <c r="Y223" s="246">
        <f t="shared" si="45"/>
        <v>0</v>
      </c>
      <c r="Z223" s="246">
        <f t="shared" si="45"/>
        <v>0</v>
      </c>
      <c r="AA223" s="245">
        <f t="shared" si="42"/>
        <v>0</v>
      </c>
      <c r="AB223" s="245">
        <f t="shared" si="42"/>
        <v>0</v>
      </c>
      <c r="AC223" s="245">
        <f t="shared" si="42"/>
        <v>0</v>
      </c>
      <c r="AD223" s="245">
        <f t="shared" si="41"/>
        <v>0</v>
      </c>
      <c r="AE223" s="245">
        <f t="shared" si="41"/>
        <v>0</v>
      </c>
      <c r="AF223" s="245">
        <f t="shared" si="41"/>
        <v>0</v>
      </c>
      <c r="AG223" s="245">
        <f t="shared" si="41"/>
        <v>0</v>
      </c>
      <c r="AH223" s="245">
        <f t="shared" si="41"/>
        <v>0</v>
      </c>
      <c r="AI223" s="245">
        <f t="shared" si="41"/>
        <v>0</v>
      </c>
      <c r="AJ223" s="247">
        <f t="shared" si="43"/>
        <v>0</v>
      </c>
    </row>
    <row r="224" spans="1:36">
      <c r="A224" s="231" t="str">
        <f t="shared" si="38"/>
        <v>JBLM HOUSINGCommercialREINSTATE-COMM</v>
      </c>
      <c r="B224" s="243" t="s">
        <v>604</v>
      </c>
      <c r="C224" s="243" t="s">
        <v>605</v>
      </c>
      <c r="D224" s="243" t="s">
        <v>544</v>
      </c>
      <c r="E224" s="230">
        <v>33001</v>
      </c>
      <c r="F224" s="244">
        <v>0</v>
      </c>
      <c r="G224" s="244">
        <v>0</v>
      </c>
      <c r="H224" s="244"/>
      <c r="I224" s="244">
        <v>0</v>
      </c>
      <c r="J224" s="244">
        <v>0</v>
      </c>
      <c r="K224" s="244">
        <v>0</v>
      </c>
      <c r="L224" s="244">
        <v>0</v>
      </c>
      <c r="M224" s="244">
        <v>0</v>
      </c>
      <c r="N224" s="244">
        <v>0</v>
      </c>
      <c r="O224" s="244">
        <v>0</v>
      </c>
      <c r="P224" s="244">
        <v>0</v>
      </c>
      <c r="Q224" s="244">
        <v>0</v>
      </c>
      <c r="R224" s="244">
        <v>0</v>
      </c>
      <c r="S224" s="244">
        <v>0</v>
      </c>
      <c r="T224" s="244">
        <v>0</v>
      </c>
      <c r="U224" s="245"/>
      <c r="V224" s="408">
        <f t="shared" si="44"/>
        <v>0</v>
      </c>
      <c r="W224" s="245"/>
      <c r="X224" s="246">
        <f t="shared" si="45"/>
        <v>0</v>
      </c>
      <c r="Y224" s="246">
        <f t="shared" si="45"/>
        <v>0</v>
      </c>
      <c r="Z224" s="246">
        <f t="shared" si="45"/>
        <v>0</v>
      </c>
      <c r="AA224" s="245">
        <f t="shared" si="42"/>
        <v>0</v>
      </c>
      <c r="AB224" s="245">
        <f t="shared" si="42"/>
        <v>0</v>
      </c>
      <c r="AC224" s="245">
        <f t="shared" si="42"/>
        <v>0</v>
      </c>
      <c r="AD224" s="245">
        <f t="shared" si="41"/>
        <v>0</v>
      </c>
      <c r="AE224" s="245">
        <f t="shared" si="41"/>
        <v>0</v>
      </c>
      <c r="AF224" s="245">
        <f t="shared" si="41"/>
        <v>0</v>
      </c>
      <c r="AG224" s="245">
        <f t="shared" si="41"/>
        <v>0</v>
      </c>
      <c r="AH224" s="245">
        <f t="shared" si="41"/>
        <v>0</v>
      </c>
      <c r="AI224" s="245">
        <f t="shared" si="41"/>
        <v>0</v>
      </c>
      <c r="AJ224" s="247">
        <f t="shared" si="43"/>
        <v>0</v>
      </c>
    </row>
    <row r="225" spans="1:36">
      <c r="A225" s="231" t="str">
        <f t="shared" si="38"/>
        <v>JBLM HOUSINGCommercialRTRNCAN-COMM</v>
      </c>
      <c r="B225" s="243" t="s">
        <v>606</v>
      </c>
      <c r="C225" s="243" t="s">
        <v>607</v>
      </c>
      <c r="D225" s="243" t="s">
        <v>544</v>
      </c>
      <c r="E225" s="230">
        <v>33001</v>
      </c>
      <c r="F225" s="244">
        <v>0</v>
      </c>
      <c r="G225" s="244">
        <v>0</v>
      </c>
      <c r="H225" s="244"/>
      <c r="I225" s="244">
        <v>0</v>
      </c>
      <c r="J225" s="244">
        <v>0</v>
      </c>
      <c r="K225" s="244">
        <v>0</v>
      </c>
      <c r="L225" s="244">
        <v>0</v>
      </c>
      <c r="M225" s="244">
        <v>0</v>
      </c>
      <c r="N225" s="244">
        <v>0</v>
      </c>
      <c r="O225" s="244">
        <v>0</v>
      </c>
      <c r="P225" s="244">
        <v>0</v>
      </c>
      <c r="Q225" s="244">
        <v>0</v>
      </c>
      <c r="R225" s="244">
        <v>0</v>
      </c>
      <c r="S225" s="244">
        <v>0</v>
      </c>
      <c r="T225" s="244">
        <v>0</v>
      </c>
      <c r="U225" s="245"/>
      <c r="V225" s="408">
        <f t="shared" si="44"/>
        <v>0</v>
      </c>
      <c r="W225" s="245"/>
      <c r="X225" s="246">
        <f t="shared" si="45"/>
        <v>0</v>
      </c>
      <c r="Y225" s="246">
        <f t="shared" si="45"/>
        <v>0</v>
      </c>
      <c r="Z225" s="246">
        <f t="shared" si="45"/>
        <v>0</v>
      </c>
      <c r="AA225" s="245">
        <f t="shared" si="42"/>
        <v>0</v>
      </c>
      <c r="AB225" s="245">
        <f t="shared" si="42"/>
        <v>0</v>
      </c>
      <c r="AC225" s="245">
        <f t="shared" si="42"/>
        <v>0</v>
      </c>
      <c r="AD225" s="245">
        <f t="shared" si="41"/>
        <v>0</v>
      </c>
      <c r="AE225" s="245">
        <f t="shared" si="41"/>
        <v>0</v>
      </c>
      <c r="AF225" s="245">
        <f t="shared" si="41"/>
        <v>0</v>
      </c>
      <c r="AG225" s="245">
        <f t="shared" si="41"/>
        <v>0</v>
      </c>
      <c r="AH225" s="245">
        <f t="shared" si="41"/>
        <v>0</v>
      </c>
      <c r="AI225" s="245">
        <f t="shared" si="41"/>
        <v>0</v>
      </c>
      <c r="AJ225" s="247">
        <f t="shared" si="43"/>
        <v>0</v>
      </c>
    </row>
    <row r="226" spans="1:36">
      <c r="A226" s="231" t="str">
        <f t="shared" si="38"/>
        <v>JBLM HOUSINGCommercialRTRNCART65-COMM</v>
      </c>
      <c r="B226" s="243" t="s">
        <v>608</v>
      </c>
      <c r="C226" s="243" t="s">
        <v>609</v>
      </c>
      <c r="D226" s="243" t="s">
        <v>544</v>
      </c>
      <c r="E226" s="230">
        <v>33001</v>
      </c>
      <c r="F226" s="244">
        <v>0</v>
      </c>
      <c r="G226" s="244">
        <v>0</v>
      </c>
      <c r="H226" s="244"/>
      <c r="I226" s="244">
        <v>0</v>
      </c>
      <c r="J226" s="244">
        <v>0</v>
      </c>
      <c r="K226" s="244">
        <v>0</v>
      </c>
      <c r="L226" s="244">
        <v>0</v>
      </c>
      <c r="M226" s="244">
        <v>0</v>
      </c>
      <c r="N226" s="244">
        <v>0</v>
      </c>
      <c r="O226" s="244">
        <v>0</v>
      </c>
      <c r="P226" s="244">
        <v>0</v>
      </c>
      <c r="Q226" s="244">
        <v>0</v>
      </c>
      <c r="R226" s="244">
        <v>0</v>
      </c>
      <c r="S226" s="244">
        <v>0</v>
      </c>
      <c r="T226" s="244">
        <v>0</v>
      </c>
      <c r="U226" s="245"/>
      <c r="V226" s="408">
        <f t="shared" si="44"/>
        <v>0</v>
      </c>
      <c r="W226" s="245"/>
      <c r="X226" s="246">
        <f t="shared" si="45"/>
        <v>0</v>
      </c>
      <c r="Y226" s="246">
        <f t="shared" si="45"/>
        <v>0</v>
      </c>
      <c r="Z226" s="246">
        <f t="shared" si="45"/>
        <v>0</v>
      </c>
      <c r="AA226" s="245">
        <f t="shared" si="42"/>
        <v>0</v>
      </c>
      <c r="AB226" s="245">
        <f t="shared" si="42"/>
        <v>0</v>
      </c>
      <c r="AC226" s="245">
        <f t="shared" si="42"/>
        <v>0</v>
      </c>
      <c r="AD226" s="245">
        <f t="shared" si="41"/>
        <v>0</v>
      </c>
      <c r="AE226" s="245">
        <f t="shared" si="41"/>
        <v>0</v>
      </c>
      <c r="AF226" s="245">
        <f t="shared" si="41"/>
        <v>0</v>
      </c>
      <c r="AG226" s="245">
        <f t="shared" si="41"/>
        <v>0</v>
      </c>
      <c r="AH226" s="245">
        <f t="shared" si="41"/>
        <v>0</v>
      </c>
      <c r="AI226" s="245">
        <f t="shared" si="41"/>
        <v>0</v>
      </c>
      <c r="AJ226" s="247">
        <f t="shared" si="43"/>
        <v>0</v>
      </c>
    </row>
    <row r="227" spans="1:36">
      <c r="A227" s="231" t="str">
        <f t="shared" si="38"/>
        <v>JBLM HOUSINGCommercialRTRNCART95-COMM</v>
      </c>
      <c r="B227" s="243" t="s">
        <v>610</v>
      </c>
      <c r="C227" s="243" t="s">
        <v>611</v>
      </c>
      <c r="D227" s="243" t="s">
        <v>544</v>
      </c>
      <c r="E227" s="230">
        <v>33001</v>
      </c>
      <c r="F227" s="244">
        <v>0</v>
      </c>
      <c r="G227" s="244">
        <v>0</v>
      </c>
      <c r="H227" s="244"/>
      <c r="I227" s="244">
        <v>0</v>
      </c>
      <c r="J227" s="244">
        <v>0</v>
      </c>
      <c r="K227" s="244">
        <v>0</v>
      </c>
      <c r="L227" s="244">
        <v>0</v>
      </c>
      <c r="M227" s="244">
        <v>0</v>
      </c>
      <c r="N227" s="244">
        <v>0</v>
      </c>
      <c r="O227" s="244">
        <v>0</v>
      </c>
      <c r="P227" s="244">
        <v>0</v>
      </c>
      <c r="Q227" s="244">
        <v>0</v>
      </c>
      <c r="R227" s="244">
        <v>0</v>
      </c>
      <c r="S227" s="244">
        <v>0</v>
      </c>
      <c r="T227" s="244">
        <v>0</v>
      </c>
      <c r="U227" s="245"/>
      <c r="V227" s="408">
        <f t="shared" si="44"/>
        <v>0</v>
      </c>
      <c r="W227" s="245"/>
      <c r="X227" s="246">
        <f t="shared" si="45"/>
        <v>0</v>
      </c>
      <c r="Y227" s="246">
        <f t="shared" si="45"/>
        <v>0</v>
      </c>
      <c r="Z227" s="246">
        <f t="shared" si="45"/>
        <v>0</v>
      </c>
      <c r="AA227" s="245">
        <f t="shared" si="42"/>
        <v>0</v>
      </c>
      <c r="AB227" s="245">
        <f t="shared" si="42"/>
        <v>0</v>
      </c>
      <c r="AC227" s="245">
        <f t="shared" si="42"/>
        <v>0</v>
      </c>
      <c r="AD227" s="245">
        <f t="shared" si="41"/>
        <v>0</v>
      </c>
      <c r="AE227" s="245">
        <f t="shared" si="41"/>
        <v>0</v>
      </c>
      <c r="AF227" s="245">
        <f t="shared" si="41"/>
        <v>0</v>
      </c>
      <c r="AG227" s="245">
        <f t="shared" si="41"/>
        <v>0</v>
      </c>
      <c r="AH227" s="245">
        <f t="shared" si="41"/>
        <v>0</v>
      </c>
      <c r="AI227" s="245">
        <f t="shared" si="41"/>
        <v>0</v>
      </c>
      <c r="AJ227" s="247">
        <f t="shared" si="43"/>
        <v>0</v>
      </c>
    </row>
    <row r="228" spans="1:36">
      <c r="A228" s="231" t="str">
        <f t="shared" si="38"/>
        <v>JBLM HOUSINGCommercialRTRNTRIP-COMM</v>
      </c>
      <c r="B228" s="243" t="s">
        <v>612</v>
      </c>
      <c r="C228" s="243" t="s">
        <v>613</v>
      </c>
      <c r="D228" s="243" t="s">
        <v>544</v>
      </c>
      <c r="E228" s="230">
        <v>33001</v>
      </c>
      <c r="F228" s="244">
        <v>0</v>
      </c>
      <c r="G228" s="244">
        <v>0</v>
      </c>
      <c r="H228" s="244"/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5"/>
      <c r="V228" s="408">
        <f t="shared" si="44"/>
        <v>0</v>
      </c>
      <c r="W228" s="245"/>
      <c r="X228" s="246">
        <f t="shared" si="45"/>
        <v>0</v>
      </c>
      <c r="Y228" s="246">
        <f t="shared" si="45"/>
        <v>0</v>
      </c>
      <c r="Z228" s="246">
        <f t="shared" si="45"/>
        <v>0</v>
      </c>
      <c r="AA228" s="245">
        <f t="shared" si="42"/>
        <v>0</v>
      </c>
      <c r="AB228" s="245">
        <f t="shared" si="42"/>
        <v>0</v>
      </c>
      <c r="AC228" s="245">
        <f t="shared" si="42"/>
        <v>0</v>
      </c>
      <c r="AD228" s="245">
        <f t="shared" si="41"/>
        <v>0</v>
      </c>
      <c r="AE228" s="245">
        <f t="shared" si="41"/>
        <v>0</v>
      </c>
      <c r="AF228" s="245">
        <f t="shared" si="41"/>
        <v>0</v>
      </c>
      <c r="AG228" s="245">
        <f t="shared" si="41"/>
        <v>0</v>
      </c>
      <c r="AH228" s="245">
        <f t="shared" si="41"/>
        <v>0</v>
      </c>
      <c r="AI228" s="245">
        <f t="shared" si="41"/>
        <v>0</v>
      </c>
      <c r="AJ228" s="247">
        <f t="shared" si="43"/>
        <v>0</v>
      </c>
    </row>
    <row r="229" spans="1:36">
      <c r="A229" s="231" t="str">
        <f t="shared" si="38"/>
        <v>JBLM HOUSINGCommercialSP1.5-COMM</v>
      </c>
      <c r="B229" s="243" t="s">
        <v>614</v>
      </c>
      <c r="C229" s="243" t="s">
        <v>615</v>
      </c>
      <c r="D229" s="243" t="s">
        <v>544</v>
      </c>
      <c r="E229" s="230">
        <v>33001</v>
      </c>
      <c r="F229" s="244">
        <v>0</v>
      </c>
      <c r="G229" s="244">
        <v>0</v>
      </c>
      <c r="H229" s="244"/>
      <c r="I229" s="244">
        <v>0</v>
      </c>
      <c r="J229" s="244">
        <v>0</v>
      </c>
      <c r="K229" s="244">
        <v>0</v>
      </c>
      <c r="L229" s="244">
        <v>0</v>
      </c>
      <c r="M229" s="244">
        <v>0</v>
      </c>
      <c r="N229" s="244">
        <v>0</v>
      </c>
      <c r="O229" s="244">
        <v>0</v>
      </c>
      <c r="P229" s="244">
        <v>0</v>
      </c>
      <c r="Q229" s="244">
        <v>0</v>
      </c>
      <c r="R229" s="244">
        <v>0</v>
      </c>
      <c r="S229" s="244">
        <v>0</v>
      </c>
      <c r="T229" s="244">
        <v>0</v>
      </c>
      <c r="U229" s="245"/>
      <c r="V229" s="408">
        <f t="shared" si="44"/>
        <v>0</v>
      </c>
      <c r="W229" s="245"/>
      <c r="X229" s="246">
        <f t="shared" si="45"/>
        <v>0</v>
      </c>
      <c r="Y229" s="246">
        <f t="shared" si="45"/>
        <v>0</v>
      </c>
      <c r="Z229" s="246">
        <f t="shared" si="45"/>
        <v>0</v>
      </c>
      <c r="AA229" s="245">
        <f t="shared" si="42"/>
        <v>0</v>
      </c>
      <c r="AB229" s="245">
        <f t="shared" si="42"/>
        <v>0</v>
      </c>
      <c r="AC229" s="245">
        <f t="shared" si="42"/>
        <v>0</v>
      </c>
      <c r="AD229" s="245">
        <f t="shared" si="41"/>
        <v>0</v>
      </c>
      <c r="AE229" s="245">
        <f t="shared" si="41"/>
        <v>0</v>
      </c>
      <c r="AF229" s="245">
        <f t="shared" si="41"/>
        <v>0</v>
      </c>
      <c r="AG229" s="245">
        <f t="shared" si="41"/>
        <v>0</v>
      </c>
      <c r="AH229" s="245">
        <f t="shared" si="41"/>
        <v>0</v>
      </c>
      <c r="AI229" s="245">
        <f t="shared" si="41"/>
        <v>0</v>
      </c>
      <c r="AJ229" s="247">
        <f t="shared" si="43"/>
        <v>0</v>
      </c>
    </row>
    <row r="230" spans="1:36">
      <c r="A230" s="231" t="str">
        <f t="shared" si="38"/>
        <v>JBLM HOUSINGCommercialSP1-COMM</v>
      </c>
      <c r="B230" s="243" t="s">
        <v>616</v>
      </c>
      <c r="C230" s="243" t="s">
        <v>617</v>
      </c>
      <c r="D230" s="243" t="s">
        <v>544</v>
      </c>
      <c r="E230" s="230">
        <v>33001</v>
      </c>
      <c r="F230" s="244">
        <v>0</v>
      </c>
      <c r="G230" s="244">
        <v>0</v>
      </c>
      <c r="H230" s="244"/>
      <c r="I230" s="244">
        <v>0</v>
      </c>
      <c r="J230" s="244">
        <v>0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5"/>
      <c r="V230" s="408">
        <f t="shared" si="44"/>
        <v>0</v>
      </c>
      <c r="W230" s="245"/>
      <c r="X230" s="246">
        <f t="shared" si="45"/>
        <v>0</v>
      </c>
      <c r="Y230" s="246">
        <f t="shared" si="45"/>
        <v>0</v>
      </c>
      <c r="Z230" s="246">
        <f t="shared" si="45"/>
        <v>0</v>
      </c>
      <c r="AA230" s="245">
        <f t="shared" si="42"/>
        <v>0</v>
      </c>
      <c r="AB230" s="245">
        <f t="shared" si="42"/>
        <v>0</v>
      </c>
      <c r="AC230" s="245">
        <f t="shared" si="42"/>
        <v>0</v>
      </c>
      <c r="AD230" s="245">
        <f t="shared" si="41"/>
        <v>0</v>
      </c>
      <c r="AE230" s="245">
        <f t="shared" si="41"/>
        <v>0</v>
      </c>
      <c r="AF230" s="245">
        <f t="shared" si="41"/>
        <v>0</v>
      </c>
      <c r="AG230" s="245">
        <f t="shared" si="41"/>
        <v>0</v>
      </c>
      <c r="AH230" s="245">
        <f t="shared" si="41"/>
        <v>0</v>
      </c>
      <c r="AI230" s="245">
        <f t="shared" si="41"/>
        <v>0</v>
      </c>
      <c r="AJ230" s="247">
        <f t="shared" si="43"/>
        <v>0</v>
      </c>
    </row>
    <row r="231" spans="1:36">
      <c r="A231" s="231" t="str">
        <f t="shared" si="38"/>
        <v>JBLM HOUSINGCommercialSP2-COMM</v>
      </c>
      <c r="B231" s="243" t="s">
        <v>618</v>
      </c>
      <c r="C231" s="243" t="s">
        <v>619</v>
      </c>
      <c r="D231" s="243" t="s">
        <v>544</v>
      </c>
      <c r="E231" s="230">
        <v>33001</v>
      </c>
      <c r="F231" s="244">
        <v>0</v>
      </c>
      <c r="G231" s="244">
        <v>0</v>
      </c>
      <c r="H231" s="244"/>
      <c r="I231" s="244">
        <v>0</v>
      </c>
      <c r="J231" s="244">
        <v>0</v>
      </c>
      <c r="K231" s="244">
        <v>0</v>
      </c>
      <c r="L231" s="244">
        <v>0</v>
      </c>
      <c r="M231" s="244">
        <v>0</v>
      </c>
      <c r="N231" s="244">
        <v>0</v>
      </c>
      <c r="O231" s="244">
        <v>0</v>
      </c>
      <c r="P231" s="244">
        <v>0</v>
      </c>
      <c r="Q231" s="244">
        <v>0</v>
      </c>
      <c r="R231" s="244">
        <v>0</v>
      </c>
      <c r="S231" s="244">
        <v>0</v>
      </c>
      <c r="T231" s="244">
        <v>0</v>
      </c>
      <c r="U231" s="245"/>
      <c r="V231" s="408">
        <f t="shared" si="44"/>
        <v>0</v>
      </c>
      <c r="W231" s="245"/>
      <c r="X231" s="246">
        <f t="shared" si="45"/>
        <v>0</v>
      </c>
      <c r="Y231" s="246">
        <f t="shared" si="45"/>
        <v>0</v>
      </c>
      <c r="Z231" s="246">
        <f t="shared" si="45"/>
        <v>0</v>
      </c>
      <c r="AA231" s="245">
        <f t="shared" si="42"/>
        <v>0</v>
      </c>
      <c r="AB231" s="245">
        <f t="shared" si="42"/>
        <v>0</v>
      </c>
      <c r="AC231" s="245">
        <f t="shared" si="42"/>
        <v>0</v>
      </c>
      <c r="AD231" s="245">
        <f t="shared" si="41"/>
        <v>0</v>
      </c>
      <c r="AE231" s="245">
        <f t="shared" si="41"/>
        <v>0</v>
      </c>
      <c r="AF231" s="245">
        <f t="shared" si="41"/>
        <v>0</v>
      </c>
      <c r="AG231" s="245">
        <f t="shared" si="41"/>
        <v>0</v>
      </c>
      <c r="AH231" s="245">
        <f t="shared" si="41"/>
        <v>0</v>
      </c>
      <c r="AI231" s="245">
        <f t="shared" si="41"/>
        <v>0</v>
      </c>
      <c r="AJ231" s="247">
        <f t="shared" si="43"/>
        <v>0</v>
      </c>
    </row>
    <row r="232" spans="1:36">
      <c r="A232" s="231" t="str">
        <f t="shared" si="38"/>
        <v>JBLM HOUSINGCommercialSP3-COMM</v>
      </c>
      <c r="B232" s="243" t="s">
        <v>620</v>
      </c>
      <c r="C232" s="243" t="s">
        <v>621</v>
      </c>
      <c r="D232" s="243" t="s">
        <v>544</v>
      </c>
      <c r="E232" s="230">
        <v>33001</v>
      </c>
      <c r="F232" s="244">
        <v>0</v>
      </c>
      <c r="G232" s="244">
        <v>0</v>
      </c>
      <c r="H232" s="244"/>
      <c r="I232" s="244">
        <v>0</v>
      </c>
      <c r="J232" s="244">
        <v>0</v>
      </c>
      <c r="K232" s="244">
        <v>0</v>
      </c>
      <c r="L232" s="244">
        <v>0</v>
      </c>
      <c r="M232" s="244">
        <v>0</v>
      </c>
      <c r="N232" s="244">
        <v>0</v>
      </c>
      <c r="O232" s="244">
        <v>0</v>
      </c>
      <c r="P232" s="244">
        <v>0</v>
      </c>
      <c r="Q232" s="244">
        <v>0</v>
      </c>
      <c r="R232" s="244">
        <v>0</v>
      </c>
      <c r="S232" s="244">
        <v>0</v>
      </c>
      <c r="T232" s="244">
        <v>0</v>
      </c>
      <c r="U232" s="245"/>
      <c r="V232" s="408">
        <f t="shared" si="44"/>
        <v>0</v>
      </c>
      <c r="W232" s="245"/>
      <c r="X232" s="246">
        <f t="shared" si="45"/>
        <v>0</v>
      </c>
      <c r="Y232" s="246">
        <f t="shared" si="45"/>
        <v>0</v>
      </c>
      <c r="Z232" s="246">
        <f t="shared" si="45"/>
        <v>0</v>
      </c>
      <c r="AA232" s="245">
        <f t="shared" si="42"/>
        <v>0</v>
      </c>
      <c r="AB232" s="245">
        <f t="shared" si="42"/>
        <v>0</v>
      </c>
      <c r="AC232" s="245">
        <f t="shared" si="42"/>
        <v>0</v>
      </c>
      <c r="AD232" s="245">
        <f t="shared" si="41"/>
        <v>0</v>
      </c>
      <c r="AE232" s="245">
        <f t="shared" si="41"/>
        <v>0</v>
      </c>
      <c r="AF232" s="245">
        <f t="shared" si="41"/>
        <v>0</v>
      </c>
      <c r="AG232" s="245">
        <f t="shared" si="41"/>
        <v>0</v>
      </c>
      <c r="AH232" s="245">
        <f t="shared" si="41"/>
        <v>0</v>
      </c>
      <c r="AI232" s="245">
        <f t="shared" si="41"/>
        <v>0</v>
      </c>
      <c r="AJ232" s="247">
        <f t="shared" si="43"/>
        <v>0</v>
      </c>
    </row>
    <row r="233" spans="1:36">
      <c r="A233" s="231" t="str">
        <f t="shared" si="38"/>
        <v>JBLM HOUSINGCommercialSP4-COMM</v>
      </c>
      <c r="B233" s="243" t="s">
        <v>622</v>
      </c>
      <c r="C233" s="243" t="s">
        <v>623</v>
      </c>
      <c r="D233" s="243" t="s">
        <v>544</v>
      </c>
      <c r="E233" s="230">
        <v>33001</v>
      </c>
      <c r="F233" s="244">
        <v>0</v>
      </c>
      <c r="G233" s="244">
        <v>0</v>
      </c>
      <c r="H233" s="244"/>
      <c r="I233" s="244">
        <v>0</v>
      </c>
      <c r="J233" s="244">
        <v>0</v>
      </c>
      <c r="K233" s="244">
        <v>0</v>
      </c>
      <c r="L233" s="244">
        <v>0</v>
      </c>
      <c r="M233" s="244">
        <v>0</v>
      </c>
      <c r="N233" s="244">
        <v>0</v>
      </c>
      <c r="O233" s="244">
        <v>0</v>
      </c>
      <c r="P233" s="244">
        <v>0</v>
      </c>
      <c r="Q233" s="244">
        <v>0</v>
      </c>
      <c r="R233" s="244">
        <v>0</v>
      </c>
      <c r="S233" s="244">
        <v>0</v>
      </c>
      <c r="T233" s="244">
        <v>0</v>
      </c>
      <c r="U233" s="245"/>
      <c r="V233" s="408">
        <f t="shared" si="44"/>
        <v>0</v>
      </c>
      <c r="W233" s="245"/>
      <c r="X233" s="246">
        <f t="shared" si="45"/>
        <v>0</v>
      </c>
      <c r="Y233" s="246">
        <f t="shared" si="45"/>
        <v>0</v>
      </c>
      <c r="Z233" s="246">
        <f t="shared" si="45"/>
        <v>0</v>
      </c>
      <c r="AA233" s="245">
        <f t="shared" si="42"/>
        <v>0</v>
      </c>
      <c r="AB233" s="245">
        <f t="shared" si="42"/>
        <v>0</v>
      </c>
      <c r="AC233" s="245">
        <f t="shared" si="42"/>
        <v>0</v>
      </c>
      <c r="AD233" s="245">
        <f t="shared" si="41"/>
        <v>0</v>
      </c>
      <c r="AE233" s="245">
        <f t="shared" si="41"/>
        <v>0</v>
      </c>
      <c r="AF233" s="245">
        <f t="shared" si="41"/>
        <v>0</v>
      </c>
      <c r="AG233" s="245">
        <f t="shared" si="41"/>
        <v>0</v>
      </c>
      <c r="AH233" s="245">
        <f t="shared" si="41"/>
        <v>0</v>
      </c>
      <c r="AI233" s="245">
        <f t="shared" si="41"/>
        <v>0</v>
      </c>
      <c r="AJ233" s="247">
        <f t="shared" si="43"/>
        <v>0</v>
      </c>
    </row>
    <row r="234" spans="1:36">
      <c r="A234" s="231" t="str">
        <f t="shared" si="38"/>
        <v>JBLM HOUSINGCommercialSP6-COMM</v>
      </c>
      <c r="B234" s="243" t="s">
        <v>624</v>
      </c>
      <c r="C234" s="243" t="s">
        <v>625</v>
      </c>
      <c r="D234" s="243" t="s">
        <v>544</v>
      </c>
      <c r="E234" s="230">
        <v>33001</v>
      </c>
      <c r="F234" s="244">
        <v>0</v>
      </c>
      <c r="G234" s="244">
        <v>0</v>
      </c>
      <c r="H234" s="244"/>
      <c r="I234" s="244">
        <v>0</v>
      </c>
      <c r="J234" s="244">
        <v>0</v>
      </c>
      <c r="K234" s="244">
        <v>0</v>
      </c>
      <c r="L234" s="244">
        <v>0</v>
      </c>
      <c r="M234" s="244">
        <v>0</v>
      </c>
      <c r="N234" s="244">
        <v>0</v>
      </c>
      <c r="O234" s="244">
        <v>0</v>
      </c>
      <c r="P234" s="244">
        <v>0</v>
      </c>
      <c r="Q234" s="244">
        <v>0</v>
      </c>
      <c r="R234" s="244">
        <v>0</v>
      </c>
      <c r="S234" s="244">
        <v>0</v>
      </c>
      <c r="T234" s="244">
        <v>0</v>
      </c>
      <c r="U234" s="245"/>
      <c r="V234" s="408">
        <f t="shared" si="44"/>
        <v>0</v>
      </c>
      <c r="W234" s="245"/>
      <c r="X234" s="246">
        <f t="shared" si="45"/>
        <v>0</v>
      </c>
      <c r="Y234" s="246">
        <f t="shared" si="45"/>
        <v>0</v>
      </c>
      <c r="Z234" s="246">
        <f t="shared" si="45"/>
        <v>0</v>
      </c>
      <c r="AA234" s="245">
        <f t="shared" si="42"/>
        <v>0</v>
      </c>
      <c r="AB234" s="245">
        <f t="shared" si="42"/>
        <v>0</v>
      </c>
      <c r="AC234" s="245">
        <f t="shared" si="42"/>
        <v>0</v>
      </c>
      <c r="AD234" s="245">
        <f t="shared" si="42"/>
        <v>0</v>
      </c>
      <c r="AE234" s="245">
        <f t="shared" si="42"/>
        <v>0</v>
      </c>
      <c r="AF234" s="245">
        <f t="shared" si="42"/>
        <v>0</v>
      </c>
      <c r="AG234" s="245">
        <f t="shared" si="42"/>
        <v>0</v>
      </c>
      <c r="AH234" s="245">
        <f t="shared" si="42"/>
        <v>0</v>
      </c>
      <c r="AI234" s="245">
        <f t="shared" si="42"/>
        <v>0</v>
      </c>
      <c r="AJ234" s="247">
        <f t="shared" si="43"/>
        <v>0</v>
      </c>
    </row>
    <row r="235" spans="1:36">
      <c r="A235" s="231" t="str">
        <f t="shared" si="38"/>
        <v>JBLM HOUSINGCommercialSPCL65-COMM</v>
      </c>
      <c r="B235" s="243" t="s">
        <v>626</v>
      </c>
      <c r="C235" s="243" t="s">
        <v>627</v>
      </c>
      <c r="D235" s="243" t="s">
        <v>544</v>
      </c>
      <c r="E235" s="230">
        <v>33001</v>
      </c>
      <c r="F235" s="244">
        <v>0</v>
      </c>
      <c r="G235" s="244">
        <v>0</v>
      </c>
      <c r="H235" s="244"/>
      <c r="I235" s="244">
        <v>0</v>
      </c>
      <c r="J235" s="244">
        <v>0</v>
      </c>
      <c r="K235" s="244">
        <v>0</v>
      </c>
      <c r="L235" s="244">
        <v>0</v>
      </c>
      <c r="M235" s="244">
        <v>0</v>
      </c>
      <c r="N235" s="244">
        <v>0</v>
      </c>
      <c r="O235" s="244">
        <v>0</v>
      </c>
      <c r="P235" s="244">
        <v>0</v>
      </c>
      <c r="Q235" s="244">
        <v>0</v>
      </c>
      <c r="R235" s="244">
        <v>0</v>
      </c>
      <c r="S235" s="244">
        <v>0</v>
      </c>
      <c r="T235" s="244">
        <v>0</v>
      </c>
      <c r="U235" s="245"/>
      <c r="V235" s="408">
        <f t="shared" si="44"/>
        <v>0</v>
      </c>
      <c r="W235" s="245"/>
      <c r="X235" s="246">
        <f t="shared" si="45"/>
        <v>0</v>
      </c>
      <c r="Y235" s="246">
        <f t="shared" si="45"/>
        <v>0</v>
      </c>
      <c r="Z235" s="246">
        <f t="shared" si="45"/>
        <v>0</v>
      </c>
      <c r="AA235" s="245">
        <f t="shared" ref="AA235:AI245" si="46">IFERROR(L235/$G235,0)</f>
        <v>0</v>
      </c>
      <c r="AB235" s="245">
        <f t="shared" si="46"/>
        <v>0</v>
      </c>
      <c r="AC235" s="245">
        <f t="shared" si="46"/>
        <v>0</v>
      </c>
      <c r="AD235" s="245">
        <f t="shared" si="46"/>
        <v>0</v>
      </c>
      <c r="AE235" s="245">
        <f t="shared" si="46"/>
        <v>0</v>
      </c>
      <c r="AF235" s="245">
        <f t="shared" si="46"/>
        <v>0</v>
      </c>
      <c r="AG235" s="245">
        <f t="shared" si="46"/>
        <v>0</v>
      </c>
      <c r="AH235" s="245">
        <f t="shared" si="46"/>
        <v>0</v>
      </c>
      <c r="AI235" s="245">
        <f t="shared" si="46"/>
        <v>0</v>
      </c>
      <c r="AJ235" s="247">
        <f t="shared" si="43"/>
        <v>0</v>
      </c>
    </row>
    <row r="236" spans="1:36">
      <c r="A236" s="231" t="str">
        <f t="shared" si="38"/>
        <v>JBLM HOUSINGCommercialSPCL95-COMM</v>
      </c>
      <c r="B236" s="243" t="s">
        <v>628</v>
      </c>
      <c r="C236" s="243" t="s">
        <v>629</v>
      </c>
      <c r="D236" s="243" t="s">
        <v>544</v>
      </c>
      <c r="E236" s="230">
        <v>33001</v>
      </c>
      <c r="F236" s="244">
        <v>0</v>
      </c>
      <c r="G236" s="244">
        <v>0</v>
      </c>
      <c r="H236" s="244"/>
      <c r="I236" s="244">
        <v>0</v>
      </c>
      <c r="J236" s="244">
        <v>0</v>
      </c>
      <c r="K236" s="244">
        <v>0</v>
      </c>
      <c r="L236" s="244">
        <v>0</v>
      </c>
      <c r="M236" s="244">
        <v>0</v>
      </c>
      <c r="N236" s="244">
        <v>0</v>
      </c>
      <c r="O236" s="244">
        <v>0</v>
      </c>
      <c r="P236" s="244">
        <v>0</v>
      </c>
      <c r="Q236" s="244">
        <v>0</v>
      </c>
      <c r="R236" s="244">
        <v>0</v>
      </c>
      <c r="S236" s="244">
        <v>0</v>
      </c>
      <c r="T236" s="244">
        <v>0</v>
      </c>
      <c r="U236" s="245"/>
      <c r="V236" s="408">
        <f t="shared" si="44"/>
        <v>0</v>
      </c>
      <c r="W236" s="245"/>
      <c r="X236" s="246">
        <f t="shared" si="45"/>
        <v>0</v>
      </c>
      <c r="Y236" s="246">
        <f t="shared" si="45"/>
        <v>0</v>
      </c>
      <c r="Z236" s="246">
        <f t="shared" si="45"/>
        <v>0</v>
      </c>
      <c r="AA236" s="245">
        <f t="shared" si="46"/>
        <v>0</v>
      </c>
      <c r="AB236" s="245">
        <f t="shared" si="46"/>
        <v>0</v>
      </c>
      <c r="AC236" s="245">
        <f t="shared" si="46"/>
        <v>0</v>
      </c>
      <c r="AD236" s="245">
        <f t="shared" si="46"/>
        <v>0</v>
      </c>
      <c r="AE236" s="245">
        <f t="shared" si="46"/>
        <v>0</v>
      </c>
      <c r="AF236" s="245">
        <f t="shared" si="46"/>
        <v>0</v>
      </c>
      <c r="AG236" s="245">
        <f t="shared" si="46"/>
        <v>0</v>
      </c>
      <c r="AH236" s="245">
        <f t="shared" si="46"/>
        <v>0</v>
      </c>
      <c r="AI236" s="245">
        <f t="shared" si="46"/>
        <v>0</v>
      </c>
      <c r="AJ236" s="247">
        <f t="shared" si="43"/>
        <v>0</v>
      </c>
    </row>
    <row r="237" spans="1:36">
      <c r="A237" s="231" t="str">
        <f t="shared" si="38"/>
        <v>JBLM HOUSINGCommercialSPCLREC-COMM</v>
      </c>
      <c r="B237" s="243" t="s">
        <v>630</v>
      </c>
      <c r="C237" s="243" t="s">
        <v>631</v>
      </c>
      <c r="D237" s="243" t="s">
        <v>544</v>
      </c>
      <c r="E237" s="230">
        <v>33001</v>
      </c>
      <c r="F237" s="244">
        <v>0</v>
      </c>
      <c r="G237" s="244">
        <v>0</v>
      </c>
      <c r="H237" s="244"/>
      <c r="I237" s="244">
        <v>0</v>
      </c>
      <c r="J237" s="244">
        <v>0</v>
      </c>
      <c r="K237" s="244">
        <v>0</v>
      </c>
      <c r="L237" s="244">
        <v>0</v>
      </c>
      <c r="M237" s="244">
        <v>0</v>
      </c>
      <c r="N237" s="244">
        <v>0</v>
      </c>
      <c r="O237" s="244">
        <v>0</v>
      </c>
      <c r="P237" s="244">
        <v>0</v>
      </c>
      <c r="Q237" s="244">
        <v>0</v>
      </c>
      <c r="R237" s="244">
        <v>0</v>
      </c>
      <c r="S237" s="244">
        <v>0</v>
      </c>
      <c r="T237" s="244">
        <v>0</v>
      </c>
      <c r="U237" s="245"/>
      <c r="V237" s="408">
        <f t="shared" si="44"/>
        <v>0</v>
      </c>
      <c r="W237" s="245"/>
      <c r="X237" s="246">
        <f t="shared" si="45"/>
        <v>0</v>
      </c>
      <c r="Y237" s="246">
        <f t="shared" si="45"/>
        <v>0</v>
      </c>
      <c r="Z237" s="246">
        <f t="shared" si="45"/>
        <v>0</v>
      </c>
      <c r="AA237" s="245">
        <f t="shared" si="46"/>
        <v>0</v>
      </c>
      <c r="AB237" s="245">
        <f t="shared" si="46"/>
        <v>0</v>
      </c>
      <c r="AC237" s="245">
        <f t="shared" si="46"/>
        <v>0</v>
      </c>
      <c r="AD237" s="245">
        <f t="shared" si="46"/>
        <v>0</v>
      </c>
      <c r="AE237" s="245">
        <f t="shared" si="46"/>
        <v>0</v>
      </c>
      <c r="AF237" s="245">
        <f t="shared" si="46"/>
        <v>0</v>
      </c>
      <c r="AG237" s="245">
        <f t="shared" si="46"/>
        <v>0</v>
      </c>
      <c r="AH237" s="245">
        <f t="shared" si="46"/>
        <v>0</v>
      </c>
      <c r="AI237" s="245">
        <f t="shared" si="46"/>
        <v>0</v>
      </c>
      <c r="AJ237" s="247">
        <f t="shared" si="43"/>
        <v>0</v>
      </c>
    </row>
    <row r="238" spans="1:36">
      <c r="A238" s="231" t="str">
        <f t="shared" si="38"/>
        <v>JBLM HOUSINGCommercialTIME-COMM</v>
      </c>
      <c r="B238" s="243" t="s">
        <v>636</v>
      </c>
      <c r="C238" s="243" t="s">
        <v>637</v>
      </c>
      <c r="D238" s="243" t="s">
        <v>544</v>
      </c>
      <c r="E238" s="230">
        <v>33001</v>
      </c>
      <c r="F238" s="244">
        <v>0</v>
      </c>
      <c r="G238" s="244">
        <v>0</v>
      </c>
      <c r="H238" s="244"/>
      <c r="I238" s="244">
        <v>0</v>
      </c>
      <c r="J238" s="244">
        <v>0</v>
      </c>
      <c r="K238" s="244">
        <v>0</v>
      </c>
      <c r="L238" s="244">
        <v>0</v>
      </c>
      <c r="M238" s="244">
        <v>0</v>
      </c>
      <c r="N238" s="244">
        <v>0</v>
      </c>
      <c r="O238" s="244">
        <v>0</v>
      </c>
      <c r="P238" s="244">
        <v>0</v>
      </c>
      <c r="Q238" s="244">
        <v>0</v>
      </c>
      <c r="R238" s="244">
        <v>0</v>
      </c>
      <c r="S238" s="244">
        <v>0</v>
      </c>
      <c r="T238" s="244">
        <v>0</v>
      </c>
      <c r="U238" s="245"/>
      <c r="V238" s="408">
        <f t="shared" si="44"/>
        <v>0</v>
      </c>
      <c r="W238" s="245"/>
      <c r="X238" s="246">
        <f t="shared" si="45"/>
        <v>0</v>
      </c>
      <c r="Y238" s="246">
        <f t="shared" si="45"/>
        <v>0</v>
      </c>
      <c r="Z238" s="246">
        <f t="shared" si="45"/>
        <v>0</v>
      </c>
      <c r="AA238" s="245">
        <f t="shared" si="46"/>
        <v>0</v>
      </c>
      <c r="AB238" s="245">
        <f t="shared" si="46"/>
        <v>0</v>
      </c>
      <c r="AC238" s="245">
        <f t="shared" si="46"/>
        <v>0</v>
      </c>
      <c r="AD238" s="245">
        <f t="shared" si="46"/>
        <v>0</v>
      </c>
      <c r="AE238" s="245">
        <f t="shared" si="46"/>
        <v>0</v>
      </c>
      <c r="AF238" s="245">
        <f t="shared" si="46"/>
        <v>0</v>
      </c>
      <c r="AG238" s="245">
        <f t="shared" si="46"/>
        <v>0</v>
      </c>
      <c r="AH238" s="245">
        <f t="shared" si="46"/>
        <v>0</v>
      </c>
      <c r="AI238" s="245">
        <f t="shared" si="46"/>
        <v>0</v>
      </c>
      <c r="AJ238" s="247">
        <f t="shared" si="43"/>
        <v>0</v>
      </c>
    </row>
    <row r="239" spans="1:36">
      <c r="A239" s="231" t="str">
        <f t="shared" si="38"/>
        <v>JBLM HOUSINGCommercialUNRETURN-COMM</v>
      </c>
      <c r="B239" s="243" t="s">
        <v>638</v>
      </c>
      <c r="C239" s="243" t="s">
        <v>493</v>
      </c>
      <c r="D239" s="243" t="s">
        <v>544</v>
      </c>
      <c r="E239" s="230">
        <v>33001</v>
      </c>
      <c r="F239" s="244">
        <v>0</v>
      </c>
      <c r="G239" s="244">
        <v>0</v>
      </c>
      <c r="H239" s="244"/>
      <c r="I239" s="244">
        <v>0</v>
      </c>
      <c r="J239" s="244">
        <v>0</v>
      </c>
      <c r="K239" s="244">
        <v>0</v>
      </c>
      <c r="L239" s="244">
        <v>0</v>
      </c>
      <c r="M239" s="244">
        <v>0</v>
      </c>
      <c r="N239" s="244">
        <v>0</v>
      </c>
      <c r="O239" s="244">
        <v>0</v>
      </c>
      <c r="P239" s="244">
        <v>0</v>
      </c>
      <c r="Q239" s="244">
        <v>0</v>
      </c>
      <c r="R239" s="244">
        <v>0</v>
      </c>
      <c r="S239" s="244">
        <v>0</v>
      </c>
      <c r="T239" s="244">
        <v>0</v>
      </c>
      <c r="U239" s="245"/>
      <c r="V239" s="408">
        <f t="shared" si="44"/>
        <v>0</v>
      </c>
      <c r="W239" s="245"/>
      <c r="X239" s="246">
        <f t="shared" si="45"/>
        <v>0</v>
      </c>
      <c r="Y239" s="246">
        <f t="shared" si="45"/>
        <v>0</v>
      </c>
      <c r="Z239" s="246">
        <f t="shared" si="45"/>
        <v>0</v>
      </c>
      <c r="AA239" s="245">
        <f t="shared" si="46"/>
        <v>0</v>
      </c>
      <c r="AB239" s="245">
        <f t="shared" si="46"/>
        <v>0</v>
      </c>
      <c r="AC239" s="245">
        <f t="shared" si="46"/>
        <v>0</v>
      </c>
      <c r="AD239" s="245">
        <f t="shared" si="46"/>
        <v>0</v>
      </c>
      <c r="AE239" s="245">
        <f t="shared" si="46"/>
        <v>0</v>
      </c>
      <c r="AF239" s="245">
        <f t="shared" si="46"/>
        <v>0</v>
      </c>
      <c r="AG239" s="245">
        <f t="shared" si="46"/>
        <v>0</v>
      </c>
      <c r="AH239" s="245">
        <f t="shared" si="46"/>
        <v>0</v>
      </c>
      <c r="AI239" s="245">
        <f t="shared" si="46"/>
        <v>0</v>
      </c>
      <c r="AJ239" s="247">
        <f t="shared" si="43"/>
        <v>0</v>
      </c>
    </row>
    <row r="240" spans="1:36">
      <c r="A240" s="231" t="str">
        <f t="shared" si="38"/>
        <v>JBLM HOUSINGCommercialGWCOMM</v>
      </c>
      <c r="B240" s="243" t="s">
        <v>665</v>
      </c>
      <c r="C240" s="243" t="s">
        <v>666</v>
      </c>
      <c r="D240" s="243" t="s">
        <v>528</v>
      </c>
      <c r="E240" s="230">
        <v>33000</v>
      </c>
      <c r="F240" s="244">
        <v>0</v>
      </c>
      <c r="G240" s="244">
        <v>0</v>
      </c>
      <c r="H240" s="244"/>
      <c r="I240" s="244">
        <v>0</v>
      </c>
      <c r="J240" s="244">
        <v>0</v>
      </c>
      <c r="K240" s="244">
        <v>0</v>
      </c>
      <c r="L240" s="244">
        <v>0</v>
      </c>
      <c r="M240" s="244">
        <v>0</v>
      </c>
      <c r="N240" s="244">
        <v>0</v>
      </c>
      <c r="O240" s="244">
        <v>0</v>
      </c>
      <c r="P240" s="244">
        <v>0</v>
      </c>
      <c r="Q240" s="244">
        <v>0</v>
      </c>
      <c r="R240" s="244">
        <v>0</v>
      </c>
      <c r="S240" s="244">
        <v>0</v>
      </c>
      <c r="T240" s="244">
        <v>0</v>
      </c>
      <c r="U240" s="245"/>
      <c r="V240" s="408">
        <f t="shared" si="44"/>
        <v>0</v>
      </c>
      <c r="W240" s="245"/>
      <c r="X240" s="246">
        <f t="shared" si="45"/>
        <v>0</v>
      </c>
      <c r="Y240" s="246">
        <f t="shared" si="45"/>
        <v>0</v>
      </c>
      <c r="Z240" s="246">
        <f t="shared" si="45"/>
        <v>0</v>
      </c>
      <c r="AA240" s="245">
        <f t="shared" si="46"/>
        <v>0</v>
      </c>
      <c r="AB240" s="245">
        <f t="shared" si="46"/>
        <v>0</v>
      </c>
      <c r="AC240" s="245">
        <f t="shared" si="46"/>
        <v>0</v>
      </c>
      <c r="AD240" s="245">
        <f t="shared" si="46"/>
        <v>0</v>
      </c>
      <c r="AE240" s="245">
        <f t="shared" si="46"/>
        <v>0</v>
      </c>
      <c r="AF240" s="245">
        <f t="shared" si="46"/>
        <v>0</v>
      </c>
      <c r="AG240" s="245">
        <f t="shared" si="46"/>
        <v>0</v>
      </c>
      <c r="AH240" s="245">
        <f t="shared" si="46"/>
        <v>0</v>
      </c>
      <c r="AI240" s="245">
        <f t="shared" si="46"/>
        <v>0</v>
      </c>
      <c r="AJ240" s="247">
        <f t="shared" si="43"/>
        <v>0</v>
      </c>
    </row>
    <row r="241" spans="1:36">
      <c r="A241" s="231" t="str">
        <f t="shared" ref="A241:A245" si="47">$A$3&amp;"Commercial"&amp;B241</f>
        <v>JBLM HOUSINGCommercialLCKC</v>
      </c>
      <c r="B241" s="243" t="s">
        <v>639</v>
      </c>
      <c r="C241" s="243" t="s">
        <v>640</v>
      </c>
      <c r="D241" s="243" t="s">
        <v>528</v>
      </c>
      <c r="E241" s="230">
        <v>33000</v>
      </c>
      <c r="F241" s="244">
        <v>0</v>
      </c>
      <c r="G241" s="244">
        <v>0</v>
      </c>
      <c r="H241" s="244"/>
      <c r="I241" s="244">
        <v>0</v>
      </c>
      <c r="J241" s="244">
        <v>0</v>
      </c>
      <c r="K241" s="244">
        <v>0</v>
      </c>
      <c r="L241" s="244">
        <v>0</v>
      </c>
      <c r="M241" s="244">
        <v>0</v>
      </c>
      <c r="N241" s="244">
        <v>0</v>
      </c>
      <c r="O241" s="244">
        <v>0</v>
      </c>
      <c r="P241" s="244">
        <v>0</v>
      </c>
      <c r="Q241" s="244">
        <v>0</v>
      </c>
      <c r="R241" s="244">
        <v>0</v>
      </c>
      <c r="S241" s="244">
        <v>0</v>
      </c>
      <c r="T241" s="244">
        <v>0</v>
      </c>
      <c r="U241" s="245"/>
      <c r="V241" s="408">
        <f t="shared" si="44"/>
        <v>0</v>
      </c>
      <c r="W241" s="245"/>
      <c r="X241" s="246">
        <f t="shared" si="45"/>
        <v>0</v>
      </c>
      <c r="Y241" s="246">
        <f t="shared" si="45"/>
        <v>0</v>
      </c>
      <c r="Z241" s="246">
        <f t="shared" si="45"/>
        <v>0</v>
      </c>
      <c r="AA241" s="245">
        <f t="shared" si="46"/>
        <v>0</v>
      </c>
      <c r="AB241" s="245">
        <f t="shared" si="46"/>
        <v>0</v>
      </c>
      <c r="AC241" s="245">
        <f t="shared" si="46"/>
        <v>0</v>
      </c>
      <c r="AD241" s="245">
        <f t="shared" si="46"/>
        <v>0</v>
      </c>
      <c r="AE241" s="245">
        <f t="shared" si="46"/>
        <v>0</v>
      </c>
      <c r="AF241" s="245">
        <f t="shared" si="46"/>
        <v>0</v>
      </c>
      <c r="AG241" s="245">
        <f t="shared" si="46"/>
        <v>0</v>
      </c>
      <c r="AH241" s="245">
        <f t="shared" si="46"/>
        <v>0</v>
      </c>
      <c r="AI241" s="245">
        <f t="shared" si="46"/>
        <v>0</v>
      </c>
      <c r="AJ241" s="247">
        <f t="shared" si="43"/>
        <v>0</v>
      </c>
    </row>
    <row r="242" spans="1:36">
      <c r="A242" s="231" t="str">
        <f t="shared" si="47"/>
        <v>JBLM HOUSINGCommercialREDEL-COMM</v>
      </c>
      <c r="B242" s="243" t="s">
        <v>641</v>
      </c>
      <c r="C242" s="243" t="s">
        <v>642</v>
      </c>
      <c r="D242" s="243" t="s">
        <v>528</v>
      </c>
      <c r="E242" s="230">
        <v>33000</v>
      </c>
      <c r="F242" s="244">
        <v>0</v>
      </c>
      <c r="G242" s="244">
        <v>0</v>
      </c>
      <c r="H242" s="244"/>
      <c r="I242" s="244">
        <v>0</v>
      </c>
      <c r="J242" s="244">
        <v>0</v>
      </c>
      <c r="K242" s="244">
        <v>0</v>
      </c>
      <c r="L242" s="244">
        <v>0</v>
      </c>
      <c r="M242" s="244">
        <v>0</v>
      </c>
      <c r="N242" s="244">
        <v>0</v>
      </c>
      <c r="O242" s="244">
        <v>0</v>
      </c>
      <c r="P242" s="244">
        <v>0</v>
      </c>
      <c r="Q242" s="244">
        <v>0</v>
      </c>
      <c r="R242" s="244">
        <v>0</v>
      </c>
      <c r="S242" s="244">
        <v>0</v>
      </c>
      <c r="T242" s="244">
        <v>0</v>
      </c>
      <c r="U242" s="245"/>
      <c r="V242" s="408">
        <f t="shared" si="44"/>
        <v>0</v>
      </c>
      <c r="W242" s="245"/>
      <c r="X242" s="246">
        <f t="shared" si="45"/>
        <v>0</v>
      </c>
      <c r="Y242" s="246">
        <f t="shared" si="45"/>
        <v>0</v>
      </c>
      <c r="Z242" s="246">
        <f t="shared" si="45"/>
        <v>0</v>
      </c>
      <c r="AA242" s="245">
        <f t="shared" si="46"/>
        <v>0</v>
      </c>
      <c r="AB242" s="245">
        <f t="shared" si="46"/>
        <v>0</v>
      </c>
      <c r="AC242" s="245">
        <f t="shared" si="46"/>
        <v>0</v>
      </c>
      <c r="AD242" s="245">
        <f t="shared" si="46"/>
        <v>0</v>
      </c>
      <c r="AE242" s="245">
        <f t="shared" si="46"/>
        <v>0</v>
      </c>
      <c r="AF242" s="245">
        <f t="shared" si="46"/>
        <v>0</v>
      </c>
      <c r="AG242" s="245">
        <f t="shared" si="46"/>
        <v>0</v>
      </c>
      <c r="AH242" s="245">
        <f t="shared" si="46"/>
        <v>0</v>
      </c>
      <c r="AI242" s="245">
        <f t="shared" si="46"/>
        <v>0</v>
      </c>
      <c r="AJ242" s="247">
        <f t="shared" si="43"/>
        <v>0</v>
      </c>
    </row>
    <row r="243" spans="1:36">
      <c r="A243" s="231" t="str">
        <f t="shared" si="47"/>
        <v>JBLM HOUSINGCommercialADJ-COMM</v>
      </c>
      <c r="B243" s="243" t="s">
        <v>643</v>
      </c>
      <c r="C243" s="243"/>
      <c r="D243" s="243"/>
      <c r="F243" s="244">
        <v>0</v>
      </c>
      <c r="G243" s="244">
        <v>0</v>
      </c>
      <c r="H243" s="244"/>
      <c r="I243" s="244">
        <v>0</v>
      </c>
      <c r="J243" s="244">
        <v>0</v>
      </c>
      <c r="K243" s="244">
        <v>0</v>
      </c>
      <c r="L243" s="244">
        <v>0</v>
      </c>
      <c r="M243" s="244">
        <v>0</v>
      </c>
      <c r="N243" s="244">
        <v>0</v>
      </c>
      <c r="O243" s="244">
        <v>0</v>
      </c>
      <c r="P243" s="244">
        <v>0</v>
      </c>
      <c r="Q243" s="244">
        <v>0</v>
      </c>
      <c r="R243" s="244">
        <v>0</v>
      </c>
      <c r="S243" s="244">
        <v>0</v>
      </c>
      <c r="T243" s="244">
        <v>0</v>
      </c>
      <c r="U243" s="245"/>
      <c r="V243" s="408">
        <f t="shared" si="44"/>
        <v>0</v>
      </c>
      <c r="W243" s="245"/>
      <c r="X243" s="246">
        <f t="shared" si="45"/>
        <v>0</v>
      </c>
      <c r="Y243" s="246">
        <f t="shared" si="45"/>
        <v>0</v>
      </c>
      <c r="Z243" s="246">
        <f t="shared" si="45"/>
        <v>0</v>
      </c>
      <c r="AA243" s="245">
        <f t="shared" si="46"/>
        <v>0</v>
      </c>
      <c r="AB243" s="245">
        <f t="shared" si="46"/>
        <v>0</v>
      </c>
      <c r="AC243" s="245">
        <f t="shared" si="46"/>
        <v>0</v>
      </c>
      <c r="AD243" s="245">
        <f t="shared" si="46"/>
        <v>0</v>
      </c>
      <c r="AE243" s="245">
        <f t="shared" si="46"/>
        <v>0</v>
      </c>
      <c r="AF243" s="245">
        <f t="shared" si="46"/>
        <v>0</v>
      </c>
      <c r="AG243" s="245">
        <f t="shared" si="46"/>
        <v>0</v>
      </c>
      <c r="AH243" s="245">
        <f t="shared" si="46"/>
        <v>0</v>
      </c>
      <c r="AI243" s="245">
        <f t="shared" si="46"/>
        <v>0</v>
      </c>
      <c r="AJ243" s="247">
        <f t="shared" si="43"/>
        <v>0</v>
      </c>
    </row>
    <row r="244" spans="1:36">
      <c r="A244" s="231" t="str">
        <f t="shared" si="47"/>
        <v>JBLM HOUSINGCommercialEXTRAGRAD1-COMM</v>
      </c>
      <c r="B244" s="243" t="s">
        <v>644</v>
      </c>
      <c r="C244" s="243"/>
      <c r="D244" s="243"/>
      <c r="F244" s="244">
        <v>0</v>
      </c>
      <c r="G244" s="244">
        <v>0</v>
      </c>
      <c r="H244" s="244"/>
      <c r="I244" s="244">
        <v>0</v>
      </c>
      <c r="J244" s="244">
        <v>0</v>
      </c>
      <c r="K244" s="244">
        <v>0</v>
      </c>
      <c r="L244" s="244">
        <v>0</v>
      </c>
      <c r="M244" s="244">
        <v>0</v>
      </c>
      <c r="N244" s="244">
        <v>0</v>
      </c>
      <c r="O244" s="244">
        <v>0</v>
      </c>
      <c r="P244" s="244">
        <v>0</v>
      </c>
      <c r="Q244" s="244">
        <v>0</v>
      </c>
      <c r="R244" s="244">
        <v>0</v>
      </c>
      <c r="S244" s="244">
        <v>0</v>
      </c>
      <c r="T244" s="244">
        <v>0</v>
      </c>
      <c r="U244" s="245"/>
      <c r="V244" s="408">
        <f t="shared" si="44"/>
        <v>0</v>
      </c>
      <c r="W244" s="245"/>
      <c r="X244" s="246">
        <f t="shared" si="45"/>
        <v>0</v>
      </c>
      <c r="Y244" s="246">
        <f t="shared" si="45"/>
        <v>0</v>
      </c>
      <c r="Z244" s="246">
        <f t="shared" si="45"/>
        <v>0</v>
      </c>
      <c r="AA244" s="245">
        <f t="shared" si="46"/>
        <v>0</v>
      </c>
      <c r="AB244" s="245">
        <f t="shared" si="46"/>
        <v>0</v>
      </c>
      <c r="AC244" s="245">
        <f t="shared" si="46"/>
        <v>0</v>
      </c>
      <c r="AD244" s="245">
        <f t="shared" si="46"/>
        <v>0</v>
      </c>
      <c r="AE244" s="245">
        <f t="shared" si="46"/>
        <v>0</v>
      </c>
      <c r="AF244" s="245">
        <f t="shared" si="46"/>
        <v>0</v>
      </c>
      <c r="AG244" s="245">
        <f t="shared" si="46"/>
        <v>0</v>
      </c>
      <c r="AH244" s="245">
        <f t="shared" si="46"/>
        <v>0</v>
      </c>
      <c r="AI244" s="245">
        <f t="shared" si="46"/>
        <v>0</v>
      </c>
      <c r="AJ244" s="247">
        <f t="shared" si="43"/>
        <v>0</v>
      </c>
    </row>
    <row r="245" spans="1:36">
      <c r="A245" s="231" t="str">
        <f t="shared" si="47"/>
        <v>JBLM HOUSINGCommercialEXTRAGRAD2-COMM</v>
      </c>
      <c r="B245" s="243" t="s">
        <v>645</v>
      </c>
      <c r="C245" s="243"/>
      <c r="D245" s="243"/>
      <c r="F245" s="244">
        <v>0</v>
      </c>
      <c r="G245" s="244">
        <v>0</v>
      </c>
      <c r="H245" s="244"/>
      <c r="I245" s="244">
        <v>0</v>
      </c>
      <c r="J245" s="244">
        <v>0</v>
      </c>
      <c r="K245" s="244">
        <v>0</v>
      </c>
      <c r="L245" s="244">
        <v>0</v>
      </c>
      <c r="M245" s="244">
        <v>0</v>
      </c>
      <c r="N245" s="244">
        <v>0</v>
      </c>
      <c r="O245" s="244">
        <v>0</v>
      </c>
      <c r="P245" s="244">
        <v>0</v>
      </c>
      <c r="Q245" s="244">
        <v>0</v>
      </c>
      <c r="R245" s="244">
        <v>0</v>
      </c>
      <c r="S245" s="244">
        <v>0</v>
      </c>
      <c r="T245" s="244">
        <v>0</v>
      </c>
      <c r="U245" s="245"/>
      <c r="V245" s="408">
        <f t="shared" si="44"/>
        <v>0</v>
      </c>
      <c r="W245" s="245"/>
      <c r="X245" s="246">
        <f t="shared" si="45"/>
        <v>0</v>
      </c>
      <c r="Y245" s="246">
        <f t="shared" si="45"/>
        <v>0</v>
      </c>
      <c r="Z245" s="246">
        <f t="shared" si="45"/>
        <v>0</v>
      </c>
      <c r="AA245" s="245">
        <f t="shared" si="46"/>
        <v>0</v>
      </c>
      <c r="AB245" s="245">
        <f t="shared" si="46"/>
        <v>0</v>
      </c>
      <c r="AC245" s="245">
        <f t="shared" si="46"/>
        <v>0</v>
      </c>
      <c r="AD245" s="245">
        <f t="shared" si="46"/>
        <v>0</v>
      </c>
      <c r="AE245" s="245">
        <f t="shared" si="46"/>
        <v>0</v>
      </c>
      <c r="AF245" s="245">
        <f t="shared" si="46"/>
        <v>0</v>
      </c>
      <c r="AG245" s="245">
        <f t="shared" si="46"/>
        <v>0</v>
      </c>
      <c r="AH245" s="245">
        <f t="shared" si="46"/>
        <v>0</v>
      </c>
      <c r="AI245" s="245">
        <f t="shared" si="46"/>
        <v>0</v>
      </c>
      <c r="AJ245" s="247">
        <f t="shared" si="43"/>
        <v>0</v>
      </c>
    </row>
    <row r="246" spans="1:36" ht="14.25">
      <c r="B246" s="266"/>
      <c r="C246" s="243"/>
      <c r="D246" s="243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5"/>
      <c r="W246" s="245"/>
      <c r="X246" s="246"/>
      <c r="Y246" s="246"/>
      <c r="Z246" s="246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7">
        <f t="shared" si="43"/>
        <v>0</v>
      </c>
    </row>
    <row r="247" spans="1:36">
      <c r="B247" s="243"/>
      <c r="C247" s="248" t="s">
        <v>150</v>
      </c>
      <c r="D247" s="243"/>
      <c r="E247" s="267"/>
      <c r="F247" s="244"/>
      <c r="G247" s="244"/>
      <c r="H247" s="249"/>
      <c r="I247" s="250">
        <f>SUM(I113:I245)</f>
        <v>0</v>
      </c>
      <c r="J247" s="250">
        <f>SUM(J113:J245)</f>
        <v>0</v>
      </c>
      <c r="K247" s="250">
        <f>SUM(K113:K245)</f>
        <v>21.73</v>
      </c>
      <c r="L247" s="250">
        <f>SUM(L113:L245)</f>
        <v>22.1</v>
      </c>
      <c r="M247" s="250">
        <f t="shared" ref="M247:S247" si="48">SUM(M113:M245)</f>
        <v>23.1</v>
      </c>
      <c r="N247" s="250">
        <f t="shared" si="48"/>
        <v>28.88</v>
      </c>
      <c r="O247" s="250">
        <f t="shared" si="48"/>
        <v>28.88</v>
      </c>
      <c r="P247" s="250">
        <f t="shared" si="48"/>
        <v>12.84</v>
      </c>
      <c r="Q247" s="250">
        <f t="shared" si="48"/>
        <v>0</v>
      </c>
      <c r="R247" s="250">
        <f t="shared" si="48"/>
        <v>0</v>
      </c>
      <c r="S247" s="250">
        <f t="shared" si="48"/>
        <v>0</v>
      </c>
      <c r="T247" s="250">
        <f>SUM(T113:T245)</f>
        <v>0</v>
      </c>
      <c r="U247" s="251"/>
      <c r="V247" s="413">
        <f>SUM(V113:V245)</f>
        <v>137.53</v>
      </c>
      <c r="W247" s="254"/>
      <c r="X247" s="246"/>
      <c r="Y247" s="246"/>
      <c r="Z247" s="246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7">
        <f t="shared" si="43"/>
        <v>0</v>
      </c>
    </row>
    <row r="248" spans="1:36">
      <c r="B248" s="243"/>
      <c r="C248" s="248"/>
      <c r="D248" s="243"/>
      <c r="E248" s="267"/>
      <c r="F248" s="244"/>
      <c r="G248" s="244"/>
      <c r="H248" s="249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54"/>
      <c r="V248" s="430"/>
      <c r="W248" s="254"/>
      <c r="X248" s="246"/>
      <c r="Y248" s="246"/>
      <c r="Z248" s="246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7">
        <f t="shared" si="43"/>
        <v>0</v>
      </c>
    </row>
    <row r="249" spans="1:36">
      <c r="B249" s="252" t="s">
        <v>151</v>
      </c>
      <c r="C249" s="248"/>
      <c r="D249" s="243"/>
      <c r="E249" s="267"/>
      <c r="F249" s="244"/>
      <c r="G249" s="244"/>
      <c r="H249" s="249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54"/>
      <c r="V249" s="430"/>
      <c r="W249" s="254"/>
      <c r="X249" s="246"/>
      <c r="Y249" s="246"/>
      <c r="Z249" s="246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7">
        <f t="shared" si="43"/>
        <v>0</v>
      </c>
    </row>
    <row r="250" spans="1:36">
      <c r="A250" s="231" t="str">
        <f>$A$3&amp;"Commercial"&amp;B250</f>
        <v>JBLM HOUSINGCommercialMFNBINS</v>
      </c>
      <c r="B250" s="243" t="s">
        <v>659</v>
      </c>
      <c r="C250" s="243" t="s">
        <v>660</v>
      </c>
      <c r="D250" s="243" t="s">
        <v>528</v>
      </c>
      <c r="E250" s="230">
        <v>33000</v>
      </c>
      <c r="F250" s="244">
        <v>0</v>
      </c>
      <c r="G250" s="244">
        <v>0</v>
      </c>
      <c r="H250" s="244"/>
      <c r="I250" s="244">
        <v>0</v>
      </c>
      <c r="J250" s="244">
        <v>0</v>
      </c>
      <c r="K250" s="244">
        <v>0</v>
      </c>
      <c r="L250" s="244">
        <v>0</v>
      </c>
      <c r="M250" s="244">
        <v>0</v>
      </c>
      <c r="N250" s="244">
        <v>0</v>
      </c>
      <c r="O250" s="244">
        <v>0</v>
      </c>
      <c r="P250" s="244">
        <v>0</v>
      </c>
      <c r="Q250" s="244">
        <v>0</v>
      </c>
      <c r="R250" s="244">
        <v>0</v>
      </c>
      <c r="S250" s="244">
        <v>0</v>
      </c>
      <c r="T250" s="244">
        <v>0</v>
      </c>
      <c r="U250" s="245"/>
      <c r="V250" s="408">
        <f>SUM(I250:T250)</f>
        <v>0</v>
      </c>
      <c r="W250" s="245"/>
      <c r="X250" s="246">
        <f>IFERROR(I250/$F250,0)</f>
        <v>0</v>
      </c>
      <c r="Y250" s="246">
        <f>IFERROR(J250/$F250,0)</f>
        <v>0</v>
      </c>
      <c r="Z250" s="246">
        <f>IFERROR(K250/$F250,0)</f>
        <v>0</v>
      </c>
      <c r="AA250" s="245">
        <f>IFERROR(L250/#REF!,0)</f>
        <v>0</v>
      </c>
      <c r="AB250" s="245">
        <f>IFERROR(M250/#REF!,0)</f>
        <v>0</v>
      </c>
      <c r="AC250" s="245">
        <f>IFERROR(N250/#REF!,0)</f>
        <v>0</v>
      </c>
      <c r="AD250" s="245">
        <f>IFERROR(O250/#REF!,0)</f>
        <v>0</v>
      </c>
      <c r="AE250" s="245">
        <f>IFERROR(P250/#REF!,0)</f>
        <v>0</v>
      </c>
      <c r="AF250" s="245">
        <f>IFERROR(Q250/#REF!,0)</f>
        <v>0</v>
      </c>
      <c r="AG250" s="245">
        <f>IFERROR(R250/#REF!,0)</f>
        <v>0</v>
      </c>
      <c r="AH250" s="245">
        <f>IFERROR(S250/#REF!,0)</f>
        <v>0</v>
      </c>
      <c r="AI250" s="245">
        <f>IFERROR(T250/#REF!,0)</f>
        <v>0</v>
      </c>
      <c r="AJ250" s="247">
        <f t="shared" si="43"/>
        <v>0</v>
      </c>
    </row>
    <row r="251" spans="1:36">
      <c r="B251" s="243"/>
      <c r="C251" s="248"/>
      <c r="D251" s="243"/>
      <c r="E251" s="267"/>
      <c r="F251" s="244"/>
      <c r="G251" s="244"/>
      <c r="H251" s="249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54"/>
      <c r="V251" s="430"/>
      <c r="W251" s="254"/>
      <c r="X251" s="246"/>
      <c r="Y251" s="246"/>
      <c r="Z251" s="246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7">
        <f t="shared" si="43"/>
        <v>0</v>
      </c>
    </row>
    <row r="252" spans="1:36">
      <c r="B252" s="243"/>
      <c r="C252" s="248" t="s">
        <v>152</v>
      </c>
      <c r="D252" s="243"/>
      <c r="E252" s="267"/>
      <c r="F252" s="244"/>
      <c r="G252" s="244"/>
      <c r="H252" s="249"/>
      <c r="I252" s="250">
        <f>SUM(I250:I251)</f>
        <v>0</v>
      </c>
      <c r="J252" s="250">
        <f>SUM(J250:J251)</f>
        <v>0</v>
      </c>
      <c r="K252" s="250">
        <f t="shared" ref="K252:T252" si="49">SUM(K250:K251)</f>
        <v>0</v>
      </c>
      <c r="L252" s="250">
        <f t="shared" si="49"/>
        <v>0</v>
      </c>
      <c r="M252" s="250">
        <f t="shared" si="49"/>
        <v>0</v>
      </c>
      <c r="N252" s="250">
        <f t="shared" si="49"/>
        <v>0</v>
      </c>
      <c r="O252" s="250">
        <f t="shared" si="49"/>
        <v>0</v>
      </c>
      <c r="P252" s="250">
        <f t="shared" si="49"/>
        <v>0</v>
      </c>
      <c r="Q252" s="250">
        <f t="shared" si="49"/>
        <v>0</v>
      </c>
      <c r="R252" s="250">
        <f t="shared" si="49"/>
        <v>0</v>
      </c>
      <c r="S252" s="250">
        <f t="shared" si="49"/>
        <v>0</v>
      </c>
      <c r="T252" s="250">
        <f t="shared" si="49"/>
        <v>0</v>
      </c>
      <c r="U252" s="251"/>
      <c r="V252" s="413">
        <f>SUM(V250:V251)</f>
        <v>0</v>
      </c>
      <c r="W252" s="254"/>
      <c r="X252" s="246"/>
      <c r="Y252" s="246"/>
      <c r="Z252" s="246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7">
        <f t="shared" si="43"/>
        <v>0</v>
      </c>
    </row>
    <row r="253" spans="1:36">
      <c r="B253" s="243"/>
      <c r="C253" s="248"/>
      <c r="D253" s="243"/>
      <c r="E253" s="267"/>
      <c r="F253" s="244"/>
      <c r="G253" s="244"/>
      <c r="H253" s="249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54"/>
      <c r="V253" s="430"/>
      <c r="W253" s="254"/>
      <c r="X253" s="246"/>
      <c r="Y253" s="246"/>
      <c r="Z253" s="246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7">
        <f t="shared" si="43"/>
        <v>0</v>
      </c>
    </row>
    <row r="254" spans="1:36">
      <c r="B254" s="243"/>
      <c r="C254" s="248"/>
      <c r="D254" s="243"/>
      <c r="E254" s="267"/>
      <c r="F254" s="244"/>
      <c r="G254" s="244"/>
      <c r="H254" s="249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54"/>
      <c r="V254" s="430"/>
      <c r="W254" s="254"/>
      <c r="X254" s="246"/>
      <c r="Y254" s="246"/>
      <c r="Z254" s="246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7">
        <f t="shared" si="43"/>
        <v>0</v>
      </c>
    </row>
    <row r="255" spans="1:36">
      <c r="B255" s="243"/>
      <c r="C255" s="243"/>
      <c r="D255" s="243"/>
      <c r="E255" s="267"/>
      <c r="F255" s="244"/>
      <c r="G255" s="244"/>
      <c r="H255" s="249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9"/>
      <c r="W255" s="272"/>
      <c r="X255" s="246"/>
      <c r="Y255" s="246"/>
      <c r="Z255" s="246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7">
        <f t="shared" si="43"/>
        <v>0</v>
      </c>
    </row>
    <row r="256" spans="1:36">
      <c r="B256" s="252" t="s">
        <v>667</v>
      </c>
      <c r="C256" s="243"/>
      <c r="D256" s="243"/>
      <c r="E256" s="267"/>
      <c r="F256" s="244"/>
      <c r="G256" s="244"/>
      <c r="H256" s="249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9"/>
      <c r="W256" s="272"/>
      <c r="X256" s="246"/>
      <c r="Y256" s="246"/>
      <c r="Z256" s="246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7">
        <f t="shared" si="43"/>
        <v>0</v>
      </c>
    </row>
    <row r="257" spans="1:36" s="229" customFormat="1">
      <c r="A257" s="231" t="str">
        <f>$A$3&amp;"Commercial Recycle"&amp;B257</f>
        <v>JBLM HOUSINGCommercial RecycleSL096.0G1M001BCMGLOUT</v>
      </c>
      <c r="B257" s="243" t="s">
        <v>703</v>
      </c>
      <c r="C257" s="243"/>
      <c r="D257" s="243"/>
      <c r="E257" s="230"/>
      <c r="F257" s="244">
        <v>12</v>
      </c>
      <c r="G257" s="244">
        <v>6.18</v>
      </c>
      <c r="H257" s="244"/>
      <c r="I257" s="244">
        <v>13.49</v>
      </c>
      <c r="J257" s="244">
        <v>13.49</v>
      </c>
      <c r="K257" s="244">
        <v>13.49</v>
      </c>
      <c r="L257" s="244">
        <v>13.49</v>
      </c>
      <c r="M257" s="244">
        <v>13.49</v>
      </c>
      <c r="N257" s="244">
        <v>13.49</v>
      </c>
      <c r="O257" s="244">
        <v>13.49</v>
      </c>
      <c r="P257" s="244">
        <v>13.49</v>
      </c>
      <c r="Q257" s="244">
        <v>13.49</v>
      </c>
      <c r="R257" s="244">
        <v>13.49</v>
      </c>
      <c r="S257" s="244">
        <v>13.49</v>
      </c>
      <c r="T257" s="244">
        <v>13.49</v>
      </c>
      <c r="U257" s="245"/>
      <c r="V257" s="408">
        <f>SUM(I257:T257)</f>
        <v>161.88</v>
      </c>
      <c r="W257" s="245"/>
      <c r="X257" s="246">
        <f>IFERROR(I257/$F257,0)</f>
        <v>1.1241666666666668</v>
      </c>
      <c r="Y257" s="246">
        <f>IFERROR(J257/$F257,0)</f>
        <v>1.1241666666666668</v>
      </c>
      <c r="Z257" s="246">
        <f>IFERROR(K257/$F257,0)</f>
        <v>1.1241666666666668</v>
      </c>
      <c r="AA257" s="245">
        <f t="shared" ref="AA257:AI257" si="50">IFERROR(L257/$G257,0)</f>
        <v>2.1828478964401294</v>
      </c>
      <c r="AB257" s="245">
        <f t="shared" si="50"/>
        <v>2.1828478964401294</v>
      </c>
      <c r="AC257" s="245">
        <f t="shared" si="50"/>
        <v>2.1828478964401294</v>
      </c>
      <c r="AD257" s="245">
        <f t="shared" si="50"/>
        <v>2.1828478964401294</v>
      </c>
      <c r="AE257" s="245">
        <f t="shared" si="50"/>
        <v>2.1828478964401294</v>
      </c>
      <c r="AF257" s="245">
        <f t="shared" si="50"/>
        <v>2.1828478964401294</v>
      </c>
      <c r="AG257" s="245">
        <f t="shared" si="50"/>
        <v>2.1828478964401294</v>
      </c>
      <c r="AH257" s="245">
        <f t="shared" si="50"/>
        <v>2.1828478964401294</v>
      </c>
      <c r="AI257" s="245">
        <f t="shared" si="50"/>
        <v>2.1828478964401294</v>
      </c>
      <c r="AJ257" s="247">
        <f t="shared" si="43"/>
        <v>23.018131067961168</v>
      </c>
    </row>
    <row r="258" spans="1:36" s="229" customFormat="1">
      <c r="B258" s="243"/>
      <c r="C258" s="243"/>
      <c r="D258" s="243"/>
      <c r="E258" s="230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6"/>
      <c r="V258" s="431"/>
      <c r="W258" s="290"/>
      <c r="X258" s="246"/>
      <c r="Y258" s="246"/>
      <c r="Z258" s="246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7">
        <f t="shared" si="43"/>
        <v>0</v>
      </c>
    </row>
    <row r="259" spans="1:36">
      <c r="B259" s="243"/>
      <c r="C259" s="248" t="s">
        <v>742</v>
      </c>
      <c r="D259" s="243"/>
      <c r="F259" s="244"/>
      <c r="G259" s="244"/>
      <c r="H259" s="249"/>
      <c r="I259" s="250">
        <f>SUM(I257:I257)</f>
        <v>13.49</v>
      </c>
      <c r="J259" s="250">
        <f>SUM(J257:J257)</f>
        <v>13.49</v>
      </c>
      <c r="K259" s="250">
        <f t="shared" ref="K259:T259" si="51">SUM(K257:K257)</f>
        <v>13.49</v>
      </c>
      <c r="L259" s="250">
        <f t="shared" si="51"/>
        <v>13.49</v>
      </c>
      <c r="M259" s="250">
        <f t="shared" si="51"/>
        <v>13.49</v>
      </c>
      <c r="N259" s="250">
        <f t="shared" si="51"/>
        <v>13.49</v>
      </c>
      <c r="O259" s="250">
        <f t="shared" si="51"/>
        <v>13.49</v>
      </c>
      <c r="P259" s="250">
        <f t="shared" si="51"/>
        <v>13.49</v>
      </c>
      <c r="Q259" s="250">
        <f t="shared" si="51"/>
        <v>13.49</v>
      </c>
      <c r="R259" s="250">
        <f t="shared" si="51"/>
        <v>13.49</v>
      </c>
      <c r="S259" s="250">
        <f t="shared" si="51"/>
        <v>13.49</v>
      </c>
      <c r="T259" s="250">
        <f t="shared" si="51"/>
        <v>13.49</v>
      </c>
      <c r="U259" s="251"/>
      <c r="V259" s="413">
        <f>SUM(V257:V257)</f>
        <v>161.88</v>
      </c>
      <c r="W259" s="254"/>
      <c r="X259" s="246"/>
      <c r="Y259" s="246"/>
      <c r="Z259" s="246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7">
        <f t="shared" si="43"/>
        <v>0</v>
      </c>
    </row>
    <row r="260" spans="1:36">
      <c r="F260" s="244"/>
      <c r="G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68"/>
      <c r="W260" s="268"/>
      <c r="X260" s="246"/>
      <c r="Y260" s="246"/>
      <c r="Z260" s="246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7">
        <f t="shared" si="43"/>
        <v>0</v>
      </c>
    </row>
    <row r="261" spans="1:36">
      <c r="F261" s="244"/>
      <c r="G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X261" s="246"/>
      <c r="Y261" s="246"/>
      <c r="Z261" s="246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7">
        <f t="shared" si="43"/>
        <v>0</v>
      </c>
    </row>
    <row r="262" spans="1:36" s="255" customFormat="1">
      <c r="B262" s="228" t="s">
        <v>743</v>
      </c>
      <c r="C262" s="228"/>
      <c r="D262" s="228"/>
      <c r="E262" s="236"/>
      <c r="F262" s="244"/>
      <c r="G262" s="244"/>
      <c r="H262" s="228"/>
      <c r="I262" s="259">
        <f>+I259+I252+I247</f>
        <v>13.49</v>
      </c>
      <c r="J262" s="259">
        <f>+J259+J252+J247</f>
        <v>13.49</v>
      </c>
      <c r="K262" s="259">
        <f t="shared" ref="K262:T262" si="52">+K259+K252+K247</f>
        <v>35.22</v>
      </c>
      <c r="L262" s="259">
        <f t="shared" si="52"/>
        <v>35.590000000000003</v>
      </c>
      <c r="M262" s="259">
        <f t="shared" si="52"/>
        <v>36.590000000000003</v>
      </c>
      <c r="N262" s="259">
        <f t="shared" si="52"/>
        <v>42.37</v>
      </c>
      <c r="O262" s="259">
        <f t="shared" si="52"/>
        <v>42.37</v>
      </c>
      <c r="P262" s="259">
        <f t="shared" si="52"/>
        <v>26.33</v>
      </c>
      <c r="Q262" s="259">
        <f t="shared" si="52"/>
        <v>13.49</v>
      </c>
      <c r="R262" s="259">
        <f t="shared" si="52"/>
        <v>13.49</v>
      </c>
      <c r="S262" s="259">
        <f t="shared" si="52"/>
        <v>13.49</v>
      </c>
      <c r="T262" s="259">
        <f t="shared" si="52"/>
        <v>13.49</v>
      </c>
      <c r="U262" s="269"/>
      <c r="V262" s="416">
        <f>+V259+V252+V247</f>
        <v>299.40999999999997</v>
      </c>
      <c r="W262" s="269"/>
      <c r="X262" s="246"/>
      <c r="Y262" s="246"/>
      <c r="Z262" s="246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7">
        <f t="shared" si="43"/>
        <v>0</v>
      </c>
    </row>
    <row r="263" spans="1:36" s="255" customFormat="1">
      <c r="B263" s="228"/>
      <c r="C263" s="228"/>
      <c r="D263" s="228"/>
      <c r="E263" s="236"/>
      <c r="F263" s="244"/>
      <c r="G263" s="244"/>
      <c r="H263" s="261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70"/>
      <c r="V263" s="415"/>
      <c r="W263" s="291"/>
      <c r="X263" s="246"/>
      <c r="Y263" s="246"/>
      <c r="Z263" s="246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7">
        <f t="shared" si="43"/>
        <v>0</v>
      </c>
    </row>
    <row r="264" spans="1:36" s="255" customFormat="1">
      <c r="B264" s="228"/>
      <c r="C264" s="228"/>
      <c r="D264" s="228"/>
      <c r="E264" s="236"/>
      <c r="F264" s="244"/>
      <c r="G264" s="244"/>
      <c r="H264" s="261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71"/>
      <c r="V264" s="415"/>
      <c r="W264" s="292"/>
      <c r="X264" s="246"/>
      <c r="Y264" s="246"/>
      <c r="Z264" s="246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7">
        <f t="shared" si="43"/>
        <v>0</v>
      </c>
    </row>
    <row r="265" spans="1:36">
      <c r="F265" s="244"/>
      <c r="G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X265" s="246"/>
      <c r="Y265" s="246"/>
      <c r="Z265" s="246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7">
        <f t="shared" si="43"/>
        <v>0</v>
      </c>
    </row>
    <row r="266" spans="1:36">
      <c r="B266" s="239" t="s">
        <v>153</v>
      </c>
      <c r="C266" s="239"/>
      <c r="D266" s="239"/>
      <c r="F266" s="244"/>
      <c r="G266" s="244"/>
      <c r="H266" s="240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65"/>
      <c r="W266" s="232"/>
      <c r="X266" s="246"/>
      <c r="Y266" s="246"/>
      <c r="Z266" s="246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7">
        <f t="shared" si="43"/>
        <v>0</v>
      </c>
    </row>
    <row r="267" spans="1:36">
      <c r="B267" s="239"/>
      <c r="C267" s="239"/>
      <c r="D267" s="239"/>
      <c r="F267" s="244"/>
      <c r="G267" s="244"/>
      <c r="H267" s="240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65"/>
      <c r="X267" s="246"/>
      <c r="Y267" s="246"/>
      <c r="Z267" s="246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7">
        <f t="shared" si="43"/>
        <v>0</v>
      </c>
    </row>
    <row r="268" spans="1:36">
      <c r="B268" s="252" t="s">
        <v>154</v>
      </c>
      <c r="C268" s="243"/>
      <c r="D268" s="243"/>
      <c r="F268" s="244"/>
      <c r="G268" s="244"/>
      <c r="H268" s="272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72"/>
      <c r="W268" s="272"/>
      <c r="X268" s="246"/>
      <c r="Y268" s="246"/>
      <c r="Z268" s="246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7">
        <f t="shared" ref="AJ268:AJ331" si="53">SUM(X268:AI268)</f>
        <v>0</v>
      </c>
    </row>
    <row r="269" spans="1:36">
      <c r="A269" s="231" t="str">
        <f>$A$3&amp;"Rolloff"&amp;B269</f>
        <v>JBLM HOUSINGRolloffHAUL20-RO</v>
      </c>
      <c r="B269" s="243" t="s">
        <v>747</v>
      </c>
      <c r="C269" s="243" t="s">
        <v>748</v>
      </c>
      <c r="D269" s="243" t="s">
        <v>746</v>
      </c>
      <c r="E269" s="230">
        <v>31000</v>
      </c>
      <c r="F269" s="244">
        <v>152</v>
      </c>
      <c r="G269" s="244">
        <v>152</v>
      </c>
      <c r="H269" s="244"/>
      <c r="I269" s="244">
        <v>152</v>
      </c>
      <c r="J269" s="244">
        <v>152</v>
      </c>
      <c r="K269" s="244">
        <v>152</v>
      </c>
      <c r="L269" s="244">
        <v>0</v>
      </c>
      <c r="M269" s="244">
        <v>152</v>
      </c>
      <c r="N269" s="244">
        <v>0</v>
      </c>
      <c r="O269" s="244">
        <v>152</v>
      </c>
      <c r="P269" s="244">
        <v>0</v>
      </c>
      <c r="Q269" s="244">
        <v>152</v>
      </c>
      <c r="R269" s="244">
        <v>152</v>
      </c>
      <c r="S269" s="244">
        <v>608</v>
      </c>
      <c r="T269" s="244">
        <v>304</v>
      </c>
      <c r="U269" s="245"/>
      <c r="V269" s="408">
        <f t="shared" ref="V269:V305" si="54">SUM(I269:T269)</f>
        <v>1976</v>
      </c>
      <c r="W269" s="245"/>
      <c r="X269" s="246">
        <f t="shared" ref="X269:Z305" si="55">IFERROR(I269/$F269,0)</f>
        <v>1</v>
      </c>
      <c r="Y269" s="246">
        <f t="shared" si="55"/>
        <v>1</v>
      </c>
      <c r="Z269" s="246">
        <f t="shared" si="55"/>
        <v>1</v>
      </c>
      <c r="AA269" s="245">
        <f t="shared" ref="AA269:AI297" si="56">IFERROR(L269/$G269,0)</f>
        <v>0</v>
      </c>
      <c r="AB269" s="245">
        <f t="shared" si="56"/>
        <v>1</v>
      </c>
      <c r="AC269" s="245">
        <f t="shared" si="56"/>
        <v>0</v>
      </c>
      <c r="AD269" s="245">
        <f t="shared" si="56"/>
        <v>1</v>
      </c>
      <c r="AE269" s="245">
        <f t="shared" si="56"/>
        <v>0</v>
      </c>
      <c r="AF269" s="245">
        <f t="shared" si="56"/>
        <v>1</v>
      </c>
      <c r="AG269" s="245">
        <f t="shared" si="56"/>
        <v>1</v>
      </c>
      <c r="AH269" s="245">
        <f t="shared" si="56"/>
        <v>4</v>
      </c>
      <c r="AI269" s="245">
        <f t="shared" si="56"/>
        <v>2</v>
      </c>
      <c r="AJ269" s="247">
        <f t="shared" si="53"/>
        <v>13</v>
      </c>
    </row>
    <row r="270" spans="1:36">
      <c r="A270" s="231" t="str">
        <f t="shared" ref="A270:A305" si="57">$A$3&amp;"Rolloff"&amp;B270</f>
        <v>JBLM HOUSINGRolloffHAUL30-RO</v>
      </c>
      <c r="B270" s="243" t="s">
        <v>749</v>
      </c>
      <c r="C270" s="243" t="s">
        <v>750</v>
      </c>
      <c r="D270" s="243" t="s">
        <v>746</v>
      </c>
      <c r="E270" s="230">
        <v>31000</v>
      </c>
      <c r="F270" s="244">
        <v>159</v>
      </c>
      <c r="G270" s="244">
        <v>159</v>
      </c>
      <c r="H270" s="244"/>
      <c r="I270" s="244">
        <v>159</v>
      </c>
      <c r="J270" s="244">
        <v>159</v>
      </c>
      <c r="K270" s="244">
        <v>318</v>
      </c>
      <c r="L270" s="244">
        <v>159</v>
      </c>
      <c r="M270" s="244">
        <v>318</v>
      </c>
      <c r="N270" s="244">
        <v>159</v>
      </c>
      <c r="O270" s="244">
        <v>318</v>
      </c>
      <c r="P270" s="244">
        <v>318</v>
      </c>
      <c r="Q270" s="244">
        <v>318</v>
      </c>
      <c r="R270" s="244">
        <v>318</v>
      </c>
      <c r="S270" s="244">
        <v>318</v>
      </c>
      <c r="T270" s="244">
        <v>159</v>
      </c>
      <c r="U270" s="245"/>
      <c r="V270" s="408">
        <f t="shared" si="54"/>
        <v>3021</v>
      </c>
      <c r="W270" s="245"/>
      <c r="X270" s="246">
        <f t="shared" si="55"/>
        <v>1</v>
      </c>
      <c r="Y270" s="246">
        <f t="shared" si="55"/>
        <v>1</v>
      </c>
      <c r="Z270" s="246">
        <f t="shared" si="55"/>
        <v>2</v>
      </c>
      <c r="AA270" s="245">
        <f t="shared" si="56"/>
        <v>1</v>
      </c>
      <c r="AB270" s="245">
        <f t="shared" si="56"/>
        <v>2</v>
      </c>
      <c r="AC270" s="245">
        <f t="shared" si="56"/>
        <v>1</v>
      </c>
      <c r="AD270" s="245">
        <f t="shared" si="56"/>
        <v>2</v>
      </c>
      <c r="AE270" s="245">
        <f t="shared" si="56"/>
        <v>2</v>
      </c>
      <c r="AF270" s="245">
        <f t="shared" si="56"/>
        <v>2</v>
      </c>
      <c r="AG270" s="245">
        <f t="shared" si="56"/>
        <v>2</v>
      </c>
      <c r="AH270" s="245">
        <f t="shared" si="56"/>
        <v>2</v>
      </c>
      <c r="AI270" s="245">
        <f t="shared" si="56"/>
        <v>1</v>
      </c>
      <c r="AJ270" s="247">
        <f t="shared" si="53"/>
        <v>19</v>
      </c>
    </row>
    <row r="271" spans="1:36">
      <c r="A271" s="231" t="str">
        <f t="shared" si="57"/>
        <v>JBLM HOUSINGRolloffHAUL40-RO</v>
      </c>
      <c r="B271" s="243" t="s">
        <v>751</v>
      </c>
      <c r="C271" s="243" t="s">
        <v>752</v>
      </c>
      <c r="D271" s="243" t="s">
        <v>746</v>
      </c>
      <c r="E271" s="230">
        <v>31000</v>
      </c>
      <c r="F271" s="244">
        <v>165</v>
      </c>
      <c r="G271" s="244">
        <v>165</v>
      </c>
      <c r="H271" s="244"/>
      <c r="I271" s="244">
        <v>3300</v>
      </c>
      <c r="J271" s="244">
        <v>3300</v>
      </c>
      <c r="K271" s="244">
        <v>2805</v>
      </c>
      <c r="L271" s="244">
        <v>3465</v>
      </c>
      <c r="M271" s="244">
        <v>3795</v>
      </c>
      <c r="N271" s="244">
        <v>3630</v>
      </c>
      <c r="O271" s="244">
        <v>4290</v>
      </c>
      <c r="P271" s="244">
        <v>4290</v>
      </c>
      <c r="Q271" s="244">
        <v>5115</v>
      </c>
      <c r="R271" s="244">
        <v>4785</v>
      </c>
      <c r="S271" s="244">
        <v>4785</v>
      </c>
      <c r="T271" s="244">
        <v>4290</v>
      </c>
      <c r="U271" s="245"/>
      <c r="V271" s="408">
        <f t="shared" si="54"/>
        <v>47850</v>
      </c>
      <c r="W271" s="245"/>
      <c r="X271" s="246">
        <f t="shared" si="55"/>
        <v>20</v>
      </c>
      <c r="Y271" s="246">
        <f t="shared" si="55"/>
        <v>20</v>
      </c>
      <c r="Z271" s="246">
        <f t="shared" si="55"/>
        <v>17</v>
      </c>
      <c r="AA271" s="245">
        <f t="shared" si="56"/>
        <v>21</v>
      </c>
      <c r="AB271" s="245">
        <f t="shared" si="56"/>
        <v>23</v>
      </c>
      <c r="AC271" s="245">
        <f t="shared" si="56"/>
        <v>22</v>
      </c>
      <c r="AD271" s="245">
        <f t="shared" si="56"/>
        <v>26</v>
      </c>
      <c r="AE271" s="245">
        <f t="shared" si="56"/>
        <v>26</v>
      </c>
      <c r="AF271" s="245">
        <f t="shared" si="56"/>
        <v>31</v>
      </c>
      <c r="AG271" s="245">
        <f t="shared" si="56"/>
        <v>29</v>
      </c>
      <c r="AH271" s="245">
        <f t="shared" si="56"/>
        <v>29</v>
      </c>
      <c r="AI271" s="245">
        <f t="shared" si="56"/>
        <v>26</v>
      </c>
      <c r="AJ271" s="247">
        <f t="shared" si="53"/>
        <v>290</v>
      </c>
    </row>
    <row r="272" spans="1:36">
      <c r="A272" s="231" t="str">
        <f t="shared" si="57"/>
        <v>JBLM HOUSINGRolloffFINAL20-RO</v>
      </c>
      <c r="B272" s="243" t="s">
        <v>755</v>
      </c>
      <c r="C272" s="243" t="s">
        <v>756</v>
      </c>
      <c r="D272" s="243" t="s">
        <v>746</v>
      </c>
      <c r="E272" s="230">
        <v>31000</v>
      </c>
      <c r="F272" s="244">
        <v>152</v>
      </c>
      <c r="G272" s="244">
        <v>152</v>
      </c>
      <c r="H272" s="244"/>
      <c r="I272" s="244">
        <v>0</v>
      </c>
      <c r="J272" s="244">
        <v>0</v>
      </c>
      <c r="K272" s="244">
        <v>0</v>
      </c>
      <c r="L272" s="244">
        <v>0</v>
      </c>
      <c r="M272" s="244">
        <v>0</v>
      </c>
      <c r="N272" s="244">
        <v>0</v>
      </c>
      <c r="O272" s="244">
        <v>0</v>
      </c>
      <c r="P272" s="244">
        <v>0</v>
      </c>
      <c r="Q272" s="244">
        <v>0</v>
      </c>
      <c r="R272" s="244">
        <v>0</v>
      </c>
      <c r="S272" s="244">
        <v>0</v>
      </c>
      <c r="T272" s="244">
        <v>0</v>
      </c>
      <c r="U272" s="245"/>
      <c r="V272" s="408">
        <f t="shared" si="54"/>
        <v>0</v>
      </c>
      <c r="W272" s="245"/>
      <c r="X272" s="246">
        <f t="shared" si="55"/>
        <v>0</v>
      </c>
      <c r="Y272" s="246">
        <f t="shared" si="55"/>
        <v>0</v>
      </c>
      <c r="Z272" s="246">
        <f t="shared" si="55"/>
        <v>0</v>
      </c>
      <c r="AA272" s="245">
        <f t="shared" si="56"/>
        <v>0</v>
      </c>
      <c r="AB272" s="245">
        <f t="shared" si="56"/>
        <v>0</v>
      </c>
      <c r="AC272" s="245">
        <f t="shared" si="56"/>
        <v>0</v>
      </c>
      <c r="AD272" s="245">
        <f t="shared" si="56"/>
        <v>0</v>
      </c>
      <c r="AE272" s="245">
        <f t="shared" si="56"/>
        <v>0</v>
      </c>
      <c r="AF272" s="245">
        <f t="shared" si="56"/>
        <v>0</v>
      </c>
      <c r="AG272" s="245">
        <f t="shared" si="56"/>
        <v>0</v>
      </c>
      <c r="AH272" s="245">
        <f t="shared" si="56"/>
        <v>0</v>
      </c>
      <c r="AI272" s="245">
        <f t="shared" si="56"/>
        <v>0</v>
      </c>
      <c r="AJ272" s="247">
        <f t="shared" si="53"/>
        <v>0</v>
      </c>
    </row>
    <row r="273" spans="1:36">
      <c r="A273" s="231" t="str">
        <f t="shared" si="57"/>
        <v>JBLM HOUSINGRolloffFINAL30-RO</v>
      </c>
      <c r="B273" s="243" t="s">
        <v>757</v>
      </c>
      <c r="C273" s="243" t="s">
        <v>758</v>
      </c>
      <c r="D273" s="243" t="s">
        <v>746</v>
      </c>
      <c r="E273" s="230">
        <v>31000</v>
      </c>
      <c r="F273" s="244">
        <v>159</v>
      </c>
      <c r="G273" s="244">
        <v>159</v>
      </c>
      <c r="H273" s="244"/>
      <c r="I273" s="244">
        <v>0</v>
      </c>
      <c r="J273" s="244">
        <v>0</v>
      </c>
      <c r="K273" s="244">
        <v>0</v>
      </c>
      <c r="L273" s="244">
        <v>0</v>
      </c>
      <c r="M273" s="244">
        <v>0</v>
      </c>
      <c r="N273" s="244">
        <v>0</v>
      </c>
      <c r="O273" s="244">
        <v>0</v>
      </c>
      <c r="P273" s="244">
        <v>0</v>
      </c>
      <c r="Q273" s="244">
        <v>0</v>
      </c>
      <c r="R273" s="244">
        <v>0</v>
      </c>
      <c r="S273" s="244">
        <v>0</v>
      </c>
      <c r="T273" s="244">
        <v>0</v>
      </c>
      <c r="U273" s="245"/>
      <c r="V273" s="408">
        <f t="shared" si="54"/>
        <v>0</v>
      </c>
      <c r="W273" s="245"/>
      <c r="X273" s="246">
        <f t="shared" si="55"/>
        <v>0</v>
      </c>
      <c r="Y273" s="246">
        <f t="shared" si="55"/>
        <v>0</v>
      </c>
      <c r="Z273" s="246">
        <f t="shared" si="55"/>
        <v>0</v>
      </c>
      <c r="AA273" s="245">
        <f t="shared" si="56"/>
        <v>0</v>
      </c>
      <c r="AB273" s="245">
        <f t="shared" si="56"/>
        <v>0</v>
      </c>
      <c r="AC273" s="245">
        <f t="shared" si="56"/>
        <v>0</v>
      </c>
      <c r="AD273" s="245">
        <f t="shared" si="56"/>
        <v>0</v>
      </c>
      <c r="AE273" s="245">
        <f t="shared" si="56"/>
        <v>0</v>
      </c>
      <c r="AF273" s="245">
        <f t="shared" si="56"/>
        <v>0</v>
      </c>
      <c r="AG273" s="245">
        <f t="shared" si="56"/>
        <v>0</v>
      </c>
      <c r="AH273" s="245">
        <f t="shared" si="56"/>
        <v>0</v>
      </c>
      <c r="AI273" s="245">
        <f t="shared" si="56"/>
        <v>0</v>
      </c>
      <c r="AJ273" s="247">
        <f t="shared" si="53"/>
        <v>0</v>
      </c>
    </row>
    <row r="274" spans="1:36">
      <c r="A274" s="231" t="str">
        <f t="shared" si="57"/>
        <v>JBLM HOUSINGRolloffFINAL40-RO</v>
      </c>
      <c r="B274" s="243" t="s">
        <v>759</v>
      </c>
      <c r="C274" s="243" t="s">
        <v>760</v>
      </c>
      <c r="D274" s="243" t="s">
        <v>746</v>
      </c>
      <c r="E274" s="230">
        <v>31000</v>
      </c>
      <c r="F274" s="244">
        <v>165</v>
      </c>
      <c r="G274" s="244">
        <v>165</v>
      </c>
      <c r="H274" s="244"/>
      <c r="I274" s="244">
        <v>0</v>
      </c>
      <c r="J274" s="244">
        <v>0</v>
      </c>
      <c r="K274" s="244">
        <v>0</v>
      </c>
      <c r="L274" s="244">
        <v>0</v>
      </c>
      <c r="M274" s="244">
        <v>0</v>
      </c>
      <c r="N274" s="244">
        <v>0</v>
      </c>
      <c r="O274" s="244">
        <v>0</v>
      </c>
      <c r="P274" s="244">
        <v>0</v>
      </c>
      <c r="Q274" s="244">
        <v>0</v>
      </c>
      <c r="R274" s="244">
        <v>0</v>
      </c>
      <c r="S274" s="244">
        <v>0</v>
      </c>
      <c r="T274" s="244">
        <v>0</v>
      </c>
      <c r="U274" s="245"/>
      <c r="V274" s="408">
        <f t="shared" si="54"/>
        <v>0</v>
      </c>
      <c r="W274" s="245"/>
      <c r="X274" s="246">
        <f t="shared" si="55"/>
        <v>0</v>
      </c>
      <c r="Y274" s="246">
        <f t="shared" si="55"/>
        <v>0</v>
      </c>
      <c r="Z274" s="246">
        <f t="shared" si="55"/>
        <v>0</v>
      </c>
      <c r="AA274" s="245">
        <f t="shared" si="56"/>
        <v>0</v>
      </c>
      <c r="AB274" s="245">
        <f t="shared" si="56"/>
        <v>0</v>
      </c>
      <c r="AC274" s="245">
        <f t="shared" si="56"/>
        <v>0</v>
      </c>
      <c r="AD274" s="245">
        <f t="shared" si="56"/>
        <v>0</v>
      </c>
      <c r="AE274" s="245">
        <f t="shared" si="56"/>
        <v>0</v>
      </c>
      <c r="AF274" s="245">
        <f t="shared" si="56"/>
        <v>0</v>
      </c>
      <c r="AG274" s="245">
        <f t="shared" si="56"/>
        <v>0</v>
      </c>
      <c r="AH274" s="245">
        <f t="shared" si="56"/>
        <v>0</v>
      </c>
      <c r="AI274" s="245">
        <f t="shared" si="56"/>
        <v>0</v>
      </c>
      <c r="AJ274" s="247">
        <f t="shared" si="53"/>
        <v>0</v>
      </c>
    </row>
    <row r="275" spans="1:36">
      <c r="A275" s="231" t="str">
        <f t="shared" si="57"/>
        <v>JBLM HOUSINGRolloffDEL20TEMP-RO</v>
      </c>
      <c r="B275" s="243" t="s">
        <v>777</v>
      </c>
      <c r="C275" s="243" t="s">
        <v>778</v>
      </c>
      <c r="D275" s="243" t="s">
        <v>779</v>
      </c>
      <c r="E275" s="230">
        <v>31001</v>
      </c>
      <c r="F275" s="244">
        <v>106</v>
      </c>
      <c r="G275" s="244">
        <v>106</v>
      </c>
      <c r="H275" s="244"/>
      <c r="I275" s="244">
        <v>0</v>
      </c>
      <c r="J275" s="244">
        <v>0</v>
      </c>
      <c r="K275" s="244">
        <v>0</v>
      </c>
      <c r="L275" s="244">
        <v>0</v>
      </c>
      <c r="M275" s="244">
        <v>0</v>
      </c>
      <c r="N275" s="244">
        <v>0</v>
      </c>
      <c r="O275" s="244">
        <v>0</v>
      </c>
      <c r="P275" s="244">
        <v>0</v>
      </c>
      <c r="Q275" s="244">
        <v>0</v>
      </c>
      <c r="R275" s="244">
        <v>0</v>
      </c>
      <c r="S275" s="244">
        <v>0</v>
      </c>
      <c r="T275" s="244">
        <v>0</v>
      </c>
      <c r="U275" s="245"/>
      <c r="V275" s="408">
        <f t="shared" si="54"/>
        <v>0</v>
      </c>
      <c r="W275" s="245"/>
      <c r="X275" s="246">
        <f t="shared" si="55"/>
        <v>0</v>
      </c>
      <c r="Y275" s="246">
        <f t="shared" si="55"/>
        <v>0</v>
      </c>
      <c r="Z275" s="246">
        <f t="shared" si="55"/>
        <v>0</v>
      </c>
      <c r="AA275" s="245">
        <f t="shared" si="56"/>
        <v>0</v>
      </c>
      <c r="AB275" s="245">
        <f t="shared" si="56"/>
        <v>0</v>
      </c>
      <c r="AC275" s="245">
        <f t="shared" si="56"/>
        <v>0</v>
      </c>
      <c r="AD275" s="245">
        <f t="shared" si="56"/>
        <v>0</v>
      </c>
      <c r="AE275" s="245">
        <f t="shared" si="56"/>
        <v>0</v>
      </c>
      <c r="AF275" s="245">
        <f t="shared" si="56"/>
        <v>0</v>
      </c>
      <c r="AG275" s="245">
        <f t="shared" si="56"/>
        <v>0</v>
      </c>
      <c r="AH275" s="245">
        <f t="shared" si="56"/>
        <v>0</v>
      </c>
      <c r="AI275" s="245">
        <f t="shared" si="56"/>
        <v>0</v>
      </c>
      <c r="AJ275" s="247">
        <f t="shared" si="53"/>
        <v>0</v>
      </c>
    </row>
    <row r="276" spans="1:36">
      <c r="A276" s="231" t="str">
        <f t="shared" si="57"/>
        <v>JBLM HOUSINGRolloffDEL30TEMP-RO</v>
      </c>
      <c r="B276" s="243" t="s">
        <v>780</v>
      </c>
      <c r="C276" s="243" t="s">
        <v>781</v>
      </c>
      <c r="D276" s="243" t="s">
        <v>779</v>
      </c>
      <c r="E276" s="230">
        <v>31001</v>
      </c>
      <c r="F276" s="244">
        <v>106</v>
      </c>
      <c r="G276" s="244">
        <v>106</v>
      </c>
      <c r="H276" s="244"/>
      <c r="I276" s="244">
        <v>0</v>
      </c>
      <c r="J276" s="244">
        <v>0</v>
      </c>
      <c r="K276" s="244">
        <v>0</v>
      </c>
      <c r="L276" s="244">
        <v>0</v>
      </c>
      <c r="M276" s="244">
        <v>0</v>
      </c>
      <c r="N276" s="244">
        <v>0</v>
      </c>
      <c r="O276" s="244">
        <v>0</v>
      </c>
      <c r="P276" s="244">
        <v>0</v>
      </c>
      <c r="Q276" s="244">
        <v>0</v>
      </c>
      <c r="R276" s="244">
        <v>0</v>
      </c>
      <c r="S276" s="244">
        <v>0</v>
      </c>
      <c r="T276" s="244">
        <v>0</v>
      </c>
      <c r="U276" s="245"/>
      <c r="V276" s="408">
        <f t="shared" si="54"/>
        <v>0</v>
      </c>
      <c r="W276" s="245"/>
      <c r="X276" s="246">
        <f t="shared" si="55"/>
        <v>0</v>
      </c>
      <c r="Y276" s="246">
        <f t="shared" si="55"/>
        <v>0</v>
      </c>
      <c r="Z276" s="246">
        <f t="shared" si="55"/>
        <v>0</v>
      </c>
      <c r="AA276" s="245">
        <f t="shared" si="56"/>
        <v>0</v>
      </c>
      <c r="AB276" s="245">
        <f t="shared" si="56"/>
        <v>0</v>
      </c>
      <c r="AC276" s="245">
        <f t="shared" si="56"/>
        <v>0</v>
      </c>
      <c r="AD276" s="245">
        <f t="shared" si="56"/>
        <v>0</v>
      </c>
      <c r="AE276" s="245">
        <f t="shared" si="56"/>
        <v>0</v>
      </c>
      <c r="AF276" s="245">
        <f t="shared" si="56"/>
        <v>0</v>
      </c>
      <c r="AG276" s="245">
        <f t="shared" si="56"/>
        <v>0</v>
      </c>
      <c r="AH276" s="245">
        <f t="shared" si="56"/>
        <v>0</v>
      </c>
      <c r="AI276" s="245">
        <f t="shared" si="56"/>
        <v>0</v>
      </c>
      <c r="AJ276" s="247">
        <f t="shared" si="53"/>
        <v>0</v>
      </c>
    </row>
    <row r="277" spans="1:36">
      <c r="A277" s="231" t="str">
        <f t="shared" si="57"/>
        <v>JBLM HOUSINGRolloffDEL40TEMP-RO</v>
      </c>
      <c r="B277" s="243" t="s">
        <v>782</v>
      </c>
      <c r="C277" s="243" t="s">
        <v>783</v>
      </c>
      <c r="D277" s="243" t="s">
        <v>779</v>
      </c>
      <c r="E277" s="230">
        <v>31001</v>
      </c>
      <c r="F277" s="244">
        <v>106</v>
      </c>
      <c r="G277" s="244">
        <v>106</v>
      </c>
      <c r="H277" s="244"/>
      <c r="I277" s="244">
        <v>0</v>
      </c>
      <c r="J277" s="244">
        <v>0</v>
      </c>
      <c r="K277" s="244">
        <v>0</v>
      </c>
      <c r="L277" s="244">
        <v>0</v>
      </c>
      <c r="M277" s="244">
        <v>0</v>
      </c>
      <c r="N277" s="244">
        <v>0</v>
      </c>
      <c r="O277" s="244">
        <v>0</v>
      </c>
      <c r="P277" s="244">
        <v>0</v>
      </c>
      <c r="Q277" s="244">
        <v>0</v>
      </c>
      <c r="R277" s="244">
        <v>0</v>
      </c>
      <c r="S277" s="244">
        <v>0</v>
      </c>
      <c r="T277" s="244">
        <v>0</v>
      </c>
      <c r="U277" s="245"/>
      <c r="V277" s="408">
        <f t="shared" si="54"/>
        <v>0</v>
      </c>
      <c r="W277" s="245"/>
      <c r="X277" s="246">
        <f t="shared" si="55"/>
        <v>0</v>
      </c>
      <c r="Y277" s="246">
        <f t="shared" si="55"/>
        <v>0</v>
      </c>
      <c r="Z277" s="246">
        <f t="shared" si="55"/>
        <v>0</v>
      </c>
      <c r="AA277" s="245">
        <f t="shared" si="56"/>
        <v>0</v>
      </c>
      <c r="AB277" s="245">
        <f t="shared" si="56"/>
        <v>0</v>
      </c>
      <c r="AC277" s="245">
        <f t="shared" si="56"/>
        <v>0</v>
      </c>
      <c r="AD277" s="245">
        <f t="shared" si="56"/>
        <v>0</v>
      </c>
      <c r="AE277" s="245">
        <f t="shared" si="56"/>
        <v>0</v>
      </c>
      <c r="AF277" s="245">
        <f t="shared" si="56"/>
        <v>0</v>
      </c>
      <c r="AG277" s="245">
        <f t="shared" si="56"/>
        <v>0</v>
      </c>
      <c r="AH277" s="245">
        <f t="shared" si="56"/>
        <v>0</v>
      </c>
      <c r="AI277" s="245">
        <f t="shared" si="56"/>
        <v>0</v>
      </c>
      <c r="AJ277" s="247">
        <f t="shared" si="53"/>
        <v>0</v>
      </c>
    </row>
    <row r="278" spans="1:36">
      <c r="A278" s="231" t="str">
        <f t="shared" si="57"/>
        <v>JBLM HOUSINGRolloffFINAL20TEMP-RO</v>
      </c>
      <c r="B278" s="243" t="s">
        <v>784</v>
      </c>
      <c r="C278" s="243" t="s">
        <v>785</v>
      </c>
      <c r="D278" s="243" t="s">
        <v>779</v>
      </c>
      <c r="E278" s="230">
        <v>31001</v>
      </c>
      <c r="F278" s="244">
        <v>165.5</v>
      </c>
      <c r="G278" s="244">
        <v>165.5</v>
      </c>
      <c r="H278" s="244"/>
      <c r="I278" s="244">
        <v>0</v>
      </c>
      <c r="J278" s="244">
        <v>0</v>
      </c>
      <c r="K278" s="244">
        <v>0</v>
      </c>
      <c r="L278" s="244">
        <v>0</v>
      </c>
      <c r="M278" s="244">
        <v>0</v>
      </c>
      <c r="N278" s="244">
        <v>0</v>
      </c>
      <c r="O278" s="244">
        <v>0</v>
      </c>
      <c r="P278" s="244">
        <v>0</v>
      </c>
      <c r="Q278" s="244">
        <v>0</v>
      </c>
      <c r="R278" s="244">
        <v>0</v>
      </c>
      <c r="S278" s="244">
        <v>0</v>
      </c>
      <c r="T278" s="244">
        <v>0</v>
      </c>
      <c r="U278" s="245"/>
      <c r="V278" s="408">
        <f t="shared" si="54"/>
        <v>0</v>
      </c>
      <c r="W278" s="245"/>
      <c r="X278" s="246">
        <f t="shared" si="55"/>
        <v>0</v>
      </c>
      <c r="Y278" s="246">
        <f t="shared" si="55"/>
        <v>0</v>
      </c>
      <c r="Z278" s="246">
        <f t="shared" si="55"/>
        <v>0</v>
      </c>
      <c r="AA278" s="245">
        <f t="shared" si="56"/>
        <v>0</v>
      </c>
      <c r="AB278" s="245">
        <f t="shared" si="56"/>
        <v>0</v>
      </c>
      <c r="AC278" s="245">
        <f t="shared" si="56"/>
        <v>0</v>
      </c>
      <c r="AD278" s="245">
        <f t="shared" si="56"/>
        <v>0</v>
      </c>
      <c r="AE278" s="245">
        <f t="shared" si="56"/>
        <v>0</v>
      </c>
      <c r="AF278" s="245">
        <f t="shared" si="56"/>
        <v>0</v>
      </c>
      <c r="AG278" s="245">
        <f t="shared" si="56"/>
        <v>0</v>
      </c>
      <c r="AH278" s="245">
        <f t="shared" si="56"/>
        <v>0</v>
      </c>
      <c r="AI278" s="245">
        <f t="shared" si="56"/>
        <v>0</v>
      </c>
      <c r="AJ278" s="247">
        <f t="shared" si="53"/>
        <v>0</v>
      </c>
    </row>
    <row r="279" spans="1:36">
      <c r="A279" s="231" t="str">
        <f t="shared" si="57"/>
        <v>JBLM HOUSINGRolloffFINAL30TEMP-RO</v>
      </c>
      <c r="B279" s="243" t="s">
        <v>786</v>
      </c>
      <c r="C279" s="243" t="s">
        <v>787</v>
      </c>
      <c r="D279" s="243" t="s">
        <v>779</v>
      </c>
      <c r="E279" s="230">
        <v>31001</v>
      </c>
      <c r="F279" s="244">
        <v>172</v>
      </c>
      <c r="G279" s="244">
        <v>172</v>
      </c>
      <c r="H279" s="244"/>
      <c r="I279" s="244">
        <v>0</v>
      </c>
      <c r="J279" s="244">
        <v>0</v>
      </c>
      <c r="K279" s="244">
        <v>0</v>
      </c>
      <c r="L279" s="244">
        <v>0</v>
      </c>
      <c r="M279" s="244">
        <v>0</v>
      </c>
      <c r="N279" s="244">
        <v>0</v>
      </c>
      <c r="O279" s="244">
        <v>0</v>
      </c>
      <c r="P279" s="244">
        <v>0</v>
      </c>
      <c r="Q279" s="244">
        <v>0</v>
      </c>
      <c r="R279" s="244">
        <v>0</v>
      </c>
      <c r="S279" s="244">
        <v>0</v>
      </c>
      <c r="T279" s="244">
        <v>0</v>
      </c>
      <c r="U279" s="245"/>
      <c r="V279" s="408">
        <f t="shared" si="54"/>
        <v>0</v>
      </c>
      <c r="W279" s="245"/>
      <c r="X279" s="246">
        <f t="shared" si="55"/>
        <v>0</v>
      </c>
      <c r="Y279" s="246">
        <f t="shared" si="55"/>
        <v>0</v>
      </c>
      <c r="Z279" s="246">
        <f t="shared" si="55"/>
        <v>0</v>
      </c>
      <c r="AA279" s="245">
        <f t="shared" si="56"/>
        <v>0</v>
      </c>
      <c r="AB279" s="245">
        <f t="shared" si="56"/>
        <v>0</v>
      </c>
      <c r="AC279" s="245">
        <f t="shared" si="56"/>
        <v>0</v>
      </c>
      <c r="AD279" s="245">
        <f t="shared" si="56"/>
        <v>0</v>
      </c>
      <c r="AE279" s="245">
        <f t="shared" si="56"/>
        <v>0</v>
      </c>
      <c r="AF279" s="245">
        <f t="shared" si="56"/>
        <v>0</v>
      </c>
      <c r="AG279" s="245">
        <f t="shared" si="56"/>
        <v>0</v>
      </c>
      <c r="AH279" s="245">
        <f t="shared" si="56"/>
        <v>0</v>
      </c>
      <c r="AI279" s="245">
        <f t="shared" si="56"/>
        <v>0</v>
      </c>
      <c r="AJ279" s="247">
        <f t="shared" si="53"/>
        <v>0</v>
      </c>
    </row>
    <row r="280" spans="1:36">
      <c r="A280" s="231" t="str">
        <f t="shared" si="57"/>
        <v>JBLM HOUSINGRolloffFINAL40TEMP-RO</v>
      </c>
      <c r="B280" s="243" t="s">
        <v>788</v>
      </c>
      <c r="C280" s="243" t="s">
        <v>789</v>
      </c>
      <c r="D280" s="243" t="s">
        <v>779</v>
      </c>
      <c r="E280" s="230">
        <v>31001</v>
      </c>
      <c r="F280" s="244">
        <v>178.5</v>
      </c>
      <c r="G280" s="244">
        <v>178.5</v>
      </c>
      <c r="H280" s="244"/>
      <c r="I280" s="244">
        <v>0</v>
      </c>
      <c r="J280" s="244">
        <v>0</v>
      </c>
      <c r="K280" s="244">
        <v>0</v>
      </c>
      <c r="L280" s="244">
        <v>0</v>
      </c>
      <c r="M280" s="244">
        <v>0</v>
      </c>
      <c r="N280" s="244">
        <v>0</v>
      </c>
      <c r="O280" s="244">
        <v>0</v>
      </c>
      <c r="P280" s="244">
        <v>0</v>
      </c>
      <c r="Q280" s="244">
        <v>0</v>
      </c>
      <c r="R280" s="244">
        <v>0</v>
      </c>
      <c r="S280" s="244">
        <v>0</v>
      </c>
      <c r="T280" s="244">
        <v>0</v>
      </c>
      <c r="U280" s="245"/>
      <c r="V280" s="408">
        <f t="shared" si="54"/>
        <v>0</v>
      </c>
      <c r="W280" s="245"/>
      <c r="X280" s="246">
        <f t="shared" si="55"/>
        <v>0</v>
      </c>
      <c r="Y280" s="246">
        <f t="shared" si="55"/>
        <v>0</v>
      </c>
      <c r="Z280" s="246">
        <f t="shared" si="55"/>
        <v>0</v>
      </c>
      <c r="AA280" s="245">
        <f t="shared" si="56"/>
        <v>0</v>
      </c>
      <c r="AB280" s="245">
        <f t="shared" si="56"/>
        <v>0</v>
      </c>
      <c r="AC280" s="245">
        <f t="shared" si="56"/>
        <v>0</v>
      </c>
      <c r="AD280" s="245">
        <f t="shared" si="56"/>
        <v>0</v>
      </c>
      <c r="AE280" s="245">
        <f t="shared" si="56"/>
        <v>0</v>
      </c>
      <c r="AF280" s="245">
        <f t="shared" si="56"/>
        <v>0</v>
      </c>
      <c r="AG280" s="245">
        <f t="shared" si="56"/>
        <v>0</v>
      </c>
      <c r="AH280" s="245">
        <f t="shared" si="56"/>
        <v>0</v>
      </c>
      <c r="AI280" s="245">
        <f t="shared" si="56"/>
        <v>0</v>
      </c>
      <c r="AJ280" s="247">
        <f t="shared" si="53"/>
        <v>0</v>
      </c>
    </row>
    <row r="281" spans="1:36">
      <c r="A281" s="231" t="str">
        <f t="shared" si="57"/>
        <v>JBLM HOUSINGRolloffHAUL20TEMP-RO</v>
      </c>
      <c r="B281" s="243" t="s">
        <v>790</v>
      </c>
      <c r="C281" s="243" t="s">
        <v>791</v>
      </c>
      <c r="D281" s="243" t="s">
        <v>779</v>
      </c>
      <c r="E281" s="230">
        <v>31001</v>
      </c>
      <c r="F281" s="244">
        <v>165.5</v>
      </c>
      <c r="G281" s="244">
        <v>165.5</v>
      </c>
      <c r="H281" s="244"/>
      <c r="I281" s="244">
        <v>0</v>
      </c>
      <c r="J281" s="244">
        <v>0</v>
      </c>
      <c r="K281" s="244">
        <v>0</v>
      </c>
      <c r="L281" s="244">
        <v>0</v>
      </c>
      <c r="M281" s="244">
        <v>0</v>
      </c>
      <c r="N281" s="244">
        <v>0</v>
      </c>
      <c r="O281" s="244">
        <v>0</v>
      </c>
      <c r="P281" s="244">
        <v>0</v>
      </c>
      <c r="Q281" s="244">
        <v>0</v>
      </c>
      <c r="R281" s="244">
        <v>0</v>
      </c>
      <c r="S281" s="244">
        <v>0</v>
      </c>
      <c r="T281" s="244">
        <v>0</v>
      </c>
      <c r="U281" s="245"/>
      <c r="V281" s="408">
        <f t="shared" si="54"/>
        <v>0</v>
      </c>
      <c r="W281" s="245"/>
      <c r="X281" s="246">
        <f t="shared" si="55"/>
        <v>0</v>
      </c>
      <c r="Y281" s="246">
        <f t="shared" si="55"/>
        <v>0</v>
      </c>
      <c r="Z281" s="246">
        <f t="shared" si="55"/>
        <v>0</v>
      </c>
      <c r="AA281" s="245">
        <f t="shared" si="56"/>
        <v>0</v>
      </c>
      <c r="AB281" s="245">
        <f t="shared" si="56"/>
        <v>0</v>
      </c>
      <c r="AC281" s="245">
        <f t="shared" si="56"/>
        <v>0</v>
      </c>
      <c r="AD281" s="245">
        <f t="shared" si="56"/>
        <v>0</v>
      </c>
      <c r="AE281" s="245">
        <f t="shared" si="56"/>
        <v>0</v>
      </c>
      <c r="AF281" s="245">
        <f t="shared" si="56"/>
        <v>0</v>
      </c>
      <c r="AG281" s="245">
        <f t="shared" si="56"/>
        <v>0</v>
      </c>
      <c r="AH281" s="245">
        <f t="shared" si="56"/>
        <v>0</v>
      </c>
      <c r="AI281" s="245">
        <f t="shared" si="56"/>
        <v>0</v>
      </c>
      <c r="AJ281" s="247">
        <f t="shared" si="53"/>
        <v>0</v>
      </c>
    </row>
    <row r="282" spans="1:36">
      <c r="A282" s="231" t="str">
        <f t="shared" si="57"/>
        <v>JBLM HOUSINGRolloffHAUL30TEMP-RO</v>
      </c>
      <c r="B282" s="243" t="s">
        <v>792</v>
      </c>
      <c r="C282" s="243" t="s">
        <v>793</v>
      </c>
      <c r="D282" s="243" t="s">
        <v>779</v>
      </c>
      <c r="E282" s="230">
        <v>31001</v>
      </c>
      <c r="F282" s="244">
        <v>172</v>
      </c>
      <c r="G282" s="244">
        <v>172</v>
      </c>
      <c r="H282" s="244"/>
      <c r="I282" s="244">
        <v>0</v>
      </c>
      <c r="J282" s="244">
        <v>0</v>
      </c>
      <c r="K282" s="244">
        <v>0</v>
      </c>
      <c r="L282" s="244">
        <v>0</v>
      </c>
      <c r="M282" s="244">
        <v>0</v>
      </c>
      <c r="N282" s="244">
        <v>0</v>
      </c>
      <c r="O282" s="244">
        <v>0</v>
      </c>
      <c r="P282" s="244">
        <v>0</v>
      </c>
      <c r="Q282" s="244">
        <v>0</v>
      </c>
      <c r="R282" s="244">
        <v>0</v>
      </c>
      <c r="S282" s="244">
        <v>0</v>
      </c>
      <c r="T282" s="244">
        <v>0</v>
      </c>
      <c r="U282" s="245"/>
      <c r="V282" s="408">
        <f t="shared" si="54"/>
        <v>0</v>
      </c>
      <c r="W282" s="245"/>
      <c r="X282" s="246">
        <f t="shared" si="55"/>
        <v>0</v>
      </c>
      <c r="Y282" s="246">
        <f t="shared" si="55"/>
        <v>0</v>
      </c>
      <c r="Z282" s="246">
        <f t="shared" si="55"/>
        <v>0</v>
      </c>
      <c r="AA282" s="245">
        <f t="shared" si="56"/>
        <v>0</v>
      </c>
      <c r="AB282" s="245">
        <f t="shared" si="56"/>
        <v>0</v>
      </c>
      <c r="AC282" s="245">
        <f t="shared" si="56"/>
        <v>0</v>
      </c>
      <c r="AD282" s="245">
        <f t="shared" si="56"/>
        <v>0</v>
      </c>
      <c r="AE282" s="245">
        <f t="shared" si="56"/>
        <v>0</v>
      </c>
      <c r="AF282" s="245">
        <f t="shared" si="56"/>
        <v>0</v>
      </c>
      <c r="AG282" s="245">
        <f t="shared" si="56"/>
        <v>0</v>
      </c>
      <c r="AH282" s="245">
        <f t="shared" si="56"/>
        <v>0</v>
      </c>
      <c r="AI282" s="245">
        <f t="shared" si="56"/>
        <v>0</v>
      </c>
      <c r="AJ282" s="247">
        <f t="shared" si="53"/>
        <v>0</v>
      </c>
    </row>
    <row r="283" spans="1:36">
      <c r="A283" s="231" t="str">
        <f t="shared" si="57"/>
        <v>JBLM HOUSINGRolloffHAUL40TEMP-RO</v>
      </c>
      <c r="B283" s="243" t="s">
        <v>794</v>
      </c>
      <c r="C283" s="243" t="s">
        <v>795</v>
      </c>
      <c r="D283" s="243" t="s">
        <v>779</v>
      </c>
      <c r="E283" s="230">
        <v>31001</v>
      </c>
      <c r="F283" s="244">
        <v>178.5</v>
      </c>
      <c r="G283" s="244">
        <v>178.5</v>
      </c>
      <c r="H283" s="244"/>
      <c r="I283" s="244">
        <v>0</v>
      </c>
      <c r="J283" s="244">
        <v>0</v>
      </c>
      <c r="K283" s="244">
        <v>0</v>
      </c>
      <c r="L283" s="244">
        <v>0</v>
      </c>
      <c r="M283" s="244">
        <v>0</v>
      </c>
      <c r="N283" s="244">
        <v>0</v>
      </c>
      <c r="O283" s="244">
        <v>0</v>
      </c>
      <c r="P283" s="244">
        <v>0</v>
      </c>
      <c r="Q283" s="244">
        <v>0</v>
      </c>
      <c r="R283" s="244">
        <v>0</v>
      </c>
      <c r="S283" s="244">
        <v>0</v>
      </c>
      <c r="T283" s="244">
        <v>0</v>
      </c>
      <c r="U283" s="245"/>
      <c r="V283" s="408">
        <f t="shared" si="54"/>
        <v>0</v>
      </c>
      <c r="W283" s="245"/>
      <c r="X283" s="246">
        <f t="shared" si="55"/>
        <v>0</v>
      </c>
      <c r="Y283" s="246">
        <f t="shared" si="55"/>
        <v>0</v>
      </c>
      <c r="Z283" s="246">
        <f t="shared" si="55"/>
        <v>0</v>
      </c>
      <c r="AA283" s="245">
        <f t="shared" si="56"/>
        <v>0</v>
      </c>
      <c r="AB283" s="245">
        <f t="shared" si="56"/>
        <v>0</v>
      </c>
      <c r="AC283" s="245">
        <f t="shared" si="56"/>
        <v>0</v>
      </c>
      <c r="AD283" s="245">
        <f t="shared" si="56"/>
        <v>0</v>
      </c>
      <c r="AE283" s="245">
        <f t="shared" si="56"/>
        <v>0</v>
      </c>
      <c r="AF283" s="245">
        <f t="shared" si="56"/>
        <v>0</v>
      </c>
      <c r="AG283" s="245">
        <f t="shared" si="56"/>
        <v>0</v>
      </c>
      <c r="AH283" s="245">
        <f t="shared" si="56"/>
        <v>0</v>
      </c>
      <c r="AI283" s="245">
        <f t="shared" si="56"/>
        <v>0</v>
      </c>
      <c r="AJ283" s="247">
        <f t="shared" si="53"/>
        <v>0</v>
      </c>
    </row>
    <row r="284" spans="1:36">
      <c r="A284" s="231" t="str">
        <f t="shared" si="57"/>
        <v>JBLM HOUSINGRolloffRENT20MO-RO</v>
      </c>
      <c r="B284" s="243" t="s">
        <v>799</v>
      </c>
      <c r="C284" s="243" t="s">
        <v>800</v>
      </c>
      <c r="D284" s="243" t="s">
        <v>798</v>
      </c>
      <c r="E284" s="230">
        <v>31002</v>
      </c>
      <c r="F284" s="244">
        <v>59.5</v>
      </c>
      <c r="G284" s="244">
        <v>59.5</v>
      </c>
      <c r="H284" s="244"/>
      <c r="I284" s="244">
        <v>59.5</v>
      </c>
      <c r="J284" s="244">
        <v>59.5</v>
      </c>
      <c r="K284" s="244">
        <v>59.5</v>
      </c>
      <c r="L284" s="244">
        <v>59.5</v>
      </c>
      <c r="M284" s="244">
        <v>59.5</v>
      </c>
      <c r="N284" s="244">
        <v>59.5</v>
      </c>
      <c r="O284" s="244">
        <v>59.5</v>
      </c>
      <c r="P284" s="244">
        <v>59.5</v>
      </c>
      <c r="Q284" s="244">
        <v>59.5</v>
      </c>
      <c r="R284" s="244">
        <v>59.5</v>
      </c>
      <c r="S284" s="244">
        <v>59.5</v>
      </c>
      <c r="T284" s="244">
        <v>59.5</v>
      </c>
      <c r="U284" s="245"/>
      <c r="V284" s="408">
        <f t="shared" si="54"/>
        <v>714</v>
      </c>
      <c r="W284" s="245"/>
      <c r="X284" s="246">
        <f t="shared" si="55"/>
        <v>1</v>
      </c>
      <c r="Y284" s="246">
        <f t="shared" si="55"/>
        <v>1</v>
      </c>
      <c r="Z284" s="246">
        <f t="shared" si="55"/>
        <v>1</v>
      </c>
      <c r="AA284" s="245">
        <f t="shared" si="56"/>
        <v>1</v>
      </c>
      <c r="AB284" s="245">
        <f t="shared" si="56"/>
        <v>1</v>
      </c>
      <c r="AC284" s="245">
        <f t="shared" si="56"/>
        <v>1</v>
      </c>
      <c r="AD284" s="245">
        <f t="shared" si="56"/>
        <v>1</v>
      </c>
      <c r="AE284" s="245">
        <f t="shared" si="56"/>
        <v>1</v>
      </c>
      <c r="AF284" s="245">
        <f t="shared" si="56"/>
        <v>1</v>
      </c>
      <c r="AG284" s="245">
        <f t="shared" si="56"/>
        <v>1</v>
      </c>
      <c r="AH284" s="245">
        <f t="shared" si="56"/>
        <v>1</v>
      </c>
      <c r="AI284" s="245">
        <f t="shared" si="56"/>
        <v>1</v>
      </c>
      <c r="AJ284" s="247">
        <f t="shared" si="53"/>
        <v>12</v>
      </c>
    </row>
    <row r="285" spans="1:36">
      <c r="A285" s="231" t="str">
        <f t="shared" si="57"/>
        <v>JBLM HOUSINGRolloffRENT30MO-RO</v>
      </c>
      <c r="B285" s="243" t="s">
        <v>801</v>
      </c>
      <c r="C285" s="243" t="s">
        <v>802</v>
      </c>
      <c r="D285" s="243" t="s">
        <v>798</v>
      </c>
      <c r="E285" s="230">
        <v>31002</v>
      </c>
      <c r="F285" s="244">
        <v>59.5</v>
      </c>
      <c r="G285" s="244">
        <v>59.5</v>
      </c>
      <c r="H285" s="244"/>
      <c r="I285" s="244">
        <v>59.5</v>
      </c>
      <c r="J285" s="244">
        <v>59.5</v>
      </c>
      <c r="K285" s="244">
        <v>59.5</v>
      </c>
      <c r="L285" s="244">
        <v>59.5</v>
      </c>
      <c r="M285" s="244">
        <v>59.5</v>
      </c>
      <c r="N285" s="244">
        <v>59.5</v>
      </c>
      <c r="O285" s="244">
        <v>59.5</v>
      </c>
      <c r="P285" s="244">
        <v>59.5</v>
      </c>
      <c r="Q285" s="244">
        <v>59.5</v>
      </c>
      <c r="R285" s="244">
        <v>59.5</v>
      </c>
      <c r="S285" s="244">
        <v>59.5</v>
      </c>
      <c r="T285" s="244">
        <v>59.5</v>
      </c>
      <c r="U285" s="245"/>
      <c r="V285" s="408">
        <f t="shared" si="54"/>
        <v>714</v>
      </c>
      <c r="W285" s="245"/>
      <c r="X285" s="246">
        <f t="shared" si="55"/>
        <v>1</v>
      </c>
      <c r="Y285" s="246">
        <f t="shared" si="55"/>
        <v>1</v>
      </c>
      <c r="Z285" s="246">
        <f t="shared" si="55"/>
        <v>1</v>
      </c>
      <c r="AA285" s="245">
        <f t="shared" si="56"/>
        <v>1</v>
      </c>
      <c r="AB285" s="245">
        <f t="shared" si="56"/>
        <v>1</v>
      </c>
      <c r="AC285" s="245">
        <f t="shared" si="56"/>
        <v>1</v>
      </c>
      <c r="AD285" s="245">
        <f t="shared" si="56"/>
        <v>1</v>
      </c>
      <c r="AE285" s="245">
        <f t="shared" si="56"/>
        <v>1</v>
      </c>
      <c r="AF285" s="245">
        <f t="shared" si="56"/>
        <v>1</v>
      </c>
      <c r="AG285" s="245">
        <f t="shared" si="56"/>
        <v>1</v>
      </c>
      <c r="AH285" s="245">
        <f t="shared" si="56"/>
        <v>1</v>
      </c>
      <c r="AI285" s="245">
        <f t="shared" si="56"/>
        <v>1</v>
      </c>
      <c r="AJ285" s="247">
        <f t="shared" si="53"/>
        <v>12</v>
      </c>
    </row>
    <row r="286" spans="1:36">
      <c r="A286" s="231" t="str">
        <f t="shared" si="57"/>
        <v>JBLM HOUSINGRolloffRENT40MO-RO</v>
      </c>
      <c r="B286" s="243" t="s">
        <v>803</v>
      </c>
      <c r="C286" s="243" t="s">
        <v>804</v>
      </c>
      <c r="D286" s="243" t="s">
        <v>798</v>
      </c>
      <c r="E286" s="230">
        <v>31002</v>
      </c>
      <c r="F286" s="244">
        <v>59.5</v>
      </c>
      <c r="G286" s="244">
        <v>59.5</v>
      </c>
      <c r="H286" s="244"/>
      <c r="I286" s="244">
        <v>119</v>
      </c>
      <c r="J286" s="244">
        <v>119</v>
      </c>
      <c r="K286" s="244">
        <v>119</v>
      </c>
      <c r="L286" s="244">
        <v>119</v>
      </c>
      <c r="M286" s="244">
        <v>119</v>
      </c>
      <c r="N286" s="244">
        <v>119</v>
      </c>
      <c r="O286" s="244">
        <v>119</v>
      </c>
      <c r="P286" s="244">
        <v>119</v>
      </c>
      <c r="Q286" s="244">
        <v>119</v>
      </c>
      <c r="R286" s="244">
        <v>119</v>
      </c>
      <c r="S286" s="244">
        <v>119</v>
      </c>
      <c r="T286" s="244">
        <v>119</v>
      </c>
      <c r="U286" s="245"/>
      <c r="V286" s="408">
        <f t="shared" si="54"/>
        <v>1428</v>
      </c>
      <c r="W286" s="245"/>
      <c r="X286" s="246">
        <f t="shared" si="55"/>
        <v>2</v>
      </c>
      <c r="Y286" s="246">
        <f t="shared" si="55"/>
        <v>2</v>
      </c>
      <c r="Z286" s="246">
        <f t="shared" si="55"/>
        <v>2</v>
      </c>
      <c r="AA286" s="245">
        <f t="shared" si="56"/>
        <v>2</v>
      </c>
      <c r="AB286" s="245">
        <f t="shared" si="56"/>
        <v>2</v>
      </c>
      <c r="AC286" s="245">
        <f t="shared" si="56"/>
        <v>2</v>
      </c>
      <c r="AD286" s="245">
        <f t="shared" si="56"/>
        <v>2</v>
      </c>
      <c r="AE286" s="245">
        <f t="shared" si="56"/>
        <v>2</v>
      </c>
      <c r="AF286" s="245">
        <f t="shared" si="56"/>
        <v>2</v>
      </c>
      <c r="AG286" s="245">
        <f t="shared" si="56"/>
        <v>2</v>
      </c>
      <c r="AH286" s="245">
        <f t="shared" si="56"/>
        <v>2</v>
      </c>
      <c r="AI286" s="245">
        <f t="shared" si="56"/>
        <v>2</v>
      </c>
      <c r="AJ286" s="247">
        <f t="shared" si="53"/>
        <v>24</v>
      </c>
    </row>
    <row r="287" spans="1:36">
      <c r="A287" s="231" t="str">
        <f t="shared" si="57"/>
        <v>JBLM HOUSINGRolloffRENT20TEMP-RO</v>
      </c>
      <c r="B287" s="243" t="s">
        <v>805</v>
      </c>
      <c r="C287" s="243" t="s">
        <v>806</v>
      </c>
      <c r="D287" s="243" t="s">
        <v>798</v>
      </c>
      <c r="E287" s="230">
        <v>31002</v>
      </c>
      <c r="F287" s="244">
        <v>5.15</v>
      </c>
      <c r="G287" s="244">
        <v>5.15</v>
      </c>
      <c r="H287" s="244"/>
      <c r="I287" s="244">
        <v>0</v>
      </c>
      <c r="J287" s="244">
        <v>0</v>
      </c>
      <c r="K287" s="244">
        <v>0</v>
      </c>
      <c r="L287" s="244">
        <v>0</v>
      </c>
      <c r="M287" s="244">
        <v>0</v>
      </c>
      <c r="N287" s="244">
        <v>0</v>
      </c>
      <c r="O287" s="244">
        <v>0</v>
      </c>
      <c r="P287" s="244">
        <v>0</v>
      </c>
      <c r="Q287" s="244">
        <v>0</v>
      </c>
      <c r="R287" s="244">
        <v>0</v>
      </c>
      <c r="S287" s="244">
        <v>0</v>
      </c>
      <c r="T287" s="244">
        <v>0</v>
      </c>
      <c r="U287" s="245"/>
      <c r="V287" s="408">
        <f t="shared" si="54"/>
        <v>0</v>
      </c>
      <c r="W287" s="245"/>
      <c r="X287" s="246">
        <f t="shared" si="55"/>
        <v>0</v>
      </c>
      <c r="Y287" s="246">
        <f t="shared" si="55"/>
        <v>0</v>
      </c>
      <c r="Z287" s="246">
        <f t="shared" si="55"/>
        <v>0</v>
      </c>
      <c r="AA287" s="245">
        <f t="shared" si="56"/>
        <v>0</v>
      </c>
      <c r="AB287" s="245">
        <f t="shared" si="56"/>
        <v>0</v>
      </c>
      <c r="AC287" s="245">
        <f t="shared" si="56"/>
        <v>0</v>
      </c>
      <c r="AD287" s="245">
        <f t="shared" si="56"/>
        <v>0</v>
      </c>
      <c r="AE287" s="245">
        <f t="shared" si="56"/>
        <v>0</v>
      </c>
      <c r="AF287" s="245">
        <f t="shared" si="56"/>
        <v>0</v>
      </c>
      <c r="AG287" s="245">
        <f t="shared" si="56"/>
        <v>0</v>
      </c>
      <c r="AH287" s="245">
        <f t="shared" si="56"/>
        <v>0</v>
      </c>
      <c r="AI287" s="245">
        <f t="shared" si="56"/>
        <v>0</v>
      </c>
      <c r="AJ287" s="247">
        <f t="shared" si="53"/>
        <v>0</v>
      </c>
    </row>
    <row r="288" spans="1:36">
      <c r="A288" s="231" t="str">
        <f t="shared" si="57"/>
        <v>JBLM HOUSINGRolloffRENT30TEMP-RO</v>
      </c>
      <c r="B288" s="243" t="s">
        <v>807</v>
      </c>
      <c r="C288" s="243" t="s">
        <v>808</v>
      </c>
      <c r="D288" s="243" t="s">
        <v>798</v>
      </c>
      <c r="E288" s="230">
        <v>31002</v>
      </c>
      <c r="F288" s="244">
        <v>0</v>
      </c>
      <c r="G288" s="244">
        <v>0</v>
      </c>
      <c r="H288" s="244"/>
      <c r="I288" s="244">
        <v>0</v>
      </c>
      <c r="J288" s="244">
        <v>0</v>
      </c>
      <c r="K288" s="244">
        <v>0</v>
      </c>
      <c r="L288" s="244">
        <v>0</v>
      </c>
      <c r="M288" s="244">
        <v>0</v>
      </c>
      <c r="N288" s="244">
        <v>0</v>
      </c>
      <c r="O288" s="244">
        <v>0</v>
      </c>
      <c r="P288" s="244">
        <v>0</v>
      </c>
      <c r="Q288" s="244">
        <v>0</v>
      </c>
      <c r="R288" s="244">
        <v>0</v>
      </c>
      <c r="S288" s="244">
        <v>0</v>
      </c>
      <c r="T288" s="244">
        <v>0</v>
      </c>
      <c r="U288" s="245"/>
      <c r="V288" s="408">
        <f t="shared" si="54"/>
        <v>0</v>
      </c>
      <c r="W288" s="245"/>
      <c r="X288" s="246">
        <f t="shared" si="55"/>
        <v>0</v>
      </c>
      <c r="Y288" s="246">
        <f t="shared" si="55"/>
        <v>0</v>
      </c>
      <c r="Z288" s="246">
        <f t="shared" si="55"/>
        <v>0</v>
      </c>
      <c r="AA288" s="245">
        <f t="shared" si="56"/>
        <v>0</v>
      </c>
      <c r="AB288" s="245">
        <f t="shared" si="56"/>
        <v>0</v>
      </c>
      <c r="AC288" s="245">
        <f t="shared" si="56"/>
        <v>0</v>
      </c>
      <c r="AD288" s="245">
        <f t="shared" si="56"/>
        <v>0</v>
      </c>
      <c r="AE288" s="245">
        <f t="shared" si="56"/>
        <v>0</v>
      </c>
      <c r="AF288" s="245">
        <f t="shared" si="56"/>
        <v>0</v>
      </c>
      <c r="AG288" s="245">
        <f t="shared" si="56"/>
        <v>0</v>
      </c>
      <c r="AH288" s="245">
        <f t="shared" si="56"/>
        <v>0</v>
      </c>
      <c r="AI288" s="245">
        <f t="shared" si="56"/>
        <v>0</v>
      </c>
      <c r="AJ288" s="247">
        <f t="shared" si="53"/>
        <v>0</v>
      </c>
    </row>
    <row r="289" spans="1:36">
      <c r="A289" s="231" t="str">
        <f t="shared" si="57"/>
        <v>JBLM HOUSINGRolloffRENT40TEMP-RO</v>
      </c>
      <c r="B289" s="243" t="s">
        <v>809</v>
      </c>
      <c r="C289" s="243" t="s">
        <v>810</v>
      </c>
      <c r="D289" s="243" t="s">
        <v>798</v>
      </c>
      <c r="E289" s="230">
        <v>31002</v>
      </c>
      <c r="F289" s="244">
        <v>7.15</v>
      </c>
      <c r="G289" s="244">
        <v>7.15</v>
      </c>
      <c r="H289" s="244"/>
      <c r="I289" s="244">
        <v>0</v>
      </c>
      <c r="J289" s="244">
        <v>0</v>
      </c>
      <c r="K289" s="244">
        <v>0</v>
      </c>
      <c r="L289" s="244">
        <v>0</v>
      </c>
      <c r="M289" s="244">
        <v>0</v>
      </c>
      <c r="N289" s="244">
        <v>0</v>
      </c>
      <c r="O289" s="244">
        <v>0</v>
      </c>
      <c r="P289" s="244">
        <v>0</v>
      </c>
      <c r="Q289" s="244">
        <v>0</v>
      </c>
      <c r="R289" s="244">
        <v>0</v>
      </c>
      <c r="S289" s="244">
        <v>0</v>
      </c>
      <c r="T289" s="244">
        <v>0</v>
      </c>
      <c r="U289" s="245"/>
      <c r="V289" s="408">
        <f t="shared" si="54"/>
        <v>0</v>
      </c>
      <c r="W289" s="245"/>
      <c r="X289" s="246">
        <f t="shared" si="55"/>
        <v>0</v>
      </c>
      <c r="Y289" s="246">
        <f t="shared" si="55"/>
        <v>0</v>
      </c>
      <c r="Z289" s="246">
        <f t="shared" si="55"/>
        <v>0</v>
      </c>
      <c r="AA289" s="245">
        <f t="shared" si="56"/>
        <v>0</v>
      </c>
      <c r="AB289" s="245">
        <f t="shared" si="56"/>
        <v>0</v>
      </c>
      <c r="AC289" s="245">
        <f t="shared" si="56"/>
        <v>0</v>
      </c>
      <c r="AD289" s="245">
        <f t="shared" si="56"/>
        <v>0</v>
      </c>
      <c r="AE289" s="245">
        <f t="shared" si="56"/>
        <v>0</v>
      </c>
      <c r="AF289" s="245">
        <f t="shared" si="56"/>
        <v>0</v>
      </c>
      <c r="AG289" s="245">
        <f t="shared" si="56"/>
        <v>0</v>
      </c>
      <c r="AH289" s="245">
        <f t="shared" si="56"/>
        <v>0</v>
      </c>
      <c r="AI289" s="245">
        <f t="shared" si="56"/>
        <v>0</v>
      </c>
      <c r="AJ289" s="247">
        <f t="shared" si="53"/>
        <v>0</v>
      </c>
    </row>
    <row r="290" spans="1:36">
      <c r="A290" s="231" t="str">
        <f t="shared" si="57"/>
        <v>JBLM HOUSINGRolloffCLEAN20-RO</v>
      </c>
      <c r="B290" s="243" t="s">
        <v>813</v>
      </c>
      <c r="C290" s="243" t="s">
        <v>814</v>
      </c>
      <c r="D290" s="243" t="s">
        <v>746</v>
      </c>
      <c r="E290" s="230">
        <v>31000</v>
      </c>
      <c r="F290" s="244">
        <v>95</v>
      </c>
      <c r="G290" s="244">
        <v>95</v>
      </c>
      <c r="H290" s="244"/>
      <c r="I290" s="244">
        <v>0</v>
      </c>
      <c r="J290" s="244">
        <v>0</v>
      </c>
      <c r="K290" s="244">
        <v>0</v>
      </c>
      <c r="L290" s="244">
        <v>0</v>
      </c>
      <c r="M290" s="244">
        <v>0</v>
      </c>
      <c r="N290" s="244">
        <v>0</v>
      </c>
      <c r="O290" s="244">
        <v>0</v>
      </c>
      <c r="P290" s="244">
        <v>0</v>
      </c>
      <c r="Q290" s="244">
        <v>0</v>
      </c>
      <c r="R290" s="244">
        <v>0</v>
      </c>
      <c r="S290" s="244">
        <v>0</v>
      </c>
      <c r="T290" s="244">
        <v>0</v>
      </c>
      <c r="U290" s="245"/>
      <c r="V290" s="408">
        <f t="shared" si="54"/>
        <v>0</v>
      </c>
      <c r="W290" s="245"/>
      <c r="X290" s="246">
        <f t="shared" si="55"/>
        <v>0</v>
      </c>
      <c r="Y290" s="246">
        <f t="shared" si="55"/>
        <v>0</v>
      </c>
      <c r="Z290" s="246">
        <f t="shared" si="55"/>
        <v>0</v>
      </c>
      <c r="AA290" s="245">
        <f t="shared" si="56"/>
        <v>0</v>
      </c>
      <c r="AB290" s="245">
        <f t="shared" si="56"/>
        <v>0</v>
      </c>
      <c r="AC290" s="245">
        <f t="shared" si="56"/>
        <v>0</v>
      </c>
      <c r="AD290" s="245">
        <f t="shared" si="56"/>
        <v>0</v>
      </c>
      <c r="AE290" s="245">
        <f t="shared" si="56"/>
        <v>0</v>
      </c>
      <c r="AF290" s="245">
        <f t="shared" si="56"/>
        <v>0</v>
      </c>
      <c r="AG290" s="245">
        <f t="shared" si="56"/>
        <v>0</v>
      </c>
      <c r="AH290" s="245">
        <f t="shared" si="56"/>
        <v>0</v>
      </c>
      <c r="AI290" s="245">
        <f t="shared" si="56"/>
        <v>0</v>
      </c>
      <c r="AJ290" s="247">
        <f t="shared" si="53"/>
        <v>0</v>
      </c>
    </row>
    <row r="291" spans="1:36">
      <c r="A291" s="231" t="str">
        <f t="shared" si="57"/>
        <v>JBLM HOUSINGRolloffCLEAN25-RO</v>
      </c>
      <c r="B291" s="243" t="s">
        <v>815</v>
      </c>
      <c r="C291" s="243" t="s">
        <v>816</v>
      </c>
      <c r="D291" s="243" t="s">
        <v>746</v>
      </c>
      <c r="E291" s="230">
        <v>31000</v>
      </c>
      <c r="F291" s="244">
        <v>118.75</v>
      </c>
      <c r="G291" s="244">
        <v>118.75</v>
      </c>
      <c r="H291" s="244"/>
      <c r="I291" s="244">
        <v>0</v>
      </c>
      <c r="J291" s="244">
        <v>0</v>
      </c>
      <c r="K291" s="244">
        <v>0</v>
      </c>
      <c r="L291" s="244">
        <v>0</v>
      </c>
      <c r="M291" s="244">
        <v>0</v>
      </c>
      <c r="N291" s="244">
        <v>0</v>
      </c>
      <c r="O291" s="244">
        <v>0</v>
      </c>
      <c r="P291" s="244">
        <v>0</v>
      </c>
      <c r="Q291" s="244">
        <v>0</v>
      </c>
      <c r="R291" s="244">
        <v>0</v>
      </c>
      <c r="S291" s="244">
        <v>0</v>
      </c>
      <c r="T291" s="244">
        <v>0</v>
      </c>
      <c r="U291" s="245"/>
      <c r="V291" s="408">
        <f t="shared" si="54"/>
        <v>0</v>
      </c>
      <c r="W291" s="245"/>
      <c r="X291" s="246">
        <f t="shared" si="55"/>
        <v>0</v>
      </c>
      <c r="Y291" s="246">
        <f t="shared" si="55"/>
        <v>0</v>
      </c>
      <c r="Z291" s="246">
        <f t="shared" si="55"/>
        <v>0</v>
      </c>
      <c r="AA291" s="245">
        <f t="shared" si="56"/>
        <v>0</v>
      </c>
      <c r="AB291" s="245">
        <f t="shared" si="56"/>
        <v>0</v>
      </c>
      <c r="AC291" s="245">
        <f t="shared" si="56"/>
        <v>0</v>
      </c>
      <c r="AD291" s="245">
        <f t="shared" si="56"/>
        <v>0</v>
      </c>
      <c r="AE291" s="245">
        <f t="shared" si="56"/>
        <v>0</v>
      </c>
      <c r="AF291" s="245">
        <f t="shared" si="56"/>
        <v>0</v>
      </c>
      <c r="AG291" s="245">
        <f t="shared" si="56"/>
        <v>0</v>
      </c>
      <c r="AH291" s="245">
        <f t="shared" si="56"/>
        <v>0</v>
      </c>
      <c r="AI291" s="245">
        <f t="shared" si="56"/>
        <v>0</v>
      </c>
      <c r="AJ291" s="247">
        <f t="shared" si="53"/>
        <v>0</v>
      </c>
    </row>
    <row r="292" spans="1:36">
      <c r="A292" s="231" t="str">
        <f t="shared" si="57"/>
        <v>JBLM HOUSINGRolloffCLEAN30-RO</v>
      </c>
      <c r="B292" s="243" t="s">
        <v>817</v>
      </c>
      <c r="C292" s="243" t="s">
        <v>818</v>
      </c>
      <c r="D292" s="243" t="s">
        <v>746</v>
      </c>
      <c r="E292" s="230">
        <v>31000</v>
      </c>
      <c r="F292" s="244">
        <v>142.5</v>
      </c>
      <c r="G292" s="244">
        <v>142.5</v>
      </c>
      <c r="H292" s="244"/>
      <c r="I292" s="244">
        <v>0</v>
      </c>
      <c r="J292" s="244">
        <v>0</v>
      </c>
      <c r="K292" s="244">
        <v>0</v>
      </c>
      <c r="L292" s="244">
        <v>0</v>
      </c>
      <c r="M292" s="244">
        <v>0</v>
      </c>
      <c r="N292" s="244">
        <v>0</v>
      </c>
      <c r="O292" s="244">
        <v>0</v>
      </c>
      <c r="P292" s="244">
        <v>0</v>
      </c>
      <c r="Q292" s="244">
        <v>0</v>
      </c>
      <c r="R292" s="244">
        <v>0</v>
      </c>
      <c r="S292" s="244">
        <v>0</v>
      </c>
      <c r="T292" s="244">
        <v>0</v>
      </c>
      <c r="U292" s="245"/>
      <c r="V292" s="408">
        <f t="shared" si="54"/>
        <v>0</v>
      </c>
      <c r="W292" s="245"/>
      <c r="X292" s="246">
        <f t="shared" si="55"/>
        <v>0</v>
      </c>
      <c r="Y292" s="246">
        <f t="shared" si="55"/>
        <v>0</v>
      </c>
      <c r="Z292" s="246">
        <f t="shared" si="55"/>
        <v>0</v>
      </c>
      <c r="AA292" s="245">
        <f t="shared" si="56"/>
        <v>0</v>
      </c>
      <c r="AB292" s="245">
        <f t="shared" si="56"/>
        <v>0</v>
      </c>
      <c r="AC292" s="245">
        <f t="shared" si="56"/>
        <v>0</v>
      </c>
      <c r="AD292" s="245">
        <f t="shared" si="56"/>
        <v>0</v>
      </c>
      <c r="AE292" s="245">
        <f t="shared" si="56"/>
        <v>0</v>
      </c>
      <c r="AF292" s="245">
        <f t="shared" si="56"/>
        <v>0</v>
      </c>
      <c r="AG292" s="245">
        <f t="shared" si="56"/>
        <v>0</v>
      </c>
      <c r="AH292" s="245">
        <f t="shared" si="56"/>
        <v>0</v>
      </c>
      <c r="AI292" s="245">
        <f t="shared" si="56"/>
        <v>0</v>
      </c>
      <c r="AJ292" s="247">
        <f t="shared" si="53"/>
        <v>0</v>
      </c>
    </row>
    <row r="293" spans="1:36">
      <c r="A293" s="231" t="str">
        <f t="shared" si="57"/>
        <v>JBLM HOUSINGRolloffDISCO-CP</v>
      </c>
      <c r="B293" s="243" t="s">
        <v>819</v>
      </c>
      <c r="C293" s="243" t="s">
        <v>820</v>
      </c>
      <c r="D293" s="243" t="s">
        <v>746</v>
      </c>
      <c r="E293" s="230">
        <v>31000</v>
      </c>
      <c r="F293" s="244">
        <v>10.5</v>
      </c>
      <c r="G293" s="244">
        <v>10.5</v>
      </c>
      <c r="H293" s="244"/>
      <c r="I293" s="244">
        <v>0</v>
      </c>
      <c r="J293" s="244">
        <v>0</v>
      </c>
      <c r="K293" s="244">
        <v>0</v>
      </c>
      <c r="L293" s="244">
        <v>0</v>
      </c>
      <c r="M293" s="244">
        <v>0</v>
      </c>
      <c r="N293" s="244">
        <v>0</v>
      </c>
      <c r="O293" s="244">
        <v>0</v>
      </c>
      <c r="P293" s="244">
        <v>0</v>
      </c>
      <c r="Q293" s="244">
        <v>0</v>
      </c>
      <c r="R293" s="244">
        <v>0</v>
      </c>
      <c r="S293" s="244">
        <v>0</v>
      </c>
      <c r="T293" s="244">
        <v>0</v>
      </c>
      <c r="U293" s="245"/>
      <c r="V293" s="408">
        <f t="shared" si="54"/>
        <v>0</v>
      </c>
      <c r="W293" s="245"/>
      <c r="X293" s="246">
        <f t="shared" si="55"/>
        <v>0</v>
      </c>
      <c r="Y293" s="246">
        <f t="shared" si="55"/>
        <v>0</v>
      </c>
      <c r="Z293" s="246">
        <f t="shared" si="55"/>
        <v>0</v>
      </c>
      <c r="AA293" s="245">
        <f t="shared" si="56"/>
        <v>0</v>
      </c>
      <c r="AB293" s="245">
        <f t="shared" si="56"/>
        <v>0</v>
      </c>
      <c r="AC293" s="245">
        <f t="shared" si="56"/>
        <v>0</v>
      </c>
      <c r="AD293" s="245">
        <f t="shared" si="56"/>
        <v>0</v>
      </c>
      <c r="AE293" s="245">
        <f t="shared" si="56"/>
        <v>0</v>
      </c>
      <c r="AF293" s="245">
        <f t="shared" si="56"/>
        <v>0</v>
      </c>
      <c r="AG293" s="245">
        <f t="shared" si="56"/>
        <v>0</v>
      </c>
      <c r="AH293" s="245">
        <f t="shared" si="56"/>
        <v>0</v>
      </c>
      <c r="AI293" s="245">
        <f t="shared" si="56"/>
        <v>0</v>
      </c>
      <c r="AJ293" s="247">
        <f t="shared" si="53"/>
        <v>0</v>
      </c>
    </row>
    <row r="294" spans="1:36" ht="13.5" customHeight="1">
      <c r="A294" s="231" t="str">
        <f t="shared" si="57"/>
        <v>JBLM HOUSINGRolloffEXWGHT-RO</v>
      </c>
      <c r="B294" s="243" t="s">
        <v>821</v>
      </c>
      <c r="C294" s="243" t="s">
        <v>822</v>
      </c>
      <c r="D294" s="243" t="s">
        <v>746</v>
      </c>
      <c r="E294" s="230">
        <v>31000</v>
      </c>
      <c r="F294" s="244">
        <v>0</v>
      </c>
      <c r="G294" s="244">
        <v>0</v>
      </c>
      <c r="H294" s="273"/>
      <c r="I294" s="244">
        <v>0</v>
      </c>
      <c r="J294" s="244">
        <v>0</v>
      </c>
      <c r="K294" s="244">
        <v>0</v>
      </c>
      <c r="L294" s="244">
        <v>0</v>
      </c>
      <c r="M294" s="244">
        <v>570</v>
      </c>
      <c r="N294" s="244">
        <v>0</v>
      </c>
      <c r="O294" s="244">
        <v>0</v>
      </c>
      <c r="P294" s="244">
        <v>0</v>
      </c>
      <c r="Q294" s="244">
        <v>0</v>
      </c>
      <c r="R294" s="244">
        <v>0</v>
      </c>
      <c r="S294" s="244">
        <v>0</v>
      </c>
      <c r="T294" s="244">
        <v>0</v>
      </c>
      <c r="U294" s="245"/>
      <c r="V294" s="408">
        <f t="shared" si="54"/>
        <v>570</v>
      </c>
      <c r="W294" s="245"/>
      <c r="X294" s="246">
        <f t="shared" si="55"/>
        <v>0</v>
      </c>
      <c r="Y294" s="246">
        <f t="shared" si="55"/>
        <v>0</v>
      </c>
      <c r="Z294" s="246">
        <f t="shared" si="55"/>
        <v>0</v>
      </c>
      <c r="AA294" s="245">
        <f t="shared" si="56"/>
        <v>0</v>
      </c>
      <c r="AB294" s="245">
        <f t="shared" si="56"/>
        <v>0</v>
      </c>
      <c r="AC294" s="245">
        <f t="shared" si="56"/>
        <v>0</v>
      </c>
      <c r="AD294" s="245">
        <f t="shared" si="56"/>
        <v>0</v>
      </c>
      <c r="AE294" s="245">
        <f t="shared" si="56"/>
        <v>0</v>
      </c>
      <c r="AF294" s="245">
        <f t="shared" si="56"/>
        <v>0</v>
      </c>
      <c r="AG294" s="245">
        <f t="shared" si="56"/>
        <v>0</v>
      </c>
      <c r="AH294" s="245">
        <f t="shared" si="56"/>
        <v>0</v>
      </c>
      <c r="AI294" s="245">
        <f t="shared" si="56"/>
        <v>0</v>
      </c>
      <c r="AJ294" s="247">
        <f t="shared" si="53"/>
        <v>0</v>
      </c>
    </row>
    <row r="295" spans="1:36" ht="13.5" customHeight="1">
      <c r="A295" s="231" t="str">
        <f t="shared" si="57"/>
        <v>JBLM HOUSINGRolloffEXTRAYDG-RO</v>
      </c>
      <c r="B295" s="243" t="s">
        <v>823</v>
      </c>
      <c r="C295" s="243" t="s">
        <v>824</v>
      </c>
      <c r="D295" s="243" t="s">
        <v>779</v>
      </c>
      <c r="E295" s="230">
        <v>31001</v>
      </c>
      <c r="F295" s="244">
        <v>0</v>
      </c>
      <c r="G295" s="244">
        <v>0</v>
      </c>
      <c r="H295" s="273"/>
      <c r="I295" s="244">
        <v>0</v>
      </c>
      <c r="J295" s="244">
        <v>0</v>
      </c>
      <c r="K295" s="244">
        <v>0</v>
      </c>
      <c r="L295" s="244">
        <v>0</v>
      </c>
      <c r="M295" s="244">
        <v>0</v>
      </c>
      <c r="N295" s="244">
        <v>0</v>
      </c>
      <c r="O295" s="244">
        <v>0</v>
      </c>
      <c r="P295" s="244">
        <v>0</v>
      </c>
      <c r="Q295" s="244">
        <v>0</v>
      </c>
      <c r="R295" s="244">
        <v>0</v>
      </c>
      <c r="S295" s="244">
        <v>0</v>
      </c>
      <c r="T295" s="244">
        <v>0</v>
      </c>
      <c r="U295" s="245"/>
      <c r="V295" s="408">
        <f t="shared" si="54"/>
        <v>0</v>
      </c>
      <c r="W295" s="245"/>
      <c r="X295" s="246">
        <f t="shared" si="55"/>
        <v>0</v>
      </c>
      <c r="Y295" s="246">
        <f t="shared" si="55"/>
        <v>0</v>
      </c>
      <c r="Z295" s="246">
        <f t="shared" si="55"/>
        <v>0</v>
      </c>
      <c r="AA295" s="245">
        <f t="shared" si="56"/>
        <v>0</v>
      </c>
      <c r="AB295" s="245">
        <f t="shared" si="56"/>
        <v>0</v>
      </c>
      <c r="AC295" s="245">
        <f t="shared" si="56"/>
        <v>0</v>
      </c>
      <c r="AD295" s="245">
        <f t="shared" si="56"/>
        <v>0</v>
      </c>
      <c r="AE295" s="245">
        <f t="shared" si="56"/>
        <v>0</v>
      </c>
      <c r="AF295" s="245">
        <f t="shared" si="56"/>
        <v>0</v>
      </c>
      <c r="AG295" s="245">
        <f t="shared" si="56"/>
        <v>0</v>
      </c>
      <c r="AH295" s="245">
        <f t="shared" si="56"/>
        <v>0</v>
      </c>
      <c r="AI295" s="245">
        <f t="shared" si="56"/>
        <v>0</v>
      </c>
      <c r="AJ295" s="247">
        <f t="shared" si="53"/>
        <v>0</v>
      </c>
    </row>
    <row r="296" spans="1:36">
      <c r="A296" s="231" t="str">
        <f t="shared" si="57"/>
        <v>JBLM HOUSINGRolloffLIDRO</v>
      </c>
      <c r="B296" s="243" t="s">
        <v>827</v>
      </c>
      <c r="C296" s="243" t="s">
        <v>828</v>
      </c>
      <c r="D296" s="243" t="s">
        <v>746</v>
      </c>
      <c r="E296" s="230">
        <v>31000</v>
      </c>
      <c r="F296" s="244">
        <v>19.850000000000001</v>
      </c>
      <c r="G296" s="244">
        <v>19.850000000000001</v>
      </c>
      <c r="H296" s="244"/>
      <c r="I296" s="244">
        <v>0</v>
      </c>
      <c r="J296" s="244">
        <v>0</v>
      </c>
      <c r="K296" s="244">
        <v>0</v>
      </c>
      <c r="L296" s="244">
        <v>0</v>
      </c>
      <c r="M296" s="244">
        <v>0</v>
      </c>
      <c r="N296" s="244">
        <v>0</v>
      </c>
      <c r="O296" s="244">
        <v>0</v>
      </c>
      <c r="P296" s="244">
        <v>0</v>
      </c>
      <c r="Q296" s="244">
        <v>0</v>
      </c>
      <c r="R296" s="244">
        <v>0</v>
      </c>
      <c r="S296" s="244">
        <v>0</v>
      </c>
      <c r="T296" s="244">
        <v>0</v>
      </c>
      <c r="U296" s="245"/>
      <c r="V296" s="408">
        <f t="shared" si="54"/>
        <v>0</v>
      </c>
      <c r="W296" s="245"/>
      <c r="X296" s="246">
        <f t="shared" si="55"/>
        <v>0</v>
      </c>
      <c r="Y296" s="246">
        <f t="shared" si="55"/>
        <v>0</v>
      </c>
      <c r="Z296" s="246">
        <f t="shared" si="55"/>
        <v>0</v>
      </c>
      <c r="AA296" s="245">
        <f t="shared" si="56"/>
        <v>0</v>
      </c>
      <c r="AB296" s="245">
        <f t="shared" si="56"/>
        <v>0</v>
      </c>
      <c r="AC296" s="245">
        <f t="shared" si="56"/>
        <v>0</v>
      </c>
      <c r="AD296" s="245">
        <f t="shared" si="56"/>
        <v>0</v>
      </c>
      <c r="AE296" s="245">
        <f t="shared" si="56"/>
        <v>0</v>
      </c>
      <c r="AF296" s="245">
        <f t="shared" si="56"/>
        <v>0</v>
      </c>
      <c r="AG296" s="245">
        <f t="shared" si="56"/>
        <v>0</v>
      </c>
      <c r="AH296" s="245">
        <f t="shared" si="56"/>
        <v>0</v>
      </c>
      <c r="AI296" s="245">
        <f t="shared" si="56"/>
        <v>0</v>
      </c>
      <c r="AJ296" s="247">
        <f t="shared" si="53"/>
        <v>0</v>
      </c>
    </row>
    <row r="297" spans="1:36">
      <c r="A297" s="231" t="str">
        <f t="shared" si="57"/>
        <v>JBLM HOUSINGRolloffLOCK-RO</v>
      </c>
      <c r="B297" s="243" t="s">
        <v>829</v>
      </c>
      <c r="C297" s="243" t="s">
        <v>830</v>
      </c>
      <c r="D297" s="243" t="s">
        <v>746</v>
      </c>
      <c r="E297" s="230">
        <v>31000</v>
      </c>
      <c r="F297" s="244">
        <v>0</v>
      </c>
      <c r="G297" s="244">
        <v>0</v>
      </c>
      <c r="H297" s="244"/>
      <c r="I297" s="244">
        <v>0</v>
      </c>
      <c r="J297" s="244">
        <v>0</v>
      </c>
      <c r="K297" s="244">
        <v>0</v>
      </c>
      <c r="L297" s="244">
        <v>0</v>
      </c>
      <c r="M297" s="244">
        <v>0</v>
      </c>
      <c r="N297" s="244">
        <v>0</v>
      </c>
      <c r="O297" s="244">
        <v>0</v>
      </c>
      <c r="P297" s="244">
        <v>0</v>
      </c>
      <c r="Q297" s="244">
        <v>0</v>
      </c>
      <c r="R297" s="244">
        <v>0</v>
      </c>
      <c r="S297" s="244">
        <v>0</v>
      </c>
      <c r="T297" s="244">
        <v>0</v>
      </c>
      <c r="U297" s="245"/>
      <c r="V297" s="408">
        <f t="shared" si="54"/>
        <v>0</v>
      </c>
      <c r="W297" s="245"/>
      <c r="X297" s="246">
        <f t="shared" si="55"/>
        <v>0</v>
      </c>
      <c r="Y297" s="246">
        <f t="shared" si="55"/>
        <v>0</v>
      </c>
      <c r="Z297" s="246">
        <f t="shared" si="55"/>
        <v>0</v>
      </c>
      <c r="AA297" s="245">
        <f t="shared" si="56"/>
        <v>0</v>
      </c>
      <c r="AB297" s="245">
        <f t="shared" si="56"/>
        <v>0</v>
      </c>
      <c r="AC297" s="245">
        <f t="shared" si="56"/>
        <v>0</v>
      </c>
      <c r="AD297" s="245">
        <f t="shared" ref="AD297:AI305" si="58">IFERROR(O297/$G297,0)</f>
        <v>0</v>
      </c>
      <c r="AE297" s="245">
        <f t="shared" si="58"/>
        <v>0</v>
      </c>
      <c r="AF297" s="245">
        <f t="shared" si="58"/>
        <v>0</v>
      </c>
      <c r="AG297" s="245">
        <f t="shared" si="58"/>
        <v>0</v>
      </c>
      <c r="AH297" s="245">
        <f t="shared" si="58"/>
        <v>0</v>
      </c>
      <c r="AI297" s="245">
        <f t="shared" si="58"/>
        <v>0</v>
      </c>
      <c r="AJ297" s="247">
        <f t="shared" si="53"/>
        <v>0</v>
      </c>
    </row>
    <row r="298" spans="1:36">
      <c r="A298" s="231" t="str">
        <f t="shared" si="57"/>
        <v>JBLM HOUSINGRolloffMILE-RO</v>
      </c>
      <c r="B298" s="243" t="s">
        <v>831</v>
      </c>
      <c r="C298" s="243" t="s">
        <v>832</v>
      </c>
      <c r="D298" s="243" t="s">
        <v>746</v>
      </c>
      <c r="E298" s="230">
        <v>31000</v>
      </c>
      <c r="F298" s="244">
        <v>3</v>
      </c>
      <c r="G298" s="244">
        <v>3</v>
      </c>
      <c r="H298" s="244"/>
      <c r="I298" s="244">
        <v>387</v>
      </c>
      <c r="J298" s="244">
        <v>387</v>
      </c>
      <c r="K298" s="244">
        <v>342</v>
      </c>
      <c r="L298" s="244">
        <v>387</v>
      </c>
      <c r="M298" s="244">
        <v>450</v>
      </c>
      <c r="N298" s="244">
        <v>405</v>
      </c>
      <c r="O298" s="244">
        <v>504</v>
      </c>
      <c r="P298" s="244">
        <v>486</v>
      </c>
      <c r="Q298" s="244">
        <v>594</v>
      </c>
      <c r="R298" s="244">
        <v>558</v>
      </c>
      <c r="S298" s="244">
        <v>612</v>
      </c>
      <c r="T298" s="244">
        <v>513</v>
      </c>
      <c r="U298" s="245"/>
      <c r="V298" s="408">
        <f t="shared" si="54"/>
        <v>5625</v>
      </c>
      <c r="W298" s="245"/>
      <c r="X298" s="246">
        <f t="shared" si="55"/>
        <v>129</v>
      </c>
      <c r="Y298" s="246">
        <f t="shared" si="55"/>
        <v>129</v>
      </c>
      <c r="Z298" s="246">
        <f t="shared" si="55"/>
        <v>114</v>
      </c>
      <c r="AA298" s="245">
        <f t="shared" ref="AA298:AC305" si="59">IFERROR(L298/$G298,0)</f>
        <v>129</v>
      </c>
      <c r="AB298" s="245">
        <f t="shared" si="59"/>
        <v>150</v>
      </c>
      <c r="AC298" s="245">
        <f t="shared" si="59"/>
        <v>135</v>
      </c>
      <c r="AD298" s="245">
        <f t="shared" si="58"/>
        <v>168</v>
      </c>
      <c r="AE298" s="245">
        <f t="shared" si="58"/>
        <v>162</v>
      </c>
      <c r="AF298" s="245">
        <f t="shared" si="58"/>
        <v>198</v>
      </c>
      <c r="AG298" s="245">
        <f t="shared" si="58"/>
        <v>186</v>
      </c>
      <c r="AH298" s="245">
        <f t="shared" si="58"/>
        <v>204</v>
      </c>
      <c r="AI298" s="245">
        <f t="shared" si="58"/>
        <v>171</v>
      </c>
      <c r="AJ298" s="247">
        <f t="shared" si="53"/>
        <v>1875</v>
      </c>
    </row>
    <row r="299" spans="1:36">
      <c r="A299" s="231" t="str">
        <f t="shared" si="57"/>
        <v>JBLM HOUSINGRolloffRTRNTRIP-RO</v>
      </c>
      <c r="B299" s="243" t="s">
        <v>833</v>
      </c>
      <c r="C299" s="243" t="s">
        <v>834</v>
      </c>
      <c r="D299" s="243" t="s">
        <v>746</v>
      </c>
      <c r="E299" s="230">
        <v>31000</v>
      </c>
      <c r="F299" s="244">
        <v>60</v>
      </c>
      <c r="G299" s="244">
        <v>60</v>
      </c>
      <c r="H299" s="244"/>
      <c r="I299" s="244">
        <v>120</v>
      </c>
      <c r="J299" s="244">
        <v>120</v>
      </c>
      <c r="K299" s="244">
        <v>0</v>
      </c>
      <c r="L299" s="244">
        <v>60</v>
      </c>
      <c r="M299" s="244">
        <v>0</v>
      </c>
      <c r="N299" s="244">
        <v>60</v>
      </c>
      <c r="O299" s="244">
        <v>0</v>
      </c>
      <c r="P299" s="244">
        <v>120</v>
      </c>
      <c r="Q299" s="244">
        <v>0</v>
      </c>
      <c r="R299" s="244">
        <v>120</v>
      </c>
      <c r="S299" s="244">
        <v>180</v>
      </c>
      <c r="T299" s="244">
        <v>120</v>
      </c>
      <c r="U299" s="245"/>
      <c r="V299" s="408">
        <f t="shared" si="54"/>
        <v>900</v>
      </c>
      <c r="W299" s="245"/>
      <c r="X299" s="246">
        <f t="shared" si="55"/>
        <v>2</v>
      </c>
      <c r="Y299" s="246">
        <f t="shared" si="55"/>
        <v>2</v>
      </c>
      <c r="Z299" s="246">
        <f t="shared" si="55"/>
        <v>0</v>
      </c>
      <c r="AA299" s="245">
        <f t="shared" si="59"/>
        <v>1</v>
      </c>
      <c r="AB299" s="245">
        <f t="shared" si="59"/>
        <v>0</v>
      </c>
      <c r="AC299" s="245">
        <f t="shared" si="59"/>
        <v>1</v>
      </c>
      <c r="AD299" s="245">
        <f t="shared" si="58"/>
        <v>0</v>
      </c>
      <c r="AE299" s="245">
        <f t="shared" si="58"/>
        <v>2</v>
      </c>
      <c r="AF299" s="245">
        <f t="shared" si="58"/>
        <v>0</v>
      </c>
      <c r="AG299" s="245">
        <f t="shared" si="58"/>
        <v>2</v>
      </c>
      <c r="AH299" s="245">
        <f t="shared" si="58"/>
        <v>3</v>
      </c>
      <c r="AI299" s="245">
        <f t="shared" si="58"/>
        <v>2</v>
      </c>
      <c r="AJ299" s="247">
        <f t="shared" si="53"/>
        <v>15</v>
      </c>
    </row>
    <row r="300" spans="1:36">
      <c r="A300" s="231" t="str">
        <f t="shared" si="57"/>
        <v>JBLM HOUSINGRolloffTIME-RO</v>
      </c>
      <c r="B300" s="243" t="s">
        <v>835</v>
      </c>
      <c r="C300" s="243" t="s">
        <v>836</v>
      </c>
      <c r="D300" s="243" t="s">
        <v>746</v>
      </c>
      <c r="E300" s="230">
        <v>31000</v>
      </c>
      <c r="F300" s="244">
        <v>112.5</v>
      </c>
      <c r="G300" s="244">
        <v>112.5</v>
      </c>
      <c r="H300" s="244"/>
      <c r="I300" s="244">
        <v>0</v>
      </c>
      <c r="J300" s="244">
        <v>0</v>
      </c>
      <c r="K300" s="244">
        <v>0</v>
      </c>
      <c r="L300" s="244">
        <v>0</v>
      </c>
      <c r="M300" s="244">
        <v>0</v>
      </c>
      <c r="N300" s="244">
        <v>0</v>
      </c>
      <c r="O300" s="244">
        <v>0</v>
      </c>
      <c r="P300" s="244">
        <v>0</v>
      </c>
      <c r="Q300" s="244">
        <v>0</v>
      </c>
      <c r="R300" s="244">
        <v>0</v>
      </c>
      <c r="S300" s="244">
        <v>0</v>
      </c>
      <c r="T300" s="244">
        <v>0</v>
      </c>
      <c r="U300" s="245"/>
      <c r="V300" s="408">
        <f t="shared" si="54"/>
        <v>0</v>
      </c>
      <c r="W300" s="245"/>
      <c r="X300" s="246">
        <f t="shared" si="55"/>
        <v>0</v>
      </c>
      <c r="Y300" s="246">
        <f t="shared" si="55"/>
        <v>0</v>
      </c>
      <c r="Z300" s="246">
        <f t="shared" si="55"/>
        <v>0</v>
      </c>
      <c r="AA300" s="245">
        <f t="shared" si="59"/>
        <v>0</v>
      </c>
      <c r="AB300" s="245">
        <f t="shared" si="59"/>
        <v>0</v>
      </c>
      <c r="AC300" s="245">
        <f t="shared" si="59"/>
        <v>0</v>
      </c>
      <c r="AD300" s="245">
        <f t="shared" si="58"/>
        <v>0</v>
      </c>
      <c r="AE300" s="245">
        <f t="shared" si="58"/>
        <v>0</v>
      </c>
      <c r="AF300" s="245">
        <f t="shared" si="58"/>
        <v>0</v>
      </c>
      <c r="AG300" s="245">
        <f t="shared" si="58"/>
        <v>0</v>
      </c>
      <c r="AH300" s="245">
        <f t="shared" si="58"/>
        <v>0</v>
      </c>
      <c r="AI300" s="245">
        <f t="shared" si="58"/>
        <v>0</v>
      </c>
      <c r="AJ300" s="247">
        <f t="shared" si="53"/>
        <v>0</v>
      </c>
    </row>
    <row r="301" spans="1:36">
      <c r="A301" s="231" t="str">
        <f t="shared" si="57"/>
        <v>JBLM HOUSINGRolloffDEL30-RO</v>
      </c>
      <c r="B301" s="243" t="s">
        <v>890</v>
      </c>
      <c r="C301" s="243"/>
      <c r="D301" s="243"/>
      <c r="F301" s="244">
        <v>0</v>
      </c>
      <c r="G301" s="244">
        <v>0</v>
      </c>
      <c r="H301" s="244"/>
      <c r="I301" s="244">
        <v>0</v>
      </c>
      <c r="J301" s="244">
        <v>0</v>
      </c>
      <c r="K301" s="244">
        <v>0</v>
      </c>
      <c r="L301" s="244">
        <v>0</v>
      </c>
      <c r="M301" s="244">
        <v>0</v>
      </c>
      <c r="N301" s="244">
        <v>0</v>
      </c>
      <c r="O301" s="244">
        <v>0</v>
      </c>
      <c r="P301" s="244">
        <v>0</v>
      </c>
      <c r="Q301" s="244">
        <v>0</v>
      </c>
      <c r="R301" s="244">
        <v>0</v>
      </c>
      <c r="S301" s="244">
        <v>0</v>
      </c>
      <c r="T301" s="244">
        <v>0</v>
      </c>
      <c r="U301" s="245"/>
      <c r="V301" s="408">
        <f t="shared" si="54"/>
        <v>0</v>
      </c>
      <c r="W301" s="245"/>
      <c r="X301" s="246">
        <f t="shared" si="55"/>
        <v>0</v>
      </c>
      <c r="Y301" s="246">
        <f t="shared" si="55"/>
        <v>0</v>
      </c>
      <c r="Z301" s="246">
        <f t="shared" si="55"/>
        <v>0</v>
      </c>
      <c r="AA301" s="245">
        <f t="shared" si="59"/>
        <v>0</v>
      </c>
      <c r="AB301" s="245">
        <f t="shared" si="59"/>
        <v>0</v>
      </c>
      <c r="AC301" s="245">
        <f t="shared" si="59"/>
        <v>0</v>
      </c>
      <c r="AD301" s="245">
        <f t="shared" si="58"/>
        <v>0</v>
      </c>
      <c r="AE301" s="245">
        <f t="shared" si="58"/>
        <v>0</v>
      </c>
      <c r="AF301" s="245">
        <f t="shared" si="58"/>
        <v>0</v>
      </c>
      <c r="AG301" s="245">
        <f t="shared" si="58"/>
        <v>0</v>
      </c>
      <c r="AH301" s="245">
        <f t="shared" si="58"/>
        <v>0</v>
      </c>
      <c r="AI301" s="245">
        <f t="shared" si="58"/>
        <v>0</v>
      </c>
      <c r="AJ301" s="247">
        <f t="shared" si="53"/>
        <v>0</v>
      </c>
    </row>
    <row r="302" spans="1:36">
      <c r="A302" s="231" t="str">
        <f t="shared" si="57"/>
        <v>JBLM HOUSINGRolloffHAUL10-CP</v>
      </c>
      <c r="B302" s="243" t="s">
        <v>761</v>
      </c>
      <c r="C302" s="243"/>
      <c r="D302" s="243"/>
      <c r="F302" s="244">
        <v>0</v>
      </c>
      <c r="G302" s="244">
        <v>0</v>
      </c>
      <c r="H302" s="244"/>
      <c r="I302" s="244">
        <v>0</v>
      </c>
      <c r="J302" s="244">
        <v>0</v>
      </c>
      <c r="K302" s="244">
        <v>0</v>
      </c>
      <c r="L302" s="244">
        <v>0</v>
      </c>
      <c r="M302" s="244">
        <v>0</v>
      </c>
      <c r="N302" s="244">
        <v>0</v>
      </c>
      <c r="O302" s="244">
        <v>0</v>
      </c>
      <c r="P302" s="244">
        <v>0</v>
      </c>
      <c r="Q302" s="244">
        <v>0</v>
      </c>
      <c r="R302" s="244">
        <v>0</v>
      </c>
      <c r="S302" s="244">
        <v>0</v>
      </c>
      <c r="T302" s="244">
        <v>0</v>
      </c>
      <c r="U302" s="245"/>
      <c r="V302" s="408">
        <f t="shared" si="54"/>
        <v>0</v>
      </c>
      <c r="W302" s="245"/>
      <c r="X302" s="246">
        <f t="shared" si="55"/>
        <v>0</v>
      </c>
      <c r="Y302" s="246">
        <f t="shared" si="55"/>
        <v>0</v>
      </c>
      <c r="Z302" s="246">
        <f t="shared" si="55"/>
        <v>0</v>
      </c>
      <c r="AA302" s="245">
        <f t="shared" si="59"/>
        <v>0</v>
      </c>
      <c r="AB302" s="245">
        <f t="shared" si="59"/>
        <v>0</v>
      </c>
      <c r="AC302" s="245">
        <f t="shared" si="59"/>
        <v>0</v>
      </c>
      <c r="AD302" s="245">
        <f t="shared" si="58"/>
        <v>0</v>
      </c>
      <c r="AE302" s="245">
        <f t="shared" si="58"/>
        <v>0</v>
      </c>
      <c r="AF302" s="245">
        <f t="shared" si="58"/>
        <v>0</v>
      </c>
      <c r="AG302" s="245">
        <f t="shared" si="58"/>
        <v>0</v>
      </c>
      <c r="AH302" s="245">
        <f t="shared" si="58"/>
        <v>0</v>
      </c>
      <c r="AI302" s="245">
        <f t="shared" si="58"/>
        <v>0</v>
      </c>
      <c r="AJ302" s="247">
        <f t="shared" si="53"/>
        <v>0</v>
      </c>
    </row>
    <row r="303" spans="1:36">
      <c r="A303" s="231" t="str">
        <f t="shared" si="57"/>
        <v>JBLM HOUSINGRolloffHAUL20CUST-RO</v>
      </c>
      <c r="B303" s="243" t="s">
        <v>753</v>
      </c>
      <c r="C303" s="243"/>
      <c r="D303" s="243"/>
      <c r="F303" s="244">
        <v>0</v>
      </c>
      <c r="G303" s="244">
        <v>0</v>
      </c>
      <c r="H303" s="244"/>
      <c r="I303" s="244">
        <v>0</v>
      </c>
      <c r="J303" s="244">
        <v>0</v>
      </c>
      <c r="K303" s="244">
        <v>0</v>
      </c>
      <c r="L303" s="244">
        <v>0</v>
      </c>
      <c r="M303" s="244">
        <v>0</v>
      </c>
      <c r="N303" s="244">
        <v>0</v>
      </c>
      <c r="O303" s="244">
        <v>0</v>
      </c>
      <c r="P303" s="244">
        <v>0</v>
      </c>
      <c r="Q303" s="244">
        <v>0</v>
      </c>
      <c r="R303" s="244">
        <v>0</v>
      </c>
      <c r="S303" s="244">
        <v>0</v>
      </c>
      <c r="T303" s="244">
        <v>0</v>
      </c>
      <c r="U303" s="245"/>
      <c r="V303" s="408">
        <f t="shared" si="54"/>
        <v>0</v>
      </c>
      <c r="W303" s="245"/>
      <c r="X303" s="246">
        <f t="shared" si="55"/>
        <v>0</v>
      </c>
      <c r="Y303" s="246">
        <f t="shared" si="55"/>
        <v>0</v>
      </c>
      <c r="Z303" s="246">
        <f t="shared" si="55"/>
        <v>0</v>
      </c>
      <c r="AA303" s="245">
        <f t="shared" si="59"/>
        <v>0</v>
      </c>
      <c r="AB303" s="245">
        <f t="shared" si="59"/>
        <v>0</v>
      </c>
      <c r="AC303" s="245">
        <f t="shared" si="59"/>
        <v>0</v>
      </c>
      <c r="AD303" s="245">
        <f t="shared" si="58"/>
        <v>0</v>
      </c>
      <c r="AE303" s="245">
        <f t="shared" si="58"/>
        <v>0</v>
      </c>
      <c r="AF303" s="245">
        <f t="shared" si="58"/>
        <v>0</v>
      </c>
      <c r="AG303" s="245">
        <f t="shared" si="58"/>
        <v>0</v>
      </c>
      <c r="AH303" s="245">
        <f t="shared" si="58"/>
        <v>0</v>
      </c>
      <c r="AI303" s="245">
        <f t="shared" si="58"/>
        <v>0</v>
      </c>
      <c r="AJ303" s="247">
        <f t="shared" si="53"/>
        <v>0</v>
      </c>
    </row>
    <row r="304" spans="1:36">
      <c r="A304" s="231" t="str">
        <f t="shared" si="57"/>
        <v>JBLM HOUSINGRolloffHAUL26-CP</v>
      </c>
      <c r="B304" s="243" t="s">
        <v>769</v>
      </c>
      <c r="C304" s="243"/>
      <c r="D304" s="243"/>
      <c r="F304" s="244">
        <v>0</v>
      </c>
      <c r="G304" s="244">
        <v>0</v>
      </c>
      <c r="H304" s="244"/>
      <c r="I304" s="244">
        <v>0</v>
      </c>
      <c r="J304" s="244">
        <v>0</v>
      </c>
      <c r="K304" s="244">
        <v>0</v>
      </c>
      <c r="L304" s="244">
        <v>0</v>
      </c>
      <c r="M304" s="244">
        <v>0</v>
      </c>
      <c r="N304" s="244">
        <v>0</v>
      </c>
      <c r="O304" s="244">
        <v>0</v>
      </c>
      <c r="P304" s="244">
        <v>0</v>
      </c>
      <c r="Q304" s="244">
        <v>0</v>
      </c>
      <c r="R304" s="244">
        <v>0</v>
      </c>
      <c r="S304" s="244">
        <v>0</v>
      </c>
      <c r="T304" s="244">
        <v>0</v>
      </c>
      <c r="U304" s="245"/>
      <c r="V304" s="408">
        <f t="shared" si="54"/>
        <v>0</v>
      </c>
      <c r="W304" s="245"/>
      <c r="X304" s="246">
        <f t="shared" si="55"/>
        <v>0</v>
      </c>
      <c r="Y304" s="246">
        <f t="shared" si="55"/>
        <v>0</v>
      </c>
      <c r="Z304" s="246">
        <f t="shared" si="55"/>
        <v>0</v>
      </c>
      <c r="AA304" s="245">
        <f t="shared" si="59"/>
        <v>0</v>
      </c>
      <c r="AB304" s="245">
        <f t="shared" si="59"/>
        <v>0</v>
      </c>
      <c r="AC304" s="245">
        <f t="shared" si="59"/>
        <v>0</v>
      </c>
      <c r="AD304" s="245">
        <f t="shared" si="58"/>
        <v>0</v>
      </c>
      <c r="AE304" s="245">
        <f t="shared" si="58"/>
        <v>0</v>
      </c>
      <c r="AF304" s="245">
        <f t="shared" si="58"/>
        <v>0</v>
      </c>
      <c r="AG304" s="245">
        <f t="shared" si="58"/>
        <v>0</v>
      </c>
      <c r="AH304" s="245">
        <f t="shared" si="58"/>
        <v>0</v>
      </c>
      <c r="AI304" s="245">
        <f t="shared" si="58"/>
        <v>0</v>
      </c>
      <c r="AJ304" s="247">
        <f t="shared" si="53"/>
        <v>0</v>
      </c>
    </row>
    <row r="305" spans="1:36">
      <c r="A305" s="231" t="str">
        <f t="shared" si="57"/>
        <v>JBLM HOUSINGRolloffHAUL30CUST-RO</v>
      </c>
      <c r="B305" s="243" t="s">
        <v>754</v>
      </c>
      <c r="C305" s="243"/>
      <c r="D305" s="243"/>
      <c r="F305" s="244">
        <v>0</v>
      </c>
      <c r="G305" s="244">
        <v>0</v>
      </c>
      <c r="H305" s="244"/>
      <c r="I305" s="244">
        <v>0</v>
      </c>
      <c r="J305" s="244">
        <v>0</v>
      </c>
      <c r="K305" s="244">
        <v>0</v>
      </c>
      <c r="L305" s="244">
        <v>0</v>
      </c>
      <c r="M305" s="244">
        <v>0</v>
      </c>
      <c r="N305" s="244">
        <v>0</v>
      </c>
      <c r="O305" s="244">
        <v>0</v>
      </c>
      <c r="P305" s="244">
        <v>0</v>
      </c>
      <c r="Q305" s="244">
        <v>0</v>
      </c>
      <c r="R305" s="244">
        <v>0</v>
      </c>
      <c r="S305" s="244">
        <v>0</v>
      </c>
      <c r="T305" s="244">
        <v>0</v>
      </c>
      <c r="U305" s="245"/>
      <c r="V305" s="408">
        <f t="shared" si="54"/>
        <v>0</v>
      </c>
      <c r="W305" s="245"/>
      <c r="X305" s="246">
        <f t="shared" si="55"/>
        <v>0</v>
      </c>
      <c r="Y305" s="246">
        <f t="shared" si="55"/>
        <v>0</v>
      </c>
      <c r="Z305" s="246">
        <f t="shared" si="55"/>
        <v>0</v>
      </c>
      <c r="AA305" s="245">
        <f t="shared" si="59"/>
        <v>0</v>
      </c>
      <c r="AB305" s="245">
        <f t="shared" si="59"/>
        <v>0</v>
      </c>
      <c r="AC305" s="245">
        <f t="shared" si="59"/>
        <v>0</v>
      </c>
      <c r="AD305" s="245">
        <f t="shared" si="58"/>
        <v>0</v>
      </c>
      <c r="AE305" s="245">
        <f t="shared" si="58"/>
        <v>0</v>
      </c>
      <c r="AF305" s="245">
        <f t="shared" si="58"/>
        <v>0</v>
      </c>
      <c r="AG305" s="245">
        <f t="shared" si="58"/>
        <v>0</v>
      </c>
      <c r="AH305" s="245">
        <f t="shared" si="58"/>
        <v>0</v>
      </c>
      <c r="AI305" s="245">
        <f t="shared" si="58"/>
        <v>0</v>
      </c>
      <c r="AJ305" s="247">
        <f t="shared" si="53"/>
        <v>0</v>
      </c>
    </row>
    <row r="306" spans="1:36">
      <c r="B306" s="243"/>
      <c r="C306" s="243"/>
      <c r="D306" s="243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5"/>
      <c r="W306" s="245"/>
      <c r="X306" s="246"/>
      <c r="Y306" s="246"/>
      <c r="Z306" s="246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7">
        <f t="shared" si="53"/>
        <v>0</v>
      </c>
    </row>
    <row r="307" spans="1:36">
      <c r="B307" s="243"/>
      <c r="C307" s="248" t="s">
        <v>155</v>
      </c>
      <c r="D307" s="243"/>
      <c r="F307" s="244"/>
      <c r="G307" s="244"/>
      <c r="H307" s="244"/>
      <c r="I307" s="250">
        <f>SUM(I269:I305)</f>
        <v>4356</v>
      </c>
      <c r="J307" s="250">
        <f>SUM(J269:J305)</f>
        <v>4356</v>
      </c>
      <c r="K307" s="250">
        <f t="shared" ref="K307:T307" si="60">SUM(K269:K305)</f>
        <v>3855</v>
      </c>
      <c r="L307" s="250">
        <f t="shared" si="60"/>
        <v>4309</v>
      </c>
      <c r="M307" s="250">
        <f t="shared" si="60"/>
        <v>5523</v>
      </c>
      <c r="N307" s="250">
        <f t="shared" si="60"/>
        <v>4492</v>
      </c>
      <c r="O307" s="250">
        <f t="shared" si="60"/>
        <v>5502</v>
      </c>
      <c r="P307" s="250">
        <f t="shared" si="60"/>
        <v>5452</v>
      </c>
      <c r="Q307" s="250">
        <f t="shared" si="60"/>
        <v>6417</v>
      </c>
      <c r="R307" s="250">
        <f t="shared" si="60"/>
        <v>6171</v>
      </c>
      <c r="S307" s="250">
        <f t="shared" si="60"/>
        <v>6741</v>
      </c>
      <c r="T307" s="250">
        <f t="shared" si="60"/>
        <v>5624</v>
      </c>
      <c r="U307" s="251"/>
      <c r="V307" s="413">
        <f>SUM(V269:V305)</f>
        <v>62798</v>
      </c>
      <c r="W307" s="254"/>
      <c r="X307" s="246">
        <f>SUM(X269:X283)</f>
        <v>22</v>
      </c>
      <c r="Y307" s="246">
        <f>SUM(Y269:Y283)</f>
        <v>22</v>
      </c>
      <c r="Z307" s="246">
        <f t="shared" ref="Z307:AI307" si="61">SUM(Z269:Z283)</f>
        <v>20</v>
      </c>
      <c r="AA307" s="246">
        <f t="shared" si="61"/>
        <v>22</v>
      </c>
      <c r="AB307" s="246">
        <f t="shared" si="61"/>
        <v>26</v>
      </c>
      <c r="AC307" s="246">
        <f t="shared" si="61"/>
        <v>23</v>
      </c>
      <c r="AD307" s="246">
        <f t="shared" si="61"/>
        <v>29</v>
      </c>
      <c r="AE307" s="246">
        <f t="shared" si="61"/>
        <v>28</v>
      </c>
      <c r="AF307" s="246">
        <f t="shared" si="61"/>
        <v>34</v>
      </c>
      <c r="AG307" s="246">
        <f t="shared" si="61"/>
        <v>32</v>
      </c>
      <c r="AH307" s="246">
        <f t="shared" si="61"/>
        <v>35</v>
      </c>
      <c r="AI307" s="246">
        <f t="shared" si="61"/>
        <v>29</v>
      </c>
      <c r="AJ307" s="247">
        <f t="shared" si="53"/>
        <v>322</v>
      </c>
    </row>
    <row r="308" spans="1:36">
      <c r="B308" s="243"/>
      <c r="C308" s="243"/>
      <c r="D308" s="243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72"/>
      <c r="W308" s="272"/>
      <c r="X308" s="246"/>
      <c r="Y308" s="246"/>
      <c r="Z308" s="246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7">
        <f t="shared" si="53"/>
        <v>0</v>
      </c>
    </row>
    <row r="309" spans="1:36">
      <c r="B309" s="252" t="s">
        <v>156</v>
      </c>
      <c r="C309" s="243"/>
      <c r="D309" s="243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72"/>
      <c r="W309" s="272"/>
      <c r="X309" s="246"/>
      <c r="Y309" s="246"/>
      <c r="Z309" s="246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7">
        <f t="shared" si="53"/>
        <v>0</v>
      </c>
    </row>
    <row r="310" spans="1:36">
      <c r="A310" s="231" t="str">
        <f t="shared" ref="A310:A315" si="62">$A$3&amp;"Rolloff"&amp;B310</f>
        <v>JBLM HOUSINGRolloffDISP-RO</v>
      </c>
      <c r="B310" s="243" t="s">
        <v>838</v>
      </c>
      <c r="C310" s="243" t="s">
        <v>839</v>
      </c>
      <c r="D310" s="243" t="s">
        <v>840</v>
      </c>
      <c r="E310" s="230">
        <v>31005</v>
      </c>
      <c r="F310" s="244">
        <v>0</v>
      </c>
      <c r="G310" s="244">
        <v>0</v>
      </c>
      <c r="H310" s="244"/>
      <c r="I310" s="244">
        <v>375.25</v>
      </c>
      <c r="J310" s="244">
        <v>0</v>
      </c>
      <c r="K310" s="244">
        <v>0</v>
      </c>
      <c r="L310" s="244">
        <v>0</v>
      </c>
      <c r="M310" s="244">
        <v>0</v>
      </c>
      <c r="N310" s="244">
        <v>0</v>
      </c>
      <c r="O310" s="244">
        <v>0</v>
      </c>
      <c r="P310" s="244">
        <v>0</v>
      </c>
      <c r="Q310" s="244">
        <v>0</v>
      </c>
      <c r="R310" s="244">
        <v>0</v>
      </c>
      <c r="S310" s="244">
        <v>0</v>
      </c>
      <c r="T310" s="244">
        <v>0</v>
      </c>
      <c r="U310" s="245"/>
      <c r="V310" s="408">
        <f t="shared" ref="V310:V315" si="63">SUM(I310:T310)</f>
        <v>375.25</v>
      </c>
      <c r="W310" s="245"/>
      <c r="X310" s="246">
        <f t="shared" ref="X310:Z311" si="64">IFERROR(I310/$F310,0)</f>
        <v>0</v>
      </c>
      <c r="Y310" s="246">
        <f t="shared" si="64"/>
        <v>0</v>
      </c>
      <c r="Z310" s="246">
        <f t="shared" si="64"/>
        <v>0</v>
      </c>
      <c r="AA310" s="245">
        <f t="shared" ref="AA310:AI315" si="65">IFERROR(L310/$G310,0)</f>
        <v>0</v>
      </c>
      <c r="AB310" s="245">
        <f t="shared" si="65"/>
        <v>0</v>
      </c>
      <c r="AC310" s="245">
        <f t="shared" si="65"/>
        <v>0</v>
      </c>
      <c r="AD310" s="245">
        <f t="shared" si="65"/>
        <v>0</v>
      </c>
      <c r="AE310" s="245">
        <f t="shared" si="65"/>
        <v>0</v>
      </c>
      <c r="AF310" s="245">
        <f t="shared" si="65"/>
        <v>0</v>
      </c>
      <c r="AG310" s="245">
        <f t="shared" si="65"/>
        <v>0</v>
      </c>
      <c r="AH310" s="245">
        <f t="shared" si="65"/>
        <v>0</v>
      </c>
      <c r="AI310" s="245">
        <f t="shared" si="65"/>
        <v>0</v>
      </c>
      <c r="AJ310" s="247">
        <f t="shared" si="53"/>
        <v>0</v>
      </c>
    </row>
    <row r="311" spans="1:36">
      <c r="A311" s="231" t="str">
        <f t="shared" si="62"/>
        <v>JBLM HOUSINGRolloffDISPFEDMSW-RO</v>
      </c>
      <c r="B311" s="243" t="s">
        <v>841</v>
      </c>
      <c r="C311" s="243"/>
      <c r="D311" s="243"/>
      <c r="F311" s="244">
        <v>107.83</v>
      </c>
      <c r="G311" s="244">
        <v>112.64</v>
      </c>
      <c r="H311" s="244"/>
      <c r="I311" s="244">
        <v>5671.87</v>
      </c>
      <c r="J311" s="244">
        <v>6271.41</v>
      </c>
      <c r="K311" s="244">
        <v>5748.42</v>
      </c>
      <c r="L311" s="244">
        <v>5639.84</v>
      </c>
      <c r="M311" s="244">
        <v>7896.08</v>
      </c>
      <c r="N311" s="244">
        <v>6518.49</v>
      </c>
      <c r="O311" s="244">
        <v>9063.01</v>
      </c>
      <c r="P311" s="244">
        <v>8924.49</v>
      </c>
      <c r="Q311" s="244">
        <v>6680.68</v>
      </c>
      <c r="R311" s="244">
        <v>8886.19</v>
      </c>
      <c r="S311" s="244">
        <v>9549.6</v>
      </c>
      <c r="T311" s="244">
        <v>7037.78</v>
      </c>
      <c r="U311" s="245"/>
      <c r="V311" s="408">
        <f t="shared" si="63"/>
        <v>87887.86</v>
      </c>
      <c r="W311" s="245"/>
      <c r="X311" s="246">
        <f t="shared" si="64"/>
        <v>52.600111286283962</v>
      </c>
      <c r="Y311" s="246">
        <f t="shared" si="64"/>
        <v>58.16015951034035</v>
      </c>
      <c r="Z311" s="246">
        <f t="shared" si="64"/>
        <v>53.310025039413894</v>
      </c>
      <c r="AA311" s="245">
        <f t="shared" si="65"/>
        <v>50.069602272727273</v>
      </c>
      <c r="AB311" s="245">
        <f t="shared" si="65"/>
        <v>70.100142045454547</v>
      </c>
      <c r="AC311" s="245">
        <f t="shared" si="65"/>
        <v>57.8701171875</v>
      </c>
      <c r="AD311" s="245">
        <f t="shared" si="65"/>
        <v>80.4599609375</v>
      </c>
      <c r="AE311" s="245">
        <f t="shared" si="65"/>
        <v>79.23020241477272</v>
      </c>
      <c r="AF311" s="245">
        <f t="shared" si="65"/>
        <v>59.31001420454546</v>
      </c>
      <c r="AG311" s="245">
        <f t="shared" si="65"/>
        <v>78.890181107954547</v>
      </c>
      <c r="AH311" s="245">
        <f t="shared" si="65"/>
        <v>84.779829545454547</v>
      </c>
      <c r="AI311" s="245">
        <f t="shared" si="65"/>
        <v>62.480291193181813</v>
      </c>
      <c r="AJ311" s="247">
        <f t="shared" si="53"/>
        <v>787.26063674512898</v>
      </c>
    </row>
    <row r="312" spans="1:36">
      <c r="A312" s="231" t="str">
        <f t="shared" si="62"/>
        <v>JBLM HOUSINGRolloffDISPFEDMSW-RES</v>
      </c>
      <c r="B312" s="243" t="s">
        <v>863</v>
      </c>
      <c r="C312" s="243"/>
      <c r="D312" s="243"/>
      <c r="F312" s="244">
        <v>0</v>
      </c>
      <c r="G312" s="244">
        <v>0</v>
      </c>
      <c r="H312" s="244"/>
      <c r="I312" s="244">
        <v>0</v>
      </c>
      <c r="J312" s="244">
        <v>0</v>
      </c>
      <c r="K312" s="244">
        <v>0</v>
      </c>
      <c r="L312" s="244">
        <v>0</v>
      </c>
      <c r="M312" s="244">
        <v>0</v>
      </c>
      <c r="N312" s="244">
        <v>0</v>
      </c>
      <c r="O312" s="244">
        <v>0</v>
      </c>
      <c r="P312" s="244">
        <v>0</v>
      </c>
      <c r="Q312" s="244">
        <v>0</v>
      </c>
      <c r="R312" s="244">
        <v>0</v>
      </c>
      <c r="S312" s="244">
        <v>0</v>
      </c>
      <c r="T312" s="244">
        <v>0</v>
      </c>
      <c r="U312" s="245"/>
      <c r="V312" s="408">
        <f t="shared" si="63"/>
        <v>0</v>
      </c>
      <c r="W312" s="245"/>
      <c r="X312" s="246"/>
      <c r="Y312" s="246"/>
      <c r="Z312" s="246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7">
        <f t="shared" si="53"/>
        <v>0</v>
      </c>
    </row>
    <row r="313" spans="1:36">
      <c r="A313" s="231" t="str">
        <f t="shared" si="62"/>
        <v>JBLM HOUSINGRolloffDISPDIRT-RO</v>
      </c>
      <c r="B313" s="243" t="s">
        <v>891</v>
      </c>
      <c r="C313" s="243"/>
      <c r="D313" s="243"/>
      <c r="F313" s="244"/>
      <c r="G313" s="244"/>
      <c r="H313" s="244"/>
      <c r="I313" s="244">
        <v>0</v>
      </c>
      <c r="J313" s="244">
        <v>0</v>
      </c>
      <c r="K313" s="244">
        <v>0</v>
      </c>
      <c r="L313" s="244">
        <v>0</v>
      </c>
      <c r="M313" s="244">
        <v>0</v>
      </c>
      <c r="N313" s="244">
        <v>0</v>
      </c>
      <c r="O313" s="244">
        <v>0</v>
      </c>
      <c r="P313" s="244">
        <v>0</v>
      </c>
      <c r="Q313" s="244">
        <v>0</v>
      </c>
      <c r="R313" s="244">
        <v>0</v>
      </c>
      <c r="S313" s="244">
        <v>0</v>
      </c>
      <c r="T313" s="244">
        <v>0</v>
      </c>
      <c r="U313" s="245"/>
      <c r="V313" s="408">
        <f t="shared" si="63"/>
        <v>0</v>
      </c>
      <c r="W313" s="245"/>
      <c r="X313" s="246">
        <f t="shared" ref="X313:Z315" si="66">IFERROR(I313/$F313,0)</f>
        <v>0</v>
      </c>
      <c r="Y313" s="246">
        <f t="shared" si="66"/>
        <v>0</v>
      </c>
      <c r="Z313" s="246">
        <f t="shared" si="66"/>
        <v>0</v>
      </c>
      <c r="AA313" s="245">
        <f t="shared" si="65"/>
        <v>0</v>
      </c>
      <c r="AB313" s="245">
        <f t="shared" si="65"/>
        <v>0</v>
      </c>
      <c r="AC313" s="245">
        <f t="shared" si="65"/>
        <v>0</v>
      </c>
      <c r="AD313" s="245">
        <f t="shared" si="65"/>
        <v>0</v>
      </c>
      <c r="AE313" s="245">
        <f t="shared" si="65"/>
        <v>0</v>
      </c>
      <c r="AF313" s="245">
        <f t="shared" si="65"/>
        <v>0</v>
      </c>
      <c r="AG313" s="245">
        <f t="shared" si="65"/>
        <v>0</v>
      </c>
      <c r="AH313" s="245">
        <f t="shared" si="65"/>
        <v>0</v>
      </c>
      <c r="AI313" s="245">
        <f t="shared" si="65"/>
        <v>0</v>
      </c>
      <c r="AJ313" s="247">
        <f t="shared" si="53"/>
        <v>0</v>
      </c>
    </row>
    <row r="314" spans="1:36">
      <c r="A314" s="231" t="str">
        <f t="shared" si="62"/>
        <v>JBLM HOUSINGRolloffDISPGW-RO</v>
      </c>
      <c r="B314" s="243" t="s">
        <v>892</v>
      </c>
      <c r="C314" s="243"/>
      <c r="D314" s="243"/>
      <c r="F314" s="244"/>
      <c r="G314" s="244"/>
      <c r="H314" s="244"/>
      <c r="I314" s="244">
        <v>0</v>
      </c>
      <c r="J314" s="244">
        <v>0</v>
      </c>
      <c r="K314" s="244">
        <v>0</v>
      </c>
      <c r="L314" s="244">
        <v>0</v>
      </c>
      <c r="M314" s="244">
        <v>0</v>
      </c>
      <c r="N314" s="244">
        <v>0</v>
      </c>
      <c r="O314" s="244">
        <v>0</v>
      </c>
      <c r="P314" s="244">
        <v>0</v>
      </c>
      <c r="Q314" s="244">
        <v>0</v>
      </c>
      <c r="R314" s="244">
        <v>0</v>
      </c>
      <c r="S314" s="244">
        <v>0</v>
      </c>
      <c r="T314" s="244">
        <v>0</v>
      </c>
      <c r="U314" s="245"/>
      <c r="V314" s="408">
        <f t="shared" si="63"/>
        <v>0</v>
      </c>
      <c r="W314" s="245"/>
      <c r="X314" s="246">
        <f t="shared" si="66"/>
        <v>0</v>
      </c>
      <c r="Y314" s="246">
        <f t="shared" si="66"/>
        <v>0</v>
      </c>
      <c r="Z314" s="246">
        <f t="shared" si="66"/>
        <v>0</v>
      </c>
      <c r="AA314" s="245">
        <f t="shared" si="65"/>
        <v>0</v>
      </c>
      <c r="AB314" s="245">
        <f t="shared" si="65"/>
        <v>0</v>
      </c>
      <c r="AC314" s="245">
        <f t="shared" si="65"/>
        <v>0</v>
      </c>
      <c r="AD314" s="245">
        <f t="shared" si="65"/>
        <v>0</v>
      </c>
      <c r="AE314" s="245">
        <f t="shared" si="65"/>
        <v>0</v>
      </c>
      <c r="AF314" s="245">
        <f t="shared" si="65"/>
        <v>0</v>
      </c>
      <c r="AG314" s="245">
        <f t="shared" si="65"/>
        <v>0</v>
      </c>
      <c r="AH314" s="245">
        <f t="shared" si="65"/>
        <v>0</v>
      </c>
      <c r="AI314" s="245">
        <f t="shared" si="65"/>
        <v>0</v>
      </c>
      <c r="AJ314" s="247">
        <f t="shared" si="53"/>
        <v>0</v>
      </c>
    </row>
    <row r="315" spans="1:36">
      <c r="A315" s="231" t="str">
        <f t="shared" si="62"/>
        <v>JBLM HOUSINGRolloffDISPITEM-RO</v>
      </c>
      <c r="B315" s="243" t="s">
        <v>893</v>
      </c>
      <c r="C315" s="243"/>
      <c r="D315" s="243"/>
      <c r="F315" s="244"/>
      <c r="G315" s="244"/>
      <c r="H315" s="244"/>
      <c r="I315" s="244">
        <v>0</v>
      </c>
      <c r="J315" s="244">
        <v>0</v>
      </c>
      <c r="K315" s="244">
        <v>0</v>
      </c>
      <c r="L315" s="244">
        <v>0</v>
      </c>
      <c r="M315" s="244">
        <v>0</v>
      </c>
      <c r="N315" s="244">
        <v>0</v>
      </c>
      <c r="O315" s="244">
        <v>0</v>
      </c>
      <c r="P315" s="244">
        <v>0</v>
      </c>
      <c r="Q315" s="244">
        <v>0</v>
      </c>
      <c r="R315" s="244">
        <v>0</v>
      </c>
      <c r="S315" s="244">
        <v>0</v>
      </c>
      <c r="T315" s="244">
        <v>0</v>
      </c>
      <c r="U315" s="245"/>
      <c r="V315" s="408">
        <f t="shared" si="63"/>
        <v>0</v>
      </c>
      <c r="W315" s="245"/>
      <c r="X315" s="246">
        <f t="shared" si="66"/>
        <v>0</v>
      </c>
      <c r="Y315" s="246">
        <f t="shared" si="66"/>
        <v>0</v>
      </c>
      <c r="Z315" s="246">
        <f t="shared" si="66"/>
        <v>0</v>
      </c>
      <c r="AA315" s="245">
        <f t="shared" si="65"/>
        <v>0</v>
      </c>
      <c r="AB315" s="245">
        <f t="shared" si="65"/>
        <v>0</v>
      </c>
      <c r="AC315" s="245">
        <f t="shared" si="65"/>
        <v>0</v>
      </c>
      <c r="AD315" s="245">
        <f t="shared" si="65"/>
        <v>0</v>
      </c>
      <c r="AE315" s="245">
        <f t="shared" si="65"/>
        <v>0</v>
      </c>
      <c r="AF315" s="245">
        <f t="shared" si="65"/>
        <v>0</v>
      </c>
      <c r="AG315" s="245">
        <f t="shared" si="65"/>
        <v>0</v>
      </c>
      <c r="AH315" s="245">
        <f t="shared" si="65"/>
        <v>0</v>
      </c>
      <c r="AI315" s="245">
        <f t="shared" si="65"/>
        <v>0</v>
      </c>
      <c r="AJ315" s="247">
        <f t="shared" si="53"/>
        <v>0</v>
      </c>
    </row>
    <row r="316" spans="1:36">
      <c r="B316" s="243"/>
      <c r="C316" s="248" t="s">
        <v>157</v>
      </c>
      <c r="D316" s="243"/>
      <c r="F316" s="244"/>
      <c r="G316" s="244"/>
      <c r="H316" s="244"/>
      <c r="I316" s="250">
        <f>SUM(I310:I315)</f>
        <v>6047.12</v>
      </c>
      <c r="J316" s="250">
        <f>SUM(J310:J315)</f>
        <v>6271.41</v>
      </c>
      <c r="K316" s="250">
        <f>SUM(K310:K315)</f>
        <v>5748.42</v>
      </c>
      <c r="L316" s="250">
        <f>SUM(L310:L315)</f>
        <v>5639.84</v>
      </c>
      <c r="M316" s="250">
        <f t="shared" ref="M316:S316" si="67">SUM(M310:M315)</f>
        <v>7896.08</v>
      </c>
      <c r="N316" s="250">
        <f t="shared" si="67"/>
        <v>6518.49</v>
      </c>
      <c r="O316" s="250">
        <f t="shared" si="67"/>
        <v>9063.01</v>
      </c>
      <c r="P316" s="250">
        <f t="shared" si="67"/>
        <v>8924.49</v>
      </c>
      <c r="Q316" s="250">
        <f t="shared" si="67"/>
        <v>6680.68</v>
      </c>
      <c r="R316" s="250">
        <f t="shared" si="67"/>
        <v>8886.19</v>
      </c>
      <c r="S316" s="250">
        <f t="shared" si="67"/>
        <v>9549.6</v>
      </c>
      <c r="T316" s="250">
        <f>SUM(T310:T315)</f>
        <v>7037.78</v>
      </c>
      <c r="U316" s="251"/>
      <c r="V316" s="413">
        <f>SUM(V310:V315)</f>
        <v>88263.11</v>
      </c>
      <c r="W316" s="254"/>
      <c r="X316" s="246"/>
      <c r="Y316" s="246"/>
      <c r="Z316" s="246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7">
        <f t="shared" si="53"/>
        <v>0</v>
      </c>
    </row>
    <row r="317" spans="1:36">
      <c r="B317" s="243"/>
      <c r="F317" s="244"/>
      <c r="G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68"/>
      <c r="W317" s="268"/>
      <c r="X317" s="246"/>
      <c r="Y317" s="246"/>
      <c r="Z317" s="246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7">
        <f t="shared" si="53"/>
        <v>0</v>
      </c>
    </row>
    <row r="318" spans="1:36">
      <c r="F318" s="244"/>
      <c r="G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X318" s="246"/>
      <c r="Y318" s="246"/>
      <c r="Z318" s="246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7">
        <f t="shared" si="53"/>
        <v>0</v>
      </c>
    </row>
    <row r="319" spans="1:36" s="255" customFormat="1">
      <c r="B319" s="228" t="s">
        <v>842</v>
      </c>
      <c r="C319" s="228"/>
      <c r="D319" s="228"/>
      <c r="E319" s="236"/>
      <c r="F319" s="244"/>
      <c r="G319" s="244"/>
      <c r="H319" s="228"/>
      <c r="I319" s="259">
        <f>+I307+I316</f>
        <v>10403.119999999999</v>
      </c>
      <c r="J319" s="259">
        <f>+J307+J316</f>
        <v>10627.41</v>
      </c>
      <c r="K319" s="259">
        <f>+K307+K316</f>
        <v>9603.42</v>
      </c>
      <c r="L319" s="259">
        <f>+L307+L316</f>
        <v>9948.84</v>
      </c>
      <c r="M319" s="259">
        <f t="shared" ref="M319:S319" si="68">+M307+M316</f>
        <v>13419.08</v>
      </c>
      <c r="N319" s="259">
        <f t="shared" si="68"/>
        <v>11010.49</v>
      </c>
      <c r="O319" s="259">
        <f t="shared" si="68"/>
        <v>14565.01</v>
      </c>
      <c r="P319" s="259">
        <f t="shared" si="68"/>
        <v>14376.49</v>
      </c>
      <c r="Q319" s="259">
        <f t="shared" si="68"/>
        <v>13097.68</v>
      </c>
      <c r="R319" s="259">
        <f t="shared" si="68"/>
        <v>15057.19</v>
      </c>
      <c r="S319" s="259">
        <f t="shared" si="68"/>
        <v>16290.6</v>
      </c>
      <c r="T319" s="259">
        <f>+T307+T316</f>
        <v>12661.779999999999</v>
      </c>
      <c r="U319" s="274"/>
      <c r="V319" s="416">
        <f>+V307+V316</f>
        <v>151061.10999999999</v>
      </c>
      <c r="W319" s="274"/>
      <c r="X319" s="246"/>
      <c r="Y319" s="246"/>
      <c r="Z319" s="246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7">
        <f t="shared" si="53"/>
        <v>0</v>
      </c>
    </row>
    <row r="320" spans="1:36" s="255" customFormat="1">
      <c r="B320" s="228"/>
      <c r="C320" s="228"/>
      <c r="D320" s="228"/>
      <c r="E320" s="236"/>
      <c r="F320" s="244"/>
      <c r="G320" s="244"/>
      <c r="H320" s="261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75"/>
      <c r="V320" s="415"/>
      <c r="W320" s="274"/>
      <c r="X320" s="246"/>
      <c r="Y320" s="246"/>
      <c r="Z320" s="246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7">
        <f t="shared" si="53"/>
        <v>0</v>
      </c>
    </row>
    <row r="321" spans="1:36" s="255" customFormat="1">
      <c r="B321" s="228"/>
      <c r="C321" s="228"/>
      <c r="D321" s="228"/>
      <c r="E321" s="236"/>
      <c r="F321" s="244"/>
      <c r="G321" s="244"/>
      <c r="H321" s="261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76"/>
      <c r="V321" s="415"/>
      <c r="W321" s="293"/>
      <c r="X321" s="246"/>
      <c r="Y321" s="246"/>
      <c r="Z321" s="246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7">
        <f t="shared" si="53"/>
        <v>0</v>
      </c>
    </row>
    <row r="322" spans="1:36">
      <c r="F322" s="244"/>
      <c r="G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X322" s="246"/>
      <c r="Y322" s="246"/>
      <c r="Z322" s="246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7">
        <f t="shared" si="53"/>
        <v>0</v>
      </c>
    </row>
    <row r="323" spans="1:36">
      <c r="B323" s="239" t="s">
        <v>843</v>
      </c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X323" s="246"/>
      <c r="Y323" s="246"/>
      <c r="Z323" s="246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7">
        <f t="shared" si="53"/>
        <v>0</v>
      </c>
    </row>
    <row r="324" spans="1:36">
      <c r="A324" s="231" t="str">
        <f>$A$3&amp;"accounting adjustments"&amp;B324</f>
        <v>JBLM HOUSINGaccounting adjustmentsADJ-FIN</v>
      </c>
      <c r="B324" s="243" t="s">
        <v>844</v>
      </c>
      <c r="C324" s="243" t="s">
        <v>845</v>
      </c>
      <c r="D324" s="243" t="s">
        <v>843</v>
      </c>
      <c r="E324" s="230">
        <v>38000</v>
      </c>
      <c r="F324" s="244"/>
      <c r="G324" s="244"/>
      <c r="H324" s="244"/>
      <c r="I324" s="244">
        <v>0</v>
      </c>
      <c r="J324" s="244">
        <v>0</v>
      </c>
      <c r="K324" s="244">
        <v>0</v>
      </c>
      <c r="L324" s="244">
        <v>0</v>
      </c>
      <c r="M324" s="244">
        <v>0</v>
      </c>
      <c r="N324" s="244">
        <v>0</v>
      </c>
      <c r="O324" s="244">
        <v>0</v>
      </c>
      <c r="P324" s="244">
        <v>0</v>
      </c>
      <c r="Q324" s="244">
        <v>0</v>
      </c>
      <c r="R324" s="244">
        <v>0</v>
      </c>
      <c r="S324" s="244">
        <v>0</v>
      </c>
      <c r="T324" s="244">
        <v>0</v>
      </c>
      <c r="U324" s="245"/>
      <c r="W324" s="245"/>
      <c r="X324" s="246">
        <f t="shared" ref="X324:Z325" si="69">IFERROR(I324/$F324,0)</f>
        <v>0</v>
      </c>
      <c r="Y324" s="246">
        <f t="shared" si="69"/>
        <v>0</v>
      </c>
      <c r="Z324" s="246">
        <f t="shared" si="69"/>
        <v>0</v>
      </c>
      <c r="AA324" s="245">
        <f t="shared" ref="AA324:AI325" si="70">IFERROR(L324/$G324,0)</f>
        <v>0</v>
      </c>
      <c r="AB324" s="245">
        <f t="shared" si="70"/>
        <v>0</v>
      </c>
      <c r="AC324" s="245">
        <f t="shared" si="70"/>
        <v>0</v>
      </c>
      <c r="AD324" s="245">
        <f t="shared" si="70"/>
        <v>0</v>
      </c>
      <c r="AE324" s="245">
        <f t="shared" si="70"/>
        <v>0</v>
      </c>
      <c r="AF324" s="245">
        <f t="shared" si="70"/>
        <v>0</v>
      </c>
      <c r="AG324" s="245">
        <f t="shared" si="70"/>
        <v>0</v>
      </c>
      <c r="AH324" s="245">
        <f t="shared" si="70"/>
        <v>0</v>
      </c>
      <c r="AI324" s="245">
        <f t="shared" si="70"/>
        <v>0</v>
      </c>
      <c r="AJ324" s="247">
        <f t="shared" si="53"/>
        <v>0</v>
      </c>
    </row>
    <row r="325" spans="1:36">
      <c r="A325" s="231" t="str">
        <f>$A$3&amp;"accounting adjustments"&amp;B325</f>
        <v>JBLM HOUSINGaccounting adjustmentsRETCKC</v>
      </c>
      <c r="B325" s="243" t="s">
        <v>846</v>
      </c>
      <c r="C325" s="243" t="s">
        <v>847</v>
      </c>
      <c r="D325" s="243" t="s">
        <v>843</v>
      </c>
      <c r="E325" s="230">
        <v>38000</v>
      </c>
      <c r="F325" s="244">
        <v>0</v>
      </c>
      <c r="G325" s="244">
        <v>0</v>
      </c>
      <c r="H325" s="244"/>
      <c r="I325" s="244">
        <v>0</v>
      </c>
      <c r="J325" s="244">
        <v>0</v>
      </c>
      <c r="K325" s="244">
        <v>0</v>
      </c>
      <c r="L325" s="244">
        <v>0</v>
      </c>
      <c r="M325" s="244">
        <v>0</v>
      </c>
      <c r="N325" s="244">
        <v>0</v>
      </c>
      <c r="O325" s="244">
        <v>0</v>
      </c>
      <c r="P325" s="244">
        <v>0</v>
      </c>
      <c r="Q325" s="244">
        <v>0</v>
      </c>
      <c r="R325" s="244">
        <v>0</v>
      </c>
      <c r="S325" s="244">
        <v>0</v>
      </c>
      <c r="T325" s="244">
        <v>0</v>
      </c>
      <c r="U325" s="245"/>
      <c r="W325" s="245"/>
      <c r="X325" s="246">
        <f t="shared" si="69"/>
        <v>0</v>
      </c>
      <c r="Y325" s="246">
        <f t="shared" si="69"/>
        <v>0</v>
      </c>
      <c r="Z325" s="246">
        <f t="shared" si="69"/>
        <v>0</v>
      </c>
      <c r="AA325" s="245">
        <f t="shared" si="70"/>
        <v>0</v>
      </c>
      <c r="AB325" s="245">
        <f t="shared" si="70"/>
        <v>0</v>
      </c>
      <c r="AC325" s="245">
        <f t="shared" si="70"/>
        <v>0</v>
      </c>
      <c r="AD325" s="245">
        <f t="shared" si="70"/>
        <v>0</v>
      </c>
      <c r="AE325" s="245">
        <f t="shared" si="70"/>
        <v>0</v>
      </c>
      <c r="AF325" s="245">
        <f t="shared" si="70"/>
        <v>0</v>
      </c>
      <c r="AG325" s="245">
        <f t="shared" si="70"/>
        <v>0</v>
      </c>
      <c r="AH325" s="245">
        <f t="shared" si="70"/>
        <v>0</v>
      </c>
      <c r="AI325" s="245">
        <f t="shared" si="70"/>
        <v>0</v>
      </c>
      <c r="AJ325" s="247">
        <f t="shared" si="53"/>
        <v>0</v>
      </c>
    </row>
    <row r="326" spans="1:36">
      <c r="B326" s="243"/>
      <c r="F326" s="244"/>
      <c r="G326" s="244"/>
      <c r="I326" s="277"/>
      <c r="J326" s="244"/>
      <c r="K326" s="244"/>
      <c r="T326" s="277"/>
      <c r="U326" s="277"/>
      <c r="V326" s="432"/>
      <c r="W326" s="294"/>
      <c r="AJ326" s="247">
        <f t="shared" si="53"/>
        <v>0</v>
      </c>
    </row>
    <row r="327" spans="1:36">
      <c r="B327" s="243"/>
      <c r="F327" s="244"/>
      <c r="G327" s="244"/>
      <c r="I327" s="246"/>
      <c r="T327" s="246"/>
      <c r="U327" s="246"/>
      <c r="W327" s="246"/>
      <c r="AJ327" s="247">
        <f t="shared" si="53"/>
        <v>0</v>
      </c>
    </row>
    <row r="328" spans="1:36" s="255" customFormat="1">
      <c r="B328" s="228" t="s">
        <v>849</v>
      </c>
      <c r="C328" s="228"/>
      <c r="D328" s="228"/>
      <c r="E328" s="236"/>
      <c r="F328" s="244"/>
      <c r="G328" s="244"/>
      <c r="H328" s="228"/>
      <c r="I328" s="278">
        <f>SUM(I324:I325)</f>
        <v>0</v>
      </c>
      <c r="J328" s="278">
        <f>SUM(J324:J325)</f>
        <v>0</v>
      </c>
      <c r="K328" s="278">
        <f t="shared" ref="K328:T328" si="71">SUM(K324:K325)</f>
        <v>0</v>
      </c>
      <c r="L328" s="278">
        <f t="shared" si="71"/>
        <v>0</v>
      </c>
      <c r="M328" s="278">
        <f t="shared" si="71"/>
        <v>0</v>
      </c>
      <c r="N328" s="278">
        <f t="shared" si="71"/>
        <v>0</v>
      </c>
      <c r="O328" s="278">
        <f t="shared" si="71"/>
        <v>0</v>
      </c>
      <c r="P328" s="278">
        <f t="shared" si="71"/>
        <v>0</v>
      </c>
      <c r="Q328" s="278">
        <f t="shared" si="71"/>
        <v>0</v>
      </c>
      <c r="R328" s="278">
        <f t="shared" si="71"/>
        <v>0</v>
      </c>
      <c r="S328" s="278">
        <f t="shared" si="71"/>
        <v>0</v>
      </c>
      <c r="T328" s="278">
        <f t="shared" si="71"/>
        <v>0</v>
      </c>
      <c r="U328" s="274"/>
      <c r="V328" s="415"/>
      <c r="W328" s="274"/>
      <c r="Y328" s="228"/>
      <c r="AJ328" s="247">
        <f t="shared" si="53"/>
        <v>0</v>
      </c>
    </row>
    <row r="329" spans="1:36" s="255" customFormat="1">
      <c r="B329" s="228"/>
      <c r="C329" s="228"/>
      <c r="D329" s="228"/>
      <c r="E329" s="236"/>
      <c r="F329" s="244"/>
      <c r="G329" s="244"/>
      <c r="H329" s="261"/>
      <c r="I329" s="275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75"/>
      <c r="U329" s="275"/>
      <c r="V329" s="415"/>
      <c r="W329" s="274"/>
      <c r="Y329" s="228"/>
      <c r="AJ329" s="247">
        <f t="shared" si="53"/>
        <v>0</v>
      </c>
    </row>
    <row r="330" spans="1:36" s="255" customFormat="1">
      <c r="B330" s="228"/>
      <c r="C330" s="228"/>
      <c r="D330" s="228"/>
      <c r="E330" s="236"/>
      <c r="F330" s="244"/>
      <c r="G330" s="244"/>
      <c r="H330" s="261"/>
      <c r="I330" s="276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76"/>
      <c r="U330" s="276"/>
      <c r="V330" s="415"/>
      <c r="W330" s="293"/>
      <c r="Y330" s="228"/>
      <c r="AJ330" s="247">
        <f t="shared" si="53"/>
        <v>0</v>
      </c>
    </row>
    <row r="331" spans="1:36">
      <c r="B331" s="243"/>
      <c r="F331" s="244"/>
      <c r="G331" s="244"/>
      <c r="I331" s="246"/>
      <c r="T331" s="246"/>
      <c r="U331" s="246"/>
      <c r="W331" s="246"/>
      <c r="AJ331" s="247">
        <f t="shared" si="53"/>
        <v>0</v>
      </c>
    </row>
    <row r="332" spans="1:36">
      <c r="F332" s="244"/>
      <c r="G332" s="244"/>
      <c r="I332" s="245"/>
      <c r="T332" s="245"/>
      <c r="U332" s="245"/>
      <c r="W332" s="245"/>
      <c r="AJ332" s="247">
        <f t="shared" ref="AJ332:AJ359" si="72">SUM(X332:AI332)</f>
        <v>0</v>
      </c>
    </row>
    <row r="333" spans="1:36" s="255" customFormat="1" ht="13.5" thickBot="1">
      <c r="B333" s="228" t="s">
        <v>850</v>
      </c>
      <c r="C333" s="228"/>
      <c r="D333" s="228"/>
      <c r="E333" s="236"/>
      <c r="F333" s="244"/>
      <c r="G333" s="244"/>
      <c r="H333" s="228"/>
      <c r="I333" s="280">
        <f>+I105+I262+I319+I328</f>
        <v>154811.81</v>
      </c>
      <c r="J333" s="280">
        <f>+J105+J262+J319+J328</f>
        <v>226707.19999999998</v>
      </c>
      <c r="K333" s="280">
        <f t="shared" ref="K333:T333" si="73">+K105+K262+K319+K328</f>
        <v>81491.809999999983</v>
      </c>
      <c r="L333" s="280">
        <f t="shared" si="73"/>
        <v>156302.57999999999</v>
      </c>
      <c r="M333" s="280">
        <f t="shared" si="73"/>
        <v>162945.06999999998</v>
      </c>
      <c r="N333" s="280">
        <f t="shared" si="73"/>
        <v>158492.45000000001</v>
      </c>
      <c r="O333" s="280">
        <f t="shared" si="73"/>
        <v>162911.33000000005</v>
      </c>
      <c r="P333" s="280">
        <f t="shared" si="73"/>
        <v>164365.65999999997</v>
      </c>
      <c r="Q333" s="280">
        <f t="shared" si="73"/>
        <v>161465.61000000002</v>
      </c>
      <c r="R333" s="280">
        <f t="shared" si="73"/>
        <v>168884.98</v>
      </c>
      <c r="S333" s="280">
        <f t="shared" si="73"/>
        <v>165910.79</v>
      </c>
      <c r="T333" s="280">
        <f t="shared" si="73"/>
        <v>161479.4</v>
      </c>
      <c r="U333" s="274"/>
      <c r="V333" s="419">
        <f>+V105+V262+V319+V328</f>
        <v>1884137.9299999997</v>
      </c>
      <c r="W333" s="274"/>
      <c r="Y333" s="228"/>
      <c r="AJ333" s="247">
        <f t="shared" si="72"/>
        <v>0</v>
      </c>
    </row>
    <row r="334" spans="1:36" s="255" customFormat="1" ht="13.5" thickTop="1">
      <c r="B334" s="228"/>
      <c r="C334" s="228"/>
      <c r="D334" s="228"/>
      <c r="E334" s="236"/>
      <c r="F334" s="244"/>
      <c r="G334" s="244"/>
      <c r="H334" s="261"/>
      <c r="I334" s="275"/>
      <c r="J334" s="261"/>
      <c r="K334" s="261"/>
      <c r="L334" s="261"/>
      <c r="M334" s="261"/>
      <c r="N334" s="261"/>
      <c r="O334" s="261"/>
      <c r="P334" s="261"/>
      <c r="Q334" s="261"/>
      <c r="R334" s="261"/>
      <c r="S334" s="261"/>
      <c r="T334" s="275"/>
      <c r="U334" s="275"/>
      <c r="V334" s="415"/>
      <c r="W334" s="274"/>
      <c r="Y334" s="228"/>
      <c r="AJ334" s="247">
        <f t="shared" si="72"/>
        <v>0</v>
      </c>
    </row>
    <row r="335" spans="1:36" s="255" customFormat="1">
      <c r="B335" s="228"/>
      <c r="C335" s="228"/>
      <c r="D335" s="228"/>
      <c r="E335" s="236"/>
      <c r="F335" s="244"/>
      <c r="G335" s="244"/>
      <c r="H335" s="261"/>
      <c r="I335" s="276"/>
      <c r="J335" s="261"/>
      <c r="K335" s="261"/>
      <c r="L335" s="261"/>
      <c r="M335" s="261"/>
      <c r="N335" s="261"/>
      <c r="O335" s="261"/>
      <c r="P335" s="282"/>
      <c r="Q335" s="282"/>
      <c r="R335" s="282"/>
      <c r="S335" s="282"/>
      <c r="T335" s="276"/>
      <c r="U335" s="276"/>
      <c r="V335" s="415"/>
      <c r="W335" s="293"/>
      <c r="Y335" s="228"/>
      <c r="AJ335" s="247">
        <f t="shared" si="72"/>
        <v>0</v>
      </c>
    </row>
    <row r="336" spans="1:36">
      <c r="I336" s="245"/>
      <c r="J336" s="286"/>
      <c r="P336" s="286"/>
      <c r="T336" s="245"/>
      <c r="U336" s="245"/>
      <c r="W336" s="245"/>
      <c r="AJ336" s="247">
        <f t="shared" si="72"/>
        <v>0</v>
      </c>
    </row>
    <row r="337" spans="5:36">
      <c r="I337" s="245"/>
      <c r="J337" s="286"/>
      <c r="T337" s="245"/>
      <c r="U337" s="245"/>
      <c r="W337" s="245"/>
      <c r="AJ337" s="247">
        <f t="shared" si="72"/>
        <v>0</v>
      </c>
    </row>
    <row r="338" spans="5:36">
      <c r="I338" s="245"/>
      <c r="T338" s="245"/>
      <c r="U338" s="245"/>
      <c r="W338" s="245"/>
      <c r="AJ338" s="247">
        <f t="shared" si="72"/>
        <v>0</v>
      </c>
    </row>
    <row r="339" spans="5:36">
      <c r="I339" s="245"/>
      <c r="T339" s="245"/>
      <c r="U339" s="245"/>
      <c r="W339" s="245"/>
      <c r="AJ339" s="247">
        <f t="shared" si="72"/>
        <v>0</v>
      </c>
    </row>
    <row r="340" spans="5:36">
      <c r="I340" s="245"/>
      <c r="T340" s="245"/>
      <c r="U340" s="245"/>
      <c r="W340" s="245"/>
      <c r="AJ340" s="247">
        <f t="shared" si="72"/>
        <v>0</v>
      </c>
    </row>
    <row r="341" spans="5:36" s="229" customFormat="1">
      <c r="E341" s="230"/>
      <c r="F341" s="231"/>
      <c r="I341" s="245"/>
      <c r="T341" s="245"/>
      <c r="U341" s="245"/>
      <c r="V341" s="408"/>
      <c r="W341" s="245"/>
      <c r="X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47">
        <f t="shared" si="72"/>
        <v>0</v>
      </c>
    </row>
    <row r="342" spans="5:36" s="229" customFormat="1">
      <c r="E342" s="230"/>
      <c r="F342" s="231"/>
      <c r="I342" s="245"/>
      <c r="T342" s="245"/>
      <c r="U342" s="245"/>
      <c r="V342" s="408"/>
      <c r="W342" s="245"/>
      <c r="X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47">
        <f t="shared" si="72"/>
        <v>0</v>
      </c>
    </row>
    <row r="343" spans="5:36" s="229" customFormat="1">
      <c r="E343" s="230"/>
      <c r="F343" s="231"/>
      <c r="I343" s="245"/>
      <c r="T343" s="245"/>
      <c r="U343" s="245"/>
      <c r="V343" s="408"/>
      <c r="W343" s="245"/>
      <c r="X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47">
        <f t="shared" si="72"/>
        <v>0</v>
      </c>
    </row>
    <row r="344" spans="5:36" s="229" customFormat="1">
      <c r="E344" s="230"/>
      <c r="F344" s="231"/>
      <c r="I344" s="245"/>
      <c r="T344" s="245"/>
      <c r="U344" s="245"/>
      <c r="V344" s="408"/>
      <c r="W344" s="245"/>
      <c r="X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47">
        <f t="shared" si="72"/>
        <v>0</v>
      </c>
    </row>
    <row r="345" spans="5:36" s="229" customFormat="1">
      <c r="E345" s="230"/>
      <c r="F345" s="231"/>
      <c r="I345" s="245"/>
      <c r="T345" s="245"/>
      <c r="U345" s="245"/>
      <c r="V345" s="408"/>
      <c r="W345" s="245"/>
      <c r="X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47">
        <f t="shared" si="72"/>
        <v>0</v>
      </c>
    </row>
    <row r="346" spans="5:36" s="229" customFormat="1">
      <c r="E346" s="230"/>
      <c r="F346" s="231"/>
      <c r="I346" s="245"/>
      <c r="T346" s="245"/>
      <c r="U346" s="245"/>
      <c r="V346" s="408"/>
      <c r="W346" s="245"/>
      <c r="X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47">
        <f t="shared" si="72"/>
        <v>0</v>
      </c>
    </row>
    <row r="347" spans="5:36" s="229" customFormat="1">
      <c r="E347" s="230"/>
      <c r="F347" s="231"/>
      <c r="I347" s="245"/>
      <c r="T347" s="245"/>
      <c r="U347" s="245"/>
      <c r="V347" s="408"/>
      <c r="W347" s="245"/>
      <c r="X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47">
        <f t="shared" si="72"/>
        <v>0</v>
      </c>
    </row>
    <row r="348" spans="5:36" s="229" customFormat="1">
      <c r="E348" s="230"/>
      <c r="F348" s="231"/>
      <c r="I348" s="245"/>
      <c r="T348" s="245"/>
      <c r="U348" s="245"/>
      <c r="V348" s="408"/>
      <c r="W348" s="245"/>
      <c r="X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47">
        <f t="shared" si="72"/>
        <v>0</v>
      </c>
    </row>
    <row r="349" spans="5:36" s="229" customFormat="1">
      <c r="E349" s="230"/>
      <c r="F349" s="231"/>
      <c r="I349" s="245"/>
      <c r="T349" s="245"/>
      <c r="U349" s="245"/>
      <c r="V349" s="408"/>
      <c r="W349" s="245"/>
      <c r="X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47">
        <f t="shared" si="72"/>
        <v>0</v>
      </c>
    </row>
    <row r="350" spans="5:36" s="229" customFormat="1">
      <c r="E350" s="230"/>
      <c r="F350" s="231"/>
      <c r="I350" s="245"/>
      <c r="T350" s="245"/>
      <c r="U350" s="245"/>
      <c r="V350" s="408"/>
      <c r="W350" s="245"/>
      <c r="X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47">
        <f t="shared" si="72"/>
        <v>0</v>
      </c>
    </row>
    <row r="351" spans="5:36" s="229" customFormat="1">
      <c r="E351" s="230"/>
      <c r="F351" s="231"/>
      <c r="I351" s="245"/>
      <c r="T351" s="245"/>
      <c r="U351" s="245"/>
      <c r="V351" s="408"/>
      <c r="W351" s="245"/>
      <c r="X351" s="231"/>
      <c r="Z351" s="231"/>
      <c r="AA351" s="231"/>
      <c r="AB351" s="231"/>
      <c r="AC351" s="231"/>
      <c r="AD351" s="231"/>
      <c r="AE351" s="231"/>
      <c r="AF351" s="231"/>
      <c r="AG351" s="231"/>
      <c r="AH351" s="231"/>
      <c r="AI351" s="231"/>
      <c r="AJ351" s="247">
        <f t="shared" si="72"/>
        <v>0</v>
      </c>
    </row>
    <row r="352" spans="5:36" s="229" customFormat="1">
      <c r="E352" s="230"/>
      <c r="F352" s="231"/>
      <c r="I352" s="245"/>
      <c r="T352" s="245"/>
      <c r="U352" s="245"/>
      <c r="V352" s="408"/>
      <c r="W352" s="245"/>
      <c r="X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47">
        <f t="shared" si="72"/>
        <v>0</v>
      </c>
    </row>
    <row r="353" spans="5:36" s="229" customFormat="1">
      <c r="E353" s="230"/>
      <c r="F353" s="231"/>
      <c r="I353" s="245"/>
      <c r="T353" s="245"/>
      <c r="U353" s="245"/>
      <c r="V353" s="408"/>
      <c r="W353" s="245"/>
      <c r="X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47">
        <f t="shared" si="72"/>
        <v>0</v>
      </c>
    </row>
    <row r="354" spans="5:36" s="229" customFormat="1">
      <c r="E354" s="230"/>
      <c r="F354" s="231"/>
      <c r="I354" s="245"/>
      <c r="T354" s="245"/>
      <c r="U354" s="245"/>
      <c r="V354" s="408"/>
      <c r="W354" s="245"/>
      <c r="X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47">
        <f t="shared" si="72"/>
        <v>0</v>
      </c>
    </row>
    <row r="355" spans="5:36" s="229" customFormat="1">
      <c r="E355" s="230"/>
      <c r="F355" s="231"/>
      <c r="I355" s="245"/>
      <c r="T355" s="245"/>
      <c r="U355" s="245"/>
      <c r="V355" s="408"/>
      <c r="W355" s="245"/>
      <c r="X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47">
        <f t="shared" si="72"/>
        <v>0</v>
      </c>
    </row>
    <row r="356" spans="5:36" s="229" customFormat="1">
      <c r="E356" s="230"/>
      <c r="F356" s="231"/>
      <c r="I356" s="245"/>
      <c r="T356" s="245"/>
      <c r="U356" s="245"/>
      <c r="V356" s="408"/>
      <c r="W356" s="245"/>
      <c r="X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47">
        <f t="shared" si="72"/>
        <v>0</v>
      </c>
    </row>
    <row r="357" spans="5:36" s="229" customFormat="1">
      <c r="E357" s="230"/>
      <c r="F357" s="231"/>
      <c r="I357" s="245"/>
      <c r="T357" s="245"/>
      <c r="U357" s="245"/>
      <c r="V357" s="408"/>
      <c r="W357" s="245"/>
      <c r="X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47">
        <f t="shared" si="72"/>
        <v>0</v>
      </c>
    </row>
    <row r="358" spans="5:36" s="229" customFormat="1">
      <c r="E358" s="230"/>
      <c r="F358" s="231"/>
      <c r="I358" s="245"/>
      <c r="T358" s="245"/>
      <c r="U358" s="245"/>
      <c r="V358" s="408"/>
      <c r="W358" s="245"/>
      <c r="X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47">
        <f t="shared" si="72"/>
        <v>0</v>
      </c>
    </row>
    <row r="359" spans="5:36" s="229" customFormat="1">
      <c r="E359" s="230"/>
      <c r="F359" s="231"/>
      <c r="I359" s="245"/>
      <c r="T359" s="245"/>
      <c r="U359" s="245"/>
      <c r="V359" s="408"/>
      <c r="W359" s="245"/>
      <c r="X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47">
        <f t="shared" si="72"/>
        <v>0</v>
      </c>
    </row>
    <row r="360" spans="5:36" s="229" customFormat="1">
      <c r="E360" s="230"/>
      <c r="F360" s="231"/>
      <c r="I360" s="245"/>
      <c r="T360" s="245"/>
      <c r="U360" s="245"/>
      <c r="V360" s="408"/>
      <c r="W360" s="245"/>
      <c r="X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</row>
    <row r="361" spans="5:36" s="229" customFormat="1">
      <c r="E361" s="230"/>
      <c r="F361" s="231"/>
      <c r="I361" s="245"/>
      <c r="T361" s="245"/>
      <c r="U361" s="245"/>
      <c r="V361" s="408"/>
      <c r="W361" s="245"/>
      <c r="X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</row>
    <row r="362" spans="5:36" s="229" customFormat="1">
      <c r="E362" s="230"/>
      <c r="F362" s="231"/>
      <c r="I362" s="245"/>
      <c r="T362" s="245"/>
      <c r="U362" s="245"/>
      <c r="V362" s="408"/>
      <c r="W362" s="245"/>
      <c r="X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</row>
    <row r="363" spans="5:36" s="229" customFormat="1">
      <c r="E363" s="230"/>
      <c r="F363" s="231"/>
      <c r="I363" s="245"/>
      <c r="T363" s="245"/>
      <c r="U363" s="245"/>
      <c r="V363" s="408"/>
      <c r="W363" s="245"/>
      <c r="X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</row>
    <row r="364" spans="5:36" s="229" customFormat="1">
      <c r="E364" s="230"/>
      <c r="F364" s="231"/>
      <c r="I364" s="245"/>
      <c r="T364" s="245"/>
      <c r="U364" s="245"/>
      <c r="V364" s="408"/>
      <c r="W364" s="245"/>
      <c r="X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</row>
    <row r="365" spans="5:36" s="229" customFormat="1">
      <c r="E365" s="230"/>
      <c r="F365" s="231"/>
      <c r="I365" s="245"/>
      <c r="T365" s="245"/>
      <c r="U365" s="245"/>
      <c r="V365" s="408"/>
      <c r="W365" s="245"/>
      <c r="X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</row>
    <row r="366" spans="5:36" s="229" customFormat="1">
      <c r="E366" s="230"/>
      <c r="F366" s="231"/>
      <c r="I366" s="245"/>
      <c r="T366" s="245"/>
      <c r="U366" s="245"/>
      <c r="V366" s="408"/>
      <c r="W366" s="245"/>
      <c r="X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</row>
    <row r="367" spans="5:36" s="229" customFormat="1">
      <c r="E367" s="230"/>
      <c r="F367" s="231"/>
      <c r="I367" s="245"/>
      <c r="T367" s="245"/>
      <c r="U367" s="245"/>
      <c r="V367" s="408"/>
      <c r="W367" s="245"/>
      <c r="X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</row>
    <row r="368" spans="5:36" s="229" customFormat="1">
      <c r="E368" s="230"/>
      <c r="F368" s="231"/>
      <c r="I368" s="245"/>
      <c r="T368" s="245"/>
      <c r="U368" s="245"/>
      <c r="V368" s="408"/>
      <c r="W368" s="245"/>
      <c r="X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</row>
  </sheetData>
  <mergeCells count="2">
    <mergeCell ref="I5:T5"/>
    <mergeCell ref="X5:AI5"/>
  </mergeCells>
  <conditionalFormatting sqref="A4">
    <cfRule type="duplicateValues" dxfId="0" priority="1"/>
  </conditionalFormatting>
  <pageMargins left="0.7" right="0.7" top="0.75" bottom="0.75" header="0.3" footer="0.3"/>
  <pageSetup scale="56" fitToHeight="7" orientation="landscape" r:id="rId1"/>
  <headerFooter>
    <oddHeader>&amp;R&amp;F
&amp;A</oddHeader>
    <oddFooter>&amp;L&amp;D&amp;C&amp;P&amp;R&amp;T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378B2FAB0EE934FA22595EE73E7D882" ma:contentTypeVersion="8" ma:contentTypeDescription="" ma:contentTypeScope="" ma:versionID="0a961350612a956e1e2bc77e9f0452f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c1bcc6b821fc3d5457d2a5d65df53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Process" minOccurs="0"/>
                <xsd:element ref="ns2:Visibility" minOccurs="0"/>
                <xsd:element ref="ns2:IsEFSEC" minOccurs="0"/>
                <xsd:element ref="ns1:Nick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25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8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9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10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11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12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13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14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15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6" nillable="true" ma:displayName="Agenda Order" ma:default="0" ma:internalName="AgendaOrder" ma:readOnly="false">
      <xsd:simpleType>
        <xsd:restriction base="dms:Boolean"/>
      </xsd:simpleType>
    </xsd:element>
    <xsd:element name="DelegatedOrder" ma:index="17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8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9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20" nillable="true" ma:displayName="OpenedDate" ma:format="DateOnly" ma:internalName="OpenedDate">
      <xsd:simpleType>
        <xsd:restriction base="dms:DateTime"/>
      </xsd:simpleType>
    </xsd:element>
    <xsd:element name="Prefix" ma:index="21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Process" ma:index="22" nillable="true" ma:displayName="Process" ma:description="EFSEC Process" ma:internalName="Process">
      <xsd:simpleType>
        <xsd:restriction base="dms:Text">
          <xsd:maxLength value="255"/>
        </xsd:restriction>
      </xsd:simpleType>
    </xsd:element>
    <xsd:element name="Visibility" ma:index="23" nillable="true" ma:displayName="Visibility" ma:default="Full Visibility" ma:format="Dropdown" ma:internalName="Visibility">
      <xsd:simpleType>
        <xsd:restriction base="dms:Choice">
          <xsd:enumeration value="Full Visibility"/>
          <xsd:enumeration value="Cases Only"/>
          <xsd:enumeration value="Cases and Public Website Only"/>
          <xsd:enumeration value="Cases and EFSEC Counsel Only"/>
        </xsd:restriction>
      </xsd:simpleType>
    </xsd:element>
    <xsd:element name="IsEFSEC" ma:index="24" nillable="true" ma:displayName="IsEFSEC" ma:default="0" ma:internalName="IsEFSEC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2020-01-14T08:00:00+00:00</OpenedDate>
    <SignificantOrder xmlns="dc463f71-b30c-4ab2-9473-d307f9d35888">false</SignificantOrder>
    <Date1 xmlns="dc463f71-b30c-4ab2-9473-d307f9d35888">2020-01-14T08:00:00+00:00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</CaseCompanyNames>
    <Nickname xmlns="http://schemas.microsoft.com/sharepoint/v3" xsi:nil="true"/>
    <DocketNumber xmlns="dc463f71-b30c-4ab2-9473-d307f9d35888">200040</DocketNumber>
    <DelegatedOrder xmlns="dc463f71-b30c-4ab2-9473-d307f9d35888">false</DelegatedOrder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DA5183E6660742BE2146D5839D14AC" ma:contentTypeVersion="52" ma:contentTypeDescription="" ma:contentTypeScope="" ma:versionID="ae959cb23aa11a094884dba85ad13c4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52A595-CFE8-4AD6-9B9A-8FF834BE77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c463f71-b30c-4ab2-9473-d307f9d358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7FEC53-F637-4C83-9528-407A5C7C4098}"/>
</file>

<file path=customXml/itemProps3.xml><?xml version="1.0" encoding="utf-8"?>
<ds:datastoreItem xmlns:ds="http://schemas.openxmlformats.org/officeDocument/2006/customXml" ds:itemID="{198FA305-A519-4B6E-9C27-D6F535D8622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D311DB4-3EBC-4224-B614-8F3A5117EE75}">
  <ds:schemaRefs>
    <ds:schemaRef ds:uri="http://schemas.microsoft.com/sharepoint/v3"/>
    <ds:schemaRef ds:uri="http://purl.org/dc/elements/1.1/"/>
    <ds:schemaRef ds:uri="http://purl.org/dc/dcmitype/"/>
    <ds:schemaRef ds:uri="http://schemas.openxmlformats.org/package/2006/metadata/core-properties"/>
    <ds:schemaRef ds:uri="dc463f71-b30c-4ab2-9473-d307f9d35888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5.xml><?xml version="1.0" encoding="utf-8"?>
<ds:datastoreItem xmlns:ds="http://schemas.openxmlformats.org/officeDocument/2006/customXml" ds:itemID="{884E2CD3-BA50-4D1A-804E-623292FD87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References</vt:lpstr>
      <vt:lpstr>DF Calculation</vt:lpstr>
      <vt:lpstr>Mapping</vt:lpstr>
      <vt:lpstr>To Populate Tariff</vt:lpstr>
      <vt:lpstr>Disposal Schedule</vt:lpstr>
      <vt:lpstr>2180 (Reg.) - Price Out </vt:lpstr>
      <vt:lpstr>2180 (JBLM Housing) - Price Out</vt:lpstr>
      <vt:lpstr>'2180 (JBLM Housing) - Price Out'!Print_Area</vt:lpstr>
      <vt:lpstr>'2180 (Reg.) - Price Out '!Print_Area</vt:lpstr>
      <vt:lpstr>'DF Calculation'!Print_Area</vt:lpstr>
      <vt:lpstr>'Disposal Schedule'!Print_Area</vt:lpstr>
      <vt:lpstr>'To Populate Tariff'!Print_Area</vt:lpstr>
      <vt:lpstr>'2180 (JBLM Housing) - Price Out'!Print_Titles</vt:lpstr>
      <vt:lpstr>'2180 (Reg.) - Price Out '!Print_Titles</vt:lpstr>
      <vt:lpstr>'DF Calculation'!Print_Titles</vt:lpstr>
      <vt:lpstr>'Disposal Schedule'!Print_Titles</vt:lpstr>
    </vt:vector>
  </TitlesOfParts>
  <Company>Washington Utilities and Transportation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Heather Garland</cp:lastModifiedBy>
  <cp:lastPrinted>2020-01-14T17:49:06Z</cp:lastPrinted>
  <dcterms:created xsi:type="dcterms:W3CDTF">2013-10-29T22:33:54Z</dcterms:created>
  <dcterms:modified xsi:type="dcterms:W3CDTF">2020-01-14T18:34:10Z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0x0101006E56B4D1795A2E4DB2F0B01679ED314A003EDA5183E6660742BE2146D5839D14AC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