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11.xml" ContentType="application/vnd.openxmlformats-officedocument.spreadsheetml.externalLink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comments1.xml" ContentType="application/vnd.openxmlformats-officedocument.spreadsheetml.comments+xml"/>
  <Override PartName="/xl/externalLinks/externalLink10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12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315" yWindow="150" windowWidth="20730" windowHeight="5385"/>
  </bookViews>
  <sheets>
    <sheet name="References" sheetId="5" r:id="rId1"/>
    <sheet name="G-48 DF Calc" sheetId="3" r:id="rId2"/>
    <sheet name="G-48 Price Out" sheetId="1" r:id="rId3"/>
    <sheet name="DF Schedule" sheetId="4" r:id="rId4"/>
    <sheet name="Rate Schedule G-48" sheetId="6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</externalReferences>
  <definedNames>
    <definedName name="_____________CYA1">[1]Hidden!$N$11</definedName>
    <definedName name="_____________CYA10">[1]Hidden!$E$11</definedName>
    <definedName name="_____________CYA11">[1]Hidden!$P$11</definedName>
    <definedName name="_____________CYA2">[1]Hidden!$M$11</definedName>
    <definedName name="_____________CYA3">[1]Hidden!$L$11</definedName>
    <definedName name="_____________CYA4">[1]Hidden!$K$11</definedName>
    <definedName name="_____________CYA5">[1]Hidden!$J$11</definedName>
    <definedName name="_____________CYA6">[1]Hidden!$I$11</definedName>
    <definedName name="_____________CYA7">[1]Hidden!$H$11</definedName>
    <definedName name="_____________CYA8">[1]Hidden!$G$11</definedName>
    <definedName name="_____________CYA9">[1]Hidden!$F$11</definedName>
    <definedName name="_____________LYA12">[1]Hidden!$O$11</definedName>
    <definedName name="____________CYA1">[1]Hidden!$N$11</definedName>
    <definedName name="____________CYA10">[1]Hidden!$E$11</definedName>
    <definedName name="____________CYA11">[1]Hidden!$P$11</definedName>
    <definedName name="____________CYA2">[1]Hidden!$M$11</definedName>
    <definedName name="____________CYA3">[1]Hidden!$L$11</definedName>
    <definedName name="____________CYA4">[1]Hidden!$K$11</definedName>
    <definedName name="____________CYA5">[1]Hidden!$J$11</definedName>
    <definedName name="____________CYA6">[1]Hidden!$I$11</definedName>
    <definedName name="____________CYA7">[1]Hidden!$H$11</definedName>
    <definedName name="____________CYA8">[1]Hidden!$G$11</definedName>
    <definedName name="____________CYA9">[1]Hidden!$F$11</definedName>
    <definedName name="____________LYA12">[1]Hidden!$O$11</definedName>
    <definedName name="___________CYA1">[1]Hidden!$N$11</definedName>
    <definedName name="___________CYA10">[1]Hidden!$E$11</definedName>
    <definedName name="___________CYA11">[1]Hidden!$P$11</definedName>
    <definedName name="___________CYA2">[1]Hidden!$M$11</definedName>
    <definedName name="___________CYA3">[1]Hidden!$L$11</definedName>
    <definedName name="___________CYA4">[1]Hidden!$K$11</definedName>
    <definedName name="___________CYA5">[1]Hidden!$J$11</definedName>
    <definedName name="___________CYA6">[1]Hidden!$I$11</definedName>
    <definedName name="___________CYA7">[1]Hidden!$H$11</definedName>
    <definedName name="___________CYA8">[1]Hidden!$G$11</definedName>
    <definedName name="___________CYA9">[1]Hidden!$F$11</definedName>
    <definedName name="___________LYA12">[1]Hidden!$O$11</definedName>
    <definedName name="__________CYA1">[1]Hidden!$N$11</definedName>
    <definedName name="__________CYA10">[1]Hidden!$E$11</definedName>
    <definedName name="__________CYA11">[1]Hidden!$P$11</definedName>
    <definedName name="__________CYA2">[1]Hidden!$M$11</definedName>
    <definedName name="__________CYA3">[1]Hidden!$L$11</definedName>
    <definedName name="__________CYA4">[1]Hidden!$K$11</definedName>
    <definedName name="__________CYA5">[1]Hidden!$J$11</definedName>
    <definedName name="__________CYA6">[1]Hidden!$I$11</definedName>
    <definedName name="__________CYA7">[1]Hidden!$H$11</definedName>
    <definedName name="__________CYA8">[1]Hidden!$G$11</definedName>
    <definedName name="__________CYA9">[1]Hidden!$F$11</definedName>
    <definedName name="__________LYA12">[1]Hidden!$O$11</definedName>
    <definedName name="_________CYA1">[1]Hidden!$N$11</definedName>
    <definedName name="_________CYA10">[1]Hidden!$E$11</definedName>
    <definedName name="_________CYA11">[1]Hidden!$P$11</definedName>
    <definedName name="_________CYA2">[1]Hidden!$M$11</definedName>
    <definedName name="_________CYA3">[1]Hidden!$L$11</definedName>
    <definedName name="_________CYA4">[1]Hidden!$K$11</definedName>
    <definedName name="_________CYA5">[1]Hidden!$J$11</definedName>
    <definedName name="_________CYA6">[1]Hidden!$I$11</definedName>
    <definedName name="_________CYA7">[1]Hidden!$H$11</definedName>
    <definedName name="_________CYA8">[1]Hidden!$G$11</definedName>
    <definedName name="_________CYA9">[1]Hidden!$F$11</definedName>
    <definedName name="_________LYA12">[1]Hidden!$O$11</definedName>
    <definedName name="________CYA1">[1]Hidden!$N$11</definedName>
    <definedName name="________CYA10">[1]Hidden!$E$11</definedName>
    <definedName name="________CYA11">[1]Hidden!$P$11</definedName>
    <definedName name="________CYA2">[1]Hidden!$M$11</definedName>
    <definedName name="________CYA3">[1]Hidden!$L$11</definedName>
    <definedName name="________CYA4">[1]Hidden!$K$11</definedName>
    <definedName name="________CYA5">[1]Hidden!$J$11</definedName>
    <definedName name="________CYA6">[1]Hidden!$I$11</definedName>
    <definedName name="________CYA7">[1]Hidden!$H$11</definedName>
    <definedName name="________CYA8">[1]Hidden!$G$11</definedName>
    <definedName name="________CYA9">[1]Hidden!$F$11</definedName>
    <definedName name="________LYA12">[1]Hidden!$O$11</definedName>
    <definedName name="_______CYA1">[1]Hidden!$N$11</definedName>
    <definedName name="_______CYA10">[1]Hidden!$E$11</definedName>
    <definedName name="_______CYA11">[1]Hidden!$P$11</definedName>
    <definedName name="_______CYA2">[1]Hidden!$M$11</definedName>
    <definedName name="_______CYA3">[1]Hidden!$L$11</definedName>
    <definedName name="_______CYA4">[1]Hidden!$K$11</definedName>
    <definedName name="_______CYA5">[1]Hidden!$J$11</definedName>
    <definedName name="_______CYA6">[1]Hidden!$I$11</definedName>
    <definedName name="_______CYA7">[1]Hidden!$H$11</definedName>
    <definedName name="_______CYA8">[1]Hidden!$G$11</definedName>
    <definedName name="_______CYA9">[1]Hidden!$F$11</definedName>
    <definedName name="_______LYA12">[1]Hidden!$O$11</definedName>
    <definedName name="______CYA1">[1]Hidden!$N$11</definedName>
    <definedName name="______CYA10">[1]Hidden!$E$11</definedName>
    <definedName name="______CYA11">[1]Hidden!$P$11</definedName>
    <definedName name="______CYA2">[1]Hidden!$M$11</definedName>
    <definedName name="______CYA3">[1]Hidden!$L$11</definedName>
    <definedName name="______CYA4">[1]Hidden!$K$11</definedName>
    <definedName name="______CYA5">[1]Hidden!$J$11</definedName>
    <definedName name="______CYA6">[1]Hidden!$I$11</definedName>
    <definedName name="______CYA7">[1]Hidden!$H$11</definedName>
    <definedName name="______CYA8">[1]Hidden!$G$11</definedName>
    <definedName name="______CYA9">[1]Hidden!$F$11</definedName>
    <definedName name="______LYA12">[1]Hidden!$O$11</definedName>
    <definedName name="_____CYA1">[1]Hidden!$N$11</definedName>
    <definedName name="_____CYA10">[1]Hidden!$E$11</definedName>
    <definedName name="_____CYA11">[1]Hidden!$P$11</definedName>
    <definedName name="_____CYA2">[1]Hidden!$M$11</definedName>
    <definedName name="_____CYA3">[1]Hidden!$L$11</definedName>
    <definedName name="_____CYA4">[1]Hidden!$K$11</definedName>
    <definedName name="_____CYA5">[1]Hidden!$J$11</definedName>
    <definedName name="_____CYA6">[1]Hidden!$I$11</definedName>
    <definedName name="_____CYA7">[1]Hidden!$H$11</definedName>
    <definedName name="_____CYA8">[1]Hidden!$G$11</definedName>
    <definedName name="_____CYA9">[1]Hidden!$F$11</definedName>
    <definedName name="_____LYA12">[1]Hidden!$O$11</definedName>
    <definedName name="____CYA1">[1]Hidden!$N$11</definedName>
    <definedName name="____CYA10">[1]Hidden!$E$11</definedName>
    <definedName name="____CYA11">[1]Hidden!$P$11</definedName>
    <definedName name="____CYA2">[1]Hidden!$M$11</definedName>
    <definedName name="____CYA3">[1]Hidden!$L$11</definedName>
    <definedName name="____CYA4">[1]Hidden!$K$11</definedName>
    <definedName name="____CYA5">[1]Hidden!$J$11</definedName>
    <definedName name="____CYA6">[1]Hidden!$I$11</definedName>
    <definedName name="____CYA7">[1]Hidden!$H$11</definedName>
    <definedName name="____CYA8">[1]Hidden!$G$11</definedName>
    <definedName name="____CYA9">[1]Hidden!$F$11</definedName>
    <definedName name="____LYA12">[1]Hidden!$O$11</definedName>
    <definedName name="___CYA1">[1]Hidden!$N$11</definedName>
    <definedName name="___CYA10">[1]Hidden!$E$11</definedName>
    <definedName name="___CYA11">[1]Hidden!$P$11</definedName>
    <definedName name="___CYA2">[1]Hidden!$M$11</definedName>
    <definedName name="___CYA3">[1]Hidden!$L$11</definedName>
    <definedName name="___CYA4">[1]Hidden!$K$11</definedName>
    <definedName name="___CYA5">[1]Hidden!$J$11</definedName>
    <definedName name="___CYA6">[1]Hidden!$I$11</definedName>
    <definedName name="___CYA7">[1]Hidden!$H$11</definedName>
    <definedName name="___CYA8">[1]Hidden!$G$11</definedName>
    <definedName name="___CYA9">[1]Hidden!$F$11</definedName>
    <definedName name="___LYA12">[1]Hidden!$O$11</definedName>
    <definedName name="__CYA1">[1]Hidden!$N$11</definedName>
    <definedName name="__CYA10">[1]Hidden!$E$11</definedName>
    <definedName name="__CYA11">[1]Hidden!$P$11</definedName>
    <definedName name="__CYA2">[1]Hidden!$M$11</definedName>
    <definedName name="__CYA3">[1]Hidden!$L$11</definedName>
    <definedName name="__CYA4">[1]Hidden!$K$11</definedName>
    <definedName name="__CYA5">[1]Hidden!$J$11</definedName>
    <definedName name="__CYA6">[1]Hidden!$I$11</definedName>
    <definedName name="__CYA7">[1]Hidden!$H$11</definedName>
    <definedName name="__CYA8">[1]Hidden!$G$11</definedName>
    <definedName name="__CYA9">[1]Hidden!$F$11</definedName>
    <definedName name="__LYA12">[1]Hidden!$O$11</definedName>
    <definedName name="_123Graph_g" hidden="1">'[2]#REF'!$F$9:$F$83</definedName>
    <definedName name="_132" hidden="1">[3]XXXXXX!$B$10:$B$10</definedName>
    <definedName name="_132Graph_h" localSheetId="3" hidden="1">#REF!</definedName>
    <definedName name="_132Graph_h" localSheetId="1" hidden="1">#REF!</definedName>
    <definedName name="_132Graph_h" localSheetId="4" hidden="1">#REF!</definedName>
    <definedName name="_132Graph_h" localSheetId="0" hidden="1">#REF!</definedName>
    <definedName name="_132Graph_h" hidden="1">#REF!</definedName>
    <definedName name="_ACT1" localSheetId="3">[4]Hidden!#REF!</definedName>
    <definedName name="_ACT1" localSheetId="1">[4]Hidden!#REF!</definedName>
    <definedName name="_ACT1" localSheetId="4">[4]Hidden!#REF!</definedName>
    <definedName name="_ACT1" localSheetId="0">[5]Hidden!#REF!</definedName>
    <definedName name="_ACT1">[6]Hidden!#REF!</definedName>
    <definedName name="_ACT2" localSheetId="3">[4]Hidden!#REF!</definedName>
    <definedName name="_ACT2" localSheetId="1">[4]Hidden!#REF!</definedName>
    <definedName name="_ACT2" localSheetId="4">[4]Hidden!#REF!</definedName>
    <definedName name="_ACT2" localSheetId="0">[5]Hidden!#REF!</definedName>
    <definedName name="_ACT2">[6]Hidden!#REF!</definedName>
    <definedName name="_ACT3" localSheetId="3">[4]Hidden!#REF!</definedName>
    <definedName name="_ACT3" localSheetId="1">[4]Hidden!#REF!</definedName>
    <definedName name="_ACT3" localSheetId="4">[4]Hidden!#REF!</definedName>
    <definedName name="_ACT3" localSheetId="0">[5]Hidden!#REF!</definedName>
    <definedName name="_ACT3">[6]Hidden!#REF!</definedName>
    <definedName name="_COS1" localSheetId="1">#REF!</definedName>
    <definedName name="_COS1">#REF!</definedName>
    <definedName name="_COS2" localSheetId="1">#REF!</definedName>
    <definedName name="_COS2">#REF!</definedName>
    <definedName name="_CYA1">[1]Hidden!$N$11</definedName>
    <definedName name="_CYA10">[1]Hidden!$E$11</definedName>
    <definedName name="_CYA11">[1]Hidden!$P$11</definedName>
    <definedName name="_CYA2">[1]Hidden!$M$11</definedName>
    <definedName name="_CYA3">[1]Hidden!$L$11</definedName>
    <definedName name="_CYA4">[1]Hidden!$K$11</definedName>
    <definedName name="_CYA5">[1]Hidden!$J$11</definedName>
    <definedName name="_CYA6">[1]Hidden!$I$11</definedName>
    <definedName name="_CYA7">[1]Hidden!$H$11</definedName>
    <definedName name="_CYA8">[1]Hidden!$G$11</definedName>
    <definedName name="_CYA9">[1]Hidden!$F$11</definedName>
    <definedName name="_Fill" localSheetId="3" hidden="1">#REF!</definedName>
    <definedName name="_Fill" localSheetId="1" hidden="1">#REF!</definedName>
    <definedName name="_Fill" localSheetId="4" hidden="1">#REF!</definedName>
    <definedName name="_Fill" localSheetId="0" hidden="1">#REF!</definedName>
    <definedName name="_Fill" hidden="1">#REF!</definedName>
    <definedName name="_Key1" localSheetId="3" hidden="1">#REF!</definedName>
    <definedName name="_Key1" localSheetId="1" hidden="1">#REF!</definedName>
    <definedName name="_Key1" localSheetId="0" hidden="1">#REF!</definedName>
    <definedName name="_Key1" hidden="1">#REF!</definedName>
    <definedName name="_Key2" hidden="1">'[2]#REF'!$D$12</definedName>
    <definedName name="_key5" hidden="1">[3]XXXXXX!$H$10</definedName>
    <definedName name="_LYA12">[1]Hidden!$O$11</definedName>
    <definedName name="_max" localSheetId="3" hidden="1">#REF!</definedName>
    <definedName name="_max" localSheetId="1" hidden="1">#REF!</definedName>
    <definedName name="_max" localSheetId="4" hidden="1">#REF!</definedName>
    <definedName name="_max" localSheetId="0" hidden="1">#REF!</definedName>
    <definedName name="_max" hidden="1">#REF!</definedName>
    <definedName name="_Mon" localSheetId="3" hidden="1">#REF!</definedName>
    <definedName name="_Mon" localSheetId="1" hidden="1">#REF!</definedName>
    <definedName name="_Mon" localSheetId="0" hidden="1">#REF!</definedName>
    <definedName name="_Mon" hidden="1">#REF!</definedName>
    <definedName name="_Order1" hidden="1">255</definedName>
    <definedName name="_Order2" hidden="1">255</definedName>
    <definedName name="_Order3" hidden="1">0</definedName>
    <definedName name="_Sort" localSheetId="3" hidden="1">#REF!</definedName>
    <definedName name="_Sort" localSheetId="1" hidden="1">#REF!</definedName>
    <definedName name="_Sort" localSheetId="4" hidden="1">#REF!</definedName>
    <definedName name="_Sort" localSheetId="0" hidden="1">#REF!</definedName>
    <definedName name="_Sort" hidden="1">#REF!</definedName>
    <definedName name="_Sort1" hidden="1">'[2]#REF'!$A$10:$Z$281</definedName>
    <definedName name="_sort3" hidden="1">[3]XXXXXX!$G$10:$J$11</definedName>
    <definedName name="Accounts" localSheetId="3">#REF!</definedName>
    <definedName name="ACCT" localSheetId="3">[4]Hidden!#REF!</definedName>
    <definedName name="ACCT" localSheetId="1">[4]Hidden!#REF!</definedName>
    <definedName name="ACCT" localSheetId="4">[4]Hidden!#REF!</definedName>
    <definedName name="ACCT" localSheetId="0">[5]Hidden!#REF!</definedName>
    <definedName name="ACCT">[1]Hidden!$D$11</definedName>
    <definedName name="ACCT.ConsolSum">[1]Hidden!$Q$11</definedName>
    <definedName name="ACT_CUR" localSheetId="3">[4]Hidden!#REF!</definedName>
    <definedName name="ACT_CUR" localSheetId="1">[4]Hidden!#REF!</definedName>
    <definedName name="ACT_CUR" localSheetId="4">[4]Hidden!#REF!</definedName>
    <definedName name="ACT_CUR" localSheetId="0">[5]Hidden!#REF!</definedName>
    <definedName name="ACT_CUR">[6]Hidden!#REF!</definedName>
    <definedName name="ACT_YTD" localSheetId="3">[4]Hidden!#REF!</definedName>
    <definedName name="ACT_YTD" localSheetId="1">[4]Hidden!#REF!</definedName>
    <definedName name="ACT_YTD" localSheetId="4">[4]Hidden!#REF!</definedName>
    <definedName name="ACT_YTD" localSheetId="0">[5]Hidden!#REF!</definedName>
    <definedName name="ACT_YTD">[6]Hidden!#REF!</definedName>
    <definedName name="AmountCount" localSheetId="3">#REF!</definedName>
    <definedName name="AmountCount" localSheetId="1">#REF!</definedName>
    <definedName name="AmountCount" localSheetId="4">#REF!</definedName>
    <definedName name="AmountCount" localSheetId="0">#REF!</definedName>
    <definedName name="AmountCount">#REF!</definedName>
    <definedName name="AmountCount1" localSheetId="3">#REF!</definedName>
    <definedName name="AmountCount1" localSheetId="1">#REF!</definedName>
    <definedName name="AmountCount1" localSheetId="0">#REF!</definedName>
    <definedName name="AmountCount1">#REF!</definedName>
    <definedName name="AmountFrom" localSheetId="3">#REF!</definedName>
    <definedName name="AmountTo" localSheetId="3">#REF!</definedName>
    <definedName name="AmountTotal" localSheetId="3">#REF!</definedName>
    <definedName name="AmountTotal" localSheetId="1">#REF!</definedName>
    <definedName name="AmountTotal" localSheetId="4">#REF!</definedName>
    <definedName name="AmountTotal" localSheetId="0">#REF!</definedName>
    <definedName name="AmountTotal">#REF!</definedName>
    <definedName name="AmountTotal1" localSheetId="3">#REF!</definedName>
    <definedName name="AmountTotal1" localSheetId="1">#REF!</definedName>
    <definedName name="AmountTotal1" localSheetId="0">#REF!</definedName>
    <definedName name="AmountTotal1">#REF!</definedName>
    <definedName name="BookRev" localSheetId="3">'[7]Pacific Regulated - Price Out'!$F$50</definedName>
    <definedName name="BookRev" localSheetId="1">'[7]Pacific Regulated - Price Out'!$F$50</definedName>
    <definedName name="BookRev" localSheetId="4">'[7]Pacific Regulated - Price Out'!$F$50</definedName>
    <definedName name="BookRev" localSheetId="0">'[8]Pacific Regulated - Price Out'!$F$50</definedName>
    <definedName name="BookRev">'[9]Pacific Regulated - Price Out'!$F$50</definedName>
    <definedName name="BookRev_com" localSheetId="3">'[7]Pacific Regulated - Price Out'!$F$214</definedName>
    <definedName name="BookRev_com" localSheetId="1">'[7]Pacific Regulated - Price Out'!$F$214</definedName>
    <definedName name="BookRev_com" localSheetId="4">'[7]Pacific Regulated - Price Out'!$F$214</definedName>
    <definedName name="BookRev_com" localSheetId="0">'[8]Pacific Regulated - Price Out'!$F$214</definedName>
    <definedName name="BookRev_com">'[9]Pacific Regulated - Price Out'!$F$214</definedName>
    <definedName name="BookRev_mfr" localSheetId="3">'[7]Pacific Regulated - Price Out'!$F$222</definedName>
    <definedName name="BookRev_mfr" localSheetId="1">'[7]Pacific Regulated - Price Out'!$F$222</definedName>
    <definedName name="BookRev_mfr" localSheetId="4">'[7]Pacific Regulated - Price Out'!$F$222</definedName>
    <definedName name="BookRev_mfr" localSheetId="0">'[8]Pacific Regulated - Price Out'!$F$222</definedName>
    <definedName name="BookRev_mfr">'[9]Pacific Regulated - Price Out'!$F$222</definedName>
    <definedName name="BookRev_ro" localSheetId="3">'[7]Pacific Regulated - Price Out'!$F$282</definedName>
    <definedName name="BookRev_ro" localSheetId="1">'[7]Pacific Regulated - Price Out'!$F$282</definedName>
    <definedName name="BookRev_ro" localSheetId="4">'[7]Pacific Regulated - Price Out'!$F$282</definedName>
    <definedName name="BookRev_ro" localSheetId="0">'[8]Pacific Regulated - Price Out'!$F$282</definedName>
    <definedName name="BookRev_ro">'[9]Pacific Regulated - Price Out'!$F$282</definedName>
    <definedName name="BookRev_rr" localSheetId="3">'[7]Pacific Regulated - Price Out'!$F$59</definedName>
    <definedName name="BookRev_rr" localSheetId="1">'[7]Pacific Regulated - Price Out'!$F$59</definedName>
    <definedName name="BookRev_rr" localSheetId="4">'[7]Pacific Regulated - Price Out'!$F$59</definedName>
    <definedName name="BookRev_rr" localSheetId="0">'[8]Pacific Regulated - Price Out'!$F$59</definedName>
    <definedName name="BookRev_rr">'[9]Pacific Regulated - Price Out'!$F$59</definedName>
    <definedName name="BookRev_yw" localSheetId="3">'[7]Pacific Regulated - Price Out'!$F$70</definedName>
    <definedName name="BookRev_yw" localSheetId="1">'[7]Pacific Regulated - Price Out'!$F$70</definedName>
    <definedName name="BookRev_yw" localSheetId="4">'[7]Pacific Regulated - Price Out'!$F$70</definedName>
    <definedName name="BookRev_yw" localSheetId="0">'[8]Pacific Regulated - Price Out'!$F$70</definedName>
    <definedName name="BookRev_yw">'[9]Pacific Regulated - Price Out'!$F$70</definedName>
    <definedName name="BREMAIR_COST_of_SERVICE_STUDY" localSheetId="3">#REF!</definedName>
    <definedName name="BREMAIR_COST_of_SERVICE_STUDY" localSheetId="1">#REF!</definedName>
    <definedName name="BREMAIR_COST_of_SERVICE_STUDY" localSheetId="4">#REF!</definedName>
    <definedName name="BREMAIR_COST_of_SERVICE_STUDY" localSheetId="0">#REF!</definedName>
    <definedName name="BREMAIR_COST_of_SERVICE_STUDY">#REF!</definedName>
    <definedName name="BUD_CUR" localSheetId="3">[4]Hidden!#REF!</definedName>
    <definedName name="BUD_CUR" localSheetId="1">[4]Hidden!#REF!</definedName>
    <definedName name="BUD_CUR" localSheetId="4">[4]Hidden!#REF!</definedName>
    <definedName name="BUD_CUR" localSheetId="0">[5]Hidden!#REF!</definedName>
    <definedName name="BUD_CUR">[6]Hidden!#REF!</definedName>
    <definedName name="BUD_YTD" localSheetId="3">[4]Hidden!#REF!</definedName>
    <definedName name="BUD_YTD" localSheetId="1">[4]Hidden!#REF!</definedName>
    <definedName name="BUD_YTD" localSheetId="4">[4]Hidden!#REF!</definedName>
    <definedName name="BUD_YTD" localSheetId="0">[5]Hidden!#REF!</definedName>
    <definedName name="BUD_YTD">[6]Hidden!#REF!</definedName>
    <definedName name="CalRecyTons" localSheetId="3">'[10]Recycl Tons, Commodity Value'!$L$23</definedName>
    <definedName name="CalRecyTons" localSheetId="1">'[10]Recycl Tons, Commodity Value'!$L$23</definedName>
    <definedName name="CalRecyTons" localSheetId="4">'[10]Recycl Tons, Commodity Value'!$L$23</definedName>
    <definedName name="CalRecyTons" localSheetId="0">'[11]Recycl Tons, Commodity Value'!$L$23</definedName>
    <definedName name="CalRecyTons">'[12]Recycl Tons, Commodity Value'!$L$23</definedName>
    <definedName name="CheckTotals" localSheetId="3">#REF!</definedName>
    <definedName name="CheckTotals" localSheetId="1">#REF!</definedName>
    <definedName name="CheckTotals" localSheetId="4">#REF!</definedName>
    <definedName name="CheckTotals" localSheetId="0">#REF!</definedName>
    <definedName name="CheckTotals">#REF!</definedName>
    <definedName name="colgroup">[1]Orientation!$G$6</definedName>
    <definedName name="colsegment">[1]Orientation!$F$6</definedName>
    <definedName name="CommlStaffPriceOut" localSheetId="1">'[13]Price Out-Reg EASTSIDE-Resi'!#REF!</definedName>
    <definedName name="CommlStaffPriceOut">'[13]Price Out-Reg EASTSIDE-Resi'!#REF!</definedName>
    <definedName name="CRCTable" localSheetId="3">#REF!</definedName>
    <definedName name="CRCTable" localSheetId="1">#REF!</definedName>
    <definedName name="CRCTable" localSheetId="4">#REF!</definedName>
    <definedName name="CRCTable" localSheetId="0">#REF!</definedName>
    <definedName name="CRCTable">#REF!</definedName>
    <definedName name="CRCTableOLD" localSheetId="3">#REF!</definedName>
    <definedName name="CRCTableOLD" localSheetId="1">#REF!</definedName>
    <definedName name="CRCTableOLD" localSheetId="4">#REF!</definedName>
    <definedName name="CRCTableOLD" localSheetId="0">#REF!</definedName>
    <definedName name="CRCTableOLD">#REF!</definedName>
    <definedName name="CriteriaType">[14]ControlPanel!$Z$2:$Z$5</definedName>
    <definedName name="CurrentMonth" localSheetId="3">'[15]38000 Other Rev'!$H$8</definedName>
    <definedName name="CurrentMonth" localSheetId="1">'[15]38000 Other Rev'!$H$8</definedName>
    <definedName name="CurrentMonth" localSheetId="4">'[15]38000 Other Rev'!$H$8</definedName>
    <definedName name="CurrentMonth" localSheetId="0">'[15]38000 Other Rev'!$H$8</definedName>
    <definedName name="CurrentMonth">'[16]38000 Other Rev'!$H$8</definedName>
    <definedName name="Cutomers" localSheetId="3">#REF!</definedName>
    <definedName name="Cutomers" localSheetId="1">#REF!</definedName>
    <definedName name="Cutomers" localSheetId="4">#REF!</definedName>
    <definedName name="Cutomers" localSheetId="0">#REF!</definedName>
    <definedName name="Cutomers">#REF!</definedName>
    <definedName name="_xlnm.Database" localSheetId="3">#REF!</definedName>
    <definedName name="_xlnm.Database" localSheetId="1">#REF!</definedName>
    <definedName name="_xlnm.Database" localSheetId="4">#REF!</definedName>
    <definedName name="_xlnm.Database" localSheetId="0">#REF!</definedName>
    <definedName name="_xlnm.Database">#REF!</definedName>
    <definedName name="Database1" localSheetId="3">#REF!</definedName>
    <definedName name="Database1" localSheetId="1">#REF!</definedName>
    <definedName name="Database1" localSheetId="4">#REF!</definedName>
    <definedName name="Database1" localSheetId="0">#REF!</definedName>
    <definedName name="Database1">#REF!</definedName>
    <definedName name="DateFrom" localSheetId="3">'[15]38000 Other Rev'!$G$12</definedName>
    <definedName name="DateFrom" localSheetId="1">'[15]38000 Other Rev'!$G$12</definedName>
    <definedName name="DateFrom" localSheetId="4">'[15]38000 Other Rev'!$G$12</definedName>
    <definedName name="DateFrom" localSheetId="0">'[15]38000 Other Rev'!$G$12</definedName>
    <definedName name="DateFrom">'[16]38000 Other Rev'!$G$12</definedName>
    <definedName name="DateTo" localSheetId="3">'[15]38000 Other Rev'!$G$13</definedName>
    <definedName name="DateTo" localSheetId="1">'[15]38000 Other Rev'!$G$13</definedName>
    <definedName name="DateTo" localSheetId="4">'[15]38000 Other Rev'!$G$13</definedName>
    <definedName name="DateTo" localSheetId="0">'[15]38000 Other Rev'!$G$13</definedName>
    <definedName name="DateTo">'[16]38000 Other Rev'!$G$13</definedName>
    <definedName name="DBxStaffPriceOut" localSheetId="1">'[13]Price Out-Reg EASTSIDE-Resi'!#REF!</definedName>
    <definedName name="DBxStaffPriceOut">'[13]Price Out-Reg EASTSIDE-Resi'!#REF!</definedName>
    <definedName name="DEPT" localSheetId="3">[4]Hidden!#REF!</definedName>
    <definedName name="DEPT" localSheetId="1">[4]Hidden!#REF!</definedName>
    <definedName name="DEPT" localSheetId="4">[4]Hidden!#REF!</definedName>
    <definedName name="DEPT" localSheetId="0">[5]Hidden!#REF!</definedName>
    <definedName name="DEPT">[6]Hidden!#REF!</definedName>
    <definedName name="Dist" localSheetId="3">[17]Data!$E$3</definedName>
    <definedName name="Dist" localSheetId="1">[17]Data!$E$3</definedName>
    <definedName name="Dist" localSheetId="4">[17]Data!$E$3</definedName>
    <definedName name="Dist" localSheetId="0">[17]Data!$E$3</definedName>
    <definedName name="Dist">[18]Data!$E$3</definedName>
    <definedName name="District" localSheetId="1">'[19]Vashon BS'!#REF!</definedName>
    <definedName name="District" localSheetId="4">'[19]Vashon BS'!#REF!</definedName>
    <definedName name="District" localSheetId="0">'[20]Vashon BS'!#REF!</definedName>
    <definedName name="District">#REF!</definedName>
    <definedName name="DistrictNum" localSheetId="3">#REF!</definedName>
    <definedName name="DistrictNum" localSheetId="1">#REF!</definedName>
    <definedName name="DistrictNum" localSheetId="4">#REF!</definedName>
    <definedName name="DistrictNum" localSheetId="0">#REF!</definedName>
    <definedName name="DistrictNum">#REF!</definedName>
    <definedName name="Districts" localSheetId="3">#REF!</definedName>
    <definedName name="dOG" localSheetId="1">#REF!</definedName>
    <definedName name="dOG">#REF!</definedName>
    <definedName name="drlFilter">[1]Settings!$D$27</definedName>
    <definedName name="End" localSheetId="3">#REF!</definedName>
    <definedName name="End" localSheetId="1">#REF!</definedName>
    <definedName name="End" localSheetId="4">#REF!</definedName>
    <definedName name="End" localSheetId="0">#REF!</definedName>
    <definedName name="End">#REF!</definedName>
    <definedName name="EntrieShownLimit" localSheetId="3">'[15]38000 Other Rev'!$D$6</definedName>
    <definedName name="EntrieShownLimit" localSheetId="1">'[15]38000 Other Rev'!$D$6</definedName>
    <definedName name="EntrieShownLimit" localSheetId="4">'[15]38000 Other Rev'!$D$6</definedName>
    <definedName name="EntrieShownLimit" localSheetId="0">'[15]38000 Other Rev'!$D$6</definedName>
    <definedName name="EntrieShownLimit">'[16]38000 Other Rev'!$D$6</definedName>
    <definedName name="ExcludeIC" localSheetId="3">'[15]2025 BS'!#REF!</definedName>
    <definedName name="ExcludeIC" localSheetId="1">'[19]Vashon BS'!#REF!</definedName>
    <definedName name="ExcludeIC" localSheetId="4">'[19]Vashon BS'!#REF!</definedName>
    <definedName name="ExcludeIC" localSheetId="0">'[20]Vashon BS'!#REF!</definedName>
    <definedName name="ExcludeIC">#REF!</definedName>
    <definedName name="EXT" localSheetId="1">#REF!</definedName>
    <definedName name="EXT">#REF!</definedName>
    <definedName name="FBTable" localSheetId="3">#REF!</definedName>
    <definedName name="FBTable" localSheetId="1">#REF!</definedName>
    <definedName name="FBTable" localSheetId="4">#REF!</definedName>
    <definedName name="FBTable" localSheetId="0">#REF!</definedName>
    <definedName name="FBTable">#REF!</definedName>
    <definedName name="FBTableOld" localSheetId="3">#REF!</definedName>
    <definedName name="FBTableOld" localSheetId="1">#REF!</definedName>
    <definedName name="FBTableOld" localSheetId="4">#REF!</definedName>
    <definedName name="FBTableOld" localSheetId="0">#REF!</definedName>
    <definedName name="FBTableOld">#REF!</definedName>
    <definedName name="filter">[1]Settings!$B$14:$H$25</definedName>
    <definedName name="FromMonth" localSheetId="3">#REF!</definedName>
    <definedName name="FundsApprPend" localSheetId="3">[17]Data!#REF!</definedName>
    <definedName name="FundsApprPend" localSheetId="1">[17]Data!#REF!</definedName>
    <definedName name="FundsApprPend" localSheetId="4">[17]Data!#REF!</definedName>
    <definedName name="FundsApprPend" localSheetId="0">[17]Data!#REF!</definedName>
    <definedName name="FundsApprPend">[18]Data!#REF!</definedName>
    <definedName name="FundsBudUnbud" localSheetId="3">[17]Data!#REF!</definedName>
    <definedName name="FundsBudUnbud" localSheetId="1">[17]Data!#REF!</definedName>
    <definedName name="FundsBudUnbud" localSheetId="4">[17]Data!#REF!</definedName>
    <definedName name="FundsBudUnbud" localSheetId="0">[17]Data!#REF!</definedName>
    <definedName name="FundsBudUnbud">[18]Data!#REF!</definedName>
    <definedName name="GLMappingStart" localSheetId="3">#REF!</definedName>
    <definedName name="GLMappingStart" localSheetId="1">#REF!</definedName>
    <definedName name="GLMappingStart" localSheetId="4">#REF!</definedName>
    <definedName name="GLMappingStart" localSheetId="0">#REF!</definedName>
    <definedName name="GLMappingStart">#REF!</definedName>
    <definedName name="GLMappingStart1" localSheetId="3">#REF!</definedName>
    <definedName name="GLMappingStart1" localSheetId="1">#REF!</definedName>
    <definedName name="GLMappingStart1" localSheetId="0">#REF!</definedName>
    <definedName name="GLMappingStart1">#REF!</definedName>
    <definedName name="Import_Range" localSheetId="3">[17]Data!#REF!</definedName>
    <definedName name="Import_Range" localSheetId="1">[17]Data!#REF!</definedName>
    <definedName name="Import_Range" localSheetId="4">[17]Data!#REF!</definedName>
    <definedName name="Import_Range" localSheetId="0">[17]Data!#REF!</definedName>
    <definedName name="Import_Range">[18]Data!#REF!</definedName>
    <definedName name="IncomeStmnt" localSheetId="3">#REF!</definedName>
    <definedName name="IncomeStmnt" localSheetId="1">#REF!</definedName>
    <definedName name="IncomeStmnt" localSheetId="4">#REF!</definedName>
    <definedName name="IncomeStmnt" localSheetId="0">#REF!</definedName>
    <definedName name="IncomeStmnt">#REF!</definedName>
    <definedName name="INPUT" localSheetId="3">#REF!</definedName>
    <definedName name="INPUT" localSheetId="1">#REF!</definedName>
    <definedName name="INPUT" localSheetId="4">#REF!</definedName>
    <definedName name="INPUT" localSheetId="0">#REF!</definedName>
    <definedName name="INPUT">#REF!</definedName>
    <definedName name="Insurance" localSheetId="3">#REF!</definedName>
    <definedName name="Insurance" localSheetId="1">#REF!</definedName>
    <definedName name="Insurance" localSheetId="4">#REF!</definedName>
    <definedName name="Insurance" localSheetId="0">#REF!</definedName>
    <definedName name="Insurance">#REF!</definedName>
    <definedName name="Interject_LastPulledValues_BalanceRange" localSheetId="1">#REF!</definedName>
    <definedName name="Interject_LastPulledValues_BalanceRange">#REF!</definedName>
    <definedName name="Interject_LastPulledValues_DescriptionRange" localSheetId="1">#REF!</definedName>
    <definedName name="Interject_LastPulledValues_DescriptionRange">#REF!</definedName>
    <definedName name="Interject_LastPulledValues_LastChangeGUID" localSheetId="1">#REF!</definedName>
    <definedName name="Interject_LastPulledValues_LastChangeGUID">#REF!</definedName>
    <definedName name="Interject_LastPulledValues_PreviousLastChangeGUID" localSheetId="1">#REF!</definedName>
    <definedName name="Interject_LastPulledValues_PreviousLastChangeGUID">#REF!</definedName>
    <definedName name="Invoice_Start" localSheetId="3">[17]Invoice_Drill!#REF!</definedName>
    <definedName name="Invoice_Start" localSheetId="1">[17]Invoice_Drill!#REF!</definedName>
    <definedName name="Invoice_Start" localSheetId="4">[17]Invoice_Drill!#REF!</definedName>
    <definedName name="Invoice_Start" localSheetId="0">[17]Invoice_Drill!#REF!</definedName>
    <definedName name="Invoice_Start">[18]Invoice_Drill!#REF!</definedName>
    <definedName name="JEDetail" localSheetId="3">#REF!</definedName>
    <definedName name="JEDetail" localSheetId="1">#REF!</definedName>
    <definedName name="JEDetail" localSheetId="4">#REF!</definedName>
    <definedName name="JEDetail" localSheetId="0">#REF!</definedName>
    <definedName name="JEDetail">#REF!</definedName>
    <definedName name="JEDetail1" localSheetId="3">#REF!</definedName>
    <definedName name="JEDetail1" localSheetId="1">#REF!</definedName>
    <definedName name="JEDetail1" localSheetId="0">#REF!</definedName>
    <definedName name="JEDetail1">#REF!</definedName>
    <definedName name="JEType" localSheetId="3">#REF!</definedName>
    <definedName name="JEType" localSheetId="1">#REF!</definedName>
    <definedName name="JEType" localSheetId="4">#REF!</definedName>
    <definedName name="JEType" localSheetId="0">#REF!</definedName>
    <definedName name="JEType">#REF!</definedName>
    <definedName name="JEType1" localSheetId="3">#REF!</definedName>
    <definedName name="JEType1" localSheetId="1">#REF!</definedName>
    <definedName name="JEType1" localSheetId="0">#REF!</definedName>
    <definedName name="JEType1">#REF!</definedName>
    <definedName name="lblBillAreaStatus" localSheetId="3">#REF!</definedName>
    <definedName name="lblBillAreaStatus" localSheetId="1">#REF!</definedName>
    <definedName name="lblBillAreaStatus" localSheetId="4">#REF!</definedName>
    <definedName name="lblBillAreaStatus" localSheetId="0">#REF!</definedName>
    <definedName name="lblBillAreaStatus">#REF!</definedName>
    <definedName name="lblBillCycleStatus" localSheetId="3">#REF!</definedName>
    <definedName name="lblBillCycleStatus" localSheetId="1">#REF!</definedName>
    <definedName name="lblBillCycleStatus" localSheetId="4">#REF!</definedName>
    <definedName name="lblBillCycleStatus" localSheetId="0">#REF!</definedName>
    <definedName name="lblBillCycleStatus">#REF!</definedName>
    <definedName name="lblCategoryStatus" localSheetId="3">#REF!</definedName>
    <definedName name="lblCategoryStatus" localSheetId="1">#REF!</definedName>
    <definedName name="lblCategoryStatus" localSheetId="4">#REF!</definedName>
    <definedName name="lblCategoryStatus" localSheetId="0">#REF!</definedName>
    <definedName name="lblCategoryStatus">#REF!</definedName>
    <definedName name="lblCompanyStatus" localSheetId="3">#REF!</definedName>
    <definedName name="lblCompanyStatus" localSheetId="1">#REF!</definedName>
    <definedName name="lblCompanyStatus" localSheetId="4">#REF!</definedName>
    <definedName name="lblCompanyStatus" localSheetId="0">#REF!</definedName>
    <definedName name="lblCompanyStatus">#REF!</definedName>
    <definedName name="lblDatabaseStatus" localSheetId="3">#REF!</definedName>
    <definedName name="lblDatabaseStatus" localSheetId="1">#REF!</definedName>
    <definedName name="lblDatabaseStatus" localSheetId="4">#REF!</definedName>
    <definedName name="lblDatabaseStatus" localSheetId="0">#REF!</definedName>
    <definedName name="lblDatabaseStatus">#REF!</definedName>
    <definedName name="lblPullStatus" localSheetId="3">#REF!</definedName>
    <definedName name="lblPullStatus" localSheetId="1">#REF!</definedName>
    <definedName name="lblPullStatus" localSheetId="4">#REF!</definedName>
    <definedName name="lblPullStatus" localSheetId="0">#REF!</definedName>
    <definedName name="lblPullStatus">#REF!</definedName>
    <definedName name="lllllllllllllllllllll" localSheetId="3">#REF!</definedName>
    <definedName name="lllllllllllllllllllll" localSheetId="1">#REF!</definedName>
    <definedName name="lllllllllllllllllllll" localSheetId="4">#REF!</definedName>
    <definedName name="lllllllllllllllllllll" localSheetId="0">#REF!</definedName>
    <definedName name="lllllllllllllllllllll">#REF!</definedName>
    <definedName name="MainDataEnd" localSheetId="3">#REF!</definedName>
    <definedName name="MainDataEnd" localSheetId="1">#REF!</definedName>
    <definedName name="MainDataEnd" localSheetId="4">#REF!</definedName>
    <definedName name="MainDataEnd" localSheetId="0">#REF!</definedName>
    <definedName name="MainDataEnd">#REF!</definedName>
    <definedName name="MainDataStart" localSheetId="3">#REF!</definedName>
    <definedName name="MainDataStart" localSheetId="1">#REF!</definedName>
    <definedName name="MainDataStart" localSheetId="4">#REF!</definedName>
    <definedName name="MainDataStart" localSheetId="0">#REF!</definedName>
    <definedName name="MainDataStart">#REF!</definedName>
    <definedName name="MapKeyStart" localSheetId="3">#REF!</definedName>
    <definedName name="MapKeyStart" localSheetId="1">#REF!</definedName>
    <definedName name="MapKeyStart" localSheetId="4">#REF!</definedName>
    <definedName name="MapKeyStart" localSheetId="0">#REF!</definedName>
    <definedName name="MapKeyStart">#REF!</definedName>
    <definedName name="master_def" localSheetId="3">#REF!</definedName>
    <definedName name="master_def" localSheetId="1">#REF!</definedName>
    <definedName name="master_def" localSheetId="4">#REF!</definedName>
    <definedName name="master_def" localSheetId="0">#REF!</definedName>
    <definedName name="master_def">#REF!</definedName>
    <definedName name="MATRIX" localSheetId="1">#REF!</definedName>
    <definedName name="MATRIX">#REF!</definedName>
    <definedName name="MemoAttachment" localSheetId="3">#REF!</definedName>
    <definedName name="MemoAttachment" localSheetId="1">#REF!</definedName>
    <definedName name="MemoAttachment" localSheetId="0">#REF!</definedName>
    <definedName name="MemoAttachment">#REF!</definedName>
    <definedName name="MetaSet">[1]Orientation!$C$22</definedName>
    <definedName name="MFStaffPriceOut" localSheetId="1">'[13]Price Out-Reg EASTSIDE-Resi'!#REF!</definedName>
    <definedName name="MFStaffPriceOut">'[13]Price Out-Reg EASTSIDE-Resi'!#REF!</definedName>
    <definedName name="MonthList" localSheetId="3">'[17]Lookup Tables'!$A$1:$A$13</definedName>
    <definedName name="MonthList" localSheetId="1">'[17]Lookup Tables'!$A$1:$A$13</definedName>
    <definedName name="MonthList" localSheetId="4">'[17]Lookup Tables'!$A$1:$A$13</definedName>
    <definedName name="MonthList" localSheetId="0">'[17]Lookup Tables'!$A$1:$A$13</definedName>
    <definedName name="MonthList">'[18]Lookup Tables'!$A$1:$A$13</definedName>
    <definedName name="NewOnlyOrg">#N/A</definedName>
    <definedName name="nn" localSheetId="1">#REF!</definedName>
    <definedName name="nn">#REF!</definedName>
    <definedName name="NOTES" localSheetId="3">#REF!</definedName>
    <definedName name="NOTES" localSheetId="1">#REF!</definedName>
    <definedName name="NOTES" localSheetId="4">#REF!</definedName>
    <definedName name="NOTES" localSheetId="0">#REF!</definedName>
    <definedName name="NOTES">#REF!</definedName>
    <definedName name="NR" localSheetId="3">#REF!</definedName>
    <definedName name="NR" localSheetId="1">#REF!</definedName>
    <definedName name="NR" localSheetId="0">#REF!</definedName>
    <definedName name="NR">#REF!</definedName>
    <definedName name="OfficerSalary">#N/A</definedName>
    <definedName name="OffsetAcctBil">[21]JEexport!$L$10</definedName>
    <definedName name="OffsetAcctPmt">[21]JEexport!$L$9</definedName>
    <definedName name="Org11_13">#N/A</definedName>
    <definedName name="Org7_10">#N/A</definedName>
    <definedName name="p" localSheetId="3">#REF!</definedName>
    <definedName name="p" localSheetId="1">#REF!</definedName>
    <definedName name="p" localSheetId="4">#REF!</definedName>
    <definedName name="p" localSheetId="0">#REF!</definedName>
    <definedName name="p">#REF!</definedName>
    <definedName name="PAGE_1" localSheetId="3">#REF!</definedName>
    <definedName name="PAGE_1" localSheetId="1">#REF!</definedName>
    <definedName name="PAGE_1" localSheetId="4">#REF!</definedName>
    <definedName name="PAGE_1" localSheetId="0">#REF!</definedName>
    <definedName name="PAGE_1">#REF!</definedName>
    <definedName name="Page16" localSheetId="1">#REF!</definedName>
    <definedName name="Page16">#REF!</definedName>
    <definedName name="Page17" localSheetId="1">#REF!</definedName>
    <definedName name="Page17">#REF!</definedName>
    <definedName name="Page18" localSheetId="1">#REF!</definedName>
    <definedName name="Page18">#REF!</definedName>
    <definedName name="Page7a" localSheetId="1">#REF!</definedName>
    <definedName name="Page7a">#REF!</definedName>
    <definedName name="pBatchID" localSheetId="3">#REF!</definedName>
    <definedName name="pBatchID" localSheetId="1">#REF!</definedName>
    <definedName name="pBatchID" localSheetId="4">#REF!</definedName>
    <definedName name="pBatchID" localSheetId="0">#REF!</definedName>
    <definedName name="pBatchID">#REF!</definedName>
    <definedName name="pBillArea" localSheetId="3">#REF!</definedName>
    <definedName name="pBillArea" localSheetId="1">#REF!</definedName>
    <definedName name="pBillArea" localSheetId="4">#REF!</definedName>
    <definedName name="pBillArea" localSheetId="0">#REF!</definedName>
    <definedName name="pBillArea">#REF!</definedName>
    <definedName name="pBillCycle" localSheetId="3">#REF!</definedName>
    <definedName name="pBillCycle" localSheetId="1">#REF!</definedName>
    <definedName name="pBillCycle" localSheetId="4">#REF!</definedName>
    <definedName name="pBillCycle" localSheetId="0">#REF!</definedName>
    <definedName name="pBillCycle">#REF!</definedName>
    <definedName name="pCategory" localSheetId="3">#REF!</definedName>
    <definedName name="pCategory" localSheetId="1">#REF!</definedName>
    <definedName name="pCategory" localSheetId="4">#REF!</definedName>
    <definedName name="pCategory" localSheetId="0">#REF!</definedName>
    <definedName name="pCategory">#REF!</definedName>
    <definedName name="pCompany" localSheetId="3">#REF!</definedName>
    <definedName name="pCompany" localSheetId="1">#REF!</definedName>
    <definedName name="pCompany" localSheetId="4">#REF!</definedName>
    <definedName name="pCompany" localSheetId="0">#REF!</definedName>
    <definedName name="pCompany">#REF!</definedName>
    <definedName name="pCustomerNumber" localSheetId="3">#REF!</definedName>
    <definedName name="pCustomerNumber" localSheetId="1">#REF!</definedName>
    <definedName name="pCustomerNumber" localSheetId="4">#REF!</definedName>
    <definedName name="pCustomerNumber" localSheetId="0">#REF!</definedName>
    <definedName name="pCustomerNumber">#REF!</definedName>
    <definedName name="pDatabase" localSheetId="3">#REF!</definedName>
    <definedName name="pDatabase" localSheetId="1">#REF!</definedName>
    <definedName name="pDatabase" localSheetId="4">#REF!</definedName>
    <definedName name="pDatabase" localSheetId="0">#REF!</definedName>
    <definedName name="pDatabase">#REF!</definedName>
    <definedName name="pEndPostDate" localSheetId="3">#REF!</definedName>
    <definedName name="pEndPostDate" localSheetId="1">#REF!</definedName>
    <definedName name="pEndPostDate" localSheetId="4">#REF!</definedName>
    <definedName name="pEndPostDate" localSheetId="0">#REF!</definedName>
    <definedName name="pEndPostDate">#REF!</definedName>
    <definedName name="Period" localSheetId="3">#REF!</definedName>
    <definedName name="Period" localSheetId="1">#REF!</definedName>
    <definedName name="Period" localSheetId="4">#REF!</definedName>
    <definedName name="Period" localSheetId="0">#REF!</definedName>
    <definedName name="Period">#REF!</definedName>
    <definedName name="pMonth" localSheetId="3">#REF!</definedName>
    <definedName name="pMonth" localSheetId="1">#REF!</definedName>
    <definedName name="pMonth" localSheetId="4">#REF!</definedName>
    <definedName name="pMonth" localSheetId="0">#REF!</definedName>
    <definedName name="pMonth">#REF!</definedName>
    <definedName name="pOnlyShowLastTranx" localSheetId="3">#REF!</definedName>
    <definedName name="pOnlyShowLastTranx" localSheetId="1">#REF!</definedName>
    <definedName name="pOnlyShowLastTranx" localSheetId="4">#REF!</definedName>
    <definedName name="pOnlyShowLastTranx" localSheetId="0">#REF!</definedName>
    <definedName name="pOnlyShowLastTranx">#REF!</definedName>
    <definedName name="Posting" localSheetId="3">#REF!</definedName>
    <definedName name="primtbl">[1]Orientation!$C$23</definedName>
    <definedName name="_xlnm.Print_Area" localSheetId="3">'DF Schedule'!$A$1:$O$44</definedName>
    <definedName name="_xlnm.Print_Area" localSheetId="1">'G-48 DF Calc'!$A$1:$R$100</definedName>
    <definedName name="_xlnm.Print_Area" localSheetId="2">'G-48 Price Out'!$A$1:$V$144</definedName>
    <definedName name="_xlnm.Print_Area" localSheetId="4">'Rate Schedule G-48'!$A$1:$E$82</definedName>
    <definedName name="_xlnm.Print_Area" localSheetId="0">#REF!</definedName>
    <definedName name="_xlnm.Print_Area">#REF!</definedName>
    <definedName name="Print_Area_MI" localSheetId="3">#REF!</definedName>
    <definedName name="Print_Area_MI" localSheetId="1">#REF!</definedName>
    <definedName name="Print_Area_MI" localSheetId="4">#REF!</definedName>
    <definedName name="Print_Area_MI" localSheetId="0">#REF!</definedName>
    <definedName name="Print_Area_MI">#REF!</definedName>
    <definedName name="Print_Area1" localSheetId="3">#REF!</definedName>
    <definedName name="Print_Area1" localSheetId="1">#REF!</definedName>
    <definedName name="Print_Area1" localSheetId="4">#REF!</definedName>
    <definedName name="Print_Area1" localSheetId="0">#REF!</definedName>
    <definedName name="Print_Area1">#REF!</definedName>
    <definedName name="Print_Area2" localSheetId="3">#REF!</definedName>
    <definedName name="Print_Area2" localSheetId="1">#REF!</definedName>
    <definedName name="Print_Area2" localSheetId="4">#REF!</definedName>
    <definedName name="Print_Area2" localSheetId="0">#REF!</definedName>
    <definedName name="Print_Area2">#REF!</definedName>
    <definedName name="Print_Area3" localSheetId="3">#REF!</definedName>
    <definedName name="Print_Area3" localSheetId="1">#REF!</definedName>
    <definedName name="Print_Area3" localSheetId="4">#REF!</definedName>
    <definedName name="Print_Area3" localSheetId="0">#REF!</definedName>
    <definedName name="Print_Area3">#REF!</definedName>
    <definedName name="Print_Area5" localSheetId="3">#REF!</definedName>
    <definedName name="Print_Area5" localSheetId="1">#REF!</definedName>
    <definedName name="Print_Area5" localSheetId="4">#REF!</definedName>
    <definedName name="Print_Area5" localSheetId="0">#REF!</definedName>
    <definedName name="Print_Area5">#REF!</definedName>
    <definedName name="_xlnm.Print_Titles" localSheetId="1">'G-48 DF Calc'!$5:$5</definedName>
    <definedName name="_xlnm.Print_Titles" localSheetId="2">'G-48 Price Out'!$1:$6</definedName>
    <definedName name="_xlnm.Print_Titles" localSheetId="4">'Rate Schedule G-48'!$5:$5</definedName>
    <definedName name="Print1" localSheetId="3">#REF!</definedName>
    <definedName name="Print1" localSheetId="1">#REF!</definedName>
    <definedName name="Print1" localSheetId="4">#REF!</definedName>
    <definedName name="Print1" localSheetId="0">#REF!</definedName>
    <definedName name="Print1">#REF!</definedName>
    <definedName name="Print2" localSheetId="3">#REF!</definedName>
    <definedName name="Print2" localSheetId="1">#REF!</definedName>
    <definedName name="Print2" localSheetId="4">#REF!</definedName>
    <definedName name="Print2" localSheetId="0">#REF!</definedName>
    <definedName name="Print2">#REF!</definedName>
    <definedName name="Print5" localSheetId="3">#REF!</definedName>
    <definedName name="Print5" localSheetId="1">#REF!</definedName>
    <definedName name="Print5" localSheetId="4">#REF!</definedName>
    <definedName name="Print5" localSheetId="0">#REF!</definedName>
    <definedName name="Print5">#REF!</definedName>
    <definedName name="ProRev" localSheetId="3">'[7]Pacific Regulated - Price Out'!$M$49</definedName>
    <definedName name="ProRev" localSheetId="1">'[7]Pacific Regulated - Price Out'!$M$49</definedName>
    <definedName name="ProRev" localSheetId="4">'[7]Pacific Regulated - Price Out'!$M$49</definedName>
    <definedName name="ProRev" localSheetId="0">'[8]Pacific Regulated - Price Out'!$M$49</definedName>
    <definedName name="ProRev">'[9]Pacific Regulated - Price Out'!$M$49</definedName>
    <definedName name="ProRev_com" localSheetId="3">'[7]Pacific Regulated - Price Out'!$M$213</definedName>
    <definedName name="ProRev_com" localSheetId="1">'[7]Pacific Regulated - Price Out'!$M$213</definedName>
    <definedName name="ProRev_com" localSheetId="4">'[7]Pacific Regulated - Price Out'!$M$213</definedName>
    <definedName name="ProRev_com" localSheetId="0">'[8]Pacific Regulated - Price Out'!$M$213</definedName>
    <definedName name="ProRev_com">'[9]Pacific Regulated - Price Out'!$M$213</definedName>
    <definedName name="ProRev_mfr" localSheetId="3">'[7]Pacific Regulated - Price Out'!$M$221</definedName>
    <definedName name="ProRev_mfr" localSheetId="1">'[7]Pacific Regulated - Price Out'!$M$221</definedName>
    <definedName name="ProRev_mfr" localSheetId="4">'[7]Pacific Regulated - Price Out'!$M$221</definedName>
    <definedName name="ProRev_mfr" localSheetId="0">'[8]Pacific Regulated - Price Out'!$M$221</definedName>
    <definedName name="ProRev_mfr">'[9]Pacific Regulated - Price Out'!$M$221</definedName>
    <definedName name="ProRev_ro" localSheetId="3">'[7]Pacific Regulated - Price Out'!$M$281</definedName>
    <definedName name="ProRev_ro" localSheetId="1">'[7]Pacific Regulated - Price Out'!$M$281</definedName>
    <definedName name="ProRev_ro" localSheetId="4">'[7]Pacific Regulated - Price Out'!$M$281</definedName>
    <definedName name="ProRev_ro" localSheetId="0">'[8]Pacific Regulated - Price Out'!$M$281</definedName>
    <definedName name="ProRev_ro">'[9]Pacific Regulated - Price Out'!$M$281</definedName>
    <definedName name="ProRev_rr" localSheetId="3">'[7]Pacific Regulated - Price Out'!$M$58</definedName>
    <definedName name="ProRev_rr" localSheetId="1">'[7]Pacific Regulated - Price Out'!$M$58</definedName>
    <definedName name="ProRev_rr" localSheetId="4">'[7]Pacific Regulated - Price Out'!$M$58</definedName>
    <definedName name="ProRev_rr" localSheetId="0">'[8]Pacific Regulated - Price Out'!$M$58</definedName>
    <definedName name="ProRev_rr">'[9]Pacific Regulated - Price Out'!$M$58</definedName>
    <definedName name="ProRev_yw" localSheetId="3">'[7]Pacific Regulated - Price Out'!$M$69</definedName>
    <definedName name="ProRev_yw" localSheetId="1">'[7]Pacific Regulated - Price Out'!$M$69</definedName>
    <definedName name="ProRev_yw" localSheetId="4">'[7]Pacific Regulated - Price Out'!$M$69</definedName>
    <definedName name="ProRev_yw" localSheetId="0">'[8]Pacific Regulated - Price Out'!$M$69</definedName>
    <definedName name="ProRev_yw">'[9]Pacific Regulated - Price Out'!$M$69</definedName>
    <definedName name="pServer" localSheetId="3">#REF!</definedName>
    <definedName name="pServer" localSheetId="1">#REF!</definedName>
    <definedName name="pServer" localSheetId="4">#REF!</definedName>
    <definedName name="pServer" localSheetId="0">#REF!</definedName>
    <definedName name="pServer">#REF!</definedName>
    <definedName name="pServiceCode" localSheetId="3">#REF!</definedName>
    <definedName name="pServiceCode" localSheetId="1">#REF!</definedName>
    <definedName name="pServiceCode" localSheetId="4">#REF!</definedName>
    <definedName name="pServiceCode" localSheetId="0">#REF!</definedName>
    <definedName name="pServiceCode">#REF!</definedName>
    <definedName name="pShowAllUnposted" localSheetId="3">#REF!</definedName>
    <definedName name="pShowAllUnposted" localSheetId="1">#REF!</definedName>
    <definedName name="pShowAllUnposted" localSheetId="4">#REF!</definedName>
    <definedName name="pShowAllUnposted" localSheetId="0">#REF!</definedName>
    <definedName name="pShowAllUnposted">#REF!</definedName>
    <definedName name="pShowCustomerDetail" localSheetId="3">#REF!</definedName>
    <definedName name="pShowCustomerDetail" localSheetId="1">#REF!</definedName>
    <definedName name="pShowCustomerDetail" localSheetId="4">#REF!</definedName>
    <definedName name="pShowCustomerDetail" localSheetId="0">#REF!</definedName>
    <definedName name="pShowCustomerDetail">#REF!</definedName>
    <definedName name="pSortOption" localSheetId="3">#REF!</definedName>
    <definedName name="pSortOption" localSheetId="1">#REF!</definedName>
    <definedName name="pSortOption" localSheetId="4">#REF!</definedName>
    <definedName name="pSortOption" localSheetId="0">#REF!</definedName>
    <definedName name="pSortOption">#REF!</definedName>
    <definedName name="pStartPostDate" localSheetId="3">#REF!</definedName>
    <definedName name="pStartPostDate" localSheetId="1">#REF!</definedName>
    <definedName name="pStartPostDate" localSheetId="4">#REF!</definedName>
    <definedName name="pStartPostDate" localSheetId="0">#REF!</definedName>
    <definedName name="pStartPostDate">#REF!</definedName>
    <definedName name="pTransType" localSheetId="3">#REF!</definedName>
    <definedName name="pTransType" localSheetId="1">#REF!</definedName>
    <definedName name="pTransType" localSheetId="4">#REF!</definedName>
    <definedName name="pTransType" localSheetId="0">#REF!</definedName>
    <definedName name="pTransType">#REF!</definedName>
    <definedName name="RCW_81.04.080">#N/A</definedName>
    <definedName name="RecyDisposal">#N/A</definedName>
    <definedName name="Reg_Cust_Billed_Percent">'[22]Consolidated IS 2009 2010'!$AK$20</definedName>
    <definedName name="Reg_Cust_Percent">'[22]Consolidated IS 2009 2010'!$AC$20</definedName>
    <definedName name="Reg_Drive_Percent">'[22]Consolidated IS 2009 2010'!$AC$40</definedName>
    <definedName name="Reg_Haul_Rev_Percent">'[22]Consolidated IS 2009 2010'!$Z$18</definedName>
    <definedName name="Reg_Lab_Percent">'[22]Consolidated IS 2009 2010'!$AC$39</definedName>
    <definedName name="Reg_Steel_Cont_Percent">'[22]Consolidated IS 2009 2010'!$AE$120</definedName>
    <definedName name="RegulatedIS">'[22]2009 IS'!$A$12:$Q$655</definedName>
    <definedName name="RelatedSalary">#N/A</definedName>
    <definedName name="report_type">[1]Orientation!$C$24</definedName>
    <definedName name="ReportNames">[23]ControlPanel!$S$2:$S$16</definedName>
    <definedName name="ReportVersion">[1]Settings!$D$5</definedName>
    <definedName name="ReslStaffPriceOut" localSheetId="1">'[13]Price Out-Reg EASTSIDE-Resi'!#REF!</definedName>
    <definedName name="ReslStaffPriceOut">'[13]Price Out-Reg EASTSIDE-Resi'!#REF!</definedName>
    <definedName name="RetainedEarnings" localSheetId="3">#REF!</definedName>
    <definedName name="RetainedEarnings" localSheetId="1">#REF!</definedName>
    <definedName name="RetainedEarnings" localSheetId="4">#REF!</definedName>
    <definedName name="RetainedEarnings" localSheetId="0">#REF!</definedName>
    <definedName name="RetainedEarnings">#REF!</definedName>
    <definedName name="RevCust" localSheetId="3">[24]RevenuesCust!#REF!</definedName>
    <definedName name="RevCust" localSheetId="1">[24]RevenuesCust!#REF!</definedName>
    <definedName name="RevCust" localSheetId="4">[24]RevenuesCust!#REF!</definedName>
    <definedName name="RevCust" localSheetId="0">[25]RevenuesCust!#REF!</definedName>
    <definedName name="RevCust">[26]RevenuesCust!#REF!</definedName>
    <definedName name="RevCustomer" localSheetId="3">#REF!</definedName>
    <definedName name="RevCustomer" localSheetId="1">#REF!</definedName>
    <definedName name="RevCustomer" localSheetId="4">#REF!</definedName>
    <definedName name="RevCustomer" localSheetId="0">#REF!</definedName>
    <definedName name="RevCustomer">#REF!</definedName>
    <definedName name="rngCreateLog">[1]Delivery!$B$12</definedName>
    <definedName name="rngFilePassword">[1]Delivery!$B$6</definedName>
    <definedName name="rngSourceTab">[1]Delivery!$E$8</definedName>
    <definedName name="rowgroup">[1]Orientation!$C$17</definedName>
    <definedName name="rowsegment">[1]Orientation!$B$17</definedName>
    <definedName name="Sequential_Group">[1]Settings!$J$6</definedName>
    <definedName name="Sequential_Segment">[1]Settings!$I$6</definedName>
    <definedName name="Sequential_sort">[1]Settings!$I$10:$J$11</definedName>
    <definedName name="sortcol" localSheetId="3">#REF!</definedName>
    <definedName name="sortcol" localSheetId="1">#REF!</definedName>
    <definedName name="sortcol" localSheetId="4">#REF!</definedName>
    <definedName name="sortcol" localSheetId="0">#REF!</definedName>
    <definedName name="sortcol">#REF!</definedName>
    <definedName name="sSRCDate" localSheetId="3">'[27]Feb''12 FAR Data'!#REF!</definedName>
    <definedName name="sSRCDate" localSheetId="1">'[28]Feb''12 FAR Data'!#REF!</definedName>
    <definedName name="sSRCDate" localSheetId="4">'[28]Feb''12 FAR Data'!#REF!</definedName>
    <definedName name="sSRCDate" localSheetId="0">'[29]Feb''12 FAR Data'!#REF!</definedName>
    <definedName name="sSRCDate">'[30]Feb''12 FAR Data'!#REF!</definedName>
    <definedName name="SubSystems" localSheetId="3">#REF!</definedName>
    <definedName name="Supplemental_filter">[1]Settings!$C$31</definedName>
    <definedName name="SWDisposal">#N/A</definedName>
    <definedName name="System" localSheetId="3">[31]BS_Close!$V$8</definedName>
    <definedName name="System" localSheetId="1">[31]BS_Close!$V$8</definedName>
    <definedName name="System" localSheetId="4">[31]BS_Close!$V$8</definedName>
    <definedName name="System" localSheetId="0">[31]BS_Close!$V$8</definedName>
    <definedName name="System">#REF!</definedName>
    <definedName name="Systems" localSheetId="3">#REF!</definedName>
    <definedName name="TemplateEnd" localSheetId="3">#REF!</definedName>
    <definedName name="TemplateEnd" localSheetId="1">#REF!</definedName>
    <definedName name="TemplateEnd" localSheetId="4">#REF!</definedName>
    <definedName name="TemplateEnd" localSheetId="0">#REF!</definedName>
    <definedName name="TemplateEnd">#REF!</definedName>
    <definedName name="TemplateStart" localSheetId="3">#REF!</definedName>
    <definedName name="TemplateStart" localSheetId="1">#REF!</definedName>
    <definedName name="TemplateStart" localSheetId="4">#REF!</definedName>
    <definedName name="TemplateStart" localSheetId="0">#REF!</definedName>
    <definedName name="TemplateStart">#REF!</definedName>
    <definedName name="TheTable" localSheetId="3">#REF!</definedName>
    <definedName name="TheTable" localSheetId="1">#REF!</definedName>
    <definedName name="TheTable" localSheetId="4">#REF!</definedName>
    <definedName name="TheTable" localSheetId="0">#REF!</definedName>
    <definedName name="TheTable">#REF!</definedName>
    <definedName name="TheTableOLD" localSheetId="3">#REF!</definedName>
    <definedName name="TheTableOLD" localSheetId="1">#REF!</definedName>
    <definedName name="TheTableOLD" localSheetId="4">#REF!</definedName>
    <definedName name="TheTableOLD" localSheetId="0">#REF!</definedName>
    <definedName name="TheTableOLD">#REF!</definedName>
    <definedName name="timeseries">[1]Orientation!$B$6:$C$13</definedName>
    <definedName name="ToMonth" localSheetId="3">#REF!</definedName>
    <definedName name="Tons" localSheetId="1">#REF!</definedName>
    <definedName name="Tons">#REF!</definedName>
    <definedName name="Total_Comm" localSheetId="3">'[10]Tariff Rate Sheet'!$L$214</definedName>
    <definedName name="Total_Comm" localSheetId="1">'[10]Tariff Rate Sheet'!$L$214</definedName>
    <definedName name="Total_Comm" localSheetId="4">'[10]Tariff Rate Sheet'!$L$214</definedName>
    <definedName name="Total_Comm" localSheetId="0">'[11]Tariff Rate Sheet'!$L$214</definedName>
    <definedName name="Total_Comm">'[12]Tariff Rate Sheet'!$L$214</definedName>
    <definedName name="Total_DB" localSheetId="3">'[10]Tariff Rate Sheet'!$L$278</definedName>
    <definedName name="Total_DB" localSheetId="1">'[10]Tariff Rate Sheet'!$L$278</definedName>
    <definedName name="Total_DB" localSheetId="4">'[10]Tariff Rate Sheet'!$L$278</definedName>
    <definedName name="Total_DB" localSheetId="0">'[11]Tariff Rate Sheet'!$L$278</definedName>
    <definedName name="Total_DB">'[12]Tariff Rate Sheet'!$L$278</definedName>
    <definedName name="Total_Resi" localSheetId="3">'[10]Tariff Rate Sheet'!$L$107</definedName>
    <definedName name="Total_Resi" localSheetId="1">'[10]Tariff Rate Sheet'!$L$107</definedName>
    <definedName name="Total_Resi" localSheetId="4">'[10]Tariff Rate Sheet'!$L$107</definedName>
    <definedName name="Total_Resi" localSheetId="0">'[11]Tariff Rate Sheet'!$L$107</definedName>
    <definedName name="Total_Resi">'[12]Tariff Rate Sheet'!$L$107</definedName>
    <definedName name="Transactions" localSheetId="3">#REF!</definedName>
    <definedName name="Transactions" localSheetId="1">#REF!</definedName>
    <definedName name="Transactions" localSheetId="4">#REF!</definedName>
    <definedName name="Transactions" localSheetId="0">#REF!</definedName>
    <definedName name="Transactions">#REF!</definedName>
    <definedName name="UnregulatedIS">'[22]2010 IS'!$A$12:$Q$654</definedName>
    <definedName name="VendorCode" localSheetId="3">#REF!</definedName>
    <definedName name="Version" localSheetId="3">[17]Data!#REF!</definedName>
    <definedName name="Version" localSheetId="1">[17]Data!#REF!</definedName>
    <definedName name="Version" localSheetId="4">[17]Data!#REF!</definedName>
    <definedName name="Version" localSheetId="0">[17]Data!#REF!</definedName>
    <definedName name="Version">[18]Data!#REF!</definedName>
    <definedName name="wrn.PrintReview." localSheetId="3" hidden="1">{#N/A,#N/A,TRUE,"SUMM";#N/A,#N/A,TRUE,"Rev";#N/A,#N/A,TRUE,"Dir_Costs";#N/A,#N/A,TRUE,"G and A Costs";#N/A,#N/A,TRUE,"Itemize";#N/A,#N/A,TRUE,"Cust_Count1";#N/A,#N/A,TRUE,"Cust_Count2";#N/A,#N/A,TRUE,"Rev_Breakdown";#N/A,#N/A,TRUE,"Truck Hours";#N/A,#N/A,TRUE,"Labor Hours";#N/A,#N/A,TRUE,"Container Breakdown";#N/A,#N/A,TRUE,"Cart Breakdown"}</definedName>
    <definedName name="wrn.PrintReview." hidden="1">{#N/A,#N/A,TRUE,"SUMM";#N/A,#N/A,TRUE,"Rev";#N/A,#N/A,TRUE,"Dir_Costs";#N/A,#N/A,TRUE,"G and A Costs";#N/A,#N/A,TRUE,"Itemize";#N/A,#N/A,TRUE,"Cust_Count1";#N/A,#N/A,TRUE,"Cust_Count2";#N/A,#N/A,TRUE,"Rev_Breakdown";#N/A,#N/A,TRUE,"Truck Hours";#N/A,#N/A,TRUE,"Labor Hours";#N/A,#N/A,TRUE,"Container Breakdown";#N/A,#N/A,TRUE,"Cart Breakdown"}</definedName>
    <definedName name="wrn.PrintReview2" localSheetId="3" hidden="1">{#N/A,#N/A,TRUE,"SUMM";#N/A,#N/A,TRUE,"Rev";#N/A,#N/A,TRUE,"Dir_Costs";#N/A,#N/A,TRUE,"G and A Costs";#N/A,#N/A,TRUE,"Itemize";#N/A,#N/A,TRUE,"Cust_Count1";#N/A,#N/A,TRUE,"Cust_Count2";#N/A,#N/A,TRUE,"Rev_Breakdown";#N/A,#N/A,TRUE,"Truck Hours";#N/A,#N/A,TRUE,"Labor Hours";#N/A,#N/A,TRUE,"Container Breakdown";#N/A,#N/A,TRUE,"Cart Breakdown"}</definedName>
    <definedName name="wrn.PrintReview2" hidden="1">{#N/A,#N/A,TRUE,"SUMM";#N/A,#N/A,TRUE,"Rev";#N/A,#N/A,TRUE,"Dir_Costs";#N/A,#N/A,TRUE,"G and A Costs";#N/A,#N/A,TRUE,"Itemize";#N/A,#N/A,TRUE,"Cust_Count1";#N/A,#N/A,TRUE,"Cust_Count2";#N/A,#N/A,TRUE,"Rev_Breakdown";#N/A,#N/A,TRUE,"Truck Hours";#N/A,#N/A,TRUE,"Labor Hours";#N/A,#N/A,TRUE,"Container Breakdown";#N/A,#N/A,TRUE,"Cart Breakdown"}</definedName>
    <definedName name="wrn.PrnPg1_Pg11." localSheetId="3" hidden="1">{"Page1",#N/A,TRUE,"SUMM";"Page2",#N/A,TRUE,"Rev";"Page3",#N/A,TRUE,"Dir_Costs";"Page4",#N/A,TRUE,"G and A Costs";"Page5",#N/A,TRUE,"Itemize";"Page6",#N/A,TRUE,"Cust_Count1";"Page7",#N/A,TRUE,"Cust_Count2";"Page8",#N/A,TRUE,"Rev_Breakdown";"Page9",#N/A,TRUE,"Truck Hours";"Page10",#N/A,TRUE,"Labor Hours";"Page11",#N/A,TRUE,"Container Breakdown"}</definedName>
    <definedName name="wrn.PrnPg1_Pg11." hidden="1">{"Page1",#N/A,TRUE,"SUMM";"Page2",#N/A,TRUE,"Rev";"Page3",#N/A,TRUE,"Dir_Costs";"Page4",#N/A,TRUE,"G and A Costs";"Page5",#N/A,TRUE,"Itemize";"Page6",#N/A,TRUE,"Cust_Count1";"Page7",#N/A,TRUE,"Cust_Count2";"Page8",#N/A,TRUE,"Rev_Breakdown";"Page9",#N/A,TRUE,"Truck Hours";"Page10",#N/A,TRUE,"Labor Hours";"Page11",#N/A,TRUE,"Container Breakdown"}</definedName>
    <definedName name="wrn.test." localSheetId="3" hidden="1">{"Page1",#N/A,TRUE,"SUMM";"Page2",#N/A,TRUE,"Rev";"Page3",#N/A,TRUE,"Dir_Costs"}</definedName>
    <definedName name="wrn.test." hidden="1">{"Page1",#N/A,TRUE,"SUMM";"Page2",#N/A,TRUE,"Rev";"Page3",#N/A,TRUE,"Dir_Costs"}</definedName>
    <definedName name="WTable" localSheetId="3">#REF!</definedName>
    <definedName name="WTable" localSheetId="1">#REF!</definedName>
    <definedName name="WTable" localSheetId="4">#REF!</definedName>
    <definedName name="WTable" localSheetId="0">#REF!</definedName>
    <definedName name="WTable">#REF!</definedName>
    <definedName name="WTableOld" localSheetId="3">#REF!</definedName>
    <definedName name="WTableOld" localSheetId="1">#REF!</definedName>
    <definedName name="WTableOld" localSheetId="4">#REF!</definedName>
    <definedName name="WTableOld" localSheetId="0">#REF!</definedName>
    <definedName name="WTableOld">#REF!</definedName>
    <definedName name="ww" localSheetId="3">#REF!</definedName>
    <definedName name="ww" localSheetId="1">#REF!</definedName>
    <definedName name="ww" localSheetId="0">#REF!</definedName>
    <definedName name="ww">#REF!</definedName>
    <definedName name="xperiod">[1]Orientation!$G$15</definedName>
    <definedName name="xtabin" localSheetId="3">[4]Hidden!#REF!</definedName>
    <definedName name="xtabin" localSheetId="1">[4]Hidden!#REF!</definedName>
    <definedName name="xtabin" localSheetId="4">[4]Hidden!#REF!</definedName>
    <definedName name="xtabin" localSheetId="0">[5]Hidden!#REF!</definedName>
    <definedName name="xtabin">[6]Hidden!#REF!</definedName>
    <definedName name="xx" localSheetId="3">#REF!</definedName>
    <definedName name="xx" localSheetId="1">#REF!</definedName>
    <definedName name="xx" localSheetId="4">#REF!</definedName>
    <definedName name="xx" localSheetId="0">#REF!</definedName>
    <definedName name="xx">#REF!</definedName>
    <definedName name="xxx" localSheetId="3">#REF!</definedName>
    <definedName name="xxx" localSheetId="1">#REF!</definedName>
    <definedName name="xxx" localSheetId="0">#REF!</definedName>
    <definedName name="xxx">#REF!</definedName>
    <definedName name="xxxx" localSheetId="3">#REF!</definedName>
    <definedName name="xxxx" localSheetId="1">#REF!</definedName>
    <definedName name="xxxx" localSheetId="0">#REF!</definedName>
    <definedName name="xxxx">#REF!</definedName>
    <definedName name="YearMonth" localSheetId="1">'[19]Vashon BS'!#REF!</definedName>
    <definedName name="YearMonth" localSheetId="4">'[19]Vashon BS'!#REF!</definedName>
    <definedName name="YearMonth" localSheetId="0">'[20]Vashon BS'!#REF!</definedName>
    <definedName name="YearMonth">#REF!</definedName>
    <definedName name="YWMedWasteDisp">#N/A</definedName>
    <definedName name="yy" localSheetId="3">#REF!</definedName>
    <definedName name="yy" localSheetId="1">#REF!</definedName>
    <definedName name="yy" localSheetId="4">#REF!</definedName>
    <definedName name="yy" localSheetId="0">#REF!</definedName>
    <definedName name="yy">#REF!</definedName>
  </definedNames>
  <calcPr calcId="145621" iterate="1" iterateDelta="0" concurrentManualCount="4"/>
</workbook>
</file>

<file path=xl/calcChain.xml><?xml version="1.0" encoding="utf-8"?>
<calcChain xmlns="http://schemas.openxmlformats.org/spreadsheetml/2006/main">
  <c r="C61" i="5" l="1"/>
  <c r="C59" i="6" l="1"/>
  <c r="C60" i="6"/>
  <c r="C61" i="6"/>
  <c r="C62" i="6"/>
  <c r="C58" i="6"/>
  <c r="D60" i="5" l="1"/>
  <c r="K86" i="3" l="1"/>
  <c r="K85" i="3"/>
  <c r="K84" i="3"/>
  <c r="K83" i="3"/>
  <c r="K81" i="3"/>
  <c r="K80" i="3"/>
  <c r="K79" i="3"/>
  <c r="K78" i="3"/>
  <c r="K76" i="3"/>
  <c r="K75" i="3"/>
  <c r="K74" i="3"/>
  <c r="K73" i="3"/>
  <c r="K71" i="3"/>
  <c r="K70" i="3"/>
  <c r="K69" i="3"/>
  <c r="K68" i="3"/>
  <c r="K67" i="3"/>
  <c r="K66" i="3"/>
  <c r="K63" i="3"/>
  <c r="K62" i="3"/>
  <c r="K61" i="3"/>
  <c r="K60" i="3"/>
  <c r="K59" i="3"/>
  <c r="K56" i="3"/>
  <c r="K55" i="3"/>
  <c r="K54" i="3"/>
  <c r="K53" i="3"/>
  <c r="K52" i="3"/>
  <c r="K49" i="3"/>
  <c r="K48" i="3"/>
  <c r="K47" i="3"/>
  <c r="K46" i="3"/>
  <c r="K45" i="3"/>
  <c r="K36" i="3"/>
  <c r="K30" i="3"/>
  <c r="K29" i="3"/>
  <c r="K28" i="3"/>
  <c r="K27" i="3"/>
  <c r="K24" i="3"/>
  <c r="K23" i="3"/>
  <c r="K22" i="3"/>
  <c r="K21" i="3"/>
  <c r="K19" i="3"/>
  <c r="K18" i="3"/>
  <c r="K17" i="3"/>
  <c r="K16" i="3"/>
  <c r="K15" i="3"/>
  <c r="K14" i="3"/>
  <c r="K13" i="3"/>
  <c r="K12" i="3"/>
  <c r="K11" i="3"/>
  <c r="K8" i="3"/>
  <c r="C33" i="6"/>
  <c r="K37" i="3" s="1"/>
  <c r="C34" i="6" l="1"/>
  <c r="E86" i="3"/>
  <c r="E85" i="3"/>
  <c r="M86" i="3"/>
  <c r="F86" i="3"/>
  <c r="C86" i="3"/>
  <c r="D85" i="3"/>
  <c r="C85" i="3"/>
  <c r="E81" i="3"/>
  <c r="F81" i="3" s="1"/>
  <c r="E80" i="3"/>
  <c r="M81" i="3"/>
  <c r="C81" i="3"/>
  <c r="D80" i="3"/>
  <c r="C80" i="3"/>
  <c r="E79" i="3"/>
  <c r="C83" i="3"/>
  <c r="E83" i="3"/>
  <c r="F83" i="3" s="1"/>
  <c r="M83" i="3"/>
  <c r="E84" i="3"/>
  <c r="F84" i="3" s="1"/>
  <c r="M84" i="3"/>
  <c r="E76" i="3"/>
  <c r="F76" i="3" s="1"/>
  <c r="E75" i="3"/>
  <c r="M76" i="3"/>
  <c r="C76" i="3"/>
  <c r="D75" i="3"/>
  <c r="C75" i="3"/>
  <c r="K38" i="3" l="1"/>
  <c r="C35" i="6"/>
  <c r="M85" i="3"/>
  <c r="F85" i="3"/>
  <c r="M80" i="3"/>
  <c r="F80" i="3"/>
  <c r="M75" i="3"/>
  <c r="F75" i="3"/>
  <c r="C78" i="3"/>
  <c r="C73" i="3"/>
  <c r="C71" i="3"/>
  <c r="C70" i="3"/>
  <c r="C69" i="3"/>
  <c r="C67" i="3"/>
  <c r="C66" i="3"/>
  <c r="C63" i="3"/>
  <c r="C62" i="3"/>
  <c r="C61" i="3"/>
  <c r="C60" i="3"/>
  <c r="C59" i="3"/>
  <c r="C56" i="3"/>
  <c r="C55" i="3"/>
  <c r="C54" i="3"/>
  <c r="C53" i="3"/>
  <c r="C52" i="3"/>
  <c r="C49" i="3"/>
  <c r="C48" i="3"/>
  <c r="C47" i="3"/>
  <c r="C46" i="3"/>
  <c r="C45" i="3"/>
  <c r="C37" i="3"/>
  <c r="C38" i="3"/>
  <c r="C39" i="3"/>
  <c r="C40" i="3"/>
  <c r="C41" i="3"/>
  <c r="C36" i="3"/>
  <c r="E71" i="3"/>
  <c r="E70" i="3"/>
  <c r="E69" i="3"/>
  <c r="E67" i="3"/>
  <c r="E66" i="3"/>
  <c r="E68" i="3"/>
  <c r="C36" i="6" l="1"/>
  <c r="K39" i="3"/>
  <c r="C66" i="5"/>
  <c r="M37" i="3"/>
  <c r="M38" i="3"/>
  <c r="M39" i="3"/>
  <c r="M48" i="3"/>
  <c r="M55" i="3"/>
  <c r="M56" i="3"/>
  <c r="M61" i="3"/>
  <c r="M62" i="3"/>
  <c r="M63" i="3"/>
  <c r="M67" i="3"/>
  <c r="M70" i="3"/>
  <c r="M74" i="3"/>
  <c r="C37" i="6" l="1"/>
  <c r="K41" i="3" s="1"/>
  <c r="M41" i="3" s="1"/>
  <c r="K40" i="3"/>
  <c r="M40" i="3" s="1"/>
  <c r="B96" i="3"/>
  <c r="B97" i="3" s="1"/>
  <c r="C74" i="5"/>
  <c r="V62" i="1" l="1"/>
  <c r="E45" i="3" l="1"/>
  <c r="E41" i="3"/>
  <c r="E15" i="3"/>
  <c r="M18" i="3" l="1"/>
  <c r="M22" i="3"/>
  <c r="M28" i="3"/>
  <c r="M29" i="3"/>
  <c r="E78" i="3"/>
  <c r="E74" i="3"/>
  <c r="E73" i="3"/>
  <c r="E37" i="3"/>
  <c r="E38" i="3"/>
  <c r="E39" i="3"/>
  <c r="E40" i="3"/>
  <c r="E36" i="3"/>
  <c r="E60" i="3" l="1"/>
  <c r="E61" i="3"/>
  <c r="E62" i="3"/>
  <c r="E63" i="3"/>
  <c r="E59" i="3"/>
  <c r="E53" i="3"/>
  <c r="E54" i="3"/>
  <c r="E55" i="3"/>
  <c r="E56" i="3"/>
  <c r="E52" i="3"/>
  <c r="E46" i="3"/>
  <c r="E47" i="3"/>
  <c r="E48" i="3"/>
  <c r="E49" i="3"/>
  <c r="F67" i="3"/>
  <c r="F70" i="3"/>
  <c r="F74" i="3"/>
  <c r="C28" i="3"/>
  <c r="D28" i="3" s="1"/>
  <c r="C29" i="3"/>
  <c r="D29" i="3" s="1"/>
  <c r="C30" i="3"/>
  <c r="C27" i="3"/>
  <c r="C8" i="3"/>
  <c r="E30" i="3"/>
  <c r="E29" i="3"/>
  <c r="E28" i="3"/>
  <c r="E27" i="3"/>
  <c r="E24" i="3"/>
  <c r="E23" i="3"/>
  <c r="E22" i="3"/>
  <c r="E21" i="3"/>
  <c r="E17" i="3"/>
  <c r="E18" i="3"/>
  <c r="E19" i="3"/>
  <c r="E16" i="3"/>
  <c r="E13" i="3"/>
  <c r="E14" i="3"/>
  <c r="E12" i="3"/>
  <c r="E11" i="3"/>
  <c r="E88" i="3" l="1"/>
  <c r="E8" i="3"/>
  <c r="E32" i="3" l="1"/>
  <c r="E89" i="3" s="1"/>
  <c r="T41" i="1"/>
  <c r="C75" i="5"/>
  <c r="E98" i="3" s="1"/>
  <c r="F98" i="3" s="1"/>
  <c r="D59" i="5"/>
  <c r="H58" i="5"/>
  <c r="H61" i="5" s="1"/>
  <c r="H63" i="5" s="1"/>
  <c r="D58" i="5"/>
  <c r="C53" i="5"/>
  <c r="C52" i="5"/>
  <c r="C50" i="5"/>
  <c r="C49" i="5"/>
  <c r="C48" i="5"/>
  <c r="C46" i="5"/>
  <c r="C45" i="5"/>
  <c r="C44" i="5"/>
  <c r="C43" i="5"/>
  <c r="C41" i="5"/>
  <c r="C40" i="5"/>
  <c r="C39" i="5"/>
  <c r="C12" i="5"/>
  <c r="I11" i="5"/>
  <c r="F11" i="5"/>
  <c r="C11" i="5"/>
  <c r="T43" i="1" s="1"/>
  <c r="C10" i="5"/>
  <c r="I10" i="5" s="1"/>
  <c r="T53" i="1" s="1"/>
  <c r="C9" i="5"/>
  <c r="C8" i="5"/>
  <c r="C7" i="5"/>
  <c r="E7" i="5" s="1"/>
  <c r="E6" i="5"/>
  <c r="C6" i="5"/>
  <c r="G6" i="5" s="1"/>
  <c r="N38" i="4"/>
  <c r="J38" i="4"/>
  <c r="F38" i="4"/>
  <c r="K38" i="4"/>
  <c r="G38" i="4"/>
  <c r="C38" i="4"/>
  <c r="O38" i="4" s="1"/>
  <c r="M38" i="4"/>
  <c r="L38" i="4"/>
  <c r="I38" i="4"/>
  <c r="H38" i="4"/>
  <c r="E38" i="4"/>
  <c r="D38" i="4"/>
  <c r="O36" i="4"/>
  <c r="M31" i="4"/>
  <c r="I31" i="4"/>
  <c r="E31" i="4"/>
  <c r="N25" i="4"/>
  <c r="N21" i="4" s="1"/>
  <c r="N22" i="4" s="1"/>
  <c r="N23" i="4" s="1"/>
  <c r="M25" i="4"/>
  <c r="M21" i="4" s="1"/>
  <c r="J25" i="4"/>
  <c r="J21" i="4" s="1"/>
  <c r="J22" i="4" s="1"/>
  <c r="J23" i="4" s="1"/>
  <c r="I25" i="4"/>
  <c r="I21" i="4" s="1"/>
  <c r="F25" i="4"/>
  <c r="F21" i="4" s="1"/>
  <c r="F22" i="4" s="1"/>
  <c r="F23" i="4" s="1"/>
  <c r="E25" i="4"/>
  <c r="E21" i="4" s="1"/>
  <c r="K25" i="4"/>
  <c r="G25" i="4"/>
  <c r="D25" i="4"/>
  <c r="C25" i="4"/>
  <c r="L25" i="4"/>
  <c r="L21" i="4" s="1"/>
  <c r="K20" i="4"/>
  <c r="K22" i="4" s="1"/>
  <c r="K23" i="4" s="1"/>
  <c r="H25" i="4"/>
  <c r="H21" i="4" s="1"/>
  <c r="G20" i="4"/>
  <c r="G22" i="4" s="1"/>
  <c r="G23" i="4" s="1"/>
  <c r="C22" i="4"/>
  <c r="C23" i="4" s="1"/>
  <c r="K21" i="4"/>
  <c r="G21" i="4"/>
  <c r="D21" i="4"/>
  <c r="C21" i="4"/>
  <c r="N20" i="4"/>
  <c r="M20" i="4"/>
  <c r="L20" i="4"/>
  <c r="L22" i="4" s="1"/>
  <c r="L23" i="4" s="1"/>
  <c r="J20" i="4"/>
  <c r="I20" i="4"/>
  <c r="H20" i="4"/>
  <c r="H22" i="4" s="1"/>
  <c r="H23" i="4" s="1"/>
  <c r="F20" i="4"/>
  <c r="E20" i="4"/>
  <c r="D20" i="4"/>
  <c r="D22" i="4" s="1"/>
  <c r="D23" i="4" s="1"/>
  <c r="C20" i="4"/>
  <c r="O20" i="4" s="1"/>
  <c r="E19" i="4"/>
  <c r="F19" i="4" s="1"/>
  <c r="G19" i="4" s="1"/>
  <c r="H19" i="4" s="1"/>
  <c r="I19" i="4" s="1"/>
  <c r="J19" i="4" s="1"/>
  <c r="K19" i="4" s="1"/>
  <c r="L19" i="4" s="1"/>
  <c r="M19" i="4" s="1"/>
  <c r="N19" i="4" s="1"/>
  <c r="D19" i="4"/>
  <c r="C19" i="4"/>
  <c r="M13" i="4"/>
  <c r="J11" i="4"/>
  <c r="I13" i="4"/>
  <c r="F11" i="4"/>
  <c r="E13" i="4"/>
  <c r="J13" i="4"/>
  <c r="J32" i="4" s="1"/>
  <c r="F13" i="4"/>
  <c r="F32" i="4" s="1"/>
  <c r="N31" i="4"/>
  <c r="L13" i="4"/>
  <c r="K31" i="4"/>
  <c r="J31" i="4"/>
  <c r="H13" i="4"/>
  <c r="G31" i="4"/>
  <c r="F31" i="4"/>
  <c r="D13" i="4"/>
  <c r="C31" i="4"/>
  <c r="J9" i="4"/>
  <c r="F9" i="4"/>
  <c r="N8" i="4"/>
  <c r="M8" i="4"/>
  <c r="K8" i="4"/>
  <c r="J8" i="4"/>
  <c r="J10" i="4" s="1"/>
  <c r="I8" i="4"/>
  <c r="G8" i="4"/>
  <c r="F8" i="4"/>
  <c r="F10" i="4" s="1"/>
  <c r="E8" i="4"/>
  <c r="C8" i="4"/>
  <c r="F7" i="4"/>
  <c r="G7" i="4" s="1"/>
  <c r="H7" i="4" s="1"/>
  <c r="I7" i="4" s="1"/>
  <c r="J7" i="4" s="1"/>
  <c r="K7" i="4" s="1"/>
  <c r="L7" i="4" s="1"/>
  <c r="M7" i="4" s="1"/>
  <c r="N7" i="4" s="1"/>
  <c r="E7" i="4"/>
  <c r="D7" i="4"/>
  <c r="D61" i="5" l="1"/>
  <c r="F6" i="5"/>
  <c r="F9" i="5"/>
  <c r="T46" i="1"/>
  <c r="T54" i="1"/>
  <c r="D10" i="5"/>
  <c r="H7" i="5"/>
  <c r="T59" i="1"/>
  <c r="G10" i="5"/>
  <c r="C84" i="3"/>
  <c r="C74" i="3"/>
  <c r="C23" i="3"/>
  <c r="C17" i="3"/>
  <c r="C16" i="3"/>
  <c r="C19" i="3"/>
  <c r="C79" i="3"/>
  <c r="C18" i="3"/>
  <c r="D18" i="3" s="1"/>
  <c r="C22" i="3"/>
  <c r="D22" i="3" s="1"/>
  <c r="C68" i="3"/>
  <c r="C15" i="3"/>
  <c r="T61" i="1"/>
  <c r="T49" i="1"/>
  <c r="T70" i="1"/>
  <c r="T65" i="1"/>
  <c r="T44" i="1"/>
  <c r="C11" i="3"/>
  <c r="C21" i="3"/>
  <c r="C14" i="3"/>
  <c r="H6" i="5"/>
  <c r="F7" i="5"/>
  <c r="D9" i="5"/>
  <c r="T55" i="1" s="1"/>
  <c r="E10" i="5"/>
  <c r="H11" i="5"/>
  <c r="T60" i="1"/>
  <c r="T48" i="1"/>
  <c r="T69" i="1"/>
  <c r="T62" i="1"/>
  <c r="U62" i="1" s="1"/>
  <c r="C13" i="3"/>
  <c r="I12" i="5"/>
  <c r="C24" i="3"/>
  <c r="T75" i="1"/>
  <c r="T71" i="1"/>
  <c r="T64" i="1"/>
  <c r="T73" i="1"/>
  <c r="T63" i="1"/>
  <c r="T76" i="1"/>
  <c r="T74" i="1"/>
  <c r="T72" i="1"/>
  <c r="C12" i="3"/>
  <c r="I8" i="5"/>
  <c r="T57" i="1"/>
  <c r="T47" i="1"/>
  <c r="H10" i="5"/>
  <c r="D6" i="5"/>
  <c r="I6" i="5"/>
  <c r="I7" i="5"/>
  <c r="H9" i="5"/>
  <c r="F10" i="5"/>
  <c r="E11" i="5"/>
  <c r="T40" i="1"/>
  <c r="D40" i="6"/>
  <c r="E40" i="6" s="1"/>
  <c r="C64" i="5"/>
  <c r="C65" i="5" s="1"/>
  <c r="C67" i="5" s="1"/>
  <c r="E61" i="5"/>
  <c r="F8" i="5"/>
  <c r="G9" i="5"/>
  <c r="F12" i="5"/>
  <c r="G12" i="5"/>
  <c r="G7" i="5"/>
  <c r="D8" i="5"/>
  <c r="T58" i="1" s="1"/>
  <c r="H8" i="5"/>
  <c r="E9" i="5"/>
  <c r="I9" i="5"/>
  <c r="T56" i="1" s="1"/>
  <c r="G11" i="5"/>
  <c r="D12" i="5"/>
  <c r="H12" i="5"/>
  <c r="G8" i="5"/>
  <c r="D7" i="5"/>
  <c r="E8" i="5"/>
  <c r="D11" i="5"/>
  <c r="E12" i="5"/>
  <c r="C40" i="4"/>
  <c r="G40" i="4"/>
  <c r="E32" i="4"/>
  <c r="E33" i="4" s="1"/>
  <c r="E41" i="4" s="1"/>
  <c r="E9" i="4"/>
  <c r="E10" i="4" s="1"/>
  <c r="M9" i="4"/>
  <c r="M10" i="4" s="1"/>
  <c r="M11" i="4" s="1"/>
  <c r="M32" i="4"/>
  <c r="M33" i="4"/>
  <c r="M41" i="4" s="1"/>
  <c r="H9" i="4"/>
  <c r="H32" i="4"/>
  <c r="M22" i="4"/>
  <c r="M23" i="4" s="1"/>
  <c r="D9" i="4"/>
  <c r="D32" i="4"/>
  <c r="L9" i="4"/>
  <c r="L32" i="4"/>
  <c r="I22" i="4"/>
  <c r="I23" i="4" s="1"/>
  <c r="O25" i="4"/>
  <c r="K40" i="4"/>
  <c r="I32" i="4"/>
  <c r="I33" i="4" s="1"/>
  <c r="I41" i="4" s="1"/>
  <c r="I9" i="4"/>
  <c r="I10" i="4" s="1"/>
  <c r="F40" i="4"/>
  <c r="F33" i="4"/>
  <c r="F41" i="4" s="1"/>
  <c r="J40" i="4"/>
  <c r="J33" i="4"/>
  <c r="J41" i="4" s="1"/>
  <c r="N40" i="4"/>
  <c r="E22" i="4"/>
  <c r="E23" i="4" s="1"/>
  <c r="O21" i="4"/>
  <c r="O22" i="4" s="1"/>
  <c r="O12" i="4"/>
  <c r="N13" i="4"/>
  <c r="O24" i="4"/>
  <c r="O26" i="4" s="1"/>
  <c r="D31" i="4"/>
  <c r="H31" i="4"/>
  <c r="L31" i="4"/>
  <c r="O37" i="4"/>
  <c r="E40" i="4"/>
  <c r="I40" i="4"/>
  <c r="M40" i="4"/>
  <c r="K13" i="4"/>
  <c r="C13" i="4"/>
  <c r="D8" i="4"/>
  <c r="D10" i="4" s="1"/>
  <c r="D11" i="4" s="1"/>
  <c r="H8" i="4"/>
  <c r="L8" i="4"/>
  <c r="L10" i="4" s="1"/>
  <c r="L11" i="4" s="1"/>
  <c r="E11" i="4"/>
  <c r="I11" i="4"/>
  <c r="O8" i="4"/>
  <c r="G13" i="4"/>
  <c r="T67" i="1" l="1"/>
  <c r="T51" i="1"/>
  <c r="T68" i="1"/>
  <c r="T52" i="1"/>
  <c r="T42" i="1"/>
  <c r="T66" i="1"/>
  <c r="T50" i="1"/>
  <c r="T45" i="1"/>
  <c r="H40" i="4"/>
  <c r="H33" i="4"/>
  <c r="H41" i="4" s="1"/>
  <c r="G9" i="4"/>
  <c r="G10" i="4" s="1"/>
  <c r="G11" i="4" s="1"/>
  <c r="G32" i="4"/>
  <c r="G33" i="4" s="1"/>
  <c r="G41" i="4" s="1"/>
  <c r="C9" i="4"/>
  <c r="O13" i="4"/>
  <c r="O14" i="4" s="1"/>
  <c r="C32" i="4"/>
  <c r="D40" i="4"/>
  <c r="O40" i="4" s="1"/>
  <c r="D33" i="4"/>
  <c r="D41" i="4" s="1"/>
  <c r="K9" i="4"/>
  <c r="K10" i="4" s="1"/>
  <c r="K11" i="4" s="1"/>
  <c r="K32" i="4"/>
  <c r="K33" i="4" s="1"/>
  <c r="K41" i="4" s="1"/>
  <c r="H10" i="4"/>
  <c r="H11" i="4" s="1"/>
  <c r="L40" i="4"/>
  <c r="L33" i="4"/>
  <c r="L41" i="4" s="1"/>
  <c r="N32" i="4"/>
  <c r="N33" i="4" s="1"/>
  <c r="N41" i="4" s="1"/>
  <c r="N9" i="4"/>
  <c r="N10" i="4" s="1"/>
  <c r="N11" i="4" s="1"/>
  <c r="O31" i="4"/>
  <c r="O32" i="4" l="1"/>
  <c r="O33" i="4" s="1"/>
  <c r="C33" i="4"/>
  <c r="C41" i="4" s="1"/>
  <c r="O41" i="4" s="1"/>
  <c r="O9" i="4"/>
  <c r="O10" i="4" s="1"/>
  <c r="C10" i="4"/>
  <c r="C11" i="4" s="1"/>
  <c r="G140" i="1" l="1"/>
  <c r="F142" i="1"/>
  <c r="G138" i="1"/>
  <c r="F137" i="1"/>
  <c r="G133" i="1"/>
  <c r="G135" i="1" s="1"/>
  <c r="F135" i="1"/>
  <c r="E135" i="1"/>
  <c r="J128" i="1"/>
  <c r="I128" i="1"/>
  <c r="K128" i="1" s="1"/>
  <c r="G127" i="1"/>
  <c r="I127" i="1"/>
  <c r="G126" i="1"/>
  <c r="D126" i="1"/>
  <c r="G125" i="1"/>
  <c r="J125" i="1"/>
  <c r="G124" i="1"/>
  <c r="J124" i="1"/>
  <c r="I123" i="1"/>
  <c r="J123" i="1"/>
  <c r="G122" i="1"/>
  <c r="G118" i="1"/>
  <c r="J118" i="1"/>
  <c r="G117" i="1"/>
  <c r="J117" i="1"/>
  <c r="J116" i="1"/>
  <c r="J115" i="1"/>
  <c r="G114" i="1"/>
  <c r="J114" i="1"/>
  <c r="G113" i="1"/>
  <c r="G112" i="1"/>
  <c r="G111" i="1"/>
  <c r="J111" i="1"/>
  <c r="J109" i="1"/>
  <c r="J101" i="1"/>
  <c r="G101" i="1"/>
  <c r="C101" i="1"/>
  <c r="I101" i="1" s="1"/>
  <c r="K101" i="1" s="1"/>
  <c r="J100" i="1"/>
  <c r="C100" i="1"/>
  <c r="C99" i="1"/>
  <c r="C98" i="1"/>
  <c r="C97" i="1"/>
  <c r="J96" i="1"/>
  <c r="C95" i="1"/>
  <c r="C94" i="1"/>
  <c r="G93" i="1"/>
  <c r="C93" i="1"/>
  <c r="G92" i="1"/>
  <c r="C92" i="1"/>
  <c r="J91" i="1"/>
  <c r="I90" i="1"/>
  <c r="J89" i="1"/>
  <c r="I88" i="1"/>
  <c r="J87" i="1"/>
  <c r="G83" i="1"/>
  <c r="G82" i="1"/>
  <c r="C81" i="1"/>
  <c r="C80" i="1"/>
  <c r="I80" i="1" s="1"/>
  <c r="G79" i="1"/>
  <c r="C79" i="1"/>
  <c r="J78" i="1"/>
  <c r="I77" i="1"/>
  <c r="I76" i="1"/>
  <c r="I75" i="1"/>
  <c r="G74" i="1"/>
  <c r="I73" i="1"/>
  <c r="I72" i="1"/>
  <c r="I68" i="1"/>
  <c r="I67" i="1"/>
  <c r="I66" i="1"/>
  <c r="I65" i="1"/>
  <c r="I63" i="1"/>
  <c r="I62" i="1"/>
  <c r="G61" i="1"/>
  <c r="G59" i="1"/>
  <c r="J59" i="1"/>
  <c r="G57" i="1"/>
  <c r="J57" i="1"/>
  <c r="I56" i="1"/>
  <c r="G55" i="1"/>
  <c r="I54" i="1"/>
  <c r="G53" i="1"/>
  <c r="G51" i="1"/>
  <c r="J51" i="1"/>
  <c r="G49" i="1"/>
  <c r="J49" i="1"/>
  <c r="G47" i="1"/>
  <c r="I46" i="1"/>
  <c r="G45" i="1"/>
  <c r="G43" i="1"/>
  <c r="J43" i="1"/>
  <c r="G41" i="1"/>
  <c r="J41" i="1"/>
  <c r="F39" i="1"/>
  <c r="J33" i="1"/>
  <c r="G33" i="1"/>
  <c r="G31" i="1"/>
  <c r="I31" i="1"/>
  <c r="J30" i="1"/>
  <c r="G29" i="1"/>
  <c r="G28" i="1"/>
  <c r="J28" i="1"/>
  <c r="G27" i="1"/>
  <c r="I26" i="1"/>
  <c r="G25" i="1"/>
  <c r="G23" i="1"/>
  <c r="J23" i="1"/>
  <c r="I21" i="1"/>
  <c r="J21" i="1"/>
  <c r="J20" i="1"/>
  <c r="I20" i="1"/>
  <c r="G19" i="1"/>
  <c r="G17" i="1"/>
  <c r="J17" i="1"/>
  <c r="J16" i="1"/>
  <c r="I15" i="1"/>
  <c r="J15" i="1"/>
  <c r="I14" i="1"/>
  <c r="J14" i="1"/>
  <c r="I13" i="1"/>
  <c r="J12" i="1"/>
  <c r="M97" i="1"/>
  <c r="Q97" i="1" s="1"/>
  <c r="J71" i="1" l="1"/>
  <c r="J84" i="1"/>
  <c r="J122" i="1"/>
  <c r="F35" i="1"/>
  <c r="G13" i="1"/>
  <c r="I22" i="1"/>
  <c r="I30" i="1"/>
  <c r="I42" i="1"/>
  <c r="I50" i="1"/>
  <c r="J53" i="1"/>
  <c r="I58" i="1"/>
  <c r="J61" i="1"/>
  <c r="E35" i="1"/>
  <c r="J13" i="1"/>
  <c r="G15" i="1"/>
  <c r="I18" i="1"/>
  <c r="I19" i="1"/>
  <c r="G21" i="1"/>
  <c r="G24" i="1"/>
  <c r="I25" i="1"/>
  <c r="I29" i="1"/>
  <c r="I32" i="1"/>
  <c r="I44" i="1"/>
  <c r="J47" i="1"/>
  <c r="I52" i="1"/>
  <c r="J55" i="1"/>
  <c r="I60" i="1"/>
  <c r="I64" i="1"/>
  <c r="G67" i="1"/>
  <c r="I69" i="1"/>
  <c r="I70" i="1"/>
  <c r="I71" i="1"/>
  <c r="G77" i="1"/>
  <c r="I79" i="1"/>
  <c r="G97" i="1"/>
  <c r="G99" i="1"/>
  <c r="F130" i="1"/>
  <c r="J113" i="1"/>
  <c r="J119" i="1"/>
  <c r="J120" i="1"/>
  <c r="J121" i="1"/>
  <c r="G123" i="1"/>
  <c r="G139" i="1"/>
  <c r="G142" i="1" s="1"/>
  <c r="I119" i="1"/>
  <c r="I120" i="1"/>
  <c r="I92" i="1"/>
  <c r="I93" i="1"/>
  <c r="G63" i="1"/>
  <c r="I16" i="1"/>
  <c r="I17" i="1"/>
  <c r="J19" i="1"/>
  <c r="I23" i="1"/>
  <c r="J25" i="1"/>
  <c r="I27" i="1"/>
  <c r="J32" i="1"/>
  <c r="J45" i="1"/>
  <c r="G65" i="1"/>
  <c r="J69" i="1"/>
  <c r="I74" i="1"/>
  <c r="I115" i="1"/>
  <c r="I116" i="1"/>
  <c r="J48" i="1"/>
  <c r="J64" i="1"/>
  <c r="I100" i="1"/>
  <c r="J110" i="1"/>
  <c r="F103" i="1"/>
  <c r="I48" i="1"/>
  <c r="M18" i="1"/>
  <c r="M40" i="1"/>
  <c r="Q40" i="1" s="1"/>
  <c r="J50" i="1"/>
  <c r="J58" i="1"/>
  <c r="J76" i="1"/>
  <c r="J94" i="1"/>
  <c r="J95" i="1"/>
  <c r="J18" i="1"/>
  <c r="M43" i="1"/>
  <c r="Q43" i="1" s="1"/>
  <c r="J68" i="1"/>
  <c r="J72" i="1"/>
  <c r="K30" i="1"/>
  <c r="J42" i="1"/>
  <c r="J56" i="1"/>
  <c r="J83" i="1"/>
  <c r="J98" i="1"/>
  <c r="K15" i="1"/>
  <c r="B16" i="3" s="1"/>
  <c r="K16" i="1"/>
  <c r="B17" i="3" s="1"/>
  <c r="K20" i="1"/>
  <c r="B21" i="3" s="1"/>
  <c r="M32" i="1"/>
  <c r="Q32" i="1" s="1"/>
  <c r="M42" i="1"/>
  <c r="Q42" i="1" s="1"/>
  <c r="J44" i="1"/>
  <c r="M45" i="1"/>
  <c r="M50" i="1"/>
  <c r="Q50" i="1" s="1"/>
  <c r="J52" i="1"/>
  <c r="M53" i="1"/>
  <c r="M58" i="1"/>
  <c r="Q58" i="1" s="1"/>
  <c r="J60" i="1"/>
  <c r="M61" i="1"/>
  <c r="Q61" i="1" s="1"/>
  <c r="K64" i="1"/>
  <c r="M64" i="1"/>
  <c r="K68" i="1"/>
  <c r="M68" i="1"/>
  <c r="Q68" i="1" s="1"/>
  <c r="M72" i="1"/>
  <c r="M75" i="1"/>
  <c r="K76" i="1"/>
  <c r="J77" i="1"/>
  <c r="M95" i="1"/>
  <c r="Q95" i="1" s="1"/>
  <c r="M99" i="1"/>
  <c r="Q99" i="1" s="1"/>
  <c r="K120" i="1"/>
  <c r="K13" i="1"/>
  <c r="B14" i="3" s="1"/>
  <c r="Q18" i="1"/>
  <c r="M20" i="1"/>
  <c r="Q20" i="1" s="1"/>
  <c r="M22" i="1"/>
  <c r="Q22" i="1" s="1"/>
  <c r="M24" i="1"/>
  <c r="Q24" i="1" s="1"/>
  <c r="M26" i="1"/>
  <c r="Q26" i="1" s="1"/>
  <c r="K14" i="1"/>
  <c r="B15" i="3" s="1"/>
  <c r="K18" i="1"/>
  <c r="M30" i="1"/>
  <c r="Q30" i="1" s="1"/>
  <c r="K32" i="1"/>
  <c r="O32" i="1" s="1"/>
  <c r="M44" i="1"/>
  <c r="Q44" i="1" s="1"/>
  <c r="Q45" i="1"/>
  <c r="J46" i="1"/>
  <c r="M47" i="1"/>
  <c r="Q47" i="1" s="1"/>
  <c r="K48" i="1"/>
  <c r="M52" i="1"/>
  <c r="Q52" i="1" s="1"/>
  <c r="Q53" i="1"/>
  <c r="J54" i="1"/>
  <c r="K54" i="1" s="1"/>
  <c r="M55" i="1"/>
  <c r="Q55" i="1" s="1"/>
  <c r="K56" i="1"/>
  <c r="M60" i="1"/>
  <c r="Q60" i="1" s="1"/>
  <c r="J62" i="1"/>
  <c r="J66" i="1"/>
  <c r="J70" i="1"/>
  <c r="K70" i="1" s="1"/>
  <c r="K72" i="1"/>
  <c r="M76" i="1"/>
  <c r="M77" i="1"/>
  <c r="Q77" i="1" s="1"/>
  <c r="C96" i="1"/>
  <c r="J112" i="1"/>
  <c r="K115" i="1"/>
  <c r="K19" i="1"/>
  <c r="B12" i="3" s="1"/>
  <c r="K21" i="1"/>
  <c r="B23" i="3" s="1"/>
  <c r="J22" i="1"/>
  <c r="K22" i="1" s="1"/>
  <c r="B30" i="3" s="1"/>
  <c r="K23" i="1"/>
  <c r="B27" i="3" s="1"/>
  <c r="J24" i="1"/>
  <c r="K25" i="1"/>
  <c r="J26" i="1"/>
  <c r="K26" i="1" s="1"/>
  <c r="O26" i="1" s="1"/>
  <c r="M28" i="1"/>
  <c r="Q28" i="1" s="1"/>
  <c r="O30" i="1"/>
  <c r="M41" i="1"/>
  <c r="Q41" i="1" s="1"/>
  <c r="M46" i="1"/>
  <c r="Q46" i="1" s="1"/>
  <c r="M49" i="1"/>
  <c r="Q49" i="1" s="1"/>
  <c r="M54" i="1"/>
  <c r="Q54" i="1" s="1"/>
  <c r="M57" i="1"/>
  <c r="Q57" i="1" s="1"/>
  <c r="M62" i="1"/>
  <c r="O62" i="1" s="1"/>
  <c r="K66" i="1"/>
  <c r="M66" i="1"/>
  <c r="K71" i="1"/>
  <c r="J80" i="1"/>
  <c r="J81" i="1"/>
  <c r="J92" i="1"/>
  <c r="I94" i="1"/>
  <c r="K94" i="1" s="1"/>
  <c r="I95" i="1"/>
  <c r="M96" i="1"/>
  <c r="Q96" i="1" s="1"/>
  <c r="I98" i="1"/>
  <c r="M100" i="1"/>
  <c r="Q100" i="1" s="1"/>
  <c r="K116" i="1"/>
  <c r="K17" i="1"/>
  <c r="B19" i="3" s="1"/>
  <c r="M12" i="1"/>
  <c r="Q12" i="1" s="1"/>
  <c r="M14" i="1"/>
  <c r="Q14" i="1" s="1"/>
  <c r="M16" i="1"/>
  <c r="Q16" i="1" s="1"/>
  <c r="K44" i="1"/>
  <c r="M48" i="1"/>
  <c r="Q48" i="1" s="1"/>
  <c r="M51" i="1"/>
  <c r="Q51" i="1" s="1"/>
  <c r="K52" i="1"/>
  <c r="M56" i="1"/>
  <c r="Q56" i="1" s="1"/>
  <c r="M59" i="1"/>
  <c r="Q59" i="1" s="1"/>
  <c r="K60" i="1"/>
  <c r="K69" i="1"/>
  <c r="M70" i="1"/>
  <c r="Q70" i="1" s="1"/>
  <c r="M88" i="1"/>
  <c r="Q88" i="1" s="1"/>
  <c r="K92" i="1"/>
  <c r="M93" i="1"/>
  <c r="Q93" i="1" s="1"/>
  <c r="I96" i="1"/>
  <c r="K96" i="1" s="1"/>
  <c r="O96" i="1" s="1"/>
  <c r="K119" i="1"/>
  <c r="K123" i="1"/>
  <c r="K46" i="1"/>
  <c r="K42" i="1"/>
  <c r="K50" i="1"/>
  <c r="K58" i="1"/>
  <c r="G12" i="1"/>
  <c r="G14" i="1"/>
  <c r="G16" i="1"/>
  <c r="G18" i="1"/>
  <c r="G20" i="1"/>
  <c r="G22" i="1"/>
  <c r="G26" i="1"/>
  <c r="J27" i="1"/>
  <c r="K27" i="1" s="1"/>
  <c r="J29" i="1"/>
  <c r="K29" i="1" s="1"/>
  <c r="G30" i="1"/>
  <c r="J31" i="1"/>
  <c r="K31" i="1" s="1"/>
  <c r="G32" i="1"/>
  <c r="R32" i="1" s="1"/>
  <c r="G42" i="1"/>
  <c r="I43" i="1"/>
  <c r="K43" i="1" s="1"/>
  <c r="G44" i="1"/>
  <c r="I45" i="1"/>
  <c r="K45" i="1" s="1"/>
  <c r="G48" i="1"/>
  <c r="G50" i="1"/>
  <c r="I51" i="1"/>
  <c r="K51" i="1" s="1"/>
  <c r="G54" i="1"/>
  <c r="I55" i="1"/>
  <c r="K55" i="1" s="1"/>
  <c r="G56" i="1"/>
  <c r="I57" i="1"/>
  <c r="K57" i="1" s="1"/>
  <c r="I59" i="1"/>
  <c r="K59" i="1" s="1"/>
  <c r="I12" i="1"/>
  <c r="K12" i="1" s="1"/>
  <c r="M13" i="1"/>
  <c r="O13" i="1" s="1"/>
  <c r="R13" i="1" s="1"/>
  <c r="M15" i="1"/>
  <c r="Q15" i="1" s="1"/>
  <c r="M17" i="1"/>
  <c r="Q17" i="1" s="1"/>
  <c r="M19" i="1"/>
  <c r="Q19" i="1" s="1"/>
  <c r="M21" i="1"/>
  <c r="O21" i="1" s="1"/>
  <c r="R21" i="1" s="1"/>
  <c r="M23" i="1"/>
  <c r="O23" i="1" s="1"/>
  <c r="R23" i="1" s="1"/>
  <c r="I24" i="1"/>
  <c r="M25" i="1"/>
  <c r="Q25" i="1" s="1"/>
  <c r="M27" i="1"/>
  <c r="Q27" i="1" s="1"/>
  <c r="I28" i="1"/>
  <c r="K28" i="1" s="1"/>
  <c r="M29" i="1"/>
  <c r="Q29" i="1" s="1"/>
  <c r="M31" i="1"/>
  <c r="Q31" i="1" s="1"/>
  <c r="I33" i="1"/>
  <c r="K33" i="1" s="1"/>
  <c r="J40" i="1"/>
  <c r="Q62" i="1"/>
  <c r="G70" i="1"/>
  <c r="G71" i="1"/>
  <c r="G72" i="1"/>
  <c r="J73" i="1"/>
  <c r="K73" i="1" s="1"/>
  <c r="G73" i="1"/>
  <c r="J74" i="1"/>
  <c r="K74" i="1" s="1"/>
  <c r="K77" i="1"/>
  <c r="K98" i="1"/>
  <c r="I110" i="1"/>
  <c r="K110" i="1" s="1"/>
  <c r="G110" i="1"/>
  <c r="E103" i="1"/>
  <c r="I40" i="1"/>
  <c r="J75" i="1"/>
  <c r="K75" i="1" s="1"/>
  <c r="G75" i="1"/>
  <c r="J79" i="1"/>
  <c r="K79" i="1" s="1"/>
  <c r="J86" i="1"/>
  <c r="G86" i="1"/>
  <c r="I109" i="1"/>
  <c r="K109" i="1" s="1"/>
  <c r="G109" i="1"/>
  <c r="F144" i="1"/>
  <c r="G64" i="1"/>
  <c r="G66" i="1"/>
  <c r="G68" i="1"/>
  <c r="G76" i="1"/>
  <c r="C85" i="1"/>
  <c r="I85" i="1" s="1"/>
  <c r="M85" i="1"/>
  <c r="Q85" i="1" s="1"/>
  <c r="G40" i="1"/>
  <c r="I41" i="1"/>
  <c r="K41" i="1" s="1"/>
  <c r="G46" i="1"/>
  <c r="I47" i="1"/>
  <c r="K47" i="1" s="1"/>
  <c r="I49" i="1"/>
  <c r="K49" i="1" s="1"/>
  <c r="G52" i="1"/>
  <c r="I53" i="1"/>
  <c r="K53" i="1" s="1"/>
  <c r="G58" i="1"/>
  <c r="G60" i="1"/>
  <c r="I61" i="1"/>
  <c r="K61" i="1" s="1"/>
  <c r="G62" i="1"/>
  <c r="R62" i="1" s="1"/>
  <c r="J63" i="1"/>
  <c r="K63" i="1" s="1"/>
  <c r="M63" i="1"/>
  <c r="Q63" i="1" s="1"/>
  <c r="Q64" i="1"/>
  <c r="J65" i="1"/>
  <c r="K65" i="1" s="1"/>
  <c r="M65" i="1"/>
  <c r="Q65" i="1" s="1"/>
  <c r="Q66" i="1"/>
  <c r="J67" i="1"/>
  <c r="K67" i="1" s="1"/>
  <c r="M67" i="1"/>
  <c r="Q67" i="1" s="1"/>
  <c r="G69" i="1"/>
  <c r="M73" i="1"/>
  <c r="Q73" i="1" s="1"/>
  <c r="M74" i="1"/>
  <c r="Q74" i="1" s="1"/>
  <c r="Q75" i="1"/>
  <c r="Q76" i="1"/>
  <c r="G78" i="1"/>
  <c r="I78" i="1"/>
  <c r="K78" i="1" s="1"/>
  <c r="K80" i="1"/>
  <c r="G81" i="1"/>
  <c r="I81" i="1"/>
  <c r="C82" i="1"/>
  <c r="I82" i="1" s="1"/>
  <c r="J90" i="1"/>
  <c r="K90" i="1" s="1"/>
  <c r="G90" i="1"/>
  <c r="J99" i="1"/>
  <c r="E130" i="1"/>
  <c r="I108" i="1"/>
  <c r="G108" i="1"/>
  <c r="J82" i="1"/>
  <c r="K100" i="1"/>
  <c r="O100" i="1" s="1"/>
  <c r="M128" i="1"/>
  <c r="Q128" i="1" s="1"/>
  <c r="M92" i="1"/>
  <c r="Q92" i="1" s="1"/>
  <c r="M91" i="1"/>
  <c r="Q91" i="1" s="1"/>
  <c r="M89" i="1"/>
  <c r="Q89" i="1" s="1"/>
  <c r="M87" i="1"/>
  <c r="Q87" i="1" s="1"/>
  <c r="M126" i="1"/>
  <c r="M124" i="1"/>
  <c r="Q124" i="1" s="1"/>
  <c r="M113" i="1"/>
  <c r="Q113" i="1" s="1"/>
  <c r="M111" i="1"/>
  <c r="Q111" i="1" s="1"/>
  <c r="M109" i="1"/>
  <c r="Q109" i="1" s="1"/>
  <c r="M101" i="1"/>
  <c r="Q101" i="1" s="1"/>
  <c r="M125" i="1"/>
  <c r="Q125" i="1" s="1"/>
  <c r="M112" i="1"/>
  <c r="Q112" i="1" s="1"/>
  <c r="M110" i="1"/>
  <c r="Q110" i="1" s="1"/>
  <c r="M108" i="1"/>
  <c r="Q108" i="1" s="1"/>
  <c r="M84" i="1"/>
  <c r="M83" i="1"/>
  <c r="Q83" i="1" s="1"/>
  <c r="M82" i="1"/>
  <c r="Q82" i="1" s="1"/>
  <c r="M81" i="1"/>
  <c r="Q81" i="1" s="1"/>
  <c r="M80" i="1"/>
  <c r="Q80" i="1" s="1"/>
  <c r="M79" i="1"/>
  <c r="Q79" i="1" s="1"/>
  <c r="M78" i="1"/>
  <c r="Q78" i="1" s="1"/>
  <c r="M33" i="1"/>
  <c r="Q33" i="1" s="1"/>
  <c r="M69" i="1"/>
  <c r="Q69" i="1" s="1"/>
  <c r="M71" i="1"/>
  <c r="Q71" i="1" s="1"/>
  <c r="Q72" i="1"/>
  <c r="G80" i="1"/>
  <c r="C83" i="1"/>
  <c r="I83" i="1" s="1"/>
  <c r="K83" i="1" s="1"/>
  <c r="G84" i="1"/>
  <c r="J85" i="1"/>
  <c r="G85" i="1"/>
  <c r="C86" i="1"/>
  <c r="I86" i="1" s="1"/>
  <c r="K86" i="1" s="1"/>
  <c r="M86" i="1"/>
  <c r="Q86" i="1" s="1"/>
  <c r="J88" i="1"/>
  <c r="K88" i="1" s="1"/>
  <c r="O88" i="1" s="1"/>
  <c r="G88" i="1"/>
  <c r="M90" i="1"/>
  <c r="Q90" i="1" s="1"/>
  <c r="J93" i="1"/>
  <c r="K93" i="1" s="1"/>
  <c r="O93" i="1" s="1"/>
  <c r="R93" i="1" s="1"/>
  <c r="M94" i="1"/>
  <c r="Q94" i="1" s="1"/>
  <c r="K95" i="1"/>
  <c r="O95" i="1" s="1"/>
  <c r="J97" i="1"/>
  <c r="M98" i="1"/>
  <c r="Q98" i="1" s="1"/>
  <c r="I111" i="1"/>
  <c r="K111" i="1" s="1"/>
  <c r="I112" i="1"/>
  <c r="K112" i="1" s="1"/>
  <c r="G115" i="1"/>
  <c r="I117" i="1"/>
  <c r="K117" i="1" s="1"/>
  <c r="M117" i="1"/>
  <c r="Q117" i="1" s="1"/>
  <c r="G119" i="1"/>
  <c r="I121" i="1"/>
  <c r="K121" i="1" s="1"/>
  <c r="M121" i="1"/>
  <c r="Q121" i="1" s="1"/>
  <c r="M116" i="1"/>
  <c r="Q116" i="1" s="1"/>
  <c r="M120" i="1"/>
  <c r="Q120" i="1" s="1"/>
  <c r="M115" i="1"/>
  <c r="Q115" i="1" s="1"/>
  <c r="M119" i="1"/>
  <c r="Q119" i="1" s="1"/>
  <c r="G121" i="1"/>
  <c r="M123" i="1"/>
  <c r="Q123" i="1" s="1"/>
  <c r="Q84" i="1"/>
  <c r="C84" i="1"/>
  <c r="I84" i="1" s="1"/>
  <c r="K84" i="1" s="1"/>
  <c r="I113" i="1"/>
  <c r="K113" i="1" s="1"/>
  <c r="I114" i="1"/>
  <c r="K114" i="1" s="1"/>
  <c r="M114" i="1"/>
  <c r="Q114" i="1" s="1"/>
  <c r="G116" i="1"/>
  <c r="I118" i="1"/>
  <c r="K118" i="1" s="1"/>
  <c r="M118" i="1"/>
  <c r="Q118" i="1" s="1"/>
  <c r="G120" i="1"/>
  <c r="I122" i="1"/>
  <c r="K122" i="1" s="1"/>
  <c r="M122" i="1"/>
  <c r="Q122" i="1" s="1"/>
  <c r="G87" i="1"/>
  <c r="G89" i="1"/>
  <c r="G91" i="1"/>
  <c r="G95" i="1"/>
  <c r="J126" i="1"/>
  <c r="I125" i="1"/>
  <c r="K125" i="1" s="1"/>
  <c r="O125" i="1" s="1"/>
  <c r="R125" i="1" s="1"/>
  <c r="I87" i="1"/>
  <c r="K87" i="1" s="1"/>
  <c r="I89" i="1"/>
  <c r="K89" i="1" s="1"/>
  <c r="I91" i="1"/>
  <c r="K91" i="1" s="1"/>
  <c r="O91" i="1" s="1"/>
  <c r="G94" i="1"/>
  <c r="G96" i="1"/>
  <c r="I97" i="1"/>
  <c r="G98" i="1"/>
  <c r="I99" i="1"/>
  <c r="K99" i="1" s="1"/>
  <c r="O99" i="1" s="1"/>
  <c r="R99" i="1" s="1"/>
  <c r="G100" i="1"/>
  <c r="J108" i="1"/>
  <c r="I124" i="1"/>
  <c r="K124" i="1" s="1"/>
  <c r="Q126" i="1"/>
  <c r="I126" i="1"/>
  <c r="D127" i="1"/>
  <c r="M127" i="1" s="1"/>
  <c r="G128" i="1"/>
  <c r="E142" i="1"/>
  <c r="M23" i="3" l="1"/>
  <c r="D23" i="3"/>
  <c r="F23" i="3" s="1"/>
  <c r="E144" i="1"/>
  <c r="K40" i="1"/>
  <c r="V40" i="1" s="1"/>
  <c r="V49" i="1"/>
  <c r="U49" i="1"/>
  <c r="U40" i="1"/>
  <c r="V57" i="1"/>
  <c r="U57" i="1"/>
  <c r="V51" i="1"/>
  <c r="U51" i="1"/>
  <c r="O50" i="1"/>
  <c r="V50" i="1"/>
  <c r="U50" i="1"/>
  <c r="D12" i="3"/>
  <c r="F12" i="3" s="1"/>
  <c r="M12" i="3"/>
  <c r="U48" i="1"/>
  <c r="V48" i="1"/>
  <c r="M15" i="3"/>
  <c r="D15" i="3"/>
  <c r="F15" i="3" s="1"/>
  <c r="M16" i="3"/>
  <c r="D16" i="3"/>
  <c r="F16" i="3" s="1"/>
  <c r="V63" i="1"/>
  <c r="U63" i="1"/>
  <c r="D60" i="3" s="1"/>
  <c r="O47" i="1"/>
  <c r="R47" i="1" s="1"/>
  <c r="V47" i="1"/>
  <c r="U47" i="1"/>
  <c r="V74" i="1"/>
  <c r="U74" i="1"/>
  <c r="D53" i="3" s="1"/>
  <c r="O43" i="1"/>
  <c r="R43" i="1" s="1"/>
  <c r="V43" i="1"/>
  <c r="U43" i="1"/>
  <c r="O42" i="1"/>
  <c r="V42" i="1"/>
  <c r="U42" i="1"/>
  <c r="V44" i="1"/>
  <c r="U44" i="1"/>
  <c r="D19" i="3"/>
  <c r="F19" i="3" s="1"/>
  <c r="M19" i="3"/>
  <c r="V66" i="1"/>
  <c r="U66" i="1"/>
  <c r="V54" i="1"/>
  <c r="U54" i="1"/>
  <c r="V64" i="1"/>
  <c r="U64" i="1"/>
  <c r="D59" i="3" s="1"/>
  <c r="V65" i="1"/>
  <c r="B68" i="3" s="1"/>
  <c r="U65" i="1"/>
  <c r="O53" i="1"/>
  <c r="R53" i="1" s="1"/>
  <c r="V53" i="1"/>
  <c r="U53" i="1"/>
  <c r="O75" i="1"/>
  <c r="V75" i="1"/>
  <c r="U75" i="1"/>
  <c r="D54" i="3" s="1"/>
  <c r="B11" i="3"/>
  <c r="O55" i="1"/>
  <c r="R55" i="1" s="1"/>
  <c r="V55" i="1"/>
  <c r="U55" i="1"/>
  <c r="O46" i="1"/>
  <c r="R46" i="1" s="1"/>
  <c r="V46" i="1"/>
  <c r="U46" i="1"/>
  <c r="V69" i="1"/>
  <c r="U69" i="1"/>
  <c r="V52" i="1"/>
  <c r="U52" i="1"/>
  <c r="M30" i="3"/>
  <c r="D30" i="3"/>
  <c r="F30" i="3" s="1"/>
  <c r="O72" i="1"/>
  <c r="R72" i="1" s="1"/>
  <c r="V72" i="1"/>
  <c r="U72" i="1"/>
  <c r="D69" i="3" s="1"/>
  <c r="M14" i="3"/>
  <c r="D14" i="3"/>
  <c r="F14" i="3" s="1"/>
  <c r="M21" i="3"/>
  <c r="D21" i="3"/>
  <c r="F21" i="3" s="1"/>
  <c r="O67" i="1"/>
  <c r="R67" i="1" s="1"/>
  <c r="V67" i="1"/>
  <c r="U67" i="1"/>
  <c r="O61" i="1"/>
  <c r="R61" i="1" s="1"/>
  <c r="V61" i="1"/>
  <c r="U61" i="1"/>
  <c r="D49" i="3" s="1"/>
  <c r="O41" i="1"/>
  <c r="R41" i="1" s="1"/>
  <c r="V41" i="1"/>
  <c r="U41" i="1"/>
  <c r="V73" i="1"/>
  <c r="U73" i="1"/>
  <c r="D52" i="3" s="1"/>
  <c r="O59" i="1"/>
  <c r="R59" i="1" s="1"/>
  <c r="V59" i="1"/>
  <c r="U59" i="1"/>
  <c r="O45" i="1"/>
  <c r="R45" i="1" s="1"/>
  <c r="V45" i="1"/>
  <c r="U45" i="1"/>
  <c r="O58" i="1"/>
  <c r="R58" i="1" s="1"/>
  <c r="V58" i="1"/>
  <c r="U58" i="1"/>
  <c r="O60" i="1"/>
  <c r="R60" i="1" s="1"/>
  <c r="V60" i="1"/>
  <c r="U60" i="1"/>
  <c r="V71" i="1"/>
  <c r="U71" i="1"/>
  <c r="D71" i="3" s="1"/>
  <c r="M24" i="3"/>
  <c r="D24" i="3"/>
  <c r="V70" i="1"/>
  <c r="B79" i="3" s="1"/>
  <c r="U70" i="1"/>
  <c r="V56" i="1"/>
  <c r="U56" i="1"/>
  <c r="O18" i="1"/>
  <c r="R18" i="1" s="1"/>
  <c r="B13" i="3"/>
  <c r="V76" i="1"/>
  <c r="B36" i="3" s="1"/>
  <c r="D36" i="3" s="1"/>
  <c r="U76" i="1"/>
  <c r="V68" i="1"/>
  <c r="U68" i="1"/>
  <c r="D17" i="3"/>
  <c r="F17" i="3" s="1"/>
  <c r="M17" i="3"/>
  <c r="O84" i="1"/>
  <c r="O22" i="1"/>
  <c r="R22" i="1" s="1"/>
  <c r="O57" i="1"/>
  <c r="R57" i="1" s="1"/>
  <c r="O113" i="1"/>
  <c r="R113" i="1" s="1"/>
  <c r="O63" i="1"/>
  <c r="R63" i="1" s="1"/>
  <c r="R50" i="1"/>
  <c r="R30" i="1"/>
  <c r="O44" i="1"/>
  <c r="R44" i="1" s="1"/>
  <c r="O54" i="1"/>
  <c r="R54" i="1" s="1"/>
  <c r="O74" i="1"/>
  <c r="R74" i="1" s="1"/>
  <c r="O19" i="1"/>
  <c r="R19" i="1" s="1"/>
  <c r="O48" i="1"/>
  <c r="R48" i="1" s="1"/>
  <c r="R42" i="1"/>
  <c r="O17" i="1"/>
  <c r="R17" i="1" s="1"/>
  <c r="O66" i="1"/>
  <c r="O27" i="1"/>
  <c r="R27" i="1" s="1"/>
  <c r="Q21" i="1"/>
  <c r="O56" i="1"/>
  <c r="R56" i="1" s="1"/>
  <c r="O121" i="1"/>
  <c r="R121" i="1" s="1"/>
  <c r="O83" i="1"/>
  <c r="R83" i="1" s="1"/>
  <c r="K108" i="1"/>
  <c r="O108" i="1" s="1"/>
  <c r="R108" i="1" s="1"/>
  <c r="O90" i="1"/>
  <c r="R90" i="1" s="1"/>
  <c r="O80" i="1"/>
  <c r="R80" i="1" s="1"/>
  <c r="O65" i="1"/>
  <c r="R65" i="1" s="1"/>
  <c r="O29" i="1"/>
  <c r="R29" i="1" s="1"/>
  <c r="O52" i="1"/>
  <c r="R52" i="1" s="1"/>
  <c r="O76" i="1"/>
  <c r="R76" i="1" s="1"/>
  <c r="O68" i="1"/>
  <c r="R68" i="1" s="1"/>
  <c r="O20" i="1"/>
  <c r="R20" i="1" s="1"/>
  <c r="O79" i="1"/>
  <c r="R79" i="1" s="1"/>
  <c r="K24" i="1"/>
  <c r="O25" i="1"/>
  <c r="R25" i="1" s="1"/>
  <c r="O14" i="1"/>
  <c r="R14" i="1" s="1"/>
  <c r="O16" i="1"/>
  <c r="R16" i="1" s="1"/>
  <c r="O87" i="1"/>
  <c r="R87" i="1" s="1"/>
  <c r="O112" i="1"/>
  <c r="R112" i="1" s="1"/>
  <c r="O128" i="1"/>
  <c r="R128" i="1" s="1"/>
  <c r="J127" i="1"/>
  <c r="K127" i="1" s="1"/>
  <c r="O116" i="1"/>
  <c r="O111" i="1"/>
  <c r="R111" i="1" s="1"/>
  <c r="K81" i="1"/>
  <c r="O81" i="1" s="1"/>
  <c r="R81" i="1" s="1"/>
  <c r="O49" i="1"/>
  <c r="R49" i="1" s="1"/>
  <c r="R66" i="1"/>
  <c r="O109" i="1"/>
  <c r="R109" i="1" s="1"/>
  <c r="O77" i="1"/>
  <c r="R77" i="1" s="1"/>
  <c r="O28" i="1"/>
  <c r="R28" i="1" s="1"/>
  <c r="O51" i="1"/>
  <c r="R51" i="1" s="1"/>
  <c r="O31" i="1"/>
  <c r="R31" i="1" s="1"/>
  <c r="R26" i="1"/>
  <c r="Q13" i="1"/>
  <c r="O70" i="1"/>
  <c r="R70" i="1" s="1"/>
  <c r="O64" i="1"/>
  <c r="R64" i="1" s="1"/>
  <c r="G103" i="1"/>
  <c r="O124" i="1"/>
  <c r="R124" i="1" s="1"/>
  <c r="R84" i="1"/>
  <c r="O94" i="1"/>
  <c r="R94" i="1" s="1"/>
  <c r="O110" i="1"/>
  <c r="R110" i="1" s="1"/>
  <c r="O33" i="1"/>
  <c r="R33" i="1" s="1"/>
  <c r="Q23" i="1"/>
  <c r="K103" i="1"/>
  <c r="O40" i="1"/>
  <c r="R40" i="1" s="1"/>
  <c r="O114" i="1"/>
  <c r="R114" i="1" s="1"/>
  <c r="O115" i="1"/>
  <c r="R115" i="1" s="1"/>
  <c r="O89" i="1"/>
  <c r="R89" i="1" s="1"/>
  <c r="K82" i="1"/>
  <c r="O82" i="1" s="1"/>
  <c r="R82" i="1" s="1"/>
  <c r="O92" i="1"/>
  <c r="R92" i="1" s="1"/>
  <c r="O98" i="1"/>
  <c r="R98" i="1" s="1"/>
  <c r="K35" i="1"/>
  <c r="O12" i="1"/>
  <c r="R12" i="1" s="1"/>
  <c r="G35" i="1"/>
  <c r="O15" i="1"/>
  <c r="R15" i="1" s="1"/>
  <c r="O127" i="1"/>
  <c r="R127" i="1" s="1"/>
  <c r="O101" i="1"/>
  <c r="O73" i="1"/>
  <c r="R73" i="1" s="1"/>
  <c r="K126" i="1"/>
  <c r="O120" i="1"/>
  <c r="R120" i="1" s="1"/>
  <c r="O86" i="1"/>
  <c r="R86" i="1" s="1"/>
  <c r="Q127" i="1"/>
  <c r="K97" i="1"/>
  <c r="O97" i="1" s="1"/>
  <c r="R97" i="1" s="1"/>
  <c r="R95" i="1"/>
  <c r="O118" i="1"/>
  <c r="R118" i="1" s="1"/>
  <c r="O119" i="1"/>
  <c r="R119" i="1" s="1"/>
  <c r="R88" i="1"/>
  <c r="R100" i="1"/>
  <c r="R96" i="1"/>
  <c r="R91" i="1"/>
  <c r="O122" i="1"/>
  <c r="R122" i="1" s="1"/>
  <c r="R116" i="1"/>
  <c r="O123" i="1"/>
  <c r="R123" i="1" s="1"/>
  <c r="O117" i="1"/>
  <c r="R117" i="1" s="1"/>
  <c r="G130" i="1"/>
  <c r="O78" i="1"/>
  <c r="R78" i="1" s="1"/>
  <c r="K85" i="1"/>
  <c r="O85" i="1" s="1"/>
  <c r="R85" i="1" s="1"/>
  <c r="R75" i="1"/>
  <c r="O69" i="1"/>
  <c r="R69" i="1" s="1"/>
  <c r="O71" i="1"/>
  <c r="R71" i="1" s="1"/>
  <c r="D68" i="3" l="1"/>
  <c r="F68" i="3" s="1"/>
  <c r="M68" i="3"/>
  <c r="D79" i="3"/>
  <c r="F79" i="3" s="1"/>
  <c r="M79" i="3"/>
  <c r="M69" i="3"/>
  <c r="F69" i="3"/>
  <c r="D66" i="3"/>
  <c r="F78" i="3"/>
  <c r="M78" i="3"/>
  <c r="F71" i="3"/>
  <c r="M71" i="3"/>
  <c r="F49" i="3"/>
  <c r="M49" i="3"/>
  <c r="F54" i="3"/>
  <c r="M54" i="3"/>
  <c r="F59" i="3"/>
  <c r="M59" i="3"/>
  <c r="F53" i="3"/>
  <c r="M53" i="3"/>
  <c r="F36" i="3"/>
  <c r="M36" i="3"/>
  <c r="F52" i="3"/>
  <c r="M52" i="3"/>
  <c r="F60" i="3"/>
  <c r="M60" i="3"/>
  <c r="D13" i="3"/>
  <c r="F13" i="3" s="1"/>
  <c r="M13" i="3"/>
  <c r="M27" i="3"/>
  <c r="D27" i="3"/>
  <c r="F27" i="3" s="1"/>
  <c r="O24" i="1"/>
  <c r="R24" i="1" s="1"/>
  <c r="R35" i="1" s="1"/>
  <c r="B8" i="3"/>
  <c r="B31" i="3" s="1"/>
  <c r="M11" i="3"/>
  <c r="D11" i="3"/>
  <c r="F11" i="3" s="1"/>
  <c r="D47" i="3"/>
  <c r="D46" i="3"/>
  <c r="D45" i="3"/>
  <c r="M45" i="3" s="1"/>
  <c r="R103" i="1"/>
  <c r="K130" i="1"/>
  <c r="O126" i="1"/>
  <c r="R126" i="1" s="1"/>
  <c r="R130" i="1" s="1"/>
  <c r="G144" i="1"/>
  <c r="O103" i="1"/>
  <c r="M66" i="3" l="1"/>
  <c r="F66" i="3"/>
  <c r="F47" i="3"/>
  <c r="M47" i="3"/>
  <c r="F46" i="3"/>
  <c r="M46" i="3"/>
  <c r="F73" i="3"/>
  <c r="M73" i="3"/>
  <c r="B88" i="3"/>
  <c r="F45" i="3"/>
  <c r="D88" i="3"/>
  <c r="O35" i="1"/>
  <c r="M8" i="3"/>
  <c r="M32" i="3" s="1"/>
  <c r="B32" i="3"/>
  <c r="D8" i="3"/>
  <c r="O130" i="1"/>
  <c r="O133" i="1" s="1"/>
  <c r="O134" i="1" s="1"/>
  <c r="O136" i="1" s="1"/>
  <c r="Q3" i="1" s="1"/>
  <c r="B89" i="3" l="1"/>
  <c r="F8" i="3"/>
  <c r="D32" i="3"/>
  <c r="D89" i="3" s="1"/>
  <c r="B98" i="3" s="1"/>
  <c r="F88" i="3"/>
  <c r="M88" i="3"/>
  <c r="M89" i="3" s="1"/>
  <c r="F32" i="3" l="1"/>
  <c r="F89" i="3" s="1"/>
  <c r="B99" i="3" s="1"/>
  <c r="J85" i="3" l="1"/>
  <c r="L85" i="3" s="1"/>
  <c r="J86" i="3"/>
  <c r="L86" i="3" s="1"/>
  <c r="G86" i="3"/>
  <c r="H86" i="3" s="1"/>
  <c r="I86" i="3" s="1"/>
  <c r="G85" i="3"/>
  <c r="H85" i="3" s="1"/>
  <c r="I85" i="3" s="1"/>
  <c r="J81" i="3"/>
  <c r="L81" i="3" s="1"/>
  <c r="G81" i="3"/>
  <c r="H81" i="3" s="1"/>
  <c r="I81" i="3" s="1"/>
  <c r="J80" i="3"/>
  <c r="L80" i="3" s="1"/>
  <c r="G80" i="3"/>
  <c r="H80" i="3" s="1"/>
  <c r="I80" i="3" s="1"/>
  <c r="J83" i="3"/>
  <c r="G83" i="3"/>
  <c r="H83" i="3" s="1"/>
  <c r="I83" i="3" s="1"/>
  <c r="G84" i="3"/>
  <c r="H84" i="3" s="1"/>
  <c r="I84" i="3" s="1"/>
  <c r="J84" i="3"/>
  <c r="L84" i="3" s="1"/>
  <c r="J75" i="3"/>
  <c r="D74" i="6" s="1"/>
  <c r="E74" i="6" s="1"/>
  <c r="J76" i="3"/>
  <c r="L76" i="3" s="1"/>
  <c r="G76" i="3"/>
  <c r="H76" i="3" s="1"/>
  <c r="I76" i="3" s="1"/>
  <c r="G75" i="3"/>
  <c r="H75" i="3" s="1"/>
  <c r="I75" i="3" s="1"/>
  <c r="S50" i="3"/>
  <c r="S72" i="3"/>
  <c r="S58" i="3"/>
  <c r="S20" i="3"/>
  <c r="S57" i="3"/>
  <c r="S25" i="3"/>
  <c r="S51" i="3"/>
  <c r="S26" i="3"/>
  <c r="J70" i="3"/>
  <c r="S70" i="3" s="1"/>
  <c r="J67" i="3"/>
  <c r="S67" i="3" s="1"/>
  <c r="J73" i="3"/>
  <c r="J78" i="3"/>
  <c r="J74" i="3"/>
  <c r="S74" i="3" s="1"/>
  <c r="J63" i="3"/>
  <c r="S63" i="3" s="1"/>
  <c r="J55" i="3"/>
  <c r="S55" i="3" s="1"/>
  <c r="J62" i="3"/>
  <c r="S62" i="3" s="1"/>
  <c r="J61" i="3"/>
  <c r="S61" i="3" s="1"/>
  <c r="J56" i="3"/>
  <c r="S56" i="3" s="1"/>
  <c r="J48" i="3"/>
  <c r="J37" i="3"/>
  <c r="S37" i="3" s="1"/>
  <c r="J39" i="3"/>
  <c r="S39" i="3" s="1"/>
  <c r="J41" i="3"/>
  <c r="S41" i="3" s="1"/>
  <c r="J38" i="3"/>
  <c r="S38" i="3" s="1"/>
  <c r="J40" i="3"/>
  <c r="S40" i="3" s="1"/>
  <c r="J29" i="3"/>
  <c r="J28" i="3"/>
  <c r="J24" i="3"/>
  <c r="J22" i="3"/>
  <c r="J18" i="3"/>
  <c r="G8" i="3"/>
  <c r="G11" i="3"/>
  <c r="H11" i="3" s="1"/>
  <c r="I11" i="3" s="1"/>
  <c r="G69" i="3"/>
  <c r="H69" i="3" s="1"/>
  <c r="I69" i="3" s="1"/>
  <c r="G67" i="3"/>
  <c r="H67" i="3" s="1"/>
  <c r="I67" i="3" s="1"/>
  <c r="G23" i="3"/>
  <c r="H23" i="3" s="1"/>
  <c r="I23" i="3" s="1"/>
  <c r="G74" i="3"/>
  <c r="H74" i="3" s="1"/>
  <c r="I74" i="3" s="1"/>
  <c r="G79" i="3"/>
  <c r="H79" i="3" s="1"/>
  <c r="I79" i="3" s="1"/>
  <c r="J79" i="3" s="1"/>
  <c r="S79" i="3" s="1"/>
  <c r="G70" i="3"/>
  <c r="H70" i="3" s="1"/>
  <c r="I70" i="3" s="1"/>
  <c r="G66" i="3"/>
  <c r="H66" i="3" s="1"/>
  <c r="I66" i="3" s="1"/>
  <c r="G68" i="3"/>
  <c r="H68" i="3" s="1"/>
  <c r="I68" i="3" s="1"/>
  <c r="J68" i="3" s="1"/>
  <c r="G78" i="3"/>
  <c r="H78" i="3" s="1"/>
  <c r="I78" i="3" s="1"/>
  <c r="G16" i="3"/>
  <c r="H16" i="3" s="1"/>
  <c r="I16" i="3" s="1"/>
  <c r="G52" i="3"/>
  <c r="H52" i="3" s="1"/>
  <c r="I52" i="3" s="1"/>
  <c r="G21" i="3"/>
  <c r="H21" i="3" s="1"/>
  <c r="I21" i="3" s="1"/>
  <c r="G12" i="3"/>
  <c r="H12" i="3" s="1"/>
  <c r="I12" i="3" s="1"/>
  <c r="G17" i="3"/>
  <c r="H17" i="3" s="1"/>
  <c r="I17" i="3" s="1"/>
  <c r="G15" i="3"/>
  <c r="H15" i="3" s="1"/>
  <c r="I15" i="3" s="1"/>
  <c r="G14" i="3"/>
  <c r="H14" i="3" s="1"/>
  <c r="I14" i="3" s="1"/>
  <c r="G19" i="3"/>
  <c r="H19" i="3" s="1"/>
  <c r="I19" i="3" s="1"/>
  <c r="G54" i="3"/>
  <c r="H54" i="3" s="1"/>
  <c r="I54" i="3" s="1"/>
  <c r="G60" i="3"/>
  <c r="H60" i="3" s="1"/>
  <c r="I60" i="3" s="1"/>
  <c r="G59" i="3"/>
  <c r="H59" i="3" s="1"/>
  <c r="I59" i="3" s="1"/>
  <c r="G30" i="3"/>
  <c r="H30" i="3" s="1"/>
  <c r="I30" i="3" s="1"/>
  <c r="G36" i="3"/>
  <c r="H36" i="3" s="1"/>
  <c r="I36" i="3" s="1"/>
  <c r="G71" i="3"/>
  <c r="H71" i="3" s="1"/>
  <c r="I71" i="3" s="1"/>
  <c r="G49" i="3"/>
  <c r="H49" i="3" s="1"/>
  <c r="I49" i="3" s="1"/>
  <c r="G53" i="3"/>
  <c r="H53" i="3" s="1"/>
  <c r="I53" i="3" s="1"/>
  <c r="G73" i="3"/>
  <c r="H73" i="3" s="1"/>
  <c r="I73" i="3" s="1"/>
  <c r="G27" i="3"/>
  <c r="H27" i="3" s="1"/>
  <c r="I27" i="3" s="1"/>
  <c r="G13" i="3"/>
  <c r="H13" i="3" s="1"/>
  <c r="I13" i="3" s="1"/>
  <c r="G46" i="3"/>
  <c r="H46" i="3" s="1"/>
  <c r="I46" i="3" s="1"/>
  <c r="G47" i="3"/>
  <c r="H47" i="3" s="1"/>
  <c r="I47" i="3" s="1"/>
  <c r="G45" i="3"/>
  <c r="S86" i="3" l="1"/>
  <c r="S85" i="3"/>
  <c r="S18" i="3"/>
  <c r="D17" i="6"/>
  <c r="E17" i="6" s="1"/>
  <c r="L83" i="3"/>
  <c r="P83" i="3" s="1"/>
  <c r="D80" i="6"/>
  <c r="L28" i="3"/>
  <c r="D27" i="6"/>
  <c r="E27" i="6" s="1"/>
  <c r="S22" i="3"/>
  <c r="D21" i="6"/>
  <c r="E21" i="6" s="1"/>
  <c r="S78" i="3"/>
  <c r="D76" i="6"/>
  <c r="S29" i="3"/>
  <c r="D28" i="6"/>
  <c r="E28" i="6" s="1"/>
  <c r="S68" i="3"/>
  <c r="D67" i="6"/>
  <c r="E67" i="6" s="1"/>
  <c r="S24" i="3"/>
  <c r="D23" i="6"/>
  <c r="E23" i="6" s="1"/>
  <c r="S48" i="3"/>
  <c r="D47" i="6"/>
  <c r="S73" i="3"/>
  <c r="D72" i="6"/>
  <c r="S81" i="3"/>
  <c r="S80" i="3"/>
  <c r="N86" i="3"/>
  <c r="P86" i="3"/>
  <c r="P85" i="3"/>
  <c r="N85" i="3"/>
  <c r="N80" i="3"/>
  <c r="P80" i="3"/>
  <c r="N81" i="3"/>
  <c r="P81" i="3"/>
  <c r="S84" i="3"/>
  <c r="L75" i="3"/>
  <c r="P75" i="3" s="1"/>
  <c r="P84" i="3"/>
  <c r="N84" i="3"/>
  <c r="S83" i="3"/>
  <c r="S75" i="3"/>
  <c r="S76" i="3"/>
  <c r="N76" i="3"/>
  <c r="P76" i="3"/>
  <c r="H8" i="3"/>
  <c r="I8" i="3" s="1"/>
  <c r="J8" i="3" s="1"/>
  <c r="D7" i="6" s="1"/>
  <c r="E7" i="6" s="1"/>
  <c r="S28" i="3"/>
  <c r="J27" i="3"/>
  <c r="D26" i="6" s="1"/>
  <c r="E26" i="6" s="1"/>
  <c r="J60" i="3"/>
  <c r="J13" i="3"/>
  <c r="D12" i="6" s="1"/>
  <c r="E12" i="6" s="1"/>
  <c r="J49" i="3"/>
  <c r="D48" i="6" s="1"/>
  <c r="J59" i="3"/>
  <c r="J14" i="3"/>
  <c r="D13" i="6" s="1"/>
  <c r="E13" i="6" s="1"/>
  <c r="J12" i="3"/>
  <c r="D11" i="6" s="1"/>
  <c r="E11" i="6" s="1"/>
  <c r="J23" i="3"/>
  <c r="D22" i="6" s="1"/>
  <c r="E22" i="6" s="1"/>
  <c r="J15" i="3"/>
  <c r="D14" i="6" s="1"/>
  <c r="E14" i="6" s="1"/>
  <c r="J69" i="3"/>
  <c r="J52" i="3"/>
  <c r="J66" i="3"/>
  <c r="D65" i="6" s="1"/>
  <c r="J11" i="3"/>
  <c r="D10" i="6" s="1"/>
  <c r="E10" i="6" s="1"/>
  <c r="J71" i="3"/>
  <c r="J21" i="3"/>
  <c r="D20" i="6" s="1"/>
  <c r="E20" i="6" s="1"/>
  <c r="J47" i="3"/>
  <c r="D46" i="6" s="1"/>
  <c r="J36" i="3"/>
  <c r="D32" i="6" s="1"/>
  <c r="J54" i="3"/>
  <c r="J46" i="3"/>
  <c r="D45" i="6" s="1"/>
  <c r="J53" i="3"/>
  <c r="J30" i="3"/>
  <c r="D29" i="6" s="1"/>
  <c r="E29" i="6" s="1"/>
  <c r="J19" i="3"/>
  <c r="D18" i="6" s="1"/>
  <c r="E18" i="6" s="1"/>
  <c r="J17" i="3"/>
  <c r="D16" i="6" s="1"/>
  <c r="E16" i="6" s="1"/>
  <c r="J16" i="3"/>
  <c r="D15" i="6" s="1"/>
  <c r="E15" i="6" s="1"/>
  <c r="H45" i="3"/>
  <c r="G88" i="3"/>
  <c r="G32" i="3"/>
  <c r="N83" i="3" l="1"/>
  <c r="Q83" i="3" s="1"/>
  <c r="D73" i="6"/>
  <c r="E72" i="6"/>
  <c r="D81" i="6"/>
  <c r="E81" i="6" s="1"/>
  <c r="D83" i="6"/>
  <c r="E83" i="6" s="1"/>
  <c r="D82" i="6"/>
  <c r="E82" i="6" s="1"/>
  <c r="E80" i="6"/>
  <c r="E46" i="6"/>
  <c r="D53" i="6"/>
  <c r="E48" i="6"/>
  <c r="D55" i="6"/>
  <c r="D70" i="6"/>
  <c r="E70" i="6" s="1"/>
  <c r="D68" i="6"/>
  <c r="E68" i="6" s="1"/>
  <c r="D66" i="6"/>
  <c r="E66" i="6" s="1"/>
  <c r="D69" i="6"/>
  <c r="E69" i="6" s="1"/>
  <c r="E65" i="6"/>
  <c r="D52" i="6"/>
  <c r="E45" i="6"/>
  <c r="D54" i="6"/>
  <c r="E47" i="6"/>
  <c r="E76" i="6"/>
  <c r="D79" i="6"/>
  <c r="E79" i="6" s="1"/>
  <c r="D78" i="6"/>
  <c r="E78" i="6" s="1"/>
  <c r="D77" i="6"/>
  <c r="E77" i="6" s="1"/>
  <c r="D33" i="6"/>
  <c r="E32" i="6"/>
  <c r="N75" i="3"/>
  <c r="Q75" i="3" s="1"/>
  <c r="Q86" i="3"/>
  <c r="O86" i="3"/>
  <c r="O85" i="3"/>
  <c r="Q85" i="3"/>
  <c r="Q81" i="3"/>
  <c r="O81" i="3"/>
  <c r="O80" i="3"/>
  <c r="Q80" i="3"/>
  <c r="O83" i="3"/>
  <c r="O84" i="3"/>
  <c r="Q84" i="3"/>
  <c r="Q76" i="3"/>
  <c r="O76" i="3"/>
  <c r="L8" i="3"/>
  <c r="S8" i="3"/>
  <c r="H32" i="3"/>
  <c r="S52" i="3"/>
  <c r="S15" i="3"/>
  <c r="S23" i="3"/>
  <c r="S12" i="3"/>
  <c r="S13" i="3"/>
  <c r="S27" i="3"/>
  <c r="S36" i="3"/>
  <c r="S46" i="3"/>
  <c r="S21" i="3"/>
  <c r="S19" i="3"/>
  <c r="S69" i="3"/>
  <c r="S14" i="3"/>
  <c r="S47" i="3"/>
  <c r="S59" i="3"/>
  <c r="S17" i="3"/>
  <c r="S71" i="3"/>
  <c r="S30" i="3"/>
  <c r="S11" i="3"/>
  <c r="S16" i="3"/>
  <c r="S53" i="3"/>
  <c r="S54" i="3"/>
  <c r="S66" i="3"/>
  <c r="S49" i="3"/>
  <c r="S60" i="3"/>
  <c r="L22" i="3"/>
  <c r="L39" i="3"/>
  <c r="L17" i="3"/>
  <c r="L30" i="3"/>
  <c r="L46" i="3"/>
  <c r="L24" i="3"/>
  <c r="L36" i="3"/>
  <c r="L47" i="3"/>
  <c r="L21" i="3"/>
  <c r="L11" i="3"/>
  <c r="L74" i="3"/>
  <c r="L52" i="3"/>
  <c r="L69" i="3"/>
  <c r="L38" i="3"/>
  <c r="L63" i="3"/>
  <c r="L62" i="3"/>
  <c r="L79" i="3"/>
  <c r="L78" i="3"/>
  <c r="L14" i="3"/>
  <c r="L49" i="3"/>
  <c r="L18" i="3"/>
  <c r="L60" i="3"/>
  <c r="L41" i="3"/>
  <c r="L67" i="3"/>
  <c r="L70" i="3"/>
  <c r="L16" i="3"/>
  <c r="L19" i="3"/>
  <c r="L53" i="3"/>
  <c r="L68" i="3"/>
  <c r="L54" i="3"/>
  <c r="L73" i="3"/>
  <c r="L29" i="3"/>
  <c r="L71" i="3"/>
  <c r="L48" i="3"/>
  <c r="L55" i="3"/>
  <c r="L66" i="3"/>
  <c r="L37" i="3"/>
  <c r="L15" i="3"/>
  <c r="L61" i="3"/>
  <c r="L23" i="3"/>
  <c r="L40" i="3"/>
  <c r="L12" i="3"/>
  <c r="L59" i="3"/>
  <c r="L13" i="3"/>
  <c r="L56" i="3"/>
  <c r="L27" i="3"/>
  <c r="I32" i="3"/>
  <c r="G89" i="3"/>
  <c r="I45" i="3"/>
  <c r="J45" i="3" s="1"/>
  <c r="D44" i="6" s="1"/>
  <c r="H88" i="3"/>
  <c r="O75" i="3" l="1"/>
  <c r="E33" i="6"/>
  <c r="D34" i="6"/>
  <c r="D59" i="6"/>
  <c r="E59" i="6" s="1"/>
  <c r="E52" i="6"/>
  <c r="D60" i="6"/>
  <c r="E60" i="6" s="1"/>
  <c r="E53" i="6"/>
  <c r="E44" i="6"/>
  <c r="D51" i="6"/>
  <c r="D61" i="6"/>
  <c r="E61" i="6" s="1"/>
  <c r="E54" i="6"/>
  <c r="D62" i="6"/>
  <c r="E62" i="6" s="1"/>
  <c r="E55" i="6"/>
  <c r="D75" i="6"/>
  <c r="E75" i="6" s="1"/>
  <c r="E73" i="6"/>
  <c r="H89" i="3"/>
  <c r="P68" i="3"/>
  <c r="N68" i="3"/>
  <c r="P79" i="3"/>
  <c r="N79" i="3"/>
  <c r="O79" i="3" s="1"/>
  <c r="S45" i="3"/>
  <c r="P40" i="3"/>
  <c r="N40" i="3"/>
  <c r="N54" i="3"/>
  <c r="P54" i="3"/>
  <c r="N38" i="3"/>
  <c r="P38" i="3"/>
  <c r="N13" i="3"/>
  <c r="P13" i="3"/>
  <c r="P23" i="3"/>
  <c r="N23" i="3"/>
  <c r="N37" i="3"/>
  <c r="P37" i="3"/>
  <c r="N71" i="3"/>
  <c r="P71" i="3"/>
  <c r="P70" i="3"/>
  <c r="N70" i="3"/>
  <c r="P18" i="3"/>
  <c r="N18" i="3"/>
  <c r="P69" i="3"/>
  <c r="N69" i="3"/>
  <c r="P11" i="3"/>
  <c r="N11" i="3"/>
  <c r="P24" i="3"/>
  <c r="N24" i="3"/>
  <c r="P56" i="3"/>
  <c r="N56" i="3"/>
  <c r="N48" i="3"/>
  <c r="P48" i="3"/>
  <c r="P16" i="3"/>
  <c r="N16" i="3"/>
  <c r="N60" i="3"/>
  <c r="P60" i="3"/>
  <c r="P78" i="3"/>
  <c r="N78" i="3"/>
  <c r="P28" i="3"/>
  <c r="N28" i="3"/>
  <c r="P36" i="3"/>
  <c r="N36" i="3"/>
  <c r="N17" i="3"/>
  <c r="P17" i="3"/>
  <c r="P59" i="3"/>
  <c r="N59" i="3"/>
  <c r="N61" i="3"/>
  <c r="P61" i="3"/>
  <c r="N66" i="3"/>
  <c r="P66" i="3"/>
  <c r="N29" i="3"/>
  <c r="P29" i="3"/>
  <c r="P53" i="3"/>
  <c r="N53" i="3"/>
  <c r="N67" i="3"/>
  <c r="P67" i="3"/>
  <c r="N49" i="3"/>
  <c r="P49" i="3"/>
  <c r="P62" i="3"/>
  <c r="N62" i="3"/>
  <c r="P52" i="3"/>
  <c r="N52" i="3"/>
  <c r="N21" i="3"/>
  <c r="P21" i="3"/>
  <c r="P46" i="3"/>
  <c r="N46" i="3"/>
  <c r="N39" i="3"/>
  <c r="P39" i="3"/>
  <c r="P27" i="3"/>
  <c r="N27" i="3"/>
  <c r="N12" i="3"/>
  <c r="P12" i="3"/>
  <c r="N15" i="3"/>
  <c r="P15" i="3"/>
  <c r="N55" i="3"/>
  <c r="P55" i="3"/>
  <c r="P73" i="3"/>
  <c r="N73" i="3"/>
  <c r="N19" i="3"/>
  <c r="P19" i="3"/>
  <c r="P41" i="3"/>
  <c r="N41" i="3"/>
  <c r="P14" i="3"/>
  <c r="N14" i="3"/>
  <c r="P63" i="3"/>
  <c r="N63" i="3"/>
  <c r="P74" i="3"/>
  <c r="N74" i="3"/>
  <c r="P47" i="3"/>
  <c r="N47" i="3"/>
  <c r="N30" i="3"/>
  <c r="P30" i="3"/>
  <c r="N22" i="3"/>
  <c r="P22" i="3"/>
  <c r="L45" i="3"/>
  <c r="I88" i="3"/>
  <c r="I89" i="3" s="1"/>
  <c r="I90" i="3" s="1"/>
  <c r="P8" i="3"/>
  <c r="N8" i="3"/>
  <c r="O8" i="3" s="1"/>
  <c r="D58" i="6" l="1"/>
  <c r="E58" i="6" s="1"/>
  <c r="E51" i="6"/>
  <c r="D35" i="6"/>
  <c r="E34" i="6"/>
  <c r="O74" i="3"/>
  <c r="Q74" i="3"/>
  <c r="O62" i="3"/>
  <c r="Q62" i="3"/>
  <c r="Q28" i="3"/>
  <c r="O28" i="3"/>
  <c r="O56" i="3"/>
  <c r="Q56" i="3"/>
  <c r="O24" i="3"/>
  <c r="Q24" i="3"/>
  <c r="O69" i="3"/>
  <c r="Q69" i="3"/>
  <c r="Q18" i="3"/>
  <c r="O18" i="3"/>
  <c r="N45" i="3"/>
  <c r="P45" i="3"/>
  <c r="P88" i="3" s="1"/>
  <c r="Q55" i="3"/>
  <c r="O55" i="3"/>
  <c r="Q39" i="3"/>
  <c r="O39" i="3"/>
  <c r="O21" i="3"/>
  <c r="Q21" i="3"/>
  <c r="O67" i="3"/>
  <c r="Q67" i="3"/>
  <c r="Q29" i="3"/>
  <c r="O29" i="3"/>
  <c r="Q61" i="3"/>
  <c r="O61" i="3"/>
  <c r="O17" i="3"/>
  <c r="Q17" i="3"/>
  <c r="O60" i="3"/>
  <c r="Q60" i="3"/>
  <c r="Q48" i="3"/>
  <c r="O48" i="3"/>
  <c r="O68" i="3"/>
  <c r="Q68" i="3"/>
  <c r="O37" i="3"/>
  <c r="Q37" i="3"/>
  <c r="Q13" i="3"/>
  <c r="O13" i="3"/>
  <c r="O54" i="3"/>
  <c r="Q54" i="3"/>
  <c r="Q30" i="3"/>
  <c r="O30" i="3"/>
  <c r="O27" i="3"/>
  <c r="Q27" i="3"/>
  <c r="O59" i="3"/>
  <c r="Q59" i="3"/>
  <c r="O16" i="3"/>
  <c r="Q16" i="3"/>
  <c r="O11" i="3"/>
  <c r="Q11" i="3"/>
  <c r="O70" i="3"/>
  <c r="Q70" i="3"/>
  <c r="O23" i="3"/>
  <c r="Q23" i="3"/>
  <c r="Q40" i="3"/>
  <c r="O40" i="3"/>
  <c r="O14" i="3"/>
  <c r="Q14" i="3"/>
  <c r="O19" i="3"/>
  <c r="Q19" i="3"/>
  <c r="Q12" i="3"/>
  <c r="O12" i="3"/>
  <c r="Q47" i="3"/>
  <c r="O47" i="3"/>
  <c r="Q63" i="3"/>
  <c r="O63" i="3"/>
  <c r="Q41" i="3"/>
  <c r="O41" i="3"/>
  <c r="Q73" i="3"/>
  <c r="O73" i="3"/>
  <c r="O46" i="3"/>
  <c r="Q46" i="3"/>
  <c r="O52" i="3"/>
  <c r="Q52" i="3"/>
  <c r="O53" i="3"/>
  <c r="Q53" i="3"/>
  <c r="Q36" i="3"/>
  <c r="O36" i="3"/>
  <c r="O78" i="3"/>
  <c r="Q78" i="3"/>
  <c r="P32" i="3"/>
  <c r="O22" i="3"/>
  <c r="Q22" i="3"/>
  <c r="Q15" i="3"/>
  <c r="O15" i="3"/>
  <c r="O49" i="3"/>
  <c r="Q49" i="3"/>
  <c r="O66" i="3"/>
  <c r="Q66" i="3"/>
  <c r="Q79" i="3"/>
  <c r="O71" i="3"/>
  <c r="Q71" i="3"/>
  <c r="O38" i="3"/>
  <c r="Q38" i="3"/>
  <c r="Q8" i="3"/>
  <c r="N32" i="3"/>
  <c r="E35" i="6" l="1"/>
  <c r="D36" i="6"/>
  <c r="O32" i="3"/>
  <c r="E95" i="3" s="1"/>
  <c r="F95" i="3" s="1"/>
  <c r="Q32" i="3"/>
  <c r="P89" i="3"/>
  <c r="O45" i="3"/>
  <c r="O88" i="3" s="1"/>
  <c r="Q45" i="3"/>
  <c r="Q88" i="3" s="1"/>
  <c r="N88" i="3"/>
  <c r="N89" i="3" s="1"/>
  <c r="O89" i="3" l="1"/>
  <c r="O90" i="3" s="1"/>
  <c r="D37" i="6"/>
  <c r="E37" i="6" s="1"/>
  <c r="E36" i="6"/>
  <c r="Q89" i="3"/>
  <c r="E96" i="3"/>
  <c r="C71" i="5" l="1"/>
  <c r="C72" i="5" s="1"/>
  <c r="E97" i="3"/>
  <c r="F96" i="3"/>
</calcChain>
</file>

<file path=xl/comments1.xml><?xml version="1.0" encoding="utf-8"?>
<comments xmlns="http://schemas.openxmlformats.org/spreadsheetml/2006/main">
  <authors>
    <author>Heather Garland</author>
  </authors>
  <commentList>
    <comment ref="B93" authorId="0">
      <text>
        <r>
          <rPr>
            <b/>
            <sz val="9"/>
            <color indexed="81"/>
            <rFont val="Tahoma"/>
            <family val="2"/>
          </rPr>
          <t>Heather Garland:</t>
        </r>
        <r>
          <rPr>
            <sz val="9"/>
            <color indexed="81"/>
            <rFont val="Tahoma"/>
            <family val="2"/>
          </rPr>
          <t xml:space="preserve">
Carson fish hatchery and Wind River Forest Service.</t>
        </r>
      </text>
    </comment>
  </commentList>
</comments>
</file>

<file path=xl/comments2.xml><?xml version="1.0" encoding="utf-8"?>
<comments xmlns="http://schemas.openxmlformats.org/spreadsheetml/2006/main">
  <authors>
    <author>Ben Thompson</author>
  </authors>
  <commentList>
    <comment ref="G8" authorId="0">
      <text>
        <r>
          <rPr>
            <b/>
            <sz val="9"/>
            <color indexed="81"/>
            <rFont val="Tahoma"/>
            <family val="2"/>
          </rPr>
          <t>Ben Thompson:</t>
        </r>
        <r>
          <rPr>
            <sz val="9"/>
            <color indexed="81"/>
            <rFont val="Tahoma"/>
            <family val="2"/>
          </rPr>
          <t xml:space="preserve">
1/17/2018 5:09:06 PM
Price increased to $71.16.</t>
        </r>
      </text>
    </comment>
  </commentList>
</comments>
</file>

<file path=xl/sharedStrings.xml><?xml version="1.0" encoding="utf-8"?>
<sst xmlns="http://schemas.openxmlformats.org/spreadsheetml/2006/main" count="667" uniqueCount="456">
  <si>
    <t>Columbia River Disposal, Inc. G-48</t>
  </si>
  <si>
    <t>Regulated Price Out</t>
  </si>
  <si>
    <t>January 1, 2017 - December 31, 2017</t>
  </si>
  <si>
    <t>LG Check</t>
  </si>
  <si>
    <t>Jan 17 - April 17</t>
  </si>
  <si>
    <t>May 17 - Dec 17</t>
  </si>
  <si>
    <t>Total</t>
  </si>
  <si>
    <t>Avg Cust</t>
  </si>
  <si>
    <t>Packer &amp; Roll-off</t>
  </si>
  <si>
    <t>Annual Rev Increase</t>
  </si>
  <si>
    <t>Proposed</t>
  </si>
  <si>
    <t>Service Code</t>
  </si>
  <si>
    <t>Service Code Description</t>
  </si>
  <si>
    <t>Tariff Rate</t>
  </si>
  <si>
    <t>Revenue</t>
  </si>
  <si>
    <t>Customers</t>
  </si>
  <si>
    <t>Per Month</t>
  </si>
  <si>
    <t>Annual Revenue</t>
  </si>
  <si>
    <t>Plug to Match LG</t>
  </si>
  <si>
    <t>RESIDENTIAL SERVICES</t>
  </si>
  <si>
    <t>RESIDENTIAL GARBAGE</t>
  </si>
  <si>
    <t>20R1W1</t>
  </si>
  <si>
    <t>1-20GAL CAN WEEKLY</t>
  </si>
  <si>
    <t>32R1W1</t>
  </si>
  <si>
    <t>1-32GAL CAN WEEKLY</t>
  </si>
  <si>
    <t>32R1W2</t>
  </si>
  <si>
    <t>2-32GAL CANS WEEKLY</t>
  </si>
  <si>
    <t>32R1W3</t>
  </si>
  <si>
    <t>3-32GAL CANS WEEKLY</t>
  </si>
  <si>
    <t>32R1W4</t>
  </si>
  <si>
    <t>4-32GAL CANS WEEKLY</t>
  </si>
  <si>
    <t>32R1W6</t>
  </si>
  <si>
    <t>6-32 GAL CANS WKLY</t>
  </si>
  <si>
    <t>32R1E1</t>
  </si>
  <si>
    <t>1-32GAL CAN EOW</t>
  </si>
  <si>
    <t>32R1M1</t>
  </si>
  <si>
    <t>1-32GAL CAN MONTHLY</t>
  </si>
  <si>
    <t>45R1W1</t>
  </si>
  <si>
    <t>1-45 GAL CAN WKLY</t>
  </si>
  <si>
    <t>60R1W1</t>
  </si>
  <si>
    <t>1-60GAL CART WEEKLY</t>
  </si>
  <si>
    <t>32R1OC</t>
  </si>
  <si>
    <t>1-32GAL CAN ON CALL</t>
  </si>
  <si>
    <t>EXTRA-RES</t>
  </si>
  <si>
    <t>EXTRA CAN, BAG, BOX - RES</t>
  </si>
  <si>
    <t>OW-RES</t>
  </si>
  <si>
    <t>OVERFILL / OVERWEIGHT CAN</t>
  </si>
  <si>
    <t>OS - RES</t>
  </si>
  <si>
    <t>OVERSIZE CAN - RES</t>
  </si>
  <si>
    <t>RTRIP</t>
  </si>
  <si>
    <t>SPECIAL OFF RTE TRIP FEE</t>
  </si>
  <si>
    <t>BULKY - RES</t>
  </si>
  <si>
    <t>BULKY ITEM PICK UP - RES</t>
  </si>
  <si>
    <t>WI-RES</t>
  </si>
  <si>
    <t>WALK IN/CARRYOUT 5-25FT</t>
  </si>
  <si>
    <t>WI2-RES</t>
  </si>
  <si>
    <t>CARRYOUT OVER 25FT</t>
  </si>
  <si>
    <t>DRIVEIN2-RES</t>
  </si>
  <si>
    <t>DRIVE IN 125FT-150FT - RES</t>
  </si>
  <si>
    <t>DRIVEIN2WK-RES</t>
  </si>
  <si>
    <t>DRIVE IN 125FT-150FT</t>
  </si>
  <si>
    <t>DRIVEIN-RES</t>
  </si>
  <si>
    <t>DRIVE IN - RES</t>
  </si>
  <si>
    <t>ADJ - RES</t>
  </si>
  <si>
    <t>ADJUSTMENT SERVICE - RES</t>
  </si>
  <si>
    <t>TOTAL RESIDENTIAL GARBAGE</t>
  </si>
  <si>
    <t>COMMERCIAL SERVICES</t>
  </si>
  <si>
    <t>COMMERCIAL GARBAGE</t>
  </si>
  <si>
    <t>P1YC1W1</t>
  </si>
  <si>
    <t>1-1YD CONT 1 X WEEKLY</t>
  </si>
  <si>
    <t>P1YC2W1</t>
  </si>
  <si>
    <t>1-1YD CONT 2X WKLY</t>
  </si>
  <si>
    <t>P1YC1W2</t>
  </si>
  <si>
    <t>2-1YD CONT. 1 X WEEKLY</t>
  </si>
  <si>
    <t>P1YCE1</t>
  </si>
  <si>
    <t>1-1YD CONT EOW</t>
  </si>
  <si>
    <t>P1.5YC1W1</t>
  </si>
  <si>
    <t>1-1.5YD CONT 1 X WEEKLY</t>
  </si>
  <si>
    <t>P1.5YC1W2</t>
  </si>
  <si>
    <t>2-1.5YD CONT 1 X WEEKLY</t>
  </si>
  <si>
    <t>P1.5YC2W1</t>
  </si>
  <si>
    <t>1-1.5YD CONT 2 X WEEKLY</t>
  </si>
  <si>
    <t>P1.5YC3W1</t>
  </si>
  <si>
    <t>1-1.5YD CONT 3 X WEEKLY</t>
  </si>
  <si>
    <t>P1.5YCE1</t>
  </si>
  <si>
    <t>1-1.5YD CONT EOW</t>
  </si>
  <si>
    <t>P2YC1W1</t>
  </si>
  <si>
    <t>1-2YD CONT 1 X WEEKLY</t>
  </si>
  <si>
    <t>P2YC1W2</t>
  </si>
  <si>
    <t>2-2YD CONT. 1 X WEEKLY</t>
  </si>
  <si>
    <t>P2YC1W3</t>
  </si>
  <si>
    <t>3-2YD CONT. 1 X WEEKLY</t>
  </si>
  <si>
    <t>P2YC1W4</t>
  </si>
  <si>
    <t>4-2YD CONT 1X WKLY</t>
  </si>
  <si>
    <t>P2YC1W7</t>
  </si>
  <si>
    <t>7-2YD CONT 1X WKLY</t>
  </si>
  <si>
    <t>P2YC2W1</t>
  </si>
  <si>
    <t>1-2YD CONT 2  X WEEKLY</t>
  </si>
  <si>
    <t>P2YC2W2</t>
  </si>
  <si>
    <t>2-2YD CONT 2X WKLY</t>
  </si>
  <si>
    <t>P2YC2W7</t>
  </si>
  <si>
    <t>7-2YD CONT 2X WKLY</t>
  </si>
  <si>
    <t>P2YC3W1</t>
  </si>
  <si>
    <t>1-2YD CONT. 3 X WEEKLY</t>
  </si>
  <si>
    <t>P2YC3W2</t>
  </si>
  <si>
    <t>2-2YD CONT. 3 X WEEKLY</t>
  </si>
  <si>
    <t>P2YC4W1</t>
  </si>
  <si>
    <t>1-2YD CONT. 4 X WEEKLY</t>
  </si>
  <si>
    <t>P2YCE1</t>
  </si>
  <si>
    <t>1-2YD CONT EOW</t>
  </si>
  <si>
    <t>P4YC1W1</t>
  </si>
  <si>
    <t>1-4YD CONT. 1 X WEEKLY</t>
  </si>
  <si>
    <t>P4YCE1</t>
  </si>
  <si>
    <t>1-4YD CONT. EOW</t>
  </si>
  <si>
    <t>R1.5TC-COM</t>
  </si>
  <si>
    <t>1.5 YD TEMP CONT PICKUP</t>
  </si>
  <si>
    <t>R1TC-COM</t>
  </si>
  <si>
    <t>1 YD TEMP CONT PICKUP</t>
  </si>
  <si>
    <t>32C1W1</t>
  </si>
  <si>
    <t>1-32GAL COMM 1 X WEEKLY</t>
  </si>
  <si>
    <t>32C1W2</t>
  </si>
  <si>
    <t>32C1W3</t>
  </si>
  <si>
    <t>32C1W4</t>
  </si>
  <si>
    <t>4-32GAL CANS 1 X WEEKLY</t>
  </si>
  <si>
    <t>32C1E1</t>
  </si>
  <si>
    <t>45C1W1</t>
  </si>
  <si>
    <t>45 GL 1X WK 1 COM</t>
  </si>
  <si>
    <t>EXTRA-COMM</t>
  </si>
  <si>
    <t>EXTRA CAN, BAG, BOX - COM</t>
  </si>
  <si>
    <t>32C1OC</t>
  </si>
  <si>
    <t>1YCOC1</t>
  </si>
  <si>
    <t>1-1YD CONTAINER ON CALL</t>
  </si>
  <si>
    <t>1.5YCOC1</t>
  </si>
  <si>
    <t>1-1.5 CONTAINER ON CALL</t>
  </si>
  <si>
    <t>2YCOC1</t>
  </si>
  <si>
    <t>1-2YD CONTAINER ON CALL</t>
  </si>
  <si>
    <t>BULKY - COMM</t>
  </si>
  <si>
    <t>BULKY ITEM PICK UP - COMM</t>
  </si>
  <si>
    <t>RENT1-COM</t>
  </si>
  <si>
    <t>1 YD CONT RENTAL</t>
  </si>
  <si>
    <t>RENT1TEMP-COM</t>
  </si>
  <si>
    <t>1 YD TEMP CONT RENTAL</t>
  </si>
  <si>
    <t>RENT1.5-COM</t>
  </si>
  <si>
    <t>1.5 YD CONT RENTAL</t>
  </si>
  <si>
    <t>RENT1.5TEMP-COM</t>
  </si>
  <si>
    <t>1.5 YD TEMP CONT RENTAL</t>
  </si>
  <si>
    <t>RENT2-COM</t>
  </si>
  <si>
    <t>2 YD CONT RENTAL</t>
  </si>
  <si>
    <t>RENT2TEMP-COM</t>
  </si>
  <si>
    <t>2 YD TEMP CONT RENTAL</t>
  </si>
  <si>
    <t>RENT4-COM</t>
  </si>
  <si>
    <t>4 YD CONT RENTAL</t>
  </si>
  <si>
    <t>DEL1-COM</t>
  </si>
  <si>
    <t>DELIVER 1 YD</t>
  </si>
  <si>
    <t>DEL1.5-COM</t>
  </si>
  <si>
    <t>DELIVER 1.5 YD</t>
  </si>
  <si>
    <t>DEL2-COM</t>
  </si>
  <si>
    <t>DELIVER 2 YD</t>
  </si>
  <si>
    <t>ACCESS1W-COM</t>
  </si>
  <si>
    <t>ACCESS/GATE FEE 1X WK</t>
  </si>
  <si>
    <t>ACCESS2W-COM</t>
  </si>
  <si>
    <t>ACCESS/GATE FEE 2X WK</t>
  </si>
  <si>
    <t>ACCESSEOW-COM</t>
  </si>
  <si>
    <t>ACCESS/GATE FEE EOW</t>
  </si>
  <si>
    <t>CLOCK</t>
  </si>
  <si>
    <t>COMM LOCK CHARGE</t>
  </si>
  <si>
    <t>CLOCK2W</t>
  </si>
  <si>
    <t>LOCK CHARGE 2X WK</t>
  </si>
  <si>
    <t>CLOCKE</t>
  </si>
  <si>
    <t>LOCK CHARGE EOW</t>
  </si>
  <si>
    <t>CONTRACTEDC</t>
  </si>
  <si>
    <t>CONTRACTED SERVICE - COM</t>
  </si>
  <si>
    <t>WI-COMM</t>
  </si>
  <si>
    <t>WALK IN - COMM</t>
  </si>
  <si>
    <t>DRIVEIN1-COM</t>
  </si>
  <si>
    <t>DRIVE IN UP TO 125FT - COM</t>
  </si>
  <si>
    <t>DRIVEIN2WK-COM</t>
  </si>
  <si>
    <t>ROLL1W-COM</t>
  </si>
  <si>
    <t>ROLL OUT FEE 1X WK</t>
  </si>
  <si>
    <t>ROLL-COM</t>
  </si>
  <si>
    <t>ROLLOUT CONTAINER - COM</t>
  </si>
  <si>
    <t>ROLLEOW-COM</t>
  </si>
  <si>
    <t>ROLL OUT FEE EOW</t>
  </si>
  <si>
    <t>REINSTATE-COMM</t>
  </si>
  <si>
    <t>REINSTATE FEE-COMM</t>
  </si>
  <si>
    <t>ADJ - COMM</t>
  </si>
  <si>
    <t>ADJUSTMENT SERVICE - COMM</t>
  </si>
  <si>
    <t>TOTAL COMMERCIAL GARBAGE</t>
  </si>
  <si>
    <t>DROP BOX SERVICES</t>
  </si>
  <si>
    <t>DROP BOX HAULS/RENTAL</t>
  </si>
  <si>
    <t>HAUL20P-RO</t>
  </si>
  <si>
    <t>HAUL 20 YD</t>
  </si>
  <si>
    <t>HAUL20-RO</t>
  </si>
  <si>
    <t>HAUL30P-RO</t>
  </si>
  <si>
    <t>HAUL 30 YD</t>
  </si>
  <si>
    <t>HAUL30-RO</t>
  </si>
  <si>
    <t>HAUL20ADD-RO</t>
  </si>
  <si>
    <t>ADDITIONAL 20 YD HAUL</t>
  </si>
  <si>
    <t>HAUL30ADD-RO</t>
  </si>
  <si>
    <t>ADDITIONAL 30 YD HAUL</t>
  </si>
  <si>
    <t>HAUL10TEMP-RO</t>
  </si>
  <si>
    <t>HAUL 10 YD TEMPORARY</t>
  </si>
  <si>
    <t>HAUL20TEMP-RO</t>
  </si>
  <si>
    <t>HAUL 20 YD TEMPORARY</t>
  </si>
  <si>
    <t>HAUL30TEMP-RO</t>
  </si>
  <si>
    <t>HAUL 30 YD TEMPORARY</t>
  </si>
  <si>
    <t>20YQCOMPC</t>
  </si>
  <si>
    <t>20YD COMP/CORR HAUL FEE</t>
  </si>
  <si>
    <t>40YCOMPT</t>
  </si>
  <si>
    <t>40YD COMP/TRASH HAUL FEE</t>
  </si>
  <si>
    <t>QDEL</t>
  </si>
  <si>
    <t>DROP BOX DELIVERY</t>
  </si>
  <si>
    <t>DEL-RO</t>
  </si>
  <si>
    <t>DELIVERY FEE - RO</t>
  </si>
  <si>
    <t>QMILE</t>
  </si>
  <si>
    <t>MILEAGE CHARGE</t>
  </si>
  <si>
    <t>QRENT</t>
  </si>
  <si>
    <t>MONTHLY DROP BOX RENTAL</t>
  </si>
  <si>
    <t>RENT20DAY-RO</t>
  </si>
  <si>
    <t>RENTAL 20 YD TEMP</t>
  </si>
  <si>
    <t>RENT20TEMP-RO</t>
  </si>
  <si>
    <t>RENT30DAY-RO</t>
  </si>
  <si>
    <t>RENTAL 30 YD TEMP</t>
  </si>
  <si>
    <t>RENT20MO-RO</t>
  </si>
  <si>
    <t>RENTAL 20 YD</t>
  </si>
  <si>
    <t>RENT30MO-RO</t>
  </si>
  <si>
    <t>RENTAL 30 YD</t>
  </si>
  <si>
    <t>ADJ - RO</t>
  </si>
  <si>
    <t>ADJUSTMENT SERVICE - RO</t>
  </si>
  <si>
    <t>PASSTHROUGH DISPOSAL</t>
  </si>
  <si>
    <t>Garbage Check</t>
  </si>
  <si>
    <t>DISP-RO</t>
  </si>
  <si>
    <t>DISPOSAL CHARGE - RO</t>
  </si>
  <si>
    <t>G-48</t>
  </si>
  <si>
    <t>TOTAL PASSTHROUGH DISPOSAL</t>
  </si>
  <si>
    <t>Per LG</t>
  </si>
  <si>
    <t>Service Charges</t>
  </si>
  <si>
    <t>FINCHG</t>
  </si>
  <si>
    <t>FINANCE CHARGE</t>
  </si>
  <si>
    <t>NSF FEES</t>
  </si>
  <si>
    <t>RETURNED CHECK FEE</t>
  </si>
  <si>
    <t>RETCK</t>
  </si>
  <si>
    <t>RETURNED CHECK</t>
  </si>
  <si>
    <t>TOTAL SERVICE CHARGES</t>
  </si>
  <si>
    <t>TOTAL REVENUE</t>
  </si>
  <si>
    <t>Columbia River Disposal, Inc G-48</t>
  </si>
  <si>
    <t>Over size</t>
  </si>
  <si>
    <t>Extra Units (32 gal)</t>
  </si>
  <si>
    <t>45 Gal</t>
  </si>
  <si>
    <t>60 Gal</t>
  </si>
  <si>
    <t>On Call</t>
  </si>
  <si>
    <t>Bulky</t>
  </si>
  <si>
    <t>Loose material</t>
  </si>
  <si>
    <t>Additional-Bulky</t>
  </si>
  <si>
    <t>Additional</t>
  </si>
  <si>
    <t>Minimum</t>
  </si>
  <si>
    <t>Item 240, pg 32</t>
  </si>
  <si>
    <t>Hauls:</t>
  </si>
  <si>
    <t>1 yard</t>
  </si>
  <si>
    <t>1.5 yard</t>
  </si>
  <si>
    <t>2 yard</t>
  </si>
  <si>
    <t>3 yard</t>
  </si>
  <si>
    <t>4 yard</t>
  </si>
  <si>
    <t>Special Pickups</t>
  </si>
  <si>
    <t>Temporary:</t>
  </si>
  <si>
    <t>Item 245, pg 33</t>
  </si>
  <si>
    <t>Minimum Charge</t>
  </si>
  <si>
    <t>Special Pickup</t>
  </si>
  <si>
    <t>Additional Special Unit</t>
  </si>
  <si>
    <t>Extra Units</t>
  </si>
  <si>
    <t>1-30 gal toter</t>
  </si>
  <si>
    <t>1-45 gal toter</t>
  </si>
  <si>
    <t>1-60 gal toter</t>
  </si>
  <si>
    <t>Increase</t>
  </si>
  <si>
    <t xml:space="preserve">Service </t>
  </si>
  <si>
    <t>Annual Pick-Ups</t>
  </si>
  <si>
    <t>Frequency</t>
  </si>
  <si>
    <t>Meeks Weight</t>
  </si>
  <si>
    <t>Calculated Annual Pounds</t>
  </si>
  <si>
    <t>Adjusted Annual Pounds</t>
  </si>
  <si>
    <t>Gross Up</t>
  </si>
  <si>
    <t>Tariff Rate Increase</t>
  </si>
  <si>
    <t>Company Current Tariff</t>
  </si>
  <si>
    <t>Company Calculated Rate</t>
  </si>
  <si>
    <t>Company Current Revenue</t>
  </si>
  <si>
    <t>Company Proposed Revenue</t>
  </si>
  <si>
    <t>Company Increased Revenue</t>
  </si>
  <si>
    <t>Check</t>
  </si>
  <si>
    <t xml:space="preserve"> Company Over/ (Under)</t>
  </si>
  <si>
    <t>Mulitplier</t>
  </si>
  <si>
    <t>Columbia River Disposal, Inc. G-48 &amp; G-51</t>
  </si>
  <si>
    <t>Dump Fee Schedule</t>
  </si>
  <si>
    <t>Skamania</t>
  </si>
  <si>
    <t>TOTALS</t>
  </si>
  <si>
    <t>Roll Off Tons</t>
  </si>
  <si>
    <t>Packer Tons</t>
  </si>
  <si>
    <t>R/O PT</t>
  </si>
  <si>
    <t>Packer Disposal</t>
  </si>
  <si>
    <t>Total Disposal Expense</t>
  </si>
  <si>
    <t>Klickitat</t>
  </si>
  <si>
    <t>Roll Off Yards</t>
  </si>
  <si>
    <t>Packer Yards</t>
  </si>
  <si>
    <t>Total R/O PT</t>
  </si>
  <si>
    <t>Total Packer Disp</t>
  </si>
  <si>
    <t>Total Disposal Exp</t>
  </si>
  <si>
    <t>Total Disposal Exp per GL</t>
  </si>
  <si>
    <t>PT Per GL</t>
  </si>
  <si>
    <t>Packer per GL</t>
  </si>
  <si>
    <t>PT Difference</t>
  </si>
  <si>
    <t>Total Difference</t>
  </si>
  <si>
    <t>Annual Customers</t>
  </si>
  <si>
    <t>Dump Fee Calc References</t>
  </si>
  <si>
    <t>Monthly Factor</t>
  </si>
  <si>
    <t>Pickups:</t>
  </si>
  <si>
    <t>1 unit</t>
  </si>
  <si>
    <t>2 units</t>
  </si>
  <si>
    <t>3 units</t>
  </si>
  <si>
    <t>4 units</t>
  </si>
  <si>
    <t>5 units</t>
  </si>
  <si>
    <t>6 units</t>
  </si>
  <si>
    <t>7 unit</t>
  </si>
  <si>
    <t>5 Times per Week</t>
  </si>
  <si>
    <t>4 Times per Week</t>
  </si>
  <si>
    <t>3 Times per Week</t>
  </si>
  <si>
    <t>2 Times per Week</t>
  </si>
  <si>
    <t>Weekly Pickup (WG)</t>
  </si>
  <si>
    <t>Every Other Week (EOWG)</t>
  </si>
  <si>
    <t>Monthly (MG)</t>
  </si>
  <si>
    <t>Meeks Weights</t>
  </si>
  <si>
    <t>Res'l</t>
  </si>
  <si>
    <t>Pounds per Pickup</t>
  </si>
  <si>
    <t>20 gal minican</t>
  </si>
  <si>
    <t>1 can</t>
  </si>
  <si>
    <t>2 cans</t>
  </si>
  <si>
    <t>3 cans</t>
  </si>
  <si>
    <t>Lbs. per ton</t>
  </si>
  <si>
    <t>4 cans</t>
  </si>
  <si>
    <t>Yds. Per ton</t>
  </si>
  <si>
    <t>n/a</t>
  </si>
  <si>
    <t>5 cans</t>
  </si>
  <si>
    <t>6 cans</t>
  </si>
  <si>
    <t>Annual</t>
  </si>
  <si>
    <t>Months</t>
  </si>
  <si>
    <t>40 gallon Can</t>
  </si>
  <si>
    <t>*</t>
  </si>
  <si>
    <t>Supercan 60</t>
  </si>
  <si>
    <t>Supercan 90</t>
  </si>
  <si>
    <t>Once a month</t>
  </si>
  <si>
    <t>Extras</t>
  </si>
  <si>
    <t>Com'l</t>
  </si>
  <si>
    <t>Cans</t>
  </si>
  <si>
    <t>Yards</t>
  </si>
  <si>
    <t>1 yd container</t>
  </si>
  <si>
    <t>1.5 yd container</t>
  </si>
  <si>
    <t>2 yd container</t>
  </si>
  <si>
    <t>3 yd container</t>
  </si>
  <si>
    <t>4 yd container</t>
  </si>
  <si>
    <t>6 yd container</t>
  </si>
  <si>
    <t>8 yd container</t>
  </si>
  <si>
    <t>Compaction Ratio:   2:25</t>
  </si>
  <si>
    <t>2 yd packer/compactor</t>
  </si>
  <si>
    <t>4 yd packer/compactor</t>
  </si>
  <si>
    <t>6 yd packer/compactor</t>
  </si>
  <si>
    <t>Compaction Ratio:   3:1</t>
  </si>
  <si>
    <t>3 yd packer/compactor</t>
  </si>
  <si>
    <t>Compaction Ratio:   4:1</t>
  </si>
  <si>
    <t>Compaction Ratio:   5:1</t>
  </si>
  <si>
    <t>* not on meeks - calculated</t>
  </si>
  <si>
    <t xml:space="preserve">    weight times compaction ratio</t>
  </si>
  <si>
    <t>Skamania County DF Increase</t>
  </si>
  <si>
    <t>Per Ton</t>
  </si>
  <si>
    <t>Per Pound</t>
  </si>
  <si>
    <t>Gross Up Factors</t>
  </si>
  <si>
    <t>B&amp;O tax</t>
  </si>
  <si>
    <t>WUTC fees</t>
  </si>
  <si>
    <t>Bad Debts</t>
  </si>
  <si>
    <t>Transfer Station</t>
  </si>
  <si>
    <t>Increase per ton</t>
  </si>
  <si>
    <t>Factor</t>
  </si>
  <si>
    <t>Grossed up increase per ton</t>
  </si>
  <si>
    <t>Packer Tons Collected</t>
  </si>
  <si>
    <t>Packer Revenue Increase</t>
  </si>
  <si>
    <t>Company Proposed Rates</t>
  </si>
  <si>
    <t>Res'l &amp; Com'l</t>
  </si>
  <si>
    <t>Revenue from Co Proposed Rates</t>
  </si>
  <si>
    <t>Collected Revenue Excess/(Deficiency)</t>
  </si>
  <si>
    <t>RO Revenue Increase</t>
  </si>
  <si>
    <t>One can Monthly</t>
  </si>
  <si>
    <t>One can EOW</t>
  </si>
  <si>
    <t>One can Weekly</t>
  </si>
  <si>
    <t>check</t>
  </si>
  <si>
    <t>Adjustment Factor Calculation</t>
  </si>
  <si>
    <t>Total Tonnage</t>
  </si>
  <si>
    <t>Total Pounds</t>
  </si>
  <si>
    <t>Total Pick Ups</t>
  </si>
  <si>
    <t>Adjustment factor</t>
  </si>
  <si>
    <t>Subtotal</t>
  </si>
  <si>
    <t>Current Rate per Ton</t>
  </si>
  <si>
    <t>New Rate per Ton</t>
  </si>
  <si>
    <t>No Current Customers</t>
  </si>
  <si>
    <t>Increase:</t>
  </si>
  <si>
    <t>Residential</t>
  </si>
  <si>
    <t>Commercial</t>
  </si>
  <si>
    <t>Total Packer</t>
  </si>
  <si>
    <t>Roll-Off</t>
  </si>
  <si>
    <t>Mini can Weekly</t>
  </si>
  <si>
    <t>Two cans Weekly</t>
  </si>
  <si>
    <t>Three cans Weekly</t>
  </si>
  <si>
    <t>Four cans Weekly</t>
  </si>
  <si>
    <t>Six cans Weekly</t>
  </si>
  <si>
    <t>1-45 gal Weekly</t>
  </si>
  <si>
    <t>2-45 gal Weekly</t>
  </si>
  <si>
    <t>1-60 gal Weekly</t>
  </si>
  <si>
    <t>1-60 gal Monthly</t>
  </si>
  <si>
    <t>Item 55, Pg 18 - Per Pick-Up</t>
  </si>
  <si>
    <t>Item 100, pg 23 - Per Month</t>
  </si>
  <si>
    <t>Item 100, pg 24 - Per Pick-Up</t>
  </si>
  <si>
    <t>Item 150, pg 25 - Per Pick-Up</t>
  </si>
  <si>
    <t>Annual Pick-Ups for DF Filing</t>
  </si>
  <si>
    <t>32 Gal Scheduled PU</t>
  </si>
  <si>
    <t>32 Gal Additional Unit</t>
  </si>
  <si>
    <t>32 Gal Minimum Charge</t>
  </si>
  <si>
    <t xml:space="preserve">Five cans Weekly </t>
  </si>
  <si>
    <t>Commercial - All Rates Stated per Pick-Up, Except Monthly Minimums</t>
  </si>
  <si>
    <t>Check #2</t>
  </si>
  <si>
    <t>Price Out taken from TG-180155.  Only information in columns T, U, V was added for the dump fee filing.</t>
  </si>
  <si>
    <t xml:space="preserve">Disposal Schedule taken from TG-180155.  </t>
  </si>
  <si>
    <t>Current Tarriff Rate</t>
  </si>
  <si>
    <t>Proposed Increase</t>
  </si>
  <si>
    <t>Item 55, Pg 18</t>
  </si>
  <si>
    <t>PU</t>
  </si>
  <si>
    <t>Item 100, pg 23</t>
  </si>
  <si>
    <t xml:space="preserve">Mini can </t>
  </si>
  <si>
    <t>WG</t>
  </si>
  <si>
    <t>One can</t>
  </si>
  <si>
    <t>MG</t>
  </si>
  <si>
    <t>EOW</t>
  </si>
  <si>
    <t>Two cans</t>
  </si>
  <si>
    <t>Three cans</t>
  </si>
  <si>
    <t>Four cans</t>
  </si>
  <si>
    <t>Five cans</t>
  </si>
  <si>
    <t>Six cans</t>
  </si>
  <si>
    <t>1-45 gal</t>
  </si>
  <si>
    <t>2-45 gal</t>
  </si>
  <si>
    <t>1-60 gal</t>
  </si>
  <si>
    <t>Item 100, pg 24</t>
  </si>
  <si>
    <t>Each</t>
  </si>
  <si>
    <t>Item 150, pg 25</t>
  </si>
  <si>
    <t>Item 230, pg 31</t>
  </si>
  <si>
    <t>Skamania Cnty TFS</t>
  </si>
  <si>
    <t>Ton</t>
  </si>
  <si>
    <t>Scheduled PU</t>
  </si>
  <si>
    <t>Additional Unit</t>
  </si>
  <si>
    <t>M</t>
  </si>
  <si>
    <t>Proposed Rate as of 1/1/2020</t>
  </si>
  <si>
    <t>Proposed Rates, Effective 1/1/2020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</si>
</sst>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0.0000"/>
    <numFmt numFmtId="167" formatCode="&quot;$&quot;#,##0\ ;\(&quot;$&quot;#,##0\)"/>
    <numFmt numFmtId="168" formatCode="General_)"/>
    <numFmt numFmtId="169" formatCode="0.0%"/>
    <numFmt numFmtId="170" formatCode="mm\-yy;\-0;;@"/>
    <numFmt numFmtId="171" formatCode=".00#####;\-.00####;;@"/>
    <numFmt numFmtId="172" formatCode="_(&quot;$&quot;* #,##0.000_);_(&quot;$&quot;* \(#,##0.000\);_(&quot;$&quot;* &quot;-&quot;??_);_(@_)"/>
    <numFmt numFmtId="173" formatCode="_(* #,##0.000000_);_(* \(#,##0.000000\);_(* &quot;-&quot;??_);_(@_)"/>
    <numFmt numFmtId="174" formatCode="_(&quot;$&quot;* #,##0.000000_);_(&quot;$&quot;* \(#,##0.000000\);_(&quot;$&quot;* &quot;-&quot;??_);_(@_)"/>
    <numFmt numFmtId="175" formatCode="0.0000%"/>
    <numFmt numFmtId="176" formatCode="0.000000"/>
  </numFmts>
  <fonts count="10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indexed="8"/>
      <name val="Arial"/>
      <family val="2"/>
    </font>
    <font>
      <sz val="10.5"/>
      <color indexed="8"/>
      <name val="Calibri"/>
      <family val="2"/>
      <scheme val="minor"/>
    </font>
    <font>
      <sz val="10.5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.5"/>
      <color rgb="FFFF0000"/>
      <name val="Calibri"/>
      <family val="2"/>
      <scheme val="minor"/>
    </font>
    <font>
      <b/>
      <sz val="10.5"/>
      <color indexed="8"/>
      <name val="Calibri"/>
      <family val="2"/>
      <scheme val="minor"/>
    </font>
    <font>
      <i/>
      <sz val="10.5"/>
      <color theme="0" tint="-0.499984740745262"/>
      <name val="Calibri"/>
      <family val="2"/>
      <scheme val="minor"/>
    </font>
    <font>
      <b/>
      <u/>
      <sz val="10.5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b/>
      <u/>
      <sz val="10.5"/>
      <color indexed="8"/>
      <name val="Calibri"/>
      <family val="2"/>
      <scheme val="minor"/>
    </font>
    <font>
      <b/>
      <sz val="10.5"/>
      <color indexed="50"/>
      <name val="Calibri"/>
      <family val="2"/>
      <scheme val="minor"/>
    </font>
    <font>
      <sz val="10"/>
      <name val="Arial"/>
      <family val="2"/>
    </font>
    <font>
      <sz val="10.5"/>
      <name val="Calibri"/>
      <family val="2"/>
      <scheme val="minor"/>
    </font>
    <font>
      <b/>
      <sz val="10.5"/>
      <name val="Calibri"/>
      <family val="2"/>
      <scheme val="minor"/>
    </font>
    <font>
      <b/>
      <sz val="10"/>
      <color indexed="8"/>
      <name val="Calibri"/>
      <family val="2"/>
      <scheme val="minor"/>
    </font>
    <font>
      <i/>
      <sz val="10.5"/>
      <color rgb="FFFF0000"/>
      <name val="Calibri"/>
      <family val="2"/>
      <scheme val="minor"/>
    </font>
    <font>
      <sz val="10.5"/>
      <color indexed="8"/>
      <name val="Tahoma"/>
      <family val="2"/>
    </font>
    <font>
      <b/>
      <u val="singleAccounting"/>
      <sz val="10.5"/>
      <color theme="1"/>
      <name val="Calibri"/>
      <family val="2"/>
      <scheme val="minor"/>
    </font>
    <font>
      <b/>
      <sz val="10.5"/>
      <color rgb="FF0000FF"/>
      <name val="Calibri"/>
      <family val="2"/>
      <scheme val="minor"/>
    </font>
    <font>
      <sz val="10.5"/>
      <color rgb="FF0000FF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0"/>
      <color indexed="10"/>
      <name val="Arial"/>
      <family val="2"/>
    </font>
    <font>
      <b/>
      <sz val="12"/>
      <color indexed="12"/>
      <name val="Times New Roman"/>
      <family val="1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51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b/>
      <sz val="11"/>
      <color indexed="18"/>
      <name val="Britannic Bold"/>
      <family val="2"/>
    </font>
    <font>
      <sz val="12"/>
      <name val="CG Omega"/>
    </font>
    <font>
      <sz val="10"/>
      <color indexed="8"/>
      <name val="Arial"/>
      <family val="2"/>
    </font>
    <font>
      <sz val="8"/>
      <name val="Arial"/>
      <family val="2"/>
    </font>
    <font>
      <sz val="12"/>
      <color theme="1"/>
      <name val="Calibri"/>
      <family val="2"/>
      <scheme val="minor"/>
    </font>
    <font>
      <sz val="10"/>
      <name val="MS Sans Serif"/>
      <family val="2"/>
    </font>
    <font>
      <sz val="12"/>
      <name val="Courier"/>
      <family val="3"/>
    </font>
    <font>
      <sz val="9"/>
      <color indexed="8"/>
      <name val="Arial"/>
      <family val="2"/>
    </font>
    <font>
      <sz val="12"/>
      <name val="Helv"/>
    </font>
    <font>
      <sz val="10"/>
      <name val="Times New Roman"/>
      <family val="1"/>
    </font>
    <font>
      <sz val="11"/>
      <name val="Bookman Old Style"/>
      <family val="1"/>
    </font>
    <font>
      <b/>
      <sz val="10"/>
      <color indexed="12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5"/>
      <color indexed="61"/>
      <name val="Calibri"/>
      <family val="2"/>
    </font>
    <font>
      <b/>
      <sz val="15"/>
      <color indexed="56"/>
      <name val="Calibri"/>
      <family val="2"/>
    </font>
    <font>
      <b/>
      <sz val="13"/>
      <color indexed="62"/>
      <name val="Calibri"/>
      <family val="2"/>
    </font>
    <font>
      <b/>
      <sz val="13"/>
      <color indexed="61"/>
      <name val="Calibri"/>
      <family val="2"/>
    </font>
    <font>
      <b/>
      <sz val="13"/>
      <color indexed="56"/>
      <name val="Calibri"/>
      <family val="2"/>
    </font>
    <font>
      <b/>
      <sz val="11"/>
      <color indexed="62"/>
      <name val="Calibri"/>
      <family val="2"/>
    </font>
    <font>
      <b/>
      <sz val="11"/>
      <color indexed="61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</font>
    <font>
      <u/>
      <sz val="10"/>
      <name val="Arial"/>
      <family val="2"/>
    </font>
    <font>
      <u/>
      <sz val="9.35"/>
      <color theme="10"/>
      <name val="Calibri"/>
      <family val="2"/>
    </font>
    <font>
      <u/>
      <sz val="8.8000000000000007"/>
      <color theme="10"/>
      <name val="Calibri"/>
      <family val="2"/>
    </font>
    <font>
      <u/>
      <sz val="11"/>
      <color indexed="12"/>
      <name val="Calibri"/>
      <family val="2"/>
    </font>
    <font>
      <u/>
      <sz val="11"/>
      <color theme="10"/>
      <name val="Calibri"/>
      <family val="2"/>
    </font>
    <font>
      <u/>
      <sz val="7.5"/>
      <color indexed="12"/>
      <name val="Arial"/>
      <family val="2"/>
    </font>
    <font>
      <sz val="11"/>
      <color indexed="61"/>
      <name val="Calibri"/>
      <family val="2"/>
    </font>
    <font>
      <sz val="11"/>
      <color indexed="62"/>
      <name val="Calibri"/>
      <family val="2"/>
    </font>
    <font>
      <sz val="10"/>
      <color indexed="12"/>
      <name val="Arial"/>
      <family val="2"/>
    </font>
    <font>
      <sz val="11"/>
      <color indexed="52"/>
      <name val="Calibri"/>
      <family val="2"/>
    </font>
    <font>
      <sz val="11"/>
      <color indexed="51"/>
      <name val="Calibri"/>
      <family val="2"/>
    </font>
    <font>
      <sz val="11"/>
      <color indexed="10"/>
      <name val="Calibri"/>
      <family val="2"/>
    </font>
    <font>
      <sz val="11"/>
      <color indexed="60"/>
      <name val="Calibri"/>
      <family val="2"/>
    </font>
    <font>
      <sz val="11"/>
      <color indexed="59"/>
      <name val="Calibri"/>
      <family val="2"/>
    </font>
    <font>
      <sz val="11"/>
      <color indexed="19"/>
      <name val="Calibri"/>
      <family val="2"/>
    </font>
    <font>
      <sz val="11"/>
      <color theme="1"/>
      <name val="Arial"/>
      <family val="2"/>
    </font>
    <font>
      <sz val="12"/>
      <name val="Arial"/>
      <family val="2"/>
    </font>
    <font>
      <i/>
      <sz val="10"/>
      <color indexed="10"/>
      <name val="Arial"/>
      <family val="2"/>
    </font>
    <font>
      <b/>
      <sz val="11"/>
      <color indexed="63"/>
      <name val="Calibri"/>
      <family val="2"/>
    </font>
    <font>
      <sz val="8"/>
      <color indexed="56"/>
      <name val="Arial"/>
      <family val="2"/>
    </font>
    <font>
      <b/>
      <sz val="10"/>
      <name val="MS Sans Serif"/>
      <family val="2"/>
    </font>
    <font>
      <sz val="12"/>
      <name val="Arial MT"/>
    </font>
    <font>
      <b/>
      <u/>
      <sz val="11"/>
      <name val="Arial"/>
      <family val="2"/>
    </font>
    <font>
      <b/>
      <sz val="10"/>
      <name val="Times New Roman"/>
      <family val="1"/>
    </font>
    <font>
      <b/>
      <sz val="18"/>
      <color indexed="61"/>
      <name val="Cambria"/>
      <family val="2"/>
    </font>
    <font>
      <b/>
      <sz val="18"/>
      <color indexed="6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color indexed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color rgb="FF0000FF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b/>
      <u/>
      <sz val="11"/>
      <name val="Calibri"/>
      <family val="2"/>
      <scheme val="minor"/>
    </font>
  </fonts>
  <fills count="8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48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63"/>
      </patternFill>
    </fill>
    <fill>
      <patternFill patternType="solid">
        <fgColor indexed="55"/>
      </patternFill>
    </fill>
    <fill>
      <patternFill patternType="solid">
        <fgColor indexed="42"/>
        <bgColor indexed="29"/>
      </patternFill>
    </fill>
    <fill>
      <patternFill patternType="solid">
        <fgColor indexed="45"/>
        <bgColor indexed="64"/>
      </patternFill>
    </fill>
    <fill>
      <patternFill patternType="solid">
        <fgColor indexed="65"/>
        <bgColor indexed="10"/>
      </patternFill>
    </fill>
    <fill>
      <patternFill patternType="gray125">
        <fgColor indexed="10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2"/>
      </left>
      <right style="double">
        <color indexed="62"/>
      </right>
      <top style="double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51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30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9" fillId="0" borderId="0"/>
    <xf numFmtId="43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0" fontId="41" fillId="39" borderId="0" applyNumberFormat="0" applyBorder="0" applyAlignment="0" applyProtection="0"/>
    <xf numFmtId="0" fontId="41" fillId="39" borderId="0" applyNumberFormat="0" applyBorder="0" applyAlignment="0" applyProtection="0"/>
    <xf numFmtId="0" fontId="41" fillId="40" borderId="0" applyNumberFormat="0" applyBorder="0" applyAlignment="0" applyProtection="0"/>
    <xf numFmtId="0" fontId="41" fillId="41" borderId="0" applyNumberFormat="0" applyBorder="0" applyAlignment="0" applyProtection="0"/>
    <xf numFmtId="0" fontId="41" fillId="42" borderId="0" applyNumberFormat="0" applyBorder="0" applyAlignment="0" applyProtection="0"/>
    <xf numFmtId="0" fontId="41" fillId="42" borderId="0" applyNumberFormat="0" applyBorder="0" applyAlignment="0" applyProtection="0"/>
    <xf numFmtId="0" fontId="41" fillId="41" borderId="0" applyNumberFormat="0" applyBorder="0" applyAlignment="0" applyProtection="0"/>
    <xf numFmtId="0" fontId="41" fillId="41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41" fillId="43" borderId="0" applyNumberFormat="0" applyBorder="0" applyAlignment="0" applyProtection="0"/>
    <xf numFmtId="0" fontId="41" fillId="44" borderId="0" applyNumberFormat="0" applyBorder="0" applyAlignment="0" applyProtection="0"/>
    <xf numFmtId="0" fontId="41" fillId="4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41" fillId="45" borderId="0" applyNumberFormat="0" applyBorder="0" applyAlignment="0" applyProtection="0"/>
    <xf numFmtId="0" fontId="41" fillId="46" borderId="0" applyNumberFormat="0" applyBorder="0" applyAlignment="0" applyProtection="0"/>
    <xf numFmtId="0" fontId="41" fillId="45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41" fillId="39" borderId="0" applyNumberFormat="0" applyBorder="0" applyAlignment="0" applyProtection="0"/>
    <xf numFmtId="0" fontId="41" fillId="39" borderId="0" applyNumberFormat="0" applyBorder="0" applyAlignment="0" applyProtection="0"/>
    <xf numFmtId="0" fontId="41" fillId="40" borderId="0" applyNumberFormat="0" applyBorder="0" applyAlignment="0" applyProtection="0"/>
    <xf numFmtId="0" fontId="41" fillId="47" borderId="0" applyNumberFormat="0" applyBorder="0" applyAlignment="0" applyProtection="0"/>
    <xf numFmtId="0" fontId="41" fillId="47" borderId="0" applyNumberFormat="0" applyBorder="0" applyAlignment="0" applyProtection="0"/>
    <xf numFmtId="0" fontId="41" fillId="40" borderId="0" applyNumberFormat="0" applyBorder="0" applyAlignment="0" applyProtection="0"/>
    <xf numFmtId="0" fontId="41" fillId="40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41" fillId="48" borderId="0" applyNumberFormat="0" applyBorder="0" applyAlignment="0" applyProtection="0"/>
    <xf numFmtId="0" fontId="41" fillId="48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41" fillId="45" borderId="0" applyNumberFormat="0" applyBorder="0" applyAlignment="0" applyProtection="0"/>
    <xf numFmtId="0" fontId="41" fillId="40" borderId="0" applyNumberFormat="0" applyBorder="0" applyAlignment="0" applyProtection="0"/>
    <xf numFmtId="0" fontId="41" fillId="45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41" fillId="39" borderId="0" applyNumberFormat="0" applyBorder="0" applyAlignment="0" applyProtection="0"/>
    <xf numFmtId="0" fontId="41" fillId="39" borderId="0" applyNumberFormat="0" applyBorder="0" applyAlignment="0" applyProtection="0"/>
    <xf numFmtId="0" fontId="41" fillId="48" borderId="0" applyNumberFormat="0" applyBorder="0" applyAlignment="0" applyProtection="0"/>
    <xf numFmtId="0" fontId="41" fillId="41" borderId="0" applyNumberFormat="0" applyBorder="0" applyAlignment="0" applyProtection="0"/>
    <xf numFmtId="0" fontId="41" fillId="41" borderId="0" applyNumberFormat="0" applyBorder="0" applyAlignment="0" applyProtection="0"/>
    <xf numFmtId="0" fontId="41" fillId="48" borderId="0" applyNumberFormat="0" applyBorder="0" applyAlignment="0" applyProtection="0"/>
    <xf numFmtId="0" fontId="41" fillId="4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41" fillId="43" borderId="0" applyNumberFormat="0" applyBorder="0" applyAlignment="0" applyProtection="0"/>
    <xf numFmtId="0" fontId="41" fillId="4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41" fillId="49" borderId="0" applyNumberFormat="0" applyBorder="0" applyAlignment="0" applyProtection="0"/>
    <xf numFmtId="0" fontId="41" fillId="50" borderId="0" applyNumberFormat="0" applyBorder="0" applyAlignment="0" applyProtection="0"/>
    <xf numFmtId="0" fontId="41" fillId="4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41" fillId="39" borderId="0" applyNumberFormat="0" applyBorder="0" applyAlignment="0" applyProtection="0"/>
    <xf numFmtId="0" fontId="41" fillId="39" borderId="0" applyNumberFormat="0" applyBorder="0" applyAlignment="0" applyProtection="0"/>
    <xf numFmtId="0" fontId="41" fillId="44" borderId="0" applyNumberFormat="0" applyBorder="0" applyAlignment="0" applyProtection="0"/>
    <xf numFmtId="0" fontId="41" fillId="47" borderId="0" applyNumberFormat="0" applyBorder="0" applyAlignment="0" applyProtection="0"/>
    <xf numFmtId="0" fontId="41" fillId="47" borderId="0" applyNumberFormat="0" applyBorder="0" applyAlignment="0" applyProtection="0"/>
    <xf numFmtId="0" fontId="41" fillId="44" borderId="0" applyNumberFormat="0" applyBorder="0" applyAlignment="0" applyProtection="0"/>
    <xf numFmtId="0" fontId="41" fillId="44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41" fillId="41" borderId="0" applyNumberFormat="0" applyBorder="0" applyAlignment="0" applyProtection="0"/>
    <xf numFmtId="0" fontId="41" fillId="41" borderId="0" applyNumberFormat="0" applyBorder="0" applyAlignment="0" applyProtection="0"/>
    <xf numFmtId="0" fontId="41" fillId="48" borderId="0" applyNumberFormat="0" applyBorder="0" applyAlignment="0" applyProtection="0"/>
    <xf numFmtId="0" fontId="41" fillId="41" borderId="0" applyNumberFormat="0" applyBorder="0" applyAlignment="0" applyProtection="0"/>
    <xf numFmtId="0" fontId="41" fillId="48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41" fillId="49" borderId="0" applyNumberFormat="0" applyBorder="0" applyAlignment="0" applyProtection="0"/>
    <xf numFmtId="0" fontId="41" fillId="49" borderId="0" applyNumberFormat="0" applyBorder="0" applyAlignment="0" applyProtection="0"/>
    <xf numFmtId="0" fontId="41" fillId="45" borderId="0" applyNumberFormat="0" applyBorder="0" applyAlignment="0" applyProtection="0"/>
    <xf numFmtId="0" fontId="41" fillId="51" borderId="0" applyNumberFormat="0" applyBorder="0" applyAlignment="0" applyProtection="0"/>
    <xf numFmtId="0" fontId="41" fillId="51" borderId="0" applyNumberFormat="0" applyBorder="0" applyAlignment="0" applyProtection="0"/>
    <xf numFmtId="0" fontId="41" fillId="45" borderId="0" applyNumberFormat="0" applyBorder="0" applyAlignment="0" applyProtection="0"/>
    <xf numFmtId="0" fontId="41" fillId="45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42" fillId="52" borderId="0" applyNumberFormat="0" applyBorder="0" applyAlignment="0" applyProtection="0"/>
    <xf numFmtId="0" fontId="42" fillId="52" borderId="0" applyNumberFormat="0" applyBorder="0" applyAlignment="0" applyProtection="0"/>
    <xf numFmtId="0" fontId="42" fillId="53" borderId="0" applyNumberFormat="0" applyBorder="0" applyAlignment="0" applyProtection="0"/>
    <xf numFmtId="0" fontId="42" fillId="48" borderId="0" applyNumberFormat="0" applyBorder="0" applyAlignment="0" applyProtection="0"/>
    <xf numFmtId="0" fontId="42" fillId="54" borderId="0" applyNumberFormat="0" applyBorder="0" applyAlignment="0" applyProtection="0"/>
    <xf numFmtId="0" fontId="42" fillId="54" borderId="0" applyNumberFormat="0" applyBorder="0" applyAlignment="0" applyProtection="0"/>
    <xf numFmtId="0" fontId="42" fillId="48" borderId="0" applyNumberFormat="0" applyBorder="0" applyAlignment="0" applyProtection="0"/>
    <xf numFmtId="0" fontId="42" fillId="48" borderId="0" applyNumberFormat="0" applyBorder="0" applyAlignment="0" applyProtection="0"/>
    <xf numFmtId="0" fontId="17" fillId="12" borderId="0" applyNumberFormat="0" applyBorder="0" applyAlignment="0" applyProtection="0"/>
    <xf numFmtId="0" fontId="42" fillId="43" borderId="0" applyNumberFormat="0" applyBorder="0" applyAlignment="0" applyProtection="0"/>
    <xf numFmtId="0" fontId="42" fillId="43" borderId="0" applyNumberFormat="0" applyBorder="0" applyAlignment="0" applyProtection="0"/>
    <xf numFmtId="0" fontId="42" fillId="55" borderId="0" applyNumberFormat="0" applyBorder="0" applyAlignment="0" applyProtection="0"/>
    <xf numFmtId="0" fontId="42" fillId="43" borderId="0" applyNumberFormat="0" applyBorder="0" applyAlignment="0" applyProtection="0"/>
    <xf numFmtId="0" fontId="42" fillId="55" borderId="0" applyNumberFormat="0" applyBorder="0" applyAlignment="0" applyProtection="0"/>
    <xf numFmtId="0" fontId="17" fillId="16" borderId="0" applyNumberFormat="0" applyBorder="0" applyAlignment="0" applyProtection="0"/>
    <xf numFmtId="0" fontId="42" fillId="49" borderId="0" applyNumberFormat="0" applyBorder="0" applyAlignment="0" applyProtection="0"/>
    <xf numFmtId="0" fontId="42" fillId="49" borderId="0" applyNumberFormat="0" applyBorder="0" applyAlignment="0" applyProtection="0"/>
    <xf numFmtId="0" fontId="42" fillId="51" borderId="0" applyNumberFormat="0" applyBorder="0" applyAlignment="0" applyProtection="0"/>
    <xf numFmtId="0" fontId="42" fillId="50" borderId="0" applyNumberFormat="0" applyBorder="0" applyAlignment="0" applyProtection="0"/>
    <xf numFmtId="0" fontId="42" fillId="50" borderId="0" applyNumberFormat="0" applyBorder="0" applyAlignment="0" applyProtection="0"/>
    <xf numFmtId="0" fontId="42" fillId="51" borderId="0" applyNumberFormat="0" applyBorder="0" applyAlignment="0" applyProtection="0"/>
    <xf numFmtId="0" fontId="42" fillId="51" borderId="0" applyNumberFormat="0" applyBorder="0" applyAlignment="0" applyProtection="0"/>
    <xf numFmtId="0" fontId="17" fillId="20" borderId="0" applyNumberFormat="0" applyBorder="0" applyAlignment="0" applyProtection="0"/>
    <xf numFmtId="0" fontId="42" fillId="39" borderId="0" applyNumberFormat="0" applyBorder="0" applyAlignment="0" applyProtection="0"/>
    <xf numFmtId="0" fontId="42" fillId="39" borderId="0" applyNumberFormat="0" applyBorder="0" applyAlignment="0" applyProtection="0"/>
    <xf numFmtId="0" fontId="42" fillId="44" borderId="0" applyNumberFormat="0" applyBorder="0" applyAlignment="0" applyProtection="0"/>
    <xf numFmtId="0" fontId="42" fillId="56" borderId="0" applyNumberFormat="0" applyBorder="0" applyAlignment="0" applyProtection="0"/>
    <xf numFmtId="0" fontId="42" fillId="56" borderId="0" applyNumberFormat="0" applyBorder="0" applyAlignment="0" applyProtection="0"/>
    <xf numFmtId="0" fontId="42" fillId="44" borderId="0" applyNumberFormat="0" applyBorder="0" applyAlignment="0" applyProtection="0"/>
    <xf numFmtId="0" fontId="42" fillId="44" borderId="0" applyNumberFormat="0" applyBorder="0" applyAlignment="0" applyProtection="0"/>
    <xf numFmtId="0" fontId="17" fillId="24" borderId="0" applyNumberFormat="0" applyBorder="0" applyAlignment="0" applyProtection="0"/>
    <xf numFmtId="0" fontId="42" fillId="52" borderId="0" applyNumberFormat="0" applyBorder="0" applyAlignment="0" applyProtection="0"/>
    <xf numFmtId="0" fontId="42" fillId="52" borderId="0" applyNumberFormat="0" applyBorder="0" applyAlignment="0" applyProtection="0"/>
    <xf numFmtId="0" fontId="42" fillId="53" borderId="0" applyNumberFormat="0" applyBorder="0" applyAlignment="0" applyProtection="0"/>
    <xf numFmtId="0" fontId="42" fillId="48" borderId="0" applyNumberFormat="0" applyBorder="0" applyAlignment="0" applyProtection="0"/>
    <xf numFmtId="0" fontId="42" fillId="52" borderId="0" applyNumberFormat="0" applyBorder="0" applyAlignment="0" applyProtection="0"/>
    <xf numFmtId="0" fontId="42" fillId="48" borderId="0" applyNumberFormat="0" applyBorder="0" applyAlignment="0" applyProtection="0"/>
    <xf numFmtId="0" fontId="17" fillId="28" borderId="0" applyNumberFormat="0" applyBorder="0" applyAlignment="0" applyProtection="0"/>
    <xf numFmtId="0" fontId="42" fillId="43" borderId="0" applyNumberFormat="0" applyBorder="0" applyAlignment="0" applyProtection="0"/>
    <xf numFmtId="0" fontId="42" fillId="57" borderId="0" applyNumberFormat="0" applyBorder="0" applyAlignment="0" applyProtection="0"/>
    <xf numFmtId="0" fontId="42" fillId="43" borderId="0" applyNumberFormat="0" applyBorder="0" applyAlignment="0" applyProtection="0"/>
    <xf numFmtId="0" fontId="17" fillId="32" borderId="0" applyNumberFormat="0" applyBorder="0" applyAlignment="0" applyProtection="0"/>
    <xf numFmtId="0" fontId="42" fillId="52" borderId="0" applyNumberFormat="0" applyBorder="0" applyAlignment="0" applyProtection="0"/>
    <xf numFmtId="0" fontId="42" fillId="52" borderId="0" applyNumberFormat="0" applyBorder="0" applyAlignment="0" applyProtection="0"/>
    <xf numFmtId="0" fontId="42" fillId="53" borderId="0" applyNumberFormat="0" applyBorder="0" applyAlignment="0" applyProtection="0"/>
    <xf numFmtId="0" fontId="42" fillId="58" borderId="0" applyNumberFormat="0" applyBorder="0" applyAlignment="0" applyProtection="0"/>
    <xf numFmtId="0" fontId="42" fillId="59" borderId="0" applyNumberFormat="0" applyBorder="0" applyAlignment="0" applyProtection="0"/>
    <xf numFmtId="0" fontId="42" fillId="59" borderId="0" applyNumberFormat="0" applyBorder="0" applyAlignment="0" applyProtection="0"/>
    <xf numFmtId="0" fontId="42" fillId="58" borderId="0" applyNumberFormat="0" applyBorder="0" applyAlignment="0" applyProtection="0"/>
    <xf numFmtId="0" fontId="42" fillId="58" borderId="0" applyNumberFormat="0" applyBorder="0" applyAlignment="0" applyProtection="0"/>
    <xf numFmtId="0" fontId="17" fillId="9" borderId="0" applyNumberFormat="0" applyBorder="0" applyAlignment="0" applyProtection="0"/>
    <xf numFmtId="0" fontId="42" fillId="60" borderId="0" applyNumberFormat="0" applyBorder="0" applyAlignment="0" applyProtection="0"/>
    <xf numFmtId="0" fontId="42" fillId="60" borderId="0" applyNumberFormat="0" applyBorder="0" applyAlignment="0" applyProtection="0"/>
    <xf numFmtId="0" fontId="42" fillId="55" borderId="0" applyNumberFormat="0" applyBorder="0" applyAlignment="0" applyProtection="0"/>
    <xf numFmtId="0" fontId="42" fillId="60" borderId="0" applyNumberFormat="0" applyBorder="0" applyAlignment="0" applyProtection="0"/>
    <xf numFmtId="0" fontId="42" fillId="55" borderId="0" applyNumberFormat="0" applyBorder="0" applyAlignment="0" applyProtection="0"/>
    <xf numFmtId="0" fontId="17" fillId="13" borderId="0" applyNumberFormat="0" applyBorder="0" applyAlignment="0" applyProtection="0"/>
    <xf numFmtId="0" fontId="42" fillId="61" borderId="0" applyNumberFormat="0" applyBorder="0" applyAlignment="0" applyProtection="0"/>
    <xf numFmtId="0" fontId="42" fillId="61" borderId="0" applyNumberFormat="0" applyBorder="0" applyAlignment="0" applyProtection="0"/>
    <xf numFmtId="0" fontId="42" fillId="58" borderId="0" applyNumberFormat="0" applyBorder="0" applyAlignment="0" applyProtection="0"/>
    <xf numFmtId="0" fontId="42" fillId="51" borderId="0" applyNumberFormat="0" applyBorder="0" applyAlignment="0" applyProtection="0"/>
    <xf numFmtId="0" fontId="42" fillId="61" borderId="0" applyNumberFormat="0" applyBorder="0" applyAlignment="0" applyProtection="0"/>
    <xf numFmtId="0" fontId="42" fillId="51" borderId="0" applyNumberFormat="0" applyBorder="0" applyAlignment="0" applyProtection="0"/>
    <xf numFmtId="0" fontId="17" fillId="17" borderId="0" applyNumberFormat="0" applyBorder="0" applyAlignment="0" applyProtection="0"/>
    <xf numFmtId="0" fontId="42" fillId="55" borderId="0" applyNumberFormat="0" applyBorder="0" applyAlignment="0" applyProtection="0"/>
    <xf numFmtId="0" fontId="42" fillId="55" borderId="0" applyNumberFormat="0" applyBorder="0" applyAlignment="0" applyProtection="0"/>
    <xf numFmtId="0" fontId="42" fillId="62" borderId="0" applyNumberFormat="0" applyBorder="0" applyAlignment="0" applyProtection="0"/>
    <xf numFmtId="0" fontId="42" fillId="62" borderId="0" applyNumberFormat="0" applyBorder="0" applyAlignment="0" applyProtection="0"/>
    <xf numFmtId="0" fontId="42" fillId="56" borderId="0" applyNumberFormat="0" applyBorder="0" applyAlignment="0" applyProtection="0"/>
    <xf numFmtId="0" fontId="42" fillId="62" borderId="0" applyNumberFormat="0" applyBorder="0" applyAlignment="0" applyProtection="0"/>
    <xf numFmtId="0" fontId="17" fillId="21" borderId="0" applyNumberFormat="0" applyBorder="0" applyAlignment="0" applyProtection="0"/>
    <xf numFmtId="0" fontId="42" fillId="53" borderId="0" applyNumberFormat="0" applyBorder="0" applyAlignment="0" applyProtection="0"/>
    <xf numFmtId="0" fontId="42" fillId="53" borderId="0" applyNumberFormat="0" applyBorder="0" applyAlignment="0" applyProtection="0"/>
    <xf numFmtId="0" fontId="42" fillId="52" borderId="0" applyNumberFormat="0" applyBorder="0" applyAlignment="0" applyProtection="0"/>
    <xf numFmtId="0" fontId="42" fillId="52" borderId="0" applyNumberFormat="0" applyBorder="0" applyAlignment="0" applyProtection="0"/>
    <xf numFmtId="0" fontId="17" fillId="25" borderId="0" applyNumberFormat="0" applyBorder="0" applyAlignment="0" applyProtection="0"/>
    <xf numFmtId="0" fontId="42" fillId="55" borderId="0" applyNumberFormat="0" applyBorder="0" applyAlignment="0" applyProtection="0"/>
    <xf numFmtId="0" fontId="42" fillId="55" borderId="0" applyNumberFormat="0" applyBorder="0" applyAlignment="0" applyProtection="0"/>
    <xf numFmtId="0" fontId="42" fillId="57" borderId="0" applyNumberFormat="0" applyBorder="0" applyAlignment="0" applyProtection="0"/>
    <xf numFmtId="0" fontId="42" fillId="60" borderId="0" applyNumberFormat="0" applyBorder="0" applyAlignment="0" applyProtection="0"/>
    <xf numFmtId="0" fontId="42" fillId="55" borderId="0" applyNumberFormat="0" applyBorder="0" applyAlignment="0" applyProtection="0"/>
    <xf numFmtId="0" fontId="42" fillId="60" borderId="0" applyNumberFormat="0" applyBorder="0" applyAlignment="0" applyProtection="0"/>
    <xf numFmtId="0" fontId="17" fillId="29" borderId="0" applyNumberFormat="0" applyBorder="0" applyAlignment="0" applyProtection="0"/>
    <xf numFmtId="41" fontId="30" fillId="0" borderId="0"/>
    <xf numFmtId="41" fontId="30" fillId="0" borderId="0"/>
    <xf numFmtId="41" fontId="30" fillId="0" borderId="0"/>
    <xf numFmtId="41" fontId="30" fillId="0" borderId="0"/>
    <xf numFmtId="49" fontId="43" fillId="0" borderId="0" applyFill="0" applyBorder="0" applyAlignment="0" applyProtection="0"/>
    <xf numFmtId="0" fontId="44" fillId="0" borderId="14" applyBorder="0">
      <alignment horizontal="center" vertical="center" wrapText="1"/>
    </xf>
    <xf numFmtId="0" fontId="45" fillId="44" borderId="0" applyNumberFormat="0" applyBorder="0" applyAlignment="0" applyProtection="0"/>
    <xf numFmtId="0" fontId="45" fillId="44" borderId="0" applyNumberFormat="0" applyBorder="0" applyAlignment="0" applyProtection="0"/>
    <xf numFmtId="0" fontId="45" fillId="47" borderId="0" applyNumberFormat="0" applyBorder="0" applyAlignment="0" applyProtection="0"/>
    <xf numFmtId="0" fontId="45" fillId="44" borderId="0" applyNumberFormat="0" applyBorder="0" applyAlignment="0" applyProtection="0"/>
    <xf numFmtId="0" fontId="45" fillId="47" borderId="0" applyNumberFormat="0" applyBorder="0" applyAlignment="0" applyProtection="0"/>
    <xf numFmtId="0" fontId="7" fillId="3" borderId="0" applyNumberFormat="0" applyBorder="0" applyAlignment="0" applyProtection="0"/>
    <xf numFmtId="3" fontId="30" fillId="0" borderId="0"/>
    <xf numFmtId="3" fontId="30" fillId="0" borderId="0"/>
    <xf numFmtId="3" fontId="30" fillId="0" borderId="0"/>
    <xf numFmtId="3" fontId="30" fillId="0" borderId="0"/>
    <xf numFmtId="0" fontId="46" fillId="63" borderId="15" applyNumberFormat="0" applyAlignment="0" applyProtection="0"/>
    <xf numFmtId="0" fontId="46" fillId="63" borderId="15" applyNumberFormat="0" applyAlignment="0" applyProtection="0"/>
    <xf numFmtId="0" fontId="47" fillId="63" borderId="15" applyNumberFormat="0" applyAlignment="0" applyProtection="0"/>
    <xf numFmtId="0" fontId="48" fillId="63" borderId="15" applyNumberFormat="0" applyAlignment="0" applyProtection="0"/>
    <xf numFmtId="0" fontId="46" fillId="39" borderId="15" applyNumberFormat="0" applyAlignment="0" applyProtection="0"/>
    <xf numFmtId="0" fontId="46" fillId="39" borderId="15" applyNumberFormat="0" applyAlignment="0" applyProtection="0"/>
    <xf numFmtId="0" fontId="48" fillId="63" borderId="15" applyNumberFormat="0" applyAlignment="0" applyProtection="0"/>
    <xf numFmtId="0" fontId="48" fillId="63" borderId="15" applyNumberFormat="0" applyAlignment="0" applyProtection="0"/>
    <xf numFmtId="0" fontId="11" fillId="6" borderId="4" applyNumberFormat="0" applyAlignment="0" applyProtection="0"/>
    <xf numFmtId="0" fontId="49" fillId="64" borderId="16" applyNumberFormat="0" applyAlignment="0" applyProtection="0"/>
    <xf numFmtId="0" fontId="49" fillId="64" borderId="16" applyNumberFormat="0" applyAlignment="0" applyProtection="0"/>
    <xf numFmtId="0" fontId="49" fillId="65" borderId="17" applyNumberFormat="0" applyAlignment="0" applyProtection="0"/>
    <xf numFmtId="0" fontId="49" fillId="65" borderId="17" applyNumberFormat="0" applyAlignment="0" applyProtection="0"/>
    <xf numFmtId="0" fontId="13" fillId="7" borderId="7" applyNumberFormat="0" applyAlignment="0" applyProtection="0"/>
    <xf numFmtId="0" fontId="50" fillId="66" borderId="0" applyNumberFormat="0" applyBorder="0" applyAlignment="0" applyProtection="0">
      <alignment horizontal="center"/>
      <protection hidden="1"/>
    </xf>
    <xf numFmtId="0" fontId="30" fillId="67" borderId="0">
      <alignment horizontal="center"/>
    </xf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52" fillId="0" borderId="0" applyFont="0" applyFill="0" applyBorder="0" applyAlignment="0" applyProtection="0">
      <alignment vertical="top"/>
    </xf>
    <xf numFmtId="43" fontId="41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2" fillId="0" borderId="0" applyFont="0" applyFill="0" applyBorder="0" applyAlignment="0" applyProtection="0">
      <alignment vertical="top"/>
    </xf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" fontId="52" fillId="0" borderId="0"/>
    <xf numFmtId="3" fontId="55" fillId="0" borderId="0" applyFont="0" applyFill="0" applyBorder="0" applyAlignment="0" applyProtection="0"/>
    <xf numFmtId="0" fontId="56" fillId="0" borderId="0"/>
    <xf numFmtId="0" fontId="56" fillId="0" borderId="0"/>
    <xf numFmtId="0" fontId="57" fillId="68" borderId="13" applyAlignment="0">
      <alignment horizontal="right"/>
      <protection locked="0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2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59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3" fillId="0" borderId="0" applyFont="0" applyFill="0" applyBorder="0" applyAlignment="0" applyProtection="0"/>
    <xf numFmtId="44" fontId="53" fillId="0" borderId="0" applyFont="0" applyFill="0" applyBorder="0" applyAlignment="0" applyProtection="0"/>
    <xf numFmtId="44" fontId="59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5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0" fillId="0" borderId="0" applyFont="0" applyFill="0" applyBorder="0" applyAlignment="0" applyProtection="0">
      <alignment wrapText="1"/>
    </xf>
    <xf numFmtId="44" fontId="4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0" fillId="0" borderId="0" applyFont="0" applyFill="0" applyBorder="0" applyAlignment="0" applyProtection="0"/>
    <xf numFmtId="167" fontId="55" fillId="0" borderId="0" applyFont="0" applyFill="0" applyBorder="0" applyAlignment="0" applyProtection="0"/>
    <xf numFmtId="0" fontId="61" fillId="69" borderId="0">
      <alignment horizontal="right"/>
      <protection locked="0"/>
    </xf>
    <xf numFmtId="14" fontId="30" fillId="0" borderId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30" fillId="0" borderId="0"/>
    <xf numFmtId="2" fontId="61" fillId="69" borderId="0">
      <alignment horizontal="right"/>
      <protection locked="0"/>
    </xf>
    <xf numFmtId="1" fontId="30" fillId="0" borderId="0">
      <alignment horizontal="center"/>
    </xf>
    <xf numFmtId="0" fontId="63" fillId="46" borderId="0" applyNumberFormat="0" applyBorder="0" applyAlignment="0" applyProtection="0"/>
    <xf numFmtId="0" fontId="63" fillId="46" borderId="0" applyNumberFormat="0" applyBorder="0" applyAlignment="0" applyProtection="0"/>
    <xf numFmtId="0" fontId="63" fillId="46" borderId="0" applyNumberFormat="0" applyBorder="0" applyAlignment="0" applyProtection="0"/>
    <xf numFmtId="0" fontId="63" fillId="48" borderId="0" applyNumberFormat="0" applyBorder="0" applyAlignment="0" applyProtection="0"/>
    <xf numFmtId="0" fontId="63" fillId="48" borderId="0" applyNumberFormat="0" applyBorder="0" applyAlignment="0" applyProtection="0"/>
    <xf numFmtId="0" fontId="63" fillId="46" borderId="0" applyNumberFormat="0" applyBorder="0" applyAlignment="0" applyProtection="0"/>
    <xf numFmtId="0" fontId="63" fillId="48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4" fillId="0" borderId="18" applyNumberFormat="0" applyFill="0" applyAlignment="0" applyProtection="0"/>
    <xf numFmtId="0" fontId="64" fillId="0" borderId="18" applyNumberFormat="0" applyFill="0" applyAlignment="0" applyProtection="0"/>
    <xf numFmtId="0" fontId="65" fillId="0" borderId="19" applyNumberFormat="0" applyFill="0" applyAlignment="0" applyProtection="0"/>
    <xf numFmtId="0" fontId="64" fillId="0" borderId="20" applyNumberFormat="0" applyFill="0" applyAlignment="0" applyProtection="0"/>
    <xf numFmtId="0" fontId="66" fillId="0" borderId="21" applyNumberFormat="0" applyFill="0" applyAlignment="0" applyProtection="0"/>
    <xf numFmtId="0" fontId="66" fillId="0" borderId="21" applyNumberFormat="0" applyFill="0" applyAlignment="0" applyProtection="0"/>
    <xf numFmtId="0" fontId="64" fillId="0" borderId="20" applyNumberFormat="0" applyFill="0" applyAlignment="0" applyProtection="0"/>
    <xf numFmtId="0" fontId="64" fillId="0" borderId="20" applyNumberFormat="0" applyFill="0" applyAlignment="0" applyProtection="0"/>
    <xf numFmtId="0" fontId="3" fillId="0" borderId="1" applyNumberFormat="0" applyFill="0" applyAlignment="0" applyProtection="0"/>
    <xf numFmtId="0" fontId="67" fillId="0" borderId="22" applyNumberFormat="0" applyFill="0" applyAlignment="0" applyProtection="0"/>
    <xf numFmtId="0" fontId="67" fillId="0" borderId="22" applyNumberFormat="0" applyFill="0" applyAlignment="0" applyProtection="0"/>
    <xf numFmtId="0" fontId="68" fillId="0" borderId="22" applyNumberFormat="0" applyFill="0" applyAlignment="0" applyProtection="0"/>
    <xf numFmtId="0" fontId="67" fillId="0" borderId="23" applyNumberFormat="0" applyFill="0" applyAlignment="0" applyProtection="0"/>
    <xf numFmtId="0" fontId="69" fillId="0" borderId="22" applyNumberFormat="0" applyFill="0" applyAlignment="0" applyProtection="0"/>
    <xf numFmtId="0" fontId="69" fillId="0" borderId="22" applyNumberFormat="0" applyFill="0" applyAlignment="0" applyProtection="0"/>
    <xf numFmtId="0" fontId="67" fillId="0" borderId="23" applyNumberFormat="0" applyFill="0" applyAlignment="0" applyProtection="0"/>
    <xf numFmtId="0" fontId="67" fillId="0" borderId="23" applyNumberFormat="0" applyFill="0" applyAlignment="0" applyProtection="0"/>
    <xf numFmtId="0" fontId="4" fillId="0" borderId="2" applyNumberFormat="0" applyFill="0" applyAlignment="0" applyProtection="0"/>
    <xf numFmtId="0" fontId="70" fillId="0" borderId="24" applyNumberFormat="0" applyFill="0" applyAlignment="0" applyProtection="0"/>
    <xf numFmtId="0" fontId="70" fillId="0" borderId="24" applyNumberFormat="0" applyFill="0" applyAlignment="0" applyProtection="0"/>
    <xf numFmtId="0" fontId="71" fillId="0" borderId="25" applyNumberFormat="0" applyFill="0" applyAlignment="0" applyProtection="0"/>
    <xf numFmtId="0" fontId="70" fillId="0" borderId="26" applyNumberFormat="0" applyFill="0" applyAlignment="0" applyProtection="0"/>
    <xf numFmtId="0" fontId="72" fillId="0" borderId="27" applyNumberFormat="0" applyFill="0" applyAlignment="0" applyProtection="0"/>
    <xf numFmtId="0" fontId="72" fillId="0" borderId="27" applyNumberFormat="0" applyFill="0" applyAlignment="0" applyProtection="0"/>
    <xf numFmtId="0" fontId="70" fillId="0" borderId="26" applyNumberFormat="0" applyFill="0" applyAlignment="0" applyProtection="0"/>
    <xf numFmtId="0" fontId="70" fillId="0" borderId="26" applyNumberFormat="0" applyFill="0" applyAlignment="0" applyProtection="0"/>
    <xf numFmtId="0" fontId="5" fillId="0" borderId="3" applyNumberFormat="0" applyFill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3" fillId="0" borderId="0" applyNumberFormat="0" applyFill="0" applyBorder="0" applyAlignment="0" applyProtection="0">
      <alignment vertical="top"/>
      <protection locked="0"/>
    </xf>
    <xf numFmtId="0" fontId="74" fillId="0" borderId="0" applyNumberFormat="0" applyFill="0" applyBorder="0" applyAlignment="0" applyProtection="0">
      <alignment vertical="top"/>
      <protection locked="0"/>
    </xf>
    <xf numFmtId="0" fontId="75" fillId="0" borderId="0" applyNumberFormat="0" applyFill="0" applyBorder="0" applyAlignment="0" applyProtection="0">
      <alignment vertical="top"/>
      <protection locked="0"/>
    </xf>
    <xf numFmtId="0" fontId="73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80" fillId="49" borderId="15" applyNumberFormat="0" applyAlignment="0" applyProtection="0"/>
    <xf numFmtId="0" fontId="80" fillId="49" borderId="15" applyNumberFormat="0" applyAlignment="0" applyProtection="0"/>
    <xf numFmtId="0" fontId="81" fillId="49" borderId="15" applyNumberFormat="0" applyAlignment="0" applyProtection="0"/>
    <xf numFmtId="0" fontId="81" fillId="49" borderId="15" applyNumberFormat="0" applyAlignment="0" applyProtection="0"/>
    <xf numFmtId="0" fontId="81" fillId="40" borderId="15" applyNumberFormat="0" applyAlignment="0" applyProtection="0"/>
    <xf numFmtId="0" fontId="81" fillId="49" borderId="15" applyNumberFormat="0" applyAlignment="0" applyProtection="0"/>
    <xf numFmtId="0" fontId="9" fillId="5" borderId="4" applyNumberFormat="0" applyAlignment="0" applyProtection="0"/>
    <xf numFmtId="3" fontId="82" fillId="70" borderId="0">
      <protection locked="0"/>
    </xf>
    <xf numFmtId="4" fontId="82" fillId="70" borderId="0">
      <protection locked="0"/>
    </xf>
    <xf numFmtId="0" fontId="44" fillId="0" borderId="14" applyBorder="0">
      <alignment horizontal="center" vertical="center" wrapText="1"/>
    </xf>
    <xf numFmtId="0" fontId="83" fillId="0" borderId="28" applyNumberFormat="0" applyFill="0" applyAlignment="0" applyProtection="0"/>
    <xf numFmtId="0" fontId="83" fillId="0" borderId="28" applyNumberFormat="0" applyFill="0" applyAlignment="0" applyProtection="0"/>
    <xf numFmtId="0" fontId="84" fillId="0" borderId="29" applyNumberFormat="0" applyFill="0" applyAlignment="0" applyProtection="0"/>
    <xf numFmtId="0" fontId="85" fillId="0" borderId="30" applyNumberFormat="0" applyFill="0" applyAlignment="0" applyProtection="0"/>
    <xf numFmtId="0" fontId="83" fillId="0" borderId="28" applyNumberFormat="0" applyFill="0" applyAlignment="0" applyProtection="0"/>
    <xf numFmtId="0" fontId="85" fillId="0" borderId="30" applyNumberFormat="0" applyFill="0" applyAlignment="0" applyProtection="0"/>
    <xf numFmtId="0" fontId="12" fillId="0" borderId="6" applyNumberFormat="0" applyFill="0" applyAlignment="0" applyProtection="0"/>
    <xf numFmtId="0" fontId="86" fillId="4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NumberFormat="0" applyBorder="0" applyAlignment="0" applyProtection="0"/>
    <xf numFmtId="0" fontId="88" fillId="49" borderId="0" applyNumberFormat="0" applyBorder="0" applyAlignment="0" applyProtection="0"/>
    <xf numFmtId="0" fontId="86" fillId="49" borderId="0" applyNumberFormat="0" applyBorder="0" applyAlignment="0" applyProtection="0"/>
    <xf numFmtId="0" fontId="88" fillId="49" borderId="0" applyNumberFormat="0" applyBorder="0" applyAlignment="0" applyProtection="0"/>
    <xf numFmtId="0" fontId="8" fillId="4" borderId="0" applyNumberFormat="0" applyBorder="0" applyAlignment="0" applyProtection="0"/>
    <xf numFmtId="43" fontId="30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30" fillId="0" borderId="0"/>
    <xf numFmtId="0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1" fillId="0" borderId="0"/>
    <xf numFmtId="0" fontId="1" fillId="0" borderId="0"/>
    <xf numFmtId="0" fontId="41" fillId="0" borderId="0"/>
    <xf numFmtId="0" fontId="30" fillId="0" borderId="0"/>
    <xf numFmtId="0" fontId="30" fillId="0" borderId="0"/>
    <xf numFmtId="0" fontId="30" fillId="0" borderId="0">
      <alignment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30" fillId="0" borderId="0"/>
    <xf numFmtId="0" fontId="1" fillId="0" borderId="0"/>
    <xf numFmtId="0" fontId="30" fillId="0" borderId="0"/>
    <xf numFmtId="0" fontId="41" fillId="0" borderId="0"/>
    <xf numFmtId="0" fontId="41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41" fillId="0" borderId="0"/>
    <xf numFmtId="0" fontId="30" fillId="0" borderId="0"/>
    <xf numFmtId="0" fontId="1" fillId="0" borderId="0"/>
    <xf numFmtId="0" fontId="41" fillId="0" borderId="0"/>
    <xf numFmtId="0" fontId="30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89" fillId="0" borderId="0"/>
    <xf numFmtId="0" fontId="41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9" fillId="0" borderId="0"/>
    <xf numFmtId="0" fontId="41" fillId="0" borderId="0"/>
    <xf numFmtId="0" fontId="41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89" fillId="0" borderId="0"/>
    <xf numFmtId="0" fontId="51" fillId="0" borderId="0"/>
    <xf numFmtId="0" fontId="41" fillId="0" borderId="0"/>
    <xf numFmtId="0" fontId="1" fillId="0" borderId="0"/>
    <xf numFmtId="0" fontId="1" fillId="0" borderId="0"/>
    <xf numFmtId="0" fontId="1" fillId="0" borderId="0"/>
    <xf numFmtId="0" fontId="55" fillId="0" borderId="0"/>
    <xf numFmtId="0" fontId="58" fillId="0" borderId="0"/>
    <xf numFmtId="0" fontId="1" fillId="0" borderId="0"/>
    <xf numFmtId="0" fontId="1" fillId="0" borderId="0"/>
    <xf numFmtId="0" fontId="1" fillId="0" borderId="0"/>
    <xf numFmtId="0" fontId="51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58" fillId="0" borderId="0"/>
    <xf numFmtId="0" fontId="30" fillId="0" borderId="0"/>
    <xf numFmtId="0" fontId="51" fillId="0" borderId="0"/>
    <xf numFmtId="0" fontId="1" fillId="0" borderId="0"/>
    <xf numFmtId="0" fontId="41" fillId="0" borderId="0"/>
    <xf numFmtId="0" fontId="1" fillId="0" borderId="0"/>
    <xf numFmtId="0" fontId="58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58" fillId="0" borderId="0"/>
    <xf numFmtId="0" fontId="1" fillId="0" borderId="0"/>
    <xf numFmtId="0" fontId="41" fillId="0" borderId="0"/>
    <xf numFmtId="0" fontId="41" fillId="0" borderId="0"/>
    <xf numFmtId="0" fontId="1" fillId="0" borderId="0"/>
    <xf numFmtId="0" fontId="58" fillId="0" borderId="0"/>
    <xf numFmtId="0" fontId="30" fillId="0" borderId="0"/>
    <xf numFmtId="0" fontId="30" fillId="0" borderId="0"/>
    <xf numFmtId="0" fontId="89" fillId="0" borderId="0"/>
    <xf numFmtId="0" fontId="1" fillId="0" borderId="0"/>
    <xf numFmtId="0" fontId="58" fillId="0" borderId="0"/>
    <xf numFmtId="0" fontId="41" fillId="0" borderId="0"/>
    <xf numFmtId="0" fontId="41" fillId="0" borderId="0"/>
    <xf numFmtId="0" fontId="30" fillId="0" borderId="0"/>
    <xf numFmtId="0" fontId="58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1" fillId="0" borderId="0"/>
    <xf numFmtId="0" fontId="41" fillId="0" borderId="0"/>
    <xf numFmtId="0" fontId="41" fillId="0" borderId="0"/>
    <xf numFmtId="0" fontId="30" fillId="0" borderId="0"/>
    <xf numFmtId="0" fontId="58" fillId="0" borderId="0"/>
    <xf numFmtId="0" fontId="30" fillId="0" borderId="0"/>
    <xf numFmtId="0" fontId="1" fillId="0" borderId="0"/>
    <xf numFmtId="0" fontId="58" fillId="0" borderId="0"/>
    <xf numFmtId="0" fontId="41" fillId="0" borderId="0"/>
    <xf numFmtId="0" fontId="41" fillId="0" borderId="0"/>
    <xf numFmtId="0" fontId="1" fillId="0" borderId="0"/>
    <xf numFmtId="0" fontId="58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1" fillId="0" borderId="0"/>
    <xf numFmtId="0" fontId="41" fillId="0" borderId="0"/>
    <xf numFmtId="0" fontId="58" fillId="0" borderId="0"/>
    <xf numFmtId="0" fontId="30" fillId="0" borderId="0"/>
    <xf numFmtId="0" fontId="1" fillId="0" borderId="0"/>
    <xf numFmtId="0" fontId="58" fillId="0" borderId="0"/>
    <xf numFmtId="0" fontId="30" fillId="0" borderId="0"/>
    <xf numFmtId="0" fontId="4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40" fontId="60" fillId="0" borderId="0"/>
    <xf numFmtId="0" fontId="30" fillId="0" borderId="0"/>
    <xf numFmtId="40" fontId="60" fillId="0" borderId="0"/>
    <xf numFmtId="0" fontId="1" fillId="0" borderId="0"/>
    <xf numFmtId="0" fontId="30" fillId="0" borderId="0"/>
    <xf numFmtId="168" fontId="58" fillId="0" borderId="0"/>
    <xf numFmtId="168" fontId="58" fillId="0" borderId="0"/>
    <xf numFmtId="0" fontId="30" fillId="0" borderId="0"/>
    <xf numFmtId="0" fontId="30" fillId="0" borderId="0"/>
    <xf numFmtId="0" fontId="1" fillId="0" borderId="0"/>
    <xf numFmtId="0" fontId="30" fillId="0" borderId="0"/>
    <xf numFmtId="0" fontId="30" fillId="0" borderId="0"/>
    <xf numFmtId="0" fontId="1" fillId="0" borderId="0"/>
    <xf numFmtId="0" fontId="41" fillId="0" borderId="0"/>
    <xf numFmtId="0" fontId="58" fillId="0" borderId="0"/>
    <xf numFmtId="0" fontId="58" fillId="0" borderId="0"/>
    <xf numFmtId="168" fontId="58" fillId="0" borderId="0"/>
    <xf numFmtId="0" fontId="1" fillId="0" borderId="0"/>
    <xf numFmtId="0" fontId="41" fillId="0" borderId="0"/>
    <xf numFmtId="0" fontId="30" fillId="0" borderId="0">
      <alignment vertical="top"/>
    </xf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1" fillId="0" borderId="0"/>
    <xf numFmtId="0" fontId="30" fillId="0" borderId="0">
      <alignment wrapText="1"/>
    </xf>
    <xf numFmtId="0" fontId="30" fillId="0" borderId="0"/>
    <xf numFmtId="0" fontId="30" fillId="0" borderId="0">
      <alignment wrapText="1"/>
    </xf>
    <xf numFmtId="0" fontId="58" fillId="0" borderId="0"/>
    <xf numFmtId="0" fontId="52" fillId="0" borderId="0">
      <alignment vertical="top"/>
    </xf>
    <xf numFmtId="0" fontId="58" fillId="0" borderId="0"/>
    <xf numFmtId="0" fontId="41" fillId="0" borderId="0"/>
    <xf numFmtId="0" fontId="41" fillId="0" borderId="0"/>
    <xf numFmtId="0" fontId="1" fillId="0" borderId="0"/>
    <xf numFmtId="0" fontId="30" fillId="0" borderId="0"/>
    <xf numFmtId="0" fontId="58" fillId="0" borderId="0"/>
    <xf numFmtId="0" fontId="58" fillId="0" borderId="0"/>
    <xf numFmtId="0" fontId="41" fillId="0" borderId="0"/>
    <xf numFmtId="0" fontId="41" fillId="0" borderId="0"/>
    <xf numFmtId="0" fontId="1" fillId="0" borderId="0"/>
    <xf numFmtId="0" fontId="30" fillId="0" borderId="0"/>
    <xf numFmtId="0" fontId="58" fillId="0" borderId="0"/>
    <xf numFmtId="0" fontId="58" fillId="0" borderId="0"/>
    <xf numFmtId="0" fontId="30" fillId="0" borderId="0"/>
    <xf numFmtId="0" fontId="30" fillId="0" borderId="0"/>
    <xf numFmtId="0" fontId="1" fillId="0" borderId="0"/>
    <xf numFmtId="0" fontId="30" fillId="0" borderId="0">
      <alignment wrapText="1"/>
    </xf>
    <xf numFmtId="0" fontId="30" fillId="0" borderId="0">
      <alignment wrapText="1"/>
    </xf>
    <xf numFmtId="0" fontId="30" fillId="0" borderId="0"/>
    <xf numFmtId="0" fontId="58" fillId="0" borderId="0"/>
    <xf numFmtId="0" fontId="58" fillId="0" borderId="0"/>
    <xf numFmtId="0" fontId="52" fillId="0" borderId="0">
      <alignment vertical="top"/>
    </xf>
    <xf numFmtId="0" fontId="30" fillId="0" borderId="0"/>
    <xf numFmtId="0" fontId="1" fillId="0" borderId="0"/>
    <xf numFmtId="0" fontId="52" fillId="0" borderId="0">
      <alignment vertical="top"/>
    </xf>
    <xf numFmtId="0" fontId="30" fillId="0" borderId="0"/>
    <xf numFmtId="0" fontId="58" fillId="0" borderId="0"/>
    <xf numFmtId="0" fontId="58" fillId="0" borderId="0"/>
    <xf numFmtId="0" fontId="30" fillId="0" borderId="0"/>
    <xf numFmtId="0" fontId="1" fillId="0" borderId="0"/>
    <xf numFmtId="0" fontId="58" fillId="0" borderId="0"/>
    <xf numFmtId="0" fontId="30" fillId="0" borderId="0"/>
    <xf numFmtId="0" fontId="58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30" fillId="0" borderId="0"/>
    <xf numFmtId="0" fontId="30" fillId="0" borderId="0"/>
    <xf numFmtId="0" fontId="1" fillId="0" borderId="0"/>
    <xf numFmtId="0" fontId="1" fillId="0" borderId="0"/>
    <xf numFmtId="0" fontId="55" fillId="0" borderId="0"/>
    <xf numFmtId="0" fontId="55" fillId="0" borderId="0"/>
    <xf numFmtId="0" fontId="30" fillId="0" borderId="0"/>
    <xf numFmtId="0" fontId="58" fillId="0" borderId="0"/>
    <xf numFmtId="0" fontId="52" fillId="0" borderId="0">
      <alignment vertical="top"/>
    </xf>
    <xf numFmtId="0" fontId="30" fillId="0" borderId="0"/>
    <xf numFmtId="0" fontId="30" fillId="0" borderId="0"/>
    <xf numFmtId="0" fontId="1" fillId="0" borderId="0"/>
    <xf numFmtId="0" fontId="30" fillId="0" borderId="0"/>
    <xf numFmtId="0" fontId="58" fillId="0" borderId="0"/>
    <xf numFmtId="0" fontId="30" fillId="0" borderId="0"/>
    <xf numFmtId="0" fontId="1" fillId="0" borderId="0"/>
    <xf numFmtId="0" fontId="30" fillId="0" borderId="0"/>
    <xf numFmtId="0" fontId="58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30" fillId="0" borderId="0"/>
    <xf numFmtId="0" fontId="1" fillId="0" borderId="0"/>
    <xf numFmtId="0" fontId="41" fillId="0" borderId="0"/>
    <xf numFmtId="0" fontId="58" fillId="0" borderId="0"/>
    <xf numFmtId="0" fontId="41" fillId="0" borderId="0"/>
    <xf numFmtId="0" fontId="41" fillId="0" borderId="0"/>
    <xf numFmtId="0" fontId="1" fillId="0" borderId="0"/>
    <xf numFmtId="0" fontId="58" fillId="0" borderId="0"/>
    <xf numFmtId="0" fontId="1" fillId="0" borderId="0"/>
    <xf numFmtId="168" fontId="58" fillId="0" borderId="0"/>
    <xf numFmtId="0" fontId="1" fillId="0" borderId="0"/>
    <xf numFmtId="0" fontId="52" fillId="0" borderId="0">
      <alignment vertical="top"/>
    </xf>
    <xf numFmtId="0" fontId="30" fillId="0" borderId="0"/>
    <xf numFmtId="0" fontId="1" fillId="0" borderId="0"/>
    <xf numFmtId="0" fontId="30" fillId="0" borderId="0"/>
    <xf numFmtId="0" fontId="58" fillId="0" borderId="0"/>
    <xf numFmtId="0" fontId="30" fillId="0" borderId="0"/>
    <xf numFmtId="0" fontId="30" fillId="0" borderId="0"/>
    <xf numFmtId="0" fontId="1" fillId="0" borderId="0"/>
    <xf numFmtId="0" fontId="1" fillId="0" borderId="0"/>
    <xf numFmtId="0" fontId="55" fillId="0" borderId="0"/>
    <xf numFmtId="0" fontId="1" fillId="0" borderId="0"/>
    <xf numFmtId="0" fontId="55" fillId="0" borderId="0"/>
    <xf numFmtId="0" fontId="30" fillId="0" borderId="0"/>
    <xf numFmtId="0" fontId="1" fillId="0" borderId="0"/>
    <xf numFmtId="0" fontId="58" fillId="0" borderId="0"/>
    <xf numFmtId="0" fontId="58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30" fillId="0" borderId="0"/>
    <xf numFmtId="0" fontId="1" fillId="0" borderId="0"/>
    <xf numFmtId="0" fontId="58" fillId="0" borderId="0"/>
    <xf numFmtId="0" fontId="58" fillId="0" borderId="0"/>
    <xf numFmtId="0" fontId="1" fillId="0" borderId="0"/>
    <xf numFmtId="0" fontId="30" fillId="0" borderId="0"/>
    <xf numFmtId="0" fontId="30" fillId="0" borderId="0"/>
    <xf numFmtId="0" fontId="58" fillId="0" borderId="0"/>
    <xf numFmtId="0" fontId="30" fillId="0" borderId="0"/>
    <xf numFmtId="0" fontId="30" fillId="0" borderId="0"/>
    <xf numFmtId="0" fontId="58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58" fillId="0" borderId="0"/>
    <xf numFmtId="0" fontId="58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58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58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58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58" fillId="0" borderId="0"/>
    <xf numFmtId="0" fontId="30" fillId="0" borderId="0"/>
    <xf numFmtId="0" fontId="41" fillId="0" borderId="0"/>
    <xf numFmtId="0" fontId="41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58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58" fillId="0" borderId="0"/>
    <xf numFmtId="0" fontId="30" fillId="0" borderId="0"/>
    <xf numFmtId="0" fontId="30" fillId="0" borderId="0"/>
    <xf numFmtId="0" fontId="58" fillId="0" borderId="0"/>
    <xf numFmtId="0" fontId="30" fillId="0" borderId="0"/>
    <xf numFmtId="0" fontId="30" fillId="0" borderId="0"/>
    <xf numFmtId="0" fontId="58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58" fillId="0" borderId="0"/>
    <xf numFmtId="0" fontId="30" fillId="0" borderId="0"/>
    <xf numFmtId="0" fontId="30" fillId="0" borderId="0"/>
    <xf numFmtId="0" fontId="58" fillId="0" borderId="0"/>
    <xf numFmtId="0" fontId="30" fillId="0" borderId="0"/>
    <xf numFmtId="0" fontId="30" fillId="0" borderId="0"/>
    <xf numFmtId="0" fontId="58" fillId="0" borderId="0"/>
    <xf numFmtId="0" fontId="30" fillId="0" borderId="0"/>
    <xf numFmtId="0" fontId="30" fillId="0" borderId="0"/>
    <xf numFmtId="0" fontId="58" fillId="0" borderId="0"/>
    <xf numFmtId="0" fontId="30" fillId="0" borderId="0"/>
    <xf numFmtId="0" fontId="30" fillId="0" borderId="0"/>
    <xf numFmtId="0" fontId="58" fillId="0" borderId="0"/>
    <xf numFmtId="0" fontId="30" fillId="0" borderId="0"/>
    <xf numFmtId="0" fontId="30" fillId="0" borderId="0"/>
    <xf numFmtId="0" fontId="58" fillId="0" borderId="0"/>
    <xf numFmtId="0" fontId="30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8" fillId="0" borderId="0"/>
    <xf numFmtId="0" fontId="30" fillId="0" borderId="0"/>
    <xf numFmtId="0" fontId="30" fillId="0" borderId="0"/>
    <xf numFmtId="0" fontId="58" fillId="0" borderId="0"/>
    <xf numFmtId="0" fontId="30" fillId="0" borderId="0"/>
    <xf numFmtId="0" fontId="30" fillId="0" borderId="0"/>
    <xf numFmtId="0" fontId="58" fillId="0" borderId="0"/>
    <xf numFmtId="0" fontId="30" fillId="0" borderId="0"/>
    <xf numFmtId="0" fontId="30" fillId="0" borderId="0"/>
    <xf numFmtId="0" fontId="58" fillId="0" borderId="0"/>
    <xf numFmtId="0" fontId="30" fillId="0" borderId="0"/>
    <xf numFmtId="0" fontId="30" fillId="0" borderId="0"/>
    <xf numFmtId="0" fontId="58" fillId="0" borderId="0"/>
    <xf numFmtId="0" fontId="30" fillId="0" borderId="0"/>
    <xf numFmtId="0" fontId="30" fillId="0" borderId="0"/>
    <xf numFmtId="0" fontId="58" fillId="0" borderId="0"/>
    <xf numFmtId="0" fontId="30" fillId="0" borderId="0"/>
    <xf numFmtId="0" fontId="30" fillId="0" borderId="0"/>
    <xf numFmtId="0" fontId="58" fillId="0" borderId="0"/>
    <xf numFmtId="0" fontId="30" fillId="0" borderId="0"/>
    <xf numFmtId="0" fontId="30" fillId="0" borderId="0"/>
    <xf numFmtId="0" fontId="58" fillId="0" borderId="0"/>
    <xf numFmtId="0" fontId="30" fillId="0" borderId="0"/>
    <xf numFmtId="0" fontId="30" fillId="0" borderId="0"/>
    <xf numFmtId="0" fontId="58" fillId="0" borderId="0"/>
    <xf numFmtId="0" fontId="30" fillId="0" borderId="0"/>
    <xf numFmtId="0" fontId="30" fillId="0" borderId="0"/>
    <xf numFmtId="0" fontId="58" fillId="0" borderId="0"/>
    <xf numFmtId="0" fontId="30" fillId="0" borderId="0"/>
    <xf numFmtId="0" fontId="41" fillId="0" borderId="0"/>
    <xf numFmtId="0" fontId="41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30" fillId="0" borderId="0"/>
    <xf numFmtId="0" fontId="58" fillId="0" borderId="0"/>
    <xf numFmtId="0" fontId="30" fillId="0" borderId="0"/>
    <xf numFmtId="0" fontId="30" fillId="0" borderId="0"/>
    <xf numFmtId="0" fontId="58" fillId="0" borderId="0"/>
    <xf numFmtId="0" fontId="30" fillId="0" borderId="0"/>
    <xf numFmtId="0" fontId="30" fillId="0" borderId="0"/>
    <xf numFmtId="0" fontId="58" fillId="0" borderId="0"/>
    <xf numFmtId="0" fontId="30" fillId="0" borderId="0"/>
    <xf numFmtId="0" fontId="30" fillId="0" borderId="0"/>
    <xf numFmtId="0" fontId="58" fillId="0" borderId="0"/>
    <xf numFmtId="0" fontId="30" fillId="0" borderId="0"/>
    <xf numFmtId="0" fontId="30" fillId="0" borderId="0"/>
    <xf numFmtId="0" fontId="58" fillId="0" borderId="0"/>
    <xf numFmtId="0" fontId="30" fillId="0" borderId="0"/>
    <xf numFmtId="0" fontId="30" fillId="0" borderId="0"/>
    <xf numFmtId="0" fontId="58" fillId="0" borderId="0"/>
    <xf numFmtId="0" fontId="30" fillId="0" borderId="0"/>
    <xf numFmtId="0" fontId="30" fillId="0" borderId="0"/>
    <xf numFmtId="0" fontId="58" fillId="0" borderId="0"/>
    <xf numFmtId="0" fontId="30" fillId="0" borderId="0"/>
    <xf numFmtId="0" fontId="30" fillId="0" borderId="0"/>
    <xf numFmtId="0" fontId="58" fillId="0" borderId="0"/>
    <xf numFmtId="0" fontId="30" fillId="0" borderId="0"/>
    <xf numFmtId="0" fontId="30" fillId="0" borderId="0"/>
    <xf numFmtId="0" fontId="41" fillId="0" borderId="0"/>
    <xf numFmtId="0" fontId="30" fillId="0" borderId="0"/>
    <xf numFmtId="0" fontId="30" fillId="0" borderId="0"/>
    <xf numFmtId="0" fontId="58" fillId="0" borderId="0"/>
    <xf numFmtId="0" fontId="30" fillId="0" borderId="0"/>
    <xf numFmtId="0" fontId="41" fillId="0" borderId="0"/>
    <xf numFmtId="0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30" fillId="0" borderId="0"/>
    <xf numFmtId="0" fontId="58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1" fillId="0" borderId="0"/>
    <xf numFmtId="0" fontId="41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89" fillId="0" borderId="0"/>
    <xf numFmtId="0" fontId="1" fillId="0" borderId="0"/>
    <xf numFmtId="0" fontId="1" fillId="0" borderId="0"/>
    <xf numFmtId="0" fontId="41" fillId="0" borderId="0"/>
    <xf numFmtId="0" fontId="52" fillId="0" borderId="0">
      <alignment vertical="top"/>
    </xf>
    <xf numFmtId="0" fontId="52" fillId="0" borderId="0">
      <alignment vertical="top"/>
    </xf>
    <xf numFmtId="0" fontId="52" fillId="0" borderId="0">
      <alignment vertical="top"/>
    </xf>
    <xf numFmtId="0" fontId="41" fillId="0" borderId="0"/>
    <xf numFmtId="0" fontId="30" fillId="0" borderId="0"/>
    <xf numFmtId="0" fontId="41" fillId="0" borderId="0"/>
    <xf numFmtId="0" fontId="41" fillId="0" borderId="0"/>
    <xf numFmtId="0" fontId="41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30" fillId="0" borderId="0">
      <alignment wrapText="1"/>
    </xf>
    <xf numFmtId="0" fontId="30" fillId="0" borderId="0"/>
    <xf numFmtId="0" fontId="30" fillId="0" borderId="0">
      <alignment wrapText="1"/>
    </xf>
    <xf numFmtId="0" fontId="30" fillId="0" borderId="0"/>
    <xf numFmtId="0" fontId="30" fillId="0" borderId="0">
      <alignment wrapText="1"/>
    </xf>
    <xf numFmtId="0" fontId="30" fillId="0" borderId="0"/>
    <xf numFmtId="0" fontId="30" fillId="0" borderId="0"/>
    <xf numFmtId="0" fontId="41" fillId="0" borderId="0"/>
    <xf numFmtId="0" fontId="41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8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30" fillId="0" borderId="0"/>
    <xf numFmtId="0" fontId="41" fillId="45" borderId="31" applyNumberFormat="0" applyFont="0" applyAlignment="0" applyProtection="0"/>
    <xf numFmtId="0" fontId="41" fillId="45" borderId="31" applyNumberFormat="0" applyFont="0" applyAlignment="0" applyProtection="0"/>
    <xf numFmtId="0" fontId="52" fillId="45" borderId="31" applyNumberFormat="0" applyFont="0" applyAlignment="0" applyProtection="0"/>
    <xf numFmtId="0" fontId="58" fillId="45" borderId="31" applyNumberFormat="0" applyFont="0" applyAlignment="0" applyProtection="0"/>
    <xf numFmtId="0" fontId="53" fillId="45" borderId="31" applyNumberFormat="0" applyFont="0" applyAlignment="0" applyProtection="0"/>
    <xf numFmtId="0" fontId="53" fillId="45" borderId="31" applyNumberFormat="0" applyFont="0" applyAlignment="0" applyProtection="0"/>
    <xf numFmtId="0" fontId="58" fillId="45" borderId="31" applyNumberFormat="0" applyFont="0" applyAlignment="0" applyProtection="0"/>
    <xf numFmtId="0" fontId="41" fillId="45" borderId="31" applyNumberFormat="0" applyFont="0" applyAlignment="0" applyProtection="0"/>
    <xf numFmtId="0" fontId="58" fillId="45" borderId="31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169" fontId="91" fillId="0" borderId="0" applyNumberFormat="0"/>
    <xf numFmtId="0" fontId="70" fillId="63" borderId="32" applyNumberFormat="0" applyAlignment="0" applyProtection="0"/>
    <xf numFmtId="0" fontId="70" fillId="63" borderId="32" applyNumberFormat="0" applyAlignment="0" applyProtection="0"/>
    <xf numFmtId="0" fontId="92" fillId="63" borderId="33" applyNumberFormat="0" applyAlignment="0" applyProtection="0"/>
    <xf numFmtId="0" fontId="92" fillId="63" borderId="33" applyNumberFormat="0" applyAlignment="0" applyProtection="0"/>
    <xf numFmtId="0" fontId="92" fillId="39" borderId="33" applyNumberFormat="0" applyAlignment="0" applyProtection="0"/>
    <xf numFmtId="0" fontId="92" fillId="63" borderId="33" applyNumberFormat="0" applyAlignment="0" applyProtection="0"/>
    <xf numFmtId="0" fontId="10" fillId="6" borderId="5" applyNumberFormat="0" applyAlignment="0" applyProtection="0"/>
    <xf numFmtId="9" fontId="5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>
      <alignment wrapText="1"/>
    </xf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0" fillId="0" borderId="0" applyFont="0" applyFill="0" applyBorder="0" applyAlignment="0" applyProtection="0">
      <alignment wrapText="1"/>
    </xf>
    <xf numFmtId="169" fontId="30" fillId="0" borderId="0" applyFont="0" applyFill="0" applyBorder="0" applyAlignment="0" applyProtection="0"/>
    <xf numFmtId="10" fontId="30" fillId="0" borderId="0" applyFont="0" applyFill="0" applyBorder="0" applyAlignment="0" applyProtection="0"/>
    <xf numFmtId="170" fontId="59" fillId="0" borderId="0">
      <alignment horizontal="center"/>
    </xf>
    <xf numFmtId="0" fontId="30" fillId="0" borderId="0"/>
    <xf numFmtId="0" fontId="30" fillId="0" borderId="0"/>
    <xf numFmtId="0" fontId="30" fillId="0" borderId="0"/>
    <xf numFmtId="0" fontId="30" fillId="0" borderId="0"/>
    <xf numFmtId="38" fontId="93" fillId="0" borderId="0" applyNumberFormat="0" applyFont="0" applyFill="0" applyBorder="0">
      <alignment horizontal="left" indent="4"/>
      <protection locked="0"/>
    </xf>
    <xf numFmtId="0" fontId="55" fillId="0" borderId="0" applyNumberFormat="0" applyFont="0" applyFill="0" applyBorder="0" applyAlignment="0" applyProtection="0">
      <alignment horizontal="left"/>
    </xf>
    <xf numFmtId="15" fontId="55" fillId="0" borderId="0" applyFont="0" applyFill="0" applyBorder="0" applyAlignment="0" applyProtection="0"/>
    <xf numFmtId="4" fontId="55" fillId="0" borderId="0" applyFont="0" applyFill="0" applyBorder="0" applyAlignment="0" applyProtection="0"/>
    <xf numFmtId="0" fontId="94" fillId="0" borderId="34">
      <alignment horizontal="center"/>
    </xf>
    <xf numFmtId="3" fontId="55" fillId="0" borderId="0" applyFont="0" applyFill="0" applyBorder="0" applyAlignment="0" applyProtection="0"/>
    <xf numFmtId="0" fontId="55" fillId="72" borderId="0" applyNumberFormat="0" applyFont="0" applyBorder="0" applyAlignment="0" applyProtection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52" fillId="0" borderId="0">
      <alignment vertical="top"/>
    </xf>
    <xf numFmtId="0" fontId="52" fillId="0" borderId="0">
      <alignment vertical="top"/>
    </xf>
    <xf numFmtId="0" fontId="52" fillId="0" borderId="0" applyNumberFormat="0" applyBorder="0" applyAlignment="0"/>
    <xf numFmtId="0" fontId="52" fillId="0" borderId="0" applyNumberFormat="0" applyBorder="0" applyAlignment="0"/>
    <xf numFmtId="37" fontId="96" fillId="0" borderId="0"/>
    <xf numFmtId="171" fontId="97" fillId="71" borderId="0" applyFill="0" applyBorder="0" applyProtection="0">
      <alignment horizontal="center"/>
      <protection hidden="1"/>
    </xf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1" fillId="0" borderId="35" applyNumberFormat="0" applyFill="0" applyAlignment="0" applyProtection="0"/>
    <xf numFmtId="0" fontId="101" fillId="0" borderId="35" applyNumberFormat="0" applyFill="0" applyAlignment="0" applyProtection="0"/>
    <xf numFmtId="0" fontId="101" fillId="0" borderId="36" applyNumberFormat="0" applyFill="0" applyAlignment="0" applyProtection="0"/>
    <xf numFmtId="0" fontId="101" fillId="0" borderId="37" applyNumberFormat="0" applyFill="0" applyAlignment="0" applyProtection="0"/>
    <xf numFmtId="0" fontId="101" fillId="0" borderId="38" applyNumberFormat="0" applyFill="0" applyAlignment="0" applyProtection="0"/>
    <xf numFmtId="0" fontId="101" fillId="0" borderId="38" applyNumberFormat="0" applyFill="0" applyAlignment="0" applyProtection="0"/>
    <xf numFmtId="0" fontId="101" fillId="0" borderId="37" applyNumberFormat="0" applyFill="0" applyAlignment="0" applyProtection="0"/>
    <xf numFmtId="0" fontId="101" fillId="0" borderId="37" applyNumberFormat="0" applyFill="0" applyAlignment="0" applyProtection="0"/>
    <xf numFmtId="0" fontId="16" fillId="0" borderId="9" applyNumberFormat="0" applyFill="0" applyAlignment="0" applyProtection="0"/>
    <xf numFmtId="0" fontId="102" fillId="0" borderId="0">
      <alignment horizontal="center"/>
    </xf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165" fontId="90" fillId="73" borderId="0" applyFont="0" applyFill="0" applyBorder="0" applyAlignment="0" applyProtection="0">
      <alignment wrapText="1"/>
    </xf>
    <xf numFmtId="0" fontId="1" fillId="0" borderId="0"/>
    <xf numFmtId="44" fontId="30" fillId="0" borderId="0" applyFont="0" applyFill="0" applyBorder="0" applyAlignment="0" applyProtection="0"/>
    <xf numFmtId="0" fontId="41" fillId="0" borderId="0"/>
    <xf numFmtId="43" fontId="53" fillId="0" borderId="0" applyFont="0" applyFill="0" applyBorder="0" applyAlignment="0" applyProtection="0"/>
    <xf numFmtId="0" fontId="1" fillId="0" borderId="0"/>
    <xf numFmtId="44" fontId="30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03">
    <xf numFmtId="0" fontId="0" fillId="0" borderId="0" xfId="0"/>
    <xf numFmtId="0" fontId="18" fillId="0" borderId="0" xfId="0" applyFont="1" applyFill="1"/>
    <xf numFmtId="0" fontId="20" fillId="0" borderId="0" xfId="4" applyFont="1" applyFill="1"/>
    <xf numFmtId="0" fontId="21" fillId="0" borderId="0" xfId="0" applyFont="1" applyFill="1"/>
    <xf numFmtId="0" fontId="22" fillId="0" borderId="0" xfId="0" applyFont="1" applyFill="1"/>
    <xf numFmtId="0" fontId="23" fillId="0" borderId="0" xfId="4" applyFont="1" applyFill="1"/>
    <xf numFmtId="0" fontId="24" fillId="0" borderId="0" xfId="4" applyFont="1" applyFill="1"/>
    <xf numFmtId="164" fontId="21" fillId="0" borderId="0" xfId="0" applyNumberFormat="1" applyFont="1" applyFill="1" applyBorder="1"/>
    <xf numFmtId="0" fontId="25" fillId="0" borderId="0" xfId="0" applyFont="1"/>
    <xf numFmtId="0" fontId="20" fillId="33" borderId="0" xfId="4" applyFont="1" applyFill="1"/>
    <xf numFmtId="0" fontId="24" fillId="33" borderId="0" xfId="4" applyFont="1" applyFill="1" applyAlignment="1">
      <alignment horizontal="center" wrapText="1"/>
    </xf>
    <xf numFmtId="0" fontId="24" fillId="34" borderId="0" xfId="4" applyFont="1" applyFill="1" applyAlignment="1">
      <alignment horizontal="center"/>
    </xf>
    <xf numFmtId="0" fontId="24" fillId="35" borderId="0" xfId="4" applyFont="1" applyFill="1" applyAlignment="1">
      <alignment horizontal="center" wrapText="1"/>
    </xf>
    <xf numFmtId="0" fontId="24" fillId="36" borderId="0" xfId="4" applyFont="1" applyFill="1" applyAlignment="1">
      <alignment horizontal="center" wrapText="1"/>
    </xf>
    <xf numFmtId="0" fontId="18" fillId="36" borderId="0" xfId="0" applyFont="1" applyFill="1" applyAlignment="1">
      <alignment horizontal="center"/>
    </xf>
    <xf numFmtId="0" fontId="18" fillId="37" borderId="0" xfId="0" applyFont="1" applyFill="1" applyAlignment="1">
      <alignment horizontal="center" wrapText="1"/>
    </xf>
    <xf numFmtId="0" fontId="20" fillId="38" borderId="0" xfId="4" applyFont="1" applyFill="1"/>
    <xf numFmtId="0" fontId="24" fillId="33" borderId="0" xfId="4" applyFont="1" applyFill="1" applyAlignment="1">
      <alignment horizontal="center"/>
    </xf>
    <xf numFmtId="10" fontId="18" fillId="37" borderId="0" xfId="3" applyNumberFormat="1" applyFont="1" applyFill="1" applyAlignment="1">
      <alignment horizontal="center" wrapText="1"/>
    </xf>
    <xf numFmtId="0" fontId="24" fillId="38" borderId="0" xfId="4" applyFont="1" applyFill="1" applyAlignment="1">
      <alignment horizontal="center" wrapText="1"/>
    </xf>
    <xf numFmtId="0" fontId="25" fillId="0" borderId="0" xfId="0" applyFont="1" applyAlignment="1">
      <alignment horizontal="right"/>
    </xf>
    <xf numFmtId="166" fontId="21" fillId="0" borderId="0" xfId="0" applyNumberFormat="1" applyFont="1"/>
    <xf numFmtId="0" fontId="21" fillId="0" borderId="0" xfId="0" applyFont="1"/>
    <xf numFmtId="165" fontId="21" fillId="0" borderId="0" xfId="1" applyNumberFormat="1" applyFont="1"/>
    <xf numFmtId="0" fontId="20" fillId="0" borderId="0" xfId="4" applyFont="1"/>
    <xf numFmtId="165" fontId="20" fillId="0" borderId="0" xfId="1" applyNumberFormat="1" applyFont="1"/>
    <xf numFmtId="0" fontId="27" fillId="0" borderId="0" xfId="4" applyFont="1" applyFill="1"/>
    <xf numFmtId="0" fontId="28" fillId="0" borderId="0" xfId="4" applyFont="1" applyFill="1" applyAlignment="1">
      <alignment horizontal="left"/>
    </xf>
    <xf numFmtId="0" fontId="29" fillId="0" borderId="0" xfId="4" applyFont="1" applyFill="1" applyAlignment="1">
      <alignment horizontal="center"/>
    </xf>
    <xf numFmtId="0" fontId="24" fillId="0" borderId="0" xfId="4" applyFont="1" applyFill="1" applyAlignment="1">
      <alignment horizontal="left"/>
    </xf>
    <xf numFmtId="43" fontId="20" fillId="0" borderId="0" xfId="5" applyFont="1" applyFill="1" applyAlignment="1">
      <alignment horizontal="center"/>
    </xf>
    <xf numFmtId="165" fontId="20" fillId="0" borderId="0" xfId="5" applyNumberFormat="1" applyFont="1" applyFill="1"/>
    <xf numFmtId="43" fontId="20" fillId="0" borderId="0" xfId="4" applyNumberFormat="1" applyFont="1" applyFill="1"/>
    <xf numFmtId="0" fontId="21" fillId="0" borderId="0" xfId="0" applyFont="1" applyFill="1" applyBorder="1"/>
    <xf numFmtId="0" fontId="21" fillId="0" borderId="0" xfId="0" applyFont="1" applyAlignment="1">
      <alignment horizontal="left"/>
    </xf>
    <xf numFmtId="43" fontId="21" fillId="0" borderId="0" xfId="5" applyFont="1" applyFill="1" applyBorder="1"/>
    <xf numFmtId="165" fontId="21" fillId="0" borderId="0" xfId="5" applyNumberFormat="1" applyFont="1" applyFill="1"/>
    <xf numFmtId="43" fontId="20" fillId="0" borderId="0" xfId="4" applyNumberFormat="1" applyFont="1"/>
    <xf numFmtId="165" fontId="20" fillId="0" borderId="0" xfId="4" applyNumberFormat="1" applyFont="1"/>
    <xf numFmtId="0" fontId="21" fillId="0" borderId="0" xfId="0" applyFont="1" applyFill="1" applyAlignment="1">
      <alignment horizontal="left"/>
    </xf>
    <xf numFmtId="0" fontId="31" fillId="0" borderId="0" xfId="0" applyFont="1" applyFill="1"/>
    <xf numFmtId="164" fontId="20" fillId="0" borderId="0" xfId="4" applyNumberFormat="1" applyFont="1" applyFill="1"/>
    <xf numFmtId="0" fontId="24" fillId="0" borderId="10" xfId="4" applyFont="1" applyFill="1" applyBorder="1"/>
    <xf numFmtId="0" fontId="24" fillId="0" borderId="10" xfId="4" applyFont="1" applyFill="1" applyBorder="1" applyAlignment="1">
      <alignment horizontal="right"/>
    </xf>
    <xf numFmtId="43" fontId="24" fillId="0" borderId="10" xfId="5" applyFont="1" applyFill="1" applyBorder="1" applyAlignment="1">
      <alignment horizontal="center"/>
    </xf>
    <xf numFmtId="164" fontId="32" fillId="0" borderId="10" xfId="6" applyNumberFormat="1" applyFont="1" applyFill="1" applyBorder="1"/>
    <xf numFmtId="165" fontId="24" fillId="0" borderId="0" xfId="5" applyNumberFormat="1" applyFont="1" applyFill="1" applyBorder="1"/>
    <xf numFmtId="165" fontId="24" fillId="0" borderId="11" xfId="5" applyNumberFormat="1" applyFont="1" applyFill="1" applyBorder="1"/>
    <xf numFmtId="44" fontId="24" fillId="0" borderId="10" xfId="5" applyNumberFormat="1" applyFont="1" applyFill="1" applyBorder="1"/>
    <xf numFmtId="164" fontId="24" fillId="0" borderId="10" xfId="5" applyNumberFormat="1" applyFont="1" applyFill="1" applyBorder="1"/>
    <xf numFmtId="165" fontId="33" fillId="0" borderId="0" xfId="5" applyNumberFormat="1" applyFont="1" applyFill="1" applyBorder="1"/>
    <xf numFmtId="0" fontId="33" fillId="0" borderId="0" xfId="4" applyFont="1" applyFill="1" applyBorder="1"/>
    <xf numFmtId="0" fontId="28" fillId="0" borderId="0" xfId="4" applyFont="1" applyFill="1" applyAlignment="1">
      <alignment horizontal="center"/>
    </xf>
    <xf numFmtId="43" fontId="34" fillId="0" borderId="0" xfId="5" applyFont="1" applyFill="1" applyAlignment="1">
      <alignment horizontal="right"/>
    </xf>
    <xf numFmtId="43" fontId="20" fillId="0" borderId="0" xfId="5" applyFont="1" applyFill="1"/>
    <xf numFmtId="0" fontId="20" fillId="0" borderId="10" xfId="0" applyFont="1" applyFill="1" applyBorder="1" applyAlignment="1">
      <alignment vertical="top"/>
    </xf>
    <xf numFmtId="43" fontId="20" fillId="0" borderId="10" xfId="5" applyFont="1" applyFill="1" applyBorder="1" applyAlignment="1">
      <alignment horizontal="center"/>
    </xf>
    <xf numFmtId="0" fontId="20" fillId="0" borderId="10" xfId="4" applyFont="1" applyFill="1" applyBorder="1"/>
    <xf numFmtId="0" fontId="27" fillId="0" borderId="0" xfId="4" applyFont="1" applyFill="1" applyBorder="1"/>
    <xf numFmtId="0" fontId="20" fillId="0" borderId="0" xfId="0" applyFont="1" applyFill="1" applyAlignment="1">
      <alignment vertical="top"/>
    </xf>
    <xf numFmtId="43" fontId="20" fillId="0" borderId="0" xfId="5" applyNumberFormat="1" applyFont="1" applyFill="1"/>
    <xf numFmtId="0" fontId="24" fillId="0" borderId="0" xfId="4" applyFont="1" applyFill="1" applyBorder="1"/>
    <xf numFmtId="0" fontId="21" fillId="0" borderId="12" xfId="0" applyFont="1" applyBorder="1" applyAlignment="1">
      <alignment horizontal="left"/>
    </xf>
    <xf numFmtId="0" fontId="35" fillId="0" borderId="0" xfId="0" applyFont="1" applyFill="1" applyBorder="1" applyAlignment="1">
      <alignment vertical="top"/>
    </xf>
    <xf numFmtId="165" fontId="18" fillId="0" borderId="0" xfId="5" applyNumberFormat="1" applyFont="1" applyFill="1"/>
    <xf numFmtId="0" fontId="21" fillId="0" borderId="10" xfId="0" applyFont="1" applyFill="1" applyBorder="1"/>
    <xf numFmtId="165" fontId="20" fillId="0" borderId="0" xfId="5" applyNumberFormat="1" applyFont="1" applyFill="1" applyBorder="1"/>
    <xf numFmtId="0" fontId="22" fillId="0" borderId="0" xfId="0" applyFont="1" applyFill="1" applyBorder="1"/>
    <xf numFmtId="0" fontId="20" fillId="0" borderId="0" xfId="4" applyFont="1" applyFill="1" applyBorder="1"/>
    <xf numFmtId="43" fontId="21" fillId="0" borderId="0" xfId="5" applyFont="1" applyFill="1"/>
    <xf numFmtId="165" fontId="21" fillId="0" borderId="0" xfId="5" applyNumberFormat="1" applyFont="1" applyFill="1" applyBorder="1"/>
    <xf numFmtId="44" fontId="21" fillId="0" borderId="0" xfId="0" applyNumberFormat="1" applyFont="1" applyFill="1" applyBorder="1"/>
    <xf numFmtId="165" fontId="36" fillId="0" borderId="0" xfId="1" applyNumberFormat="1" applyFont="1" applyAlignment="1">
      <alignment horizontal="center"/>
    </xf>
    <xf numFmtId="0" fontId="24" fillId="0" borderId="0" xfId="4" applyFont="1" applyAlignment="1">
      <alignment horizontal="right"/>
    </xf>
    <xf numFmtId="164" fontId="20" fillId="0" borderId="13" xfId="2" applyNumberFormat="1" applyFont="1" applyBorder="1"/>
    <xf numFmtId="164" fontId="18" fillId="0" borderId="0" xfId="2" applyNumberFormat="1" applyFont="1"/>
    <xf numFmtId="0" fontId="37" fillId="0" borderId="0" xfId="0" applyFont="1" applyAlignment="1">
      <alignment horizontal="right"/>
    </xf>
    <xf numFmtId="0" fontId="38" fillId="0" borderId="0" xfId="0" applyFont="1"/>
    <xf numFmtId="164" fontId="37" fillId="0" borderId="0" xfId="2" applyNumberFormat="1" applyFont="1"/>
    <xf numFmtId="0" fontId="24" fillId="0" borderId="0" xfId="4" applyFont="1" applyFill="1" applyBorder="1" applyAlignment="1">
      <alignment horizontal="right"/>
    </xf>
    <xf numFmtId="43" fontId="32" fillId="0" borderId="0" xfId="5" applyFont="1" applyFill="1" applyBorder="1"/>
    <xf numFmtId="44" fontId="32" fillId="0" borderId="0" xfId="6" applyFont="1" applyFill="1" applyBorder="1"/>
    <xf numFmtId="164" fontId="21" fillId="0" borderId="0" xfId="2" applyNumberFormat="1" applyFont="1"/>
    <xf numFmtId="0" fontId="28" fillId="0" borderId="0" xfId="4" applyFont="1" applyFill="1" applyBorder="1" applyAlignment="1">
      <alignment horizontal="center"/>
    </xf>
    <xf numFmtId="164" fontId="21" fillId="0" borderId="0" xfId="0" applyNumberFormat="1" applyFont="1" applyFill="1"/>
    <xf numFmtId="44" fontId="21" fillId="0" borderId="0" xfId="0" applyNumberFormat="1" applyFont="1" applyFill="1"/>
    <xf numFmtId="0" fontId="103" fillId="0" borderId="0" xfId="1171" applyFont="1" applyBorder="1"/>
    <xf numFmtId="0" fontId="103" fillId="0" borderId="0" xfId="1171" applyFont="1" applyFill="1" applyBorder="1" applyAlignment="1">
      <alignment horizontal="left"/>
    </xf>
    <xf numFmtId="4" fontId="104" fillId="0" borderId="0" xfId="1171" applyNumberFormat="1" applyFont="1" applyFill="1" applyBorder="1" applyAlignment="1">
      <alignment horizontal="right"/>
    </xf>
    <xf numFmtId="10" fontId="103" fillId="0" borderId="0" xfId="1171" applyNumberFormat="1" applyFont="1" applyFill="1" applyBorder="1" applyAlignment="1">
      <alignment horizontal="right"/>
    </xf>
    <xf numFmtId="4" fontId="103" fillId="0" borderId="0" xfId="1171" applyNumberFormat="1" applyFont="1" applyFill="1" applyBorder="1" applyAlignment="1">
      <alignment horizontal="left"/>
    </xf>
    <xf numFmtId="0" fontId="0" fillId="0" borderId="0" xfId="0" applyFont="1" applyFill="1" applyBorder="1"/>
    <xf numFmtId="0" fontId="0" fillId="0" borderId="0" xfId="0" applyFont="1" applyBorder="1"/>
    <xf numFmtId="4" fontId="103" fillId="0" borderId="0" xfId="1171" applyNumberFormat="1" applyFont="1" applyFill="1" applyBorder="1" applyAlignment="1">
      <alignment horizontal="right"/>
    </xf>
    <xf numFmtId="0" fontId="103" fillId="0" borderId="0" xfId="1172" applyFont="1" applyBorder="1"/>
    <xf numFmtId="4" fontId="104" fillId="0" borderId="0" xfId="1172" applyNumberFormat="1" applyFont="1" applyFill="1" applyBorder="1" applyAlignment="1">
      <alignment horizontal="right"/>
    </xf>
    <xf numFmtId="0" fontId="104" fillId="0" borderId="0" xfId="1172" applyFont="1" applyBorder="1"/>
    <xf numFmtId="0" fontId="104" fillId="0" borderId="0" xfId="1172" applyFont="1" applyFill="1" applyBorder="1" applyAlignment="1">
      <alignment horizontal="left"/>
    </xf>
    <xf numFmtId="165" fontId="20" fillId="33" borderId="0" xfId="5" applyNumberFormat="1" applyFont="1" applyFill="1"/>
    <xf numFmtId="43" fontId="0" fillId="0" borderId="0" xfId="1" applyFont="1" applyFill="1" applyBorder="1"/>
    <xf numFmtId="43" fontId="0" fillId="0" borderId="0" xfId="0" applyNumberFormat="1" applyBorder="1"/>
    <xf numFmtId="0" fontId="16" fillId="0" borderId="51" xfId="0" applyFont="1" applyBorder="1"/>
    <xf numFmtId="0" fontId="16" fillId="0" borderId="48" xfId="0" applyFont="1" applyFill="1" applyBorder="1"/>
    <xf numFmtId="164" fontId="0" fillId="0" borderId="0" xfId="2" applyNumberFormat="1" applyFont="1" applyFill="1" applyBorder="1"/>
    <xf numFmtId="0" fontId="0" fillId="0" borderId="47" xfId="0" applyFill="1" applyBorder="1"/>
    <xf numFmtId="0" fontId="0" fillId="0" borderId="0" xfId="0" applyFill="1" applyBorder="1"/>
    <xf numFmtId="0" fontId="16" fillId="0" borderId="51" xfId="0" applyFont="1" applyFill="1" applyBorder="1"/>
    <xf numFmtId="44" fontId="16" fillId="0" borderId="13" xfId="0" applyNumberFormat="1" applyFont="1" applyFill="1" applyBorder="1"/>
    <xf numFmtId="0" fontId="16" fillId="0" borderId="0" xfId="0" applyFont="1" applyFill="1" applyBorder="1" applyAlignment="1">
      <alignment horizontal="right"/>
    </xf>
    <xf numFmtId="44" fontId="0" fillId="0" borderId="0" xfId="0" applyNumberFormat="1" applyFill="1"/>
    <xf numFmtId="0" fontId="16" fillId="0" borderId="0" xfId="0" applyFont="1" applyAlignment="1">
      <alignment horizontal="left" indent="1"/>
    </xf>
    <xf numFmtId="42" fontId="0" fillId="0" borderId="0" xfId="2" applyNumberFormat="1" applyFont="1" applyFill="1" applyBorder="1"/>
    <xf numFmtId="0" fontId="105" fillId="0" borderId="13" xfId="4" applyFont="1" applyFill="1" applyBorder="1" applyAlignment="1">
      <alignment horizontal="center" wrapText="1"/>
    </xf>
    <xf numFmtId="0" fontId="0" fillId="0" borderId="39" xfId="0" applyBorder="1"/>
    <xf numFmtId="43" fontId="16" fillId="0" borderId="50" xfId="1" applyFont="1" applyFill="1" applyBorder="1"/>
    <xf numFmtId="43" fontId="16" fillId="0" borderId="49" xfId="0" applyNumberFormat="1" applyFont="1" applyFill="1" applyBorder="1"/>
    <xf numFmtId="165" fontId="104" fillId="0" borderId="0" xfId="1" applyNumberFormat="1" applyFont="1" applyFill="1" applyBorder="1" applyAlignment="1">
      <alignment horizontal="left"/>
    </xf>
    <xf numFmtId="43" fontId="20" fillId="33" borderId="0" xfId="5" applyFont="1" applyFill="1" applyAlignment="1">
      <alignment horizontal="center"/>
    </xf>
    <xf numFmtId="43" fontId="20" fillId="33" borderId="0" xfId="4" applyNumberFormat="1" applyFont="1" applyFill="1"/>
    <xf numFmtId="165" fontId="20" fillId="33" borderId="0" xfId="4" applyNumberFormat="1" applyFont="1" applyFill="1"/>
    <xf numFmtId="43" fontId="27" fillId="0" borderId="0" xfId="1" applyFont="1" applyFill="1"/>
    <xf numFmtId="0" fontId="105" fillId="0" borderId="13" xfId="4" applyFont="1" applyFill="1" applyBorder="1" applyAlignment="1">
      <alignment horizontal="center"/>
    </xf>
    <xf numFmtId="0" fontId="0" fillId="0" borderId="46" xfId="0" applyBorder="1"/>
    <xf numFmtId="0" fontId="16" fillId="74" borderId="48" xfId="0" applyFont="1" applyFill="1" applyBorder="1" applyAlignment="1">
      <alignment horizontal="center"/>
    </xf>
    <xf numFmtId="0" fontId="0" fillId="0" borderId="49" xfId="0" applyBorder="1"/>
    <xf numFmtId="0" fontId="0" fillId="0" borderId="48" xfId="0" applyBorder="1"/>
    <xf numFmtId="0" fontId="16" fillId="0" borderId="48" xfId="0" applyFont="1" applyBorder="1"/>
    <xf numFmtId="17" fontId="16" fillId="0" borderId="13" xfId="0" applyNumberFormat="1" applyFont="1" applyBorder="1" applyAlignment="1">
      <alignment horizontal="center"/>
    </xf>
    <xf numFmtId="0" fontId="106" fillId="0" borderId="48" xfId="0" applyFont="1" applyFill="1" applyBorder="1" applyAlignment="1">
      <alignment horizontal="right"/>
    </xf>
    <xf numFmtId="0" fontId="0" fillId="0" borderId="46" xfId="0" applyFill="1" applyBorder="1"/>
    <xf numFmtId="173" fontId="0" fillId="0" borderId="0" xfId="1" applyNumberFormat="1" applyFont="1"/>
    <xf numFmtId="164" fontId="0" fillId="0" borderId="0" xfId="0" applyNumberFormat="1" applyFont="1"/>
    <xf numFmtId="164" fontId="0" fillId="0" borderId="44" xfId="0" applyNumberFormat="1" applyFont="1" applyBorder="1"/>
    <xf numFmtId="44" fontId="16" fillId="0" borderId="39" xfId="0" applyNumberFormat="1" applyFont="1" applyFill="1" applyBorder="1"/>
    <xf numFmtId="44" fontId="16" fillId="0" borderId="49" xfId="0" applyNumberFormat="1" applyFont="1" applyFill="1" applyBorder="1"/>
    <xf numFmtId="0" fontId="21" fillId="33" borderId="0" xfId="0" applyFont="1" applyFill="1" applyAlignment="1">
      <alignment horizontal="left"/>
    </xf>
    <xf numFmtId="165" fontId="21" fillId="33" borderId="0" xfId="5" applyNumberFormat="1" applyFont="1" applyFill="1"/>
    <xf numFmtId="165" fontId="0" fillId="0" borderId="39" xfId="1" applyNumberFormat="1" applyFont="1" applyFill="1" applyBorder="1"/>
    <xf numFmtId="164" fontId="0" fillId="0" borderId="13" xfId="2" applyNumberFormat="1" applyFont="1" applyFill="1" applyBorder="1"/>
    <xf numFmtId="0" fontId="0" fillId="0" borderId="0" xfId="0" applyFill="1"/>
    <xf numFmtId="164" fontId="30" fillId="0" borderId="0" xfId="2" applyNumberFormat="1" applyFont="1" applyFill="1" applyBorder="1"/>
    <xf numFmtId="43" fontId="21" fillId="33" borderId="0" xfId="5" applyFont="1" applyFill="1" applyBorder="1"/>
    <xf numFmtId="165" fontId="20" fillId="33" borderId="0" xfId="1" applyNumberFormat="1" applyFont="1" applyFill="1"/>
    <xf numFmtId="43" fontId="16" fillId="0" borderId="49" xfId="1" applyFont="1" applyFill="1" applyBorder="1"/>
    <xf numFmtId="43" fontId="16" fillId="0" borderId="49" xfId="0" applyNumberFormat="1" applyFont="1" applyBorder="1"/>
    <xf numFmtId="44" fontId="0" fillId="0" borderId="0" xfId="0" applyNumberFormat="1"/>
    <xf numFmtId="44" fontId="0" fillId="0" borderId="13" xfId="2" applyFont="1" applyFill="1" applyBorder="1"/>
    <xf numFmtId="0" fontId="0" fillId="0" borderId="39" xfId="0" applyFill="1" applyBorder="1"/>
    <xf numFmtId="0" fontId="0" fillId="0" borderId="48" xfId="0" applyFill="1" applyBorder="1"/>
    <xf numFmtId="44" fontId="16" fillId="0" borderId="47" xfId="0" applyNumberFormat="1" applyFont="1" applyFill="1" applyBorder="1"/>
    <xf numFmtId="164" fontId="0" fillId="0" borderId="0" xfId="2" applyNumberFormat="1" applyFont="1" applyFill="1"/>
    <xf numFmtId="43" fontId="16" fillId="0" borderId="0" xfId="0" applyNumberFormat="1" applyFont="1"/>
    <xf numFmtId="4" fontId="0" fillId="0" borderId="0" xfId="0" applyNumberFormat="1" applyFont="1"/>
    <xf numFmtId="0" fontId="0" fillId="0" borderId="47" xfId="0" applyBorder="1"/>
    <xf numFmtId="0" fontId="0" fillId="0" borderId="0" xfId="0" applyBorder="1"/>
    <xf numFmtId="0" fontId="0" fillId="0" borderId="13" xfId="0" applyBorder="1"/>
    <xf numFmtId="0" fontId="16" fillId="79" borderId="48" xfId="0" applyFont="1" applyFill="1" applyBorder="1" applyAlignment="1">
      <alignment horizontal="center"/>
    </xf>
    <xf numFmtId="0" fontId="104" fillId="0" borderId="0" xfId="0" applyFont="1" applyFill="1" applyAlignment="1">
      <alignment horizontal="right"/>
    </xf>
    <xf numFmtId="0" fontId="104" fillId="77" borderId="0" xfId="0" applyFont="1" applyFill="1" applyAlignment="1">
      <alignment horizontal="right"/>
    </xf>
    <xf numFmtId="0" fontId="21" fillId="33" borderId="0" xfId="0" applyFont="1" applyFill="1" applyBorder="1"/>
    <xf numFmtId="0" fontId="21" fillId="33" borderId="0" xfId="0" applyFont="1" applyFill="1"/>
    <xf numFmtId="0" fontId="31" fillId="33" borderId="0" xfId="0" applyFont="1" applyFill="1"/>
    <xf numFmtId="43" fontId="27" fillId="0" borderId="0" xfId="4" applyNumberFormat="1" applyFont="1" applyFill="1"/>
    <xf numFmtId="0" fontId="16" fillId="0" borderId="50" xfId="0" applyFont="1" applyBorder="1" applyAlignment="1">
      <alignment horizontal="center"/>
    </xf>
    <xf numFmtId="8" fontId="0" fillId="0" borderId="0" xfId="0" applyNumberFormat="1"/>
    <xf numFmtId="43" fontId="0" fillId="0" borderId="39" xfId="1" applyFont="1" applyFill="1" applyBorder="1"/>
    <xf numFmtId="44" fontId="16" fillId="0" borderId="49" xfId="0" applyNumberFormat="1" applyFont="1" applyBorder="1"/>
    <xf numFmtId="44" fontId="16" fillId="0" borderId="50" xfId="0" applyNumberFormat="1" applyFont="1" applyBorder="1"/>
    <xf numFmtId="44" fontId="104" fillId="0" borderId="0" xfId="2" applyFont="1" applyFill="1" applyBorder="1"/>
    <xf numFmtId="0" fontId="0" fillId="0" borderId="50" xfId="0" applyBorder="1"/>
    <xf numFmtId="0" fontId="16" fillId="0" borderId="50" xfId="0" applyFont="1" applyFill="1" applyBorder="1" applyAlignment="1">
      <alignment horizontal="center"/>
    </xf>
    <xf numFmtId="43" fontId="0" fillId="0" borderId="0" xfId="0" applyNumberFormat="1" applyFill="1" applyBorder="1"/>
    <xf numFmtId="0" fontId="0" fillId="0" borderId="49" xfId="0" applyFill="1" applyBorder="1"/>
    <xf numFmtId="44" fontId="16" fillId="0" borderId="50" xfId="0" applyNumberFormat="1" applyFont="1" applyFill="1" applyBorder="1"/>
    <xf numFmtId="0" fontId="0" fillId="0" borderId="51" xfId="0" applyFill="1" applyBorder="1"/>
    <xf numFmtId="0" fontId="0" fillId="0" borderId="13" xfId="0" applyFill="1" applyBorder="1"/>
    <xf numFmtId="0" fontId="16" fillId="33" borderId="48" xfId="0" applyFont="1" applyFill="1" applyBorder="1" applyAlignment="1">
      <alignment horizontal="center"/>
    </xf>
    <xf numFmtId="44" fontId="0" fillId="0" borderId="0" xfId="0" applyNumberFormat="1" applyFill="1" applyBorder="1"/>
    <xf numFmtId="41" fontId="0" fillId="0" borderId="0" xfId="1" applyNumberFormat="1" applyFont="1"/>
    <xf numFmtId="173" fontId="0" fillId="0" borderId="0" xfId="1" applyNumberFormat="1" applyFont="1" applyFill="1" applyBorder="1"/>
    <xf numFmtId="173" fontId="0" fillId="0" borderId="13" xfId="1" applyNumberFormat="1" applyFont="1" applyBorder="1"/>
    <xf numFmtId="174" fontId="0" fillId="0" borderId="0" xfId="0" applyNumberFormat="1" applyFont="1"/>
    <xf numFmtId="173" fontId="0" fillId="0" borderId="0" xfId="0" applyNumberFormat="1" applyFont="1"/>
    <xf numFmtId="42" fontId="16" fillId="0" borderId="0" xfId="0" applyNumberFormat="1" applyFont="1"/>
    <xf numFmtId="0" fontId="16" fillId="0" borderId="41" xfId="0" applyFont="1" applyBorder="1"/>
    <xf numFmtId="0" fontId="0" fillId="75" borderId="45" xfId="0" applyFont="1" applyFill="1" applyBorder="1" applyAlignment="1">
      <alignment horizontal="center"/>
    </xf>
    <xf numFmtId="42" fontId="0" fillId="0" borderId="0" xfId="0" applyNumberFormat="1" applyFont="1"/>
    <xf numFmtId="0" fontId="0" fillId="0" borderId="34" xfId="0" applyFont="1" applyBorder="1"/>
    <xf numFmtId="42" fontId="0" fillId="0" borderId="0" xfId="0" applyNumberFormat="1" applyFont="1" applyFill="1" applyBorder="1"/>
    <xf numFmtId="42" fontId="16" fillId="0" borderId="0" xfId="2" applyNumberFormat="1" applyFont="1" applyFill="1" applyBorder="1"/>
    <xf numFmtId="10" fontId="0" fillId="0" borderId="0" xfId="0" applyNumberFormat="1" applyFont="1" applyFill="1" applyBorder="1" applyAlignment="1">
      <alignment horizontal="right"/>
    </xf>
    <xf numFmtId="43" fontId="0" fillId="78" borderId="0" xfId="1" applyFont="1" applyFill="1" applyBorder="1"/>
    <xf numFmtId="0" fontId="0" fillId="0" borderId="0" xfId="0"/>
    <xf numFmtId="0" fontId="0" fillId="0" borderId="0" xfId="0" applyFont="1"/>
    <xf numFmtId="0" fontId="0" fillId="0" borderId="13" xfId="0" applyFont="1" applyBorder="1" applyAlignment="1">
      <alignment horizontal="center"/>
    </xf>
    <xf numFmtId="0" fontId="0" fillId="0" borderId="13" xfId="0" applyFont="1" applyFill="1" applyBorder="1" applyAlignment="1">
      <alignment horizontal="center"/>
    </xf>
    <xf numFmtId="43" fontId="0" fillId="0" borderId="0" xfId="0" applyNumberFormat="1" applyFont="1" applyBorder="1" applyAlignment="1">
      <alignment horizontal="center"/>
    </xf>
    <xf numFmtId="43" fontId="0" fillId="0" borderId="0" xfId="0" applyNumberFormat="1" applyFont="1"/>
    <xf numFmtId="0" fontId="16" fillId="0" borderId="0" xfId="0" applyFont="1"/>
    <xf numFmtId="0" fontId="0" fillId="0" borderId="0" xfId="0" applyFont="1" applyAlignment="1">
      <alignment horizontal="left" indent="1"/>
    </xf>
    <xf numFmtId="0" fontId="0" fillId="76" borderId="0" xfId="0" applyFont="1" applyFill="1" applyAlignment="1">
      <alignment horizontal="center"/>
    </xf>
    <xf numFmtId="0" fontId="14" fillId="0" borderId="0" xfId="0" applyFont="1" applyFill="1"/>
    <xf numFmtId="0" fontId="14" fillId="0" borderId="0" xfId="0" applyFont="1" applyFill="1" applyAlignment="1">
      <alignment horizontal="center"/>
    </xf>
    <xf numFmtId="0" fontId="0" fillId="0" borderId="0" xfId="0" applyFont="1" applyBorder="1"/>
    <xf numFmtId="175" fontId="0" fillId="0" borderId="0" xfId="0" applyNumberFormat="1" applyFont="1"/>
    <xf numFmtId="176" fontId="0" fillId="0" borderId="0" xfId="0" applyNumberFormat="1" applyFont="1"/>
    <xf numFmtId="0" fontId="16" fillId="0" borderId="0" xfId="0" applyFont="1" applyFill="1" applyBorder="1"/>
    <xf numFmtId="44" fontId="0" fillId="0" borderId="0" xfId="2" applyFont="1" applyFill="1" applyBorder="1"/>
    <xf numFmtId="0" fontId="0" fillId="0" borderId="0" xfId="0" applyFont="1" applyFill="1" applyBorder="1"/>
    <xf numFmtId="44" fontId="16" fillId="0" borderId="0" xfId="0" applyNumberFormat="1" applyFont="1" applyFill="1" applyBorder="1"/>
    <xf numFmtId="165" fontId="0" fillId="0" borderId="0" xfId="1" applyNumberFormat="1" applyFont="1" applyFill="1" applyBorder="1"/>
    <xf numFmtId="0" fontId="16" fillId="75" borderId="13" xfId="0" applyFont="1" applyFill="1" applyBorder="1"/>
    <xf numFmtId="0" fontId="0" fillId="75" borderId="13" xfId="0" applyFont="1" applyFill="1" applyBorder="1" applyAlignment="1">
      <alignment horizontal="center"/>
    </xf>
    <xf numFmtId="165" fontId="0" fillId="0" borderId="0" xfId="1" applyNumberFormat="1" applyFont="1"/>
    <xf numFmtId="43" fontId="0" fillId="0" borderId="0" xfId="1" applyFont="1"/>
    <xf numFmtId="0" fontId="16" fillId="0" borderId="40" xfId="0" applyFont="1" applyBorder="1"/>
    <xf numFmtId="0" fontId="0" fillId="0" borderId="12" xfId="0" applyFont="1" applyBorder="1"/>
    <xf numFmtId="0" fontId="0" fillId="0" borderId="43" xfId="0" applyFont="1" applyBorder="1"/>
    <xf numFmtId="44" fontId="0" fillId="0" borderId="0" xfId="2" applyFont="1" applyFill="1"/>
    <xf numFmtId="172" fontId="0" fillId="0" borderId="0" xfId="2" applyNumberFormat="1" applyFont="1" applyFill="1"/>
    <xf numFmtId="172" fontId="0" fillId="0" borderId="13" xfId="2" applyNumberFormat="1" applyFont="1" applyFill="1" applyBorder="1"/>
    <xf numFmtId="174" fontId="0" fillId="0" borderId="0" xfId="2" applyNumberFormat="1" applyFont="1" applyFill="1"/>
    <xf numFmtId="44" fontId="0" fillId="0" borderId="0" xfId="0" applyNumberFormat="1" applyFont="1"/>
    <xf numFmtId="0" fontId="0" fillId="0" borderId="0" xfId="0" applyFont="1" applyAlignment="1">
      <alignment horizontal="left"/>
    </xf>
    <xf numFmtId="10" fontId="0" fillId="0" borderId="0" xfId="0" applyNumberFormat="1" applyFont="1"/>
    <xf numFmtId="43" fontId="0" fillId="0" borderId="0" xfId="1" applyFont="1" applyAlignment="1">
      <alignment horizontal="center"/>
    </xf>
    <xf numFmtId="43" fontId="21" fillId="0" borderId="0" xfId="1" applyFont="1" applyFill="1"/>
    <xf numFmtId="43" fontId="21" fillId="33" borderId="0" xfId="1" applyFont="1" applyFill="1"/>
    <xf numFmtId="0" fontId="104" fillId="0" borderId="0" xfId="1172" applyFont="1" applyFill="1" applyBorder="1"/>
    <xf numFmtId="4" fontId="103" fillId="80" borderId="13" xfId="1172" applyNumberFormat="1" applyFont="1" applyFill="1" applyBorder="1" applyAlignment="1">
      <alignment horizontal="center" vertical="center" wrapText="1"/>
    </xf>
    <xf numFmtId="0" fontId="16" fillId="80" borderId="13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vertical="center"/>
    </xf>
    <xf numFmtId="3" fontId="104" fillId="0" borderId="0" xfId="1171" applyNumberFormat="1" applyFont="1" applyFill="1" applyBorder="1" applyAlignment="1">
      <alignment horizontal="right"/>
    </xf>
    <xf numFmtId="3" fontId="103" fillId="0" borderId="0" xfId="1171" applyNumberFormat="1" applyFont="1" applyFill="1" applyBorder="1" applyAlignment="1">
      <alignment horizontal="right"/>
    </xf>
    <xf numFmtId="3" fontId="103" fillId="80" borderId="13" xfId="1172" applyNumberFormat="1" applyFont="1" applyFill="1" applyBorder="1" applyAlignment="1">
      <alignment horizontal="center" vertical="center" wrapText="1"/>
    </xf>
    <xf numFmtId="3" fontId="104" fillId="0" borderId="0" xfId="1172" applyNumberFormat="1" applyFont="1" applyFill="1" applyBorder="1" applyAlignment="1">
      <alignment horizontal="right"/>
    </xf>
    <xf numFmtId="3" fontId="0" fillId="0" borderId="0" xfId="0" applyNumberFormat="1" applyFont="1" applyBorder="1"/>
    <xf numFmtId="3" fontId="0" fillId="0" borderId="0" xfId="0" applyNumberFormat="1" applyFont="1" applyFill="1" applyBorder="1"/>
    <xf numFmtId="43" fontId="104" fillId="0" borderId="0" xfId="1" applyFont="1" applyFill="1" applyBorder="1" applyAlignment="1">
      <alignment horizontal="right"/>
    </xf>
    <xf numFmtId="43" fontId="103" fillId="0" borderId="0" xfId="1" applyFont="1" applyFill="1" applyBorder="1" applyAlignment="1">
      <alignment horizontal="right"/>
    </xf>
    <xf numFmtId="43" fontId="16" fillId="80" borderId="13" xfId="1" applyFont="1" applyFill="1" applyBorder="1" applyAlignment="1">
      <alignment horizontal="center" vertical="center" wrapText="1"/>
    </xf>
    <xf numFmtId="43" fontId="0" fillId="0" borderId="0" xfId="1" applyFont="1" applyBorder="1"/>
    <xf numFmtId="165" fontId="104" fillId="0" borderId="0" xfId="1" applyNumberFormat="1" applyFont="1" applyFill="1" applyBorder="1" applyAlignment="1">
      <alignment horizontal="right"/>
    </xf>
    <xf numFmtId="165" fontId="103" fillId="0" borderId="0" xfId="1" applyNumberFormat="1" applyFont="1" applyFill="1" applyBorder="1" applyAlignment="1">
      <alignment horizontal="right"/>
    </xf>
    <xf numFmtId="165" fontId="103" fillId="80" borderId="13" xfId="1" applyNumberFormat="1" applyFont="1" applyFill="1" applyBorder="1" applyAlignment="1">
      <alignment horizontal="center" vertical="center" wrapText="1"/>
    </xf>
    <xf numFmtId="165" fontId="0" fillId="0" borderId="0" xfId="1" applyNumberFormat="1" applyFont="1" applyBorder="1"/>
    <xf numFmtId="165" fontId="0" fillId="0" borderId="0" xfId="0" applyNumberFormat="1" applyFont="1" applyBorder="1"/>
    <xf numFmtId="0" fontId="21" fillId="81" borderId="0" xfId="0" applyFont="1" applyFill="1"/>
    <xf numFmtId="43" fontId="21" fillId="81" borderId="0" xfId="5" applyFont="1" applyFill="1" applyBorder="1"/>
    <xf numFmtId="43" fontId="20" fillId="81" borderId="0" xfId="5" applyFont="1" applyFill="1" applyAlignment="1">
      <alignment horizontal="center"/>
    </xf>
    <xf numFmtId="165" fontId="20" fillId="81" borderId="0" xfId="5" applyNumberFormat="1" applyFont="1" applyFill="1"/>
    <xf numFmtId="0" fontId="20" fillId="81" borderId="0" xfId="4" applyFont="1" applyFill="1"/>
    <xf numFmtId="165" fontId="21" fillId="81" borderId="0" xfId="5" applyNumberFormat="1" applyFont="1" applyFill="1"/>
    <xf numFmtId="43" fontId="20" fillId="81" borderId="0" xfId="4" applyNumberFormat="1" applyFont="1" applyFill="1"/>
    <xf numFmtId="165" fontId="20" fillId="81" borderId="0" xfId="1" applyNumberFormat="1" applyFont="1" applyFill="1"/>
    <xf numFmtId="165" fontId="20" fillId="81" borderId="0" xfId="4" applyNumberFormat="1" applyFont="1" applyFill="1"/>
    <xf numFmtId="0" fontId="27" fillId="81" borderId="0" xfId="4" applyFont="1" applyFill="1"/>
    <xf numFmtId="43" fontId="27" fillId="81" borderId="0" xfId="4" applyNumberFormat="1" applyFont="1" applyFill="1"/>
    <xf numFmtId="43" fontId="27" fillId="81" borderId="0" xfId="1" applyFont="1" applyFill="1"/>
    <xf numFmtId="0" fontId="21" fillId="82" borderId="0" xfId="0" applyFont="1" applyFill="1"/>
    <xf numFmtId="43" fontId="21" fillId="82" borderId="0" xfId="5" applyFont="1" applyFill="1" applyBorder="1"/>
    <xf numFmtId="43" fontId="20" fillId="82" borderId="0" xfId="5" applyFont="1" applyFill="1" applyAlignment="1">
      <alignment horizontal="center"/>
    </xf>
    <xf numFmtId="165" fontId="20" fillId="82" borderId="0" xfId="5" applyNumberFormat="1" applyFont="1" applyFill="1"/>
    <xf numFmtId="0" fontId="20" fillId="82" borderId="0" xfId="4" applyFont="1" applyFill="1"/>
    <xf numFmtId="165" fontId="21" fillId="82" borderId="0" xfId="5" applyNumberFormat="1" applyFont="1" applyFill="1"/>
    <xf numFmtId="43" fontId="20" fillId="82" borderId="0" xfId="4" applyNumberFormat="1" applyFont="1" applyFill="1"/>
    <xf numFmtId="165" fontId="20" fillId="82" borderId="0" xfId="1" applyNumberFormat="1" applyFont="1" applyFill="1"/>
    <xf numFmtId="165" fontId="20" fillId="82" borderId="0" xfId="4" applyNumberFormat="1" applyFont="1" applyFill="1"/>
    <xf numFmtId="0" fontId="27" fillId="82" borderId="0" xfId="4" applyFont="1" applyFill="1"/>
    <xf numFmtId="43" fontId="27" fillId="82" borderId="0" xfId="4" applyNumberFormat="1" applyFont="1" applyFill="1"/>
    <xf numFmtId="43" fontId="27" fillId="82" borderId="0" xfId="1" applyFont="1" applyFill="1"/>
    <xf numFmtId="0" fontId="21" fillId="83" borderId="0" xfId="0" applyFont="1" applyFill="1"/>
    <xf numFmtId="43" fontId="21" fillId="83" borderId="0" xfId="5" applyFont="1" applyFill="1" applyBorder="1"/>
    <xf numFmtId="43" fontId="20" fillId="83" borderId="0" xfId="5" applyFont="1" applyFill="1" applyAlignment="1">
      <alignment horizontal="center"/>
    </xf>
    <xf numFmtId="165" fontId="20" fillId="83" borderId="0" xfId="5" applyNumberFormat="1" applyFont="1" applyFill="1"/>
    <xf numFmtId="0" fontId="20" fillId="83" borderId="0" xfId="4" applyFont="1" applyFill="1"/>
    <xf numFmtId="165" fontId="21" fillId="83" borderId="0" xfId="5" applyNumberFormat="1" applyFont="1" applyFill="1"/>
    <xf numFmtId="43" fontId="20" fillId="83" borderId="0" xfId="4" applyNumberFormat="1" applyFont="1" applyFill="1"/>
    <xf numFmtId="165" fontId="20" fillId="83" borderId="0" xfId="1" applyNumberFormat="1" applyFont="1" applyFill="1"/>
    <xf numFmtId="165" fontId="20" fillId="83" borderId="0" xfId="4" applyNumberFormat="1" applyFont="1" applyFill="1"/>
    <xf numFmtId="0" fontId="27" fillId="83" borderId="0" xfId="4" applyFont="1" applyFill="1"/>
    <xf numFmtId="43" fontId="27" fillId="83" borderId="0" xfId="4" applyNumberFormat="1" applyFont="1" applyFill="1"/>
    <xf numFmtId="43" fontId="27" fillId="83" borderId="0" xfId="1" applyFont="1" applyFill="1"/>
    <xf numFmtId="0" fontId="21" fillId="84" borderId="0" xfId="0" applyFont="1" applyFill="1"/>
    <xf numFmtId="43" fontId="21" fillId="84" borderId="0" xfId="5" applyFont="1" applyFill="1" applyBorder="1"/>
    <xf numFmtId="43" fontId="20" fillId="84" borderId="0" xfId="5" applyFont="1" applyFill="1" applyAlignment="1">
      <alignment horizontal="center"/>
    </xf>
    <xf numFmtId="165" fontId="20" fillId="84" borderId="0" xfId="5" applyNumberFormat="1" applyFont="1" applyFill="1"/>
    <xf numFmtId="0" fontId="20" fillId="84" borderId="0" xfId="4" applyFont="1" applyFill="1"/>
    <xf numFmtId="165" fontId="21" fillId="84" borderId="0" xfId="5" applyNumberFormat="1" applyFont="1" applyFill="1"/>
    <xf numFmtId="43" fontId="20" fillId="84" borderId="0" xfId="4" applyNumberFormat="1" applyFont="1" applyFill="1"/>
    <xf numFmtId="165" fontId="20" fillId="84" borderId="0" xfId="1" applyNumberFormat="1" applyFont="1" applyFill="1"/>
    <xf numFmtId="165" fontId="20" fillId="84" borderId="0" xfId="4" applyNumberFormat="1" applyFont="1" applyFill="1"/>
    <xf numFmtId="0" fontId="27" fillId="84" borderId="0" xfId="4" applyFont="1" applyFill="1"/>
    <xf numFmtId="43" fontId="27" fillId="84" borderId="0" xfId="4" applyNumberFormat="1" applyFont="1" applyFill="1"/>
    <xf numFmtId="43" fontId="27" fillId="84" borderId="0" xfId="1" applyFont="1" applyFill="1"/>
    <xf numFmtId="0" fontId="21" fillId="85" borderId="0" xfId="0" applyFont="1" applyFill="1"/>
    <xf numFmtId="43" fontId="21" fillId="85" borderId="0" xfId="5" applyFont="1" applyFill="1" applyBorder="1"/>
    <xf numFmtId="43" fontId="20" fillId="85" borderId="0" xfId="5" applyFont="1" applyFill="1" applyAlignment="1">
      <alignment horizontal="center"/>
    </xf>
    <xf numFmtId="165" fontId="20" fillId="85" borderId="0" xfId="5" applyNumberFormat="1" applyFont="1" applyFill="1"/>
    <xf numFmtId="0" fontId="20" fillId="85" borderId="0" xfId="4" applyFont="1" applyFill="1"/>
    <xf numFmtId="165" fontId="21" fillId="85" borderId="0" xfId="5" applyNumberFormat="1" applyFont="1" applyFill="1"/>
    <xf numFmtId="43" fontId="20" fillId="85" borderId="0" xfId="4" applyNumberFormat="1" applyFont="1" applyFill="1"/>
    <xf numFmtId="165" fontId="20" fillId="85" borderId="0" xfId="1" applyNumberFormat="1" applyFont="1" applyFill="1"/>
    <xf numFmtId="165" fontId="20" fillId="85" borderId="0" xfId="4" applyNumberFormat="1" applyFont="1" applyFill="1"/>
    <xf numFmtId="0" fontId="27" fillId="85" borderId="0" xfId="4" applyFont="1" applyFill="1"/>
    <xf numFmtId="43" fontId="27" fillId="85" borderId="0" xfId="4" applyNumberFormat="1" applyFont="1" applyFill="1"/>
    <xf numFmtId="43" fontId="27" fillId="85" borderId="0" xfId="1" applyFont="1" applyFill="1"/>
    <xf numFmtId="43" fontId="0" fillId="0" borderId="0" xfId="0" applyNumberFormat="1" applyFont="1" applyBorder="1"/>
    <xf numFmtId="0" fontId="103" fillId="81" borderId="0" xfId="1172" applyFont="1" applyFill="1" applyBorder="1"/>
    <xf numFmtId="0" fontId="103" fillId="81" borderId="0" xfId="1172" applyFont="1" applyFill="1" applyBorder="1" applyAlignment="1">
      <alignment horizontal="left"/>
    </xf>
    <xf numFmtId="4" fontId="104" fillId="81" borderId="0" xfId="1172" applyNumberFormat="1" applyFont="1" applyFill="1" applyBorder="1" applyAlignment="1">
      <alignment horizontal="right"/>
    </xf>
    <xf numFmtId="165" fontId="104" fillId="81" borderId="0" xfId="1" applyNumberFormat="1" applyFont="1" applyFill="1" applyBorder="1" applyAlignment="1">
      <alignment horizontal="right"/>
    </xf>
    <xf numFmtId="3" fontId="104" fillId="81" borderId="0" xfId="1172" applyNumberFormat="1" applyFont="1" applyFill="1" applyBorder="1" applyAlignment="1">
      <alignment horizontal="right"/>
    </xf>
    <xf numFmtId="43" fontId="104" fillId="81" borderId="0" xfId="1" applyFont="1" applyFill="1" applyBorder="1" applyAlignment="1">
      <alignment horizontal="right"/>
    </xf>
    <xf numFmtId="0" fontId="0" fillId="81" borderId="0" xfId="0" applyFont="1" applyFill="1" applyBorder="1"/>
    <xf numFmtId="165" fontId="104" fillId="81" borderId="0" xfId="1" applyNumberFormat="1" applyFont="1" applyFill="1" applyBorder="1" applyAlignment="1">
      <alignment horizontal="left"/>
    </xf>
    <xf numFmtId="43" fontId="0" fillId="81" borderId="0" xfId="0" applyNumberFormat="1" applyFont="1" applyFill="1" applyBorder="1"/>
    <xf numFmtId="43" fontId="0" fillId="81" borderId="0" xfId="1" applyFont="1" applyFill="1" applyBorder="1"/>
    <xf numFmtId="4" fontId="104" fillId="0" borderId="53" xfId="1172" applyNumberFormat="1" applyFont="1" applyFill="1" applyBorder="1" applyAlignment="1">
      <alignment horizontal="right"/>
    </xf>
    <xf numFmtId="165" fontId="103" fillId="0" borderId="53" xfId="1172" applyNumberFormat="1" applyFont="1" applyFill="1" applyBorder="1" applyAlignment="1">
      <alignment horizontal="left"/>
    </xf>
    <xf numFmtId="0" fontId="103" fillId="0" borderId="53" xfId="1172" applyFont="1" applyBorder="1" applyAlignment="1">
      <alignment horizontal="right"/>
    </xf>
    <xf numFmtId="43" fontId="0" fillId="0" borderId="52" xfId="0" applyNumberFormat="1" applyFont="1" applyBorder="1"/>
    <xf numFmtId="165" fontId="103" fillId="0" borderId="52" xfId="1" applyNumberFormat="1" applyFont="1" applyFill="1" applyBorder="1" applyAlignment="1">
      <alignment horizontal="left"/>
    </xf>
    <xf numFmtId="43" fontId="104" fillId="86" borderId="0" xfId="1" applyNumberFormat="1" applyFont="1" applyFill="1" applyBorder="1" applyAlignment="1">
      <alignment horizontal="left"/>
    </xf>
    <xf numFmtId="43" fontId="0" fillId="0" borderId="53" xfId="0" applyNumberFormat="1" applyFont="1" applyBorder="1"/>
    <xf numFmtId="43" fontId="0" fillId="86" borderId="0" xfId="1" applyFont="1" applyFill="1" applyBorder="1"/>
    <xf numFmtId="3" fontId="104" fillId="86" borderId="0" xfId="1172" applyNumberFormat="1" applyFont="1" applyFill="1" applyBorder="1" applyAlignment="1">
      <alignment horizontal="right"/>
    </xf>
    <xf numFmtId="165" fontId="104" fillId="86" borderId="0" xfId="1" applyNumberFormat="1" applyFont="1" applyFill="1" applyBorder="1" applyAlignment="1">
      <alignment horizontal="right"/>
    </xf>
    <xf numFmtId="0" fontId="107" fillId="86" borderId="0" xfId="1172" applyFont="1" applyFill="1" applyBorder="1" applyAlignment="1">
      <alignment horizontal="right"/>
    </xf>
    <xf numFmtId="0" fontId="104" fillId="86" borderId="0" xfId="1172" applyFont="1" applyFill="1" applyBorder="1" applyAlignment="1">
      <alignment horizontal="left"/>
    </xf>
    <xf numFmtId="0" fontId="107" fillId="0" borderId="0" xfId="1172" applyFont="1" applyFill="1" applyBorder="1" applyAlignment="1">
      <alignment horizontal="right"/>
    </xf>
    <xf numFmtId="43" fontId="104" fillId="86" borderId="0" xfId="1" applyFont="1" applyFill="1" applyBorder="1" applyAlignment="1">
      <alignment horizontal="right"/>
    </xf>
    <xf numFmtId="0" fontId="103" fillId="0" borderId="52" xfId="1172" applyFont="1" applyBorder="1" applyAlignment="1">
      <alignment horizontal="right"/>
    </xf>
    <xf numFmtId="43" fontId="0" fillId="86" borderId="0" xfId="0" applyNumberFormat="1" applyFont="1" applyFill="1" applyBorder="1"/>
    <xf numFmtId="0" fontId="0" fillId="86" borderId="0" xfId="0" applyFont="1" applyFill="1" applyBorder="1"/>
    <xf numFmtId="4" fontId="104" fillId="86" borderId="0" xfId="1172" applyNumberFormat="1" applyFont="1" applyFill="1" applyBorder="1" applyAlignment="1">
      <alignment horizontal="right"/>
    </xf>
    <xf numFmtId="43" fontId="0" fillId="0" borderId="0" xfId="1" applyFont="1" applyBorder="1"/>
    <xf numFmtId="10" fontId="0" fillId="0" borderId="0" xfId="3" applyNumberFormat="1" applyFont="1" applyBorder="1" applyAlignment="1">
      <alignment horizontal="right"/>
    </xf>
    <xf numFmtId="165" fontId="0" fillId="0" borderId="0" xfId="1" applyNumberFormat="1" applyFont="1" applyBorder="1" applyAlignment="1">
      <alignment horizontal="right"/>
    </xf>
    <xf numFmtId="43" fontId="0" fillId="0" borderId="0" xfId="0" applyNumberFormat="1" applyFont="1" applyBorder="1"/>
    <xf numFmtId="0" fontId="0" fillId="0" borderId="0" xfId="0" applyFont="1" applyBorder="1" applyAlignment="1">
      <alignment horizontal="left"/>
    </xf>
    <xf numFmtId="165" fontId="16" fillId="0" borderId="13" xfId="1" applyNumberFormat="1" applyFont="1" applyBorder="1" applyAlignment="1">
      <alignment horizontal="center"/>
    </xf>
    <xf numFmtId="0" fontId="0" fillId="0" borderId="0" xfId="0" applyFont="1" applyBorder="1"/>
    <xf numFmtId="0" fontId="0" fillId="0" borderId="0" xfId="0" applyFont="1" applyFill="1" applyBorder="1"/>
    <xf numFmtId="0" fontId="0" fillId="0" borderId="0" xfId="0"/>
    <xf numFmtId="0" fontId="0" fillId="0" borderId="0" xfId="0" applyFont="1" applyFill="1"/>
    <xf numFmtId="42" fontId="0" fillId="0" borderId="0" xfId="0" applyNumberFormat="1" applyFont="1" applyFill="1"/>
    <xf numFmtId="42" fontId="0" fillId="0" borderId="13" xfId="0" applyNumberFormat="1" applyFont="1" applyFill="1" applyBorder="1"/>
    <xf numFmtId="42" fontId="16" fillId="0" borderId="0" xfId="0" applyNumberFormat="1" applyFont="1" applyFill="1"/>
    <xf numFmtId="10" fontId="0" fillId="0" borderId="0" xfId="3" applyNumberFormat="1" applyFont="1" applyFill="1"/>
    <xf numFmtId="0" fontId="16" fillId="75" borderId="0" xfId="0" applyFont="1" applyFill="1"/>
    <xf numFmtId="0" fontId="0" fillId="75" borderId="0" xfId="0" applyFill="1"/>
    <xf numFmtId="3" fontId="0" fillId="36" borderId="0" xfId="1" applyNumberFormat="1" applyFont="1" applyFill="1" applyBorder="1" applyAlignment="1">
      <alignment horizontal="right"/>
    </xf>
    <xf numFmtId="165" fontId="0" fillId="81" borderId="0" xfId="1" applyNumberFormat="1" applyFont="1" applyFill="1" applyBorder="1"/>
    <xf numFmtId="165" fontId="0" fillId="86" borderId="0" xfId="1" applyNumberFormat="1" applyFont="1" applyFill="1" applyBorder="1"/>
    <xf numFmtId="4" fontId="103" fillId="36" borderId="0" xfId="1172" applyNumberFormat="1" applyFont="1" applyFill="1" applyBorder="1" applyAlignment="1">
      <alignment horizontal="center" vertical="center" wrapText="1"/>
    </xf>
    <xf numFmtId="165" fontId="103" fillId="36" borderId="0" xfId="1" applyNumberFormat="1" applyFont="1" applyFill="1" applyBorder="1" applyAlignment="1">
      <alignment horizontal="center" vertical="center" wrapText="1"/>
    </xf>
    <xf numFmtId="3" fontId="103" fillId="36" borderId="0" xfId="1172" applyNumberFormat="1" applyFont="1" applyFill="1" applyBorder="1" applyAlignment="1">
      <alignment horizontal="center" vertical="center" wrapText="1"/>
    </xf>
    <xf numFmtId="43" fontId="16" fillId="36" borderId="0" xfId="1" applyFont="1" applyFill="1" applyBorder="1" applyAlignment="1">
      <alignment horizontal="center" vertical="center" wrapText="1"/>
    </xf>
    <xf numFmtId="0" fontId="16" fillId="36" borderId="0" xfId="0" applyFont="1" applyFill="1" applyBorder="1" applyAlignment="1">
      <alignment horizontal="center" vertical="center" wrapText="1"/>
    </xf>
    <xf numFmtId="4" fontId="108" fillId="36" borderId="0" xfId="1172" applyNumberFormat="1" applyFont="1" applyFill="1" applyBorder="1" applyAlignment="1">
      <alignment horizontal="center" vertical="center" wrapText="1"/>
    </xf>
    <xf numFmtId="0" fontId="103" fillId="0" borderId="0" xfId="1172" applyFont="1" applyBorder="1" applyAlignment="1">
      <alignment horizontal="right"/>
    </xf>
    <xf numFmtId="165" fontId="103" fillId="0" borderId="0" xfId="1" applyNumberFormat="1" applyFont="1" applyFill="1" applyBorder="1" applyAlignment="1">
      <alignment horizontal="left"/>
    </xf>
    <xf numFmtId="0" fontId="104" fillId="86" borderId="0" xfId="1172" applyFont="1" applyFill="1" applyBorder="1"/>
    <xf numFmtId="165" fontId="104" fillId="86" borderId="0" xfId="1" applyNumberFormat="1" applyFont="1" applyFill="1" applyBorder="1" applyAlignment="1">
      <alignment horizontal="left"/>
    </xf>
    <xf numFmtId="3" fontId="0" fillId="86" borderId="0" xfId="0" applyNumberFormat="1" applyFont="1" applyFill="1" applyBorder="1"/>
    <xf numFmtId="43" fontId="104" fillId="86" borderId="0" xfId="1" applyNumberFormat="1" applyFont="1" applyFill="1" applyBorder="1" applyAlignment="1">
      <alignment horizontal="right"/>
    </xf>
    <xf numFmtId="0" fontId="103" fillId="0" borderId="0" xfId="1171" applyFont="1" applyFill="1" applyBorder="1"/>
    <xf numFmtId="165" fontId="16" fillId="80" borderId="13" xfId="1" applyNumberFormat="1" applyFont="1" applyFill="1" applyBorder="1" applyAlignment="1">
      <alignment horizontal="center" vertical="center" wrapText="1"/>
    </xf>
    <xf numFmtId="165" fontId="16" fillId="36" borderId="0" xfId="1" applyNumberFormat="1" applyFont="1" applyFill="1" applyBorder="1" applyAlignment="1">
      <alignment horizontal="center" vertical="center" wrapText="1"/>
    </xf>
    <xf numFmtId="165" fontId="103" fillId="0" borderId="53" xfId="1" applyNumberFormat="1" applyFont="1" applyFill="1" applyBorder="1" applyAlignment="1">
      <alignment horizontal="left"/>
    </xf>
    <xf numFmtId="43" fontId="0" fillId="0" borderId="0" xfId="0" applyNumberFormat="1" applyFont="1" applyFill="1" applyBorder="1"/>
    <xf numFmtId="10" fontId="0" fillId="0" borderId="0" xfId="3" applyNumberFormat="1" applyFont="1"/>
    <xf numFmtId="0" fontId="16" fillId="0" borderId="0" xfId="0" applyFont="1" applyFill="1" applyAlignment="1">
      <alignment horizontal="right"/>
    </xf>
    <xf numFmtId="0" fontId="104" fillId="0" borderId="13" xfId="1172" applyFont="1" applyFill="1" applyBorder="1"/>
    <xf numFmtId="0" fontId="104" fillId="0" borderId="13" xfId="1172" applyFont="1" applyFill="1" applyBorder="1" applyAlignment="1">
      <alignment horizontal="left"/>
    </xf>
    <xf numFmtId="4" fontId="103" fillId="0" borderId="13" xfId="1172" applyNumberFormat="1" applyFont="1" applyFill="1" applyBorder="1" applyAlignment="1">
      <alignment horizontal="center" wrapText="1"/>
    </xf>
    <xf numFmtId="0" fontId="0" fillId="0" borderId="13" xfId="0" applyFont="1" applyFill="1" applyBorder="1"/>
    <xf numFmtId="4" fontId="103" fillId="0" borderId="0" xfId="1172" applyNumberFormat="1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103" fillId="0" borderId="0" xfId="1172" applyFont="1" applyFill="1" applyBorder="1" applyAlignment="1">
      <alignment horizontal="left"/>
    </xf>
    <xf numFmtId="2" fontId="0" fillId="0" borderId="0" xfId="0" applyNumberFormat="1" applyFont="1" applyBorder="1"/>
    <xf numFmtId="4" fontId="0" fillId="0" borderId="0" xfId="0" applyNumberFormat="1" applyFont="1" applyBorder="1"/>
    <xf numFmtId="0" fontId="0" fillId="0" borderId="0" xfId="0" applyFont="1" applyAlignment="1">
      <alignment horizontal="left"/>
    </xf>
    <xf numFmtId="43" fontId="0" fillId="0" borderId="0" xfId="1" applyFont="1" applyBorder="1" applyAlignment="1">
      <alignment vertical="center"/>
    </xf>
    <xf numFmtId="172" fontId="0" fillId="0" borderId="0" xfId="2" applyNumberFormat="1" applyFont="1" applyFill="1" applyBorder="1"/>
    <xf numFmtId="165" fontId="0" fillId="74" borderId="13" xfId="1" applyNumberFormat="1" applyFont="1" applyFill="1" applyBorder="1"/>
    <xf numFmtId="42" fontId="0" fillId="74" borderId="42" xfId="0" applyNumberFormat="1" applyFont="1" applyFill="1" applyBorder="1"/>
    <xf numFmtId="3" fontId="0" fillId="74" borderId="0" xfId="0" applyNumberFormat="1" applyFont="1" applyFill="1" applyBorder="1" applyAlignment="1">
      <alignment horizontal="right"/>
    </xf>
    <xf numFmtId="44" fontId="0" fillId="74" borderId="0" xfId="2" applyFont="1" applyFill="1" applyBorder="1"/>
    <xf numFmtId="4" fontId="104" fillId="74" borderId="0" xfId="1172" applyNumberFormat="1" applyFont="1" applyFill="1" applyBorder="1" applyAlignment="1">
      <alignment horizontal="right"/>
    </xf>
    <xf numFmtId="44" fontId="0" fillId="74" borderId="13" xfId="2" applyFont="1" applyFill="1" applyBorder="1"/>
    <xf numFmtId="44" fontId="0" fillId="74" borderId="0" xfId="2" applyFont="1" applyFill="1"/>
    <xf numFmtId="0" fontId="0" fillId="75" borderId="0" xfId="0" applyFont="1" applyFill="1" applyAlignment="1">
      <alignment horizontal="center"/>
    </xf>
    <xf numFmtId="0" fontId="0" fillId="0" borderId="0" xfId="0" applyFont="1" applyAlignment="1">
      <alignment horizontal="left"/>
    </xf>
    <xf numFmtId="0" fontId="16" fillId="75" borderId="13" xfId="0" applyFont="1" applyFill="1" applyBorder="1" applyAlignment="1">
      <alignment horizontal="center"/>
    </xf>
    <xf numFmtId="0" fontId="107" fillId="0" borderId="0" xfId="1171" applyFont="1" applyFill="1" applyBorder="1" applyAlignment="1">
      <alignment horizontal="center"/>
    </xf>
    <xf numFmtId="0" fontId="16" fillId="75" borderId="0" xfId="0" applyFont="1" applyFill="1" applyBorder="1" applyAlignment="1">
      <alignment horizontal="center"/>
    </xf>
    <xf numFmtId="4" fontId="108" fillId="36" borderId="0" xfId="1172" applyNumberFormat="1" applyFont="1" applyFill="1" applyBorder="1" applyAlignment="1">
      <alignment horizontal="left" vertical="center" wrapText="1"/>
    </xf>
    <xf numFmtId="165" fontId="18" fillId="37" borderId="0" xfId="1" applyNumberFormat="1" applyFont="1" applyFill="1" applyAlignment="1">
      <alignment horizontal="center" wrapText="1"/>
    </xf>
    <xf numFmtId="0" fontId="26" fillId="37" borderId="0" xfId="0" applyFont="1" applyFill="1" applyBorder="1" applyAlignment="1">
      <alignment horizontal="center"/>
    </xf>
    <xf numFmtId="169" fontId="0" fillId="0" borderId="0" xfId="3" applyNumberFormat="1" applyFont="1" applyFill="1" applyBorder="1"/>
    <xf numFmtId="10" fontId="0" fillId="0" borderId="0" xfId="3" applyNumberFormat="1" applyFont="1" applyFill="1" applyBorder="1"/>
  </cellXfs>
  <cellStyles count="1307">
    <cellStyle name="20% - Accent1 2" xfId="7"/>
    <cellStyle name="20% - Accent1 2 2" xfId="8"/>
    <cellStyle name="20% - Accent1 2 3" xfId="9"/>
    <cellStyle name="20% - Accent1 2 4" xfId="10"/>
    <cellStyle name="20% - Accent1 3" xfId="11"/>
    <cellStyle name="20% - Accent1 3 2" xfId="12"/>
    <cellStyle name="20% - Accent1 3 3" xfId="13"/>
    <cellStyle name="20% - Accent1 4" xfId="14"/>
    <cellStyle name="20% - Accent1 4 2" xfId="15"/>
    <cellStyle name="20% - Accent1 5" xfId="16"/>
    <cellStyle name="20% - Accent2 2" xfId="17"/>
    <cellStyle name="20% - Accent2 3" xfId="18"/>
    <cellStyle name="20% - Accent2 3 2" xfId="19"/>
    <cellStyle name="20% - Accent2 4" xfId="20"/>
    <cellStyle name="20% - Accent2 5" xfId="21"/>
    <cellStyle name="20% - Accent3 2" xfId="22"/>
    <cellStyle name="20% - Accent3 3" xfId="23"/>
    <cellStyle name="20% - Accent3 3 2" xfId="24"/>
    <cellStyle name="20% - Accent3 4" xfId="25"/>
    <cellStyle name="20% - Accent3 5" xfId="26"/>
    <cellStyle name="20% - Accent4 2" xfId="27"/>
    <cellStyle name="20% - Accent4 2 2" xfId="28"/>
    <cellStyle name="20% - Accent4 2 3" xfId="29"/>
    <cellStyle name="20% - Accent4 3" xfId="30"/>
    <cellStyle name="20% - Accent4 3 2" xfId="31"/>
    <cellStyle name="20% - Accent4 3 3" xfId="32"/>
    <cellStyle name="20% - Accent4 4" xfId="33"/>
    <cellStyle name="20% - Accent4 4 2" xfId="34"/>
    <cellStyle name="20% - Accent4 5" xfId="35"/>
    <cellStyle name="20% - Accent5 2" xfId="36"/>
    <cellStyle name="20% - Accent5 3" xfId="37"/>
    <cellStyle name="20% - Accent5 4" xfId="38"/>
    <cellStyle name="20% - Accent5 5" xfId="39"/>
    <cellStyle name="20% - Accent6 2" xfId="40"/>
    <cellStyle name="20% - Accent6 3" xfId="41"/>
    <cellStyle name="20% - Accent6 3 2" xfId="42"/>
    <cellStyle name="20% - Accent6 4" xfId="43"/>
    <cellStyle name="20% - Accent6 5" xfId="44"/>
    <cellStyle name="40% - Accent1 2" xfId="45"/>
    <cellStyle name="40% - Accent1 2 2" xfId="46"/>
    <cellStyle name="40% - Accent1 2 3" xfId="47"/>
    <cellStyle name="40% - Accent1 3" xfId="48"/>
    <cellStyle name="40% - Accent1 3 2" xfId="49"/>
    <cellStyle name="40% - Accent1 3 3" xfId="50"/>
    <cellStyle name="40% - Accent1 4" xfId="51"/>
    <cellStyle name="40% - Accent1 4 2" xfId="52"/>
    <cellStyle name="40% - Accent1 5" xfId="53"/>
    <cellStyle name="40% - Accent2 2" xfId="54"/>
    <cellStyle name="40% - Accent2 3" xfId="55"/>
    <cellStyle name="40% - Accent2 4" xfId="56"/>
    <cellStyle name="40% - Accent2 5" xfId="57"/>
    <cellStyle name="40% - Accent3 2" xfId="58"/>
    <cellStyle name="40% - Accent3 3" xfId="59"/>
    <cellStyle name="40% - Accent3 3 2" xfId="60"/>
    <cellStyle name="40% - Accent3 4" xfId="61"/>
    <cellStyle name="40% - Accent3 5" xfId="62"/>
    <cellStyle name="40% - Accent4 2" xfId="63"/>
    <cellStyle name="40% - Accent4 2 2" xfId="64"/>
    <cellStyle name="40% - Accent4 2 3" xfId="65"/>
    <cellStyle name="40% - Accent4 3" xfId="66"/>
    <cellStyle name="40% - Accent4 3 2" xfId="67"/>
    <cellStyle name="40% - Accent4 3 3" xfId="68"/>
    <cellStyle name="40% - Accent4 4" xfId="69"/>
    <cellStyle name="40% - Accent4 4 2" xfId="70"/>
    <cellStyle name="40% - Accent4 5" xfId="71"/>
    <cellStyle name="40% - Accent5 2" xfId="72"/>
    <cellStyle name="40% - Accent5 2 2" xfId="73"/>
    <cellStyle name="40% - Accent5 2 3" xfId="74"/>
    <cellStyle name="40% - Accent5 3" xfId="75"/>
    <cellStyle name="40% - Accent5 3 2" xfId="76"/>
    <cellStyle name="40% - Accent5 4" xfId="77"/>
    <cellStyle name="40% - Accent5 5" xfId="78"/>
    <cellStyle name="40% - Accent6 2" xfId="79"/>
    <cellStyle name="40% - Accent6 2 2" xfId="80"/>
    <cellStyle name="40% - Accent6 2 3" xfId="81"/>
    <cellStyle name="40% - Accent6 3" xfId="82"/>
    <cellStyle name="40% - Accent6 3 2" xfId="83"/>
    <cellStyle name="40% - Accent6 3 3" xfId="84"/>
    <cellStyle name="40% - Accent6 4" xfId="85"/>
    <cellStyle name="40% - Accent6 4 2" xfId="86"/>
    <cellStyle name="40% - Accent6 5" xfId="87"/>
    <cellStyle name="60% - Accent1 2" xfId="88"/>
    <cellStyle name="60% - Accent1 2 2" xfId="89"/>
    <cellStyle name="60% - Accent1 2 3" xfId="90"/>
    <cellStyle name="60% - Accent1 2 4" xfId="91"/>
    <cellStyle name="60% - Accent1 3" xfId="92"/>
    <cellStyle name="60% - Accent1 3 2" xfId="93"/>
    <cellStyle name="60% - Accent1 3 3" xfId="94"/>
    <cellStyle name="60% - Accent1 4" xfId="95"/>
    <cellStyle name="60% - Accent1 4 2" xfId="96"/>
    <cellStyle name="60% - Accent2 2" xfId="97"/>
    <cellStyle name="60% - Accent2 2 2" xfId="98"/>
    <cellStyle name="60% - Accent2 2 3" xfId="99"/>
    <cellStyle name="60% - Accent2 3" xfId="100"/>
    <cellStyle name="60% - Accent2 3 2" xfId="101"/>
    <cellStyle name="60% - Accent2 4" xfId="102"/>
    <cellStyle name="60% - Accent3 2" xfId="103"/>
    <cellStyle name="60% - Accent3 2 2" xfId="104"/>
    <cellStyle name="60% - Accent3 2 3" xfId="105"/>
    <cellStyle name="60% - Accent3 3" xfId="106"/>
    <cellStyle name="60% - Accent3 3 2" xfId="107"/>
    <cellStyle name="60% - Accent3 3 3" xfId="108"/>
    <cellStyle name="60% - Accent3 4" xfId="109"/>
    <cellStyle name="60% - Accent3 4 2" xfId="110"/>
    <cellStyle name="60% - Accent4 2" xfId="111"/>
    <cellStyle name="60% - Accent4 2 2" xfId="112"/>
    <cellStyle name="60% - Accent4 2 3" xfId="113"/>
    <cellStyle name="60% - Accent4 3" xfId="114"/>
    <cellStyle name="60% - Accent4 3 2" xfId="115"/>
    <cellStyle name="60% - Accent4 3 3" xfId="116"/>
    <cellStyle name="60% - Accent4 4" xfId="117"/>
    <cellStyle name="60% - Accent4 4 2" xfId="118"/>
    <cellStyle name="60% - Accent5 2" xfId="119"/>
    <cellStyle name="60% - Accent5 2 2" xfId="120"/>
    <cellStyle name="60% - Accent5 2 3" xfId="121"/>
    <cellStyle name="60% - Accent5 2 4" xfId="122"/>
    <cellStyle name="60% - Accent5 3" xfId="123"/>
    <cellStyle name="60% - Accent5 3 2" xfId="124"/>
    <cellStyle name="60% - Accent5 4" xfId="125"/>
    <cellStyle name="60% - Accent6 2" xfId="126"/>
    <cellStyle name="60% - Accent6 3" xfId="127"/>
    <cellStyle name="60% - Accent6 3 2" xfId="128"/>
    <cellStyle name="60% - Accent6 4" xfId="129"/>
    <cellStyle name="Accent1 2" xfId="130"/>
    <cellStyle name="Accent1 2 2" xfId="131"/>
    <cellStyle name="Accent1 2 3" xfId="132"/>
    <cellStyle name="Accent1 2 4" xfId="133"/>
    <cellStyle name="Accent1 3" xfId="134"/>
    <cellStyle name="Accent1 3 2" xfId="135"/>
    <cellStyle name="Accent1 3 3" xfId="136"/>
    <cellStyle name="Accent1 4" xfId="137"/>
    <cellStyle name="Accent1 4 2" xfId="138"/>
    <cellStyle name="Accent2 2" xfId="139"/>
    <cellStyle name="Accent2 2 2" xfId="140"/>
    <cellStyle name="Accent2 2 3" xfId="141"/>
    <cellStyle name="Accent2 3" xfId="142"/>
    <cellStyle name="Accent2 3 2" xfId="143"/>
    <cellStyle name="Accent2 4" xfId="144"/>
    <cellStyle name="Accent3 2" xfId="145"/>
    <cellStyle name="Accent3 2 2" xfId="146"/>
    <cellStyle name="Accent3 2 3" xfId="147"/>
    <cellStyle name="Accent3 2 4" xfId="148"/>
    <cellStyle name="Accent3 3" xfId="149"/>
    <cellStyle name="Accent3 3 2" xfId="150"/>
    <cellStyle name="Accent3 4" xfId="151"/>
    <cellStyle name="Accent4 2" xfId="152"/>
    <cellStyle name="Accent4 2 2" xfId="153"/>
    <cellStyle name="Accent4 2 2 2" xfId="154"/>
    <cellStyle name="Accent4 2 3" xfId="155"/>
    <cellStyle name="Accent4 3" xfId="156"/>
    <cellStyle name="Accent4 3 2" xfId="157"/>
    <cellStyle name="Accent4 4" xfId="158"/>
    <cellStyle name="Accent5 2" xfId="159"/>
    <cellStyle name="Accent5 2 2" xfId="160"/>
    <cellStyle name="Accent5 2 3" xfId="161"/>
    <cellStyle name="Accent5 3" xfId="162"/>
    <cellStyle name="Accent5 4" xfId="163"/>
    <cellStyle name="Accent6 2" xfId="164"/>
    <cellStyle name="Accent6 2 2" xfId="165"/>
    <cellStyle name="Accent6 2 3" xfId="166"/>
    <cellStyle name="Accent6 2 4" xfId="167"/>
    <cellStyle name="Accent6 3" xfId="168"/>
    <cellStyle name="Accent6 3 2" xfId="169"/>
    <cellStyle name="Accent6 4" xfId="170"/>
    <cellStyle name="Accounting" xfId="171"/>
    <cellStyle name="Accounting 2" xfId="172"/>
    <cellStyle name="Accounting 3" xfId="173"/>
    <cellStyle name="Accounting_2011-11" xfId="174"/>
    <cellStyle name="APS" xfId="175"/>
    <cellStyle name="APSLabels" xfId="176"/>
    <cellStyle name="Bad 2" xfId="177"/>
    <cellStyle name="Bad 2 2" xfId="178"/>
    <cellStyle name="Bad 2 3" xfId="179"/>
    <cellStyle name="Bad 3" xfId="180"/>
    <cellStyle name="Bad 3 2" xfId="181"/>
    <cellStyle name="Bad 4" xfId="182"/>
    <cellStyle name="Budget" xfId="183"/>
    <cellStyle name="Budget 2" xfId="184"/>
    <cellStyle name="Budget 3" xfId="185"/>
    <cellStyle name="Budget_2011-11" xfId="186"/>
    <cellStyle name="Calculation 2" xfId="187"/>
    <cellStyle name="Calculation 2 2" xfId="188"/>
    <cellStyle name="Calculation 2 3" xfId="189"/>
    <cellStyle name="Calculation 2 4" xfId="190"/>
    <cellStyle name="Calculation 3" xfId="191"/>
    <cellStyle name="Calculation 3 2" xfId="192"/>
    <cellStyle name="Calculation 3 3" xfId="193"/>
    <cellStyle name="Calculation 4" xfId="194"/>
    <cellStyle name="Calculation 4 2" xfId="195"/>
    <cellStyle name="Check Cell 2" xfId="196"/>
    <cellStyle name="Check Cell 2 2" xfId="197"/>
    <cellStyle name="Check Cell 2 3" xfId="198"/>
    <cellStyle name="Check Cell 3" xfId="199"/>
    <cellStyle name="Check Cell 4" xfId="200"/>
    <cellStyle name="Color" xfId="201"/>
    <cellStyle name="combo" xfId="202"/>
    <cellStyle name="Comma" xfId="1" builtinId="3"/>
    <cellStyle name="Comma 10" xfId="5"/>
    <cellStyle name="Comma 10 2" xfId="203"/>
    <cellStyle name="Comma 11" xfId="204"/>
    <cellStyle name="Comma 11 2" xfId="205"/>
    <cellStyle name="Comma 11 2 2" xfId="206"/>
    <cellStyle name="Comma 11 2 2 2" xfId="207"/>
    <cellStyle name="Comma 11 2 3" xfId="208"/>
    <cellStyle name="Comma 11 3" xfId="209"/>
    <cellStyle name="Comma 11 3 2" xfId="210"/>
    <cellStyle name="Comma 11 4" xfId="211"/>
    <cellStyle name="Comma 12" xfId="212"/>
    <cellStyle name="Comma 12 2" xfId="213"/>
    <cellStyle name="Comma 12 2 2" xfId="214"/>
    <cellStyle name="Comma 12 3" xfId="215"/>
    <cellStyle name="Comma 12 4" xfId="216"/>
    <cellStyle name="Comma 12 5" xfId="217"/>
    <cellStyle name="Comma 13" xfId="218"/>
    <cellStyle name="Comma 13 2" xfId="219"/>
    <cellStyle name="Comma 13 3" xfId="220"/>
    <cellStyle name="Comma 14" xfId="221"/>
    <cellStyle name="Comma 15" xfId="222"/>
    <cellStyle name="Comma 15 2" xfId="223"/>
    <cellStyle name="Comma 15 3" xfId="224"/>
    <cellStyle name="Comma 16" xfId="225"/>
    <cellStyle name="Comma 16 2" xfId="226"/>
    <cellStyle name="Comma 16 3" xfId="227"/>
    <cellStyle name="Comma 17" xfId="228"/>
    <cellStyle name="Comma 17 2" xfId="229"/>
    <cellStyle name="Comma 17 2 2" xfId="230"/>
    <cellStyle name="Comma 17 3" xfId="231"/>
    <cellStyle name="Comma 17 4" xfId="232"/>
    <cellStyle name="Comma 18" xfId="233"/>
    <cellStyle name="Comma 18 2" xfId="234"/>
    <cellStyle name="Comma 18 3" xfId="235"/>
    <cellStyle name="Comma 18 4" xfId="236"/>
    <cellStyle name="Comma 19" xfId="237"/>
    <cellStyle name="Comma 2" xfId="238"/>
    <cellStyle name="Comma 2 2" xfId="239"/>
    <cellStyle name="Comma 2 2 2" xfId="240"/>
    <cellStyle name="Comma 2 2 2 2" xfId="241"/>
    <cellStyle name="Comma 2 2 2 2 2" xfId="242"/>
    <cellStyle name="Comma 2 2 3" xfId="243"/>
    <cellStyle name="Comma 2 3" xfId="244"/>
    <cellStyle name="Comma 2 3 2" xfId="245"/>
    <cellStyle name="Comma 2 4" xfId="246"/>
    <cellStyle name="Comma 2 4 2" xfId="247"/>
    <cellStyle name="Comma 2 4 2 2" xfId="248"/>
    <cellStyle name="Comma 2 4 2 2 2" xfId="1303"/>
    <cellStyle name="Comma 2 4 3" xfId="249"/>
    <cellStyle name="Comma 2 4 4" xfId="250"/>
    <cellStyle name="Comma 2 5" xfId="251"/>
    <cellStyle name="Comma 2 5 2" xfId="252"/>
    <cellStyle name="Comma 2 6" xfId="253"/>
    <cellStyle name="Comma 2 6 2" xfId="254"/>
    <cellStyle name="Comma 2 6 2 2" xfId="255"/>
    <cellStyle name="Comma 2 6 3" xfId="256"/>
    <cellStyle name="Comma 2 7" xfId="257"/>
    <cellStyle name="Comma 2 7 2" xfId="258"/>
    <cellStyle name="Comma 2 8" xfId="259"/>
    <cellStyle name="Comma 20" xfId="260"/>
    <cellStyle name="Comma 20 2" xfId="261"/>
    <cellStyle name="Comma 21" xfId="262"/>
    <cellStyle name="Comma 21 2" xfId="263"/>
    <cellStyle name="Comma 22" xfId="264"/>
    <cellStyle name="Comma 23" xfId="265"/>
    <cellStyle name="Comma 3" xfId="266"/>
    <cellStyle name="Comma 3 2" xfId="267"/>
    <cellStyle name="Comma 3 2 2" xfId="268"/>
    <cellStyle name="Comma 3 3" xfId="269"/>
    <cellStyle name="Comma 3 4" xfId="270"/>
    <cellStyle name="Comma 4" xfId="271"/>
    <cellStyle name="Comma 4 2" xfId="272"/>
    <cellStyle name="Comma 4 2 2" xfId="273"/>
    <cellStyle name="Comma 4 2 2 2" xfId="274"/>
    <cellStyle name="Comma 4 2 2 2 2" xfId="275"/>
    <cellStyle name="Comma 4 2 2 2 3" xfId="276"/>
    <cellStyle name="Comma 4 2 2 3" xfId="277"/>
    <cellStyle name="Comma 4 2 2 3 2" xfId="278"/>
    <cellStyle name="Comma 4 2 2 4" xfId="279"/>
    <cellStyle name="Comma 4 2 3" xfId="280"/>
    <cellStyle name="Comma 4 2 3 2" xfId="281"/>
    <cellStyle name="Comma 4 2 4" xfId="282"/>
    <cellStyle name="Comma 4 2 4 2" xfId="283"/>
    <cellStyle name="Comma 4 2 4 3" xfId="284"/>
    <cellStyle name="Comma 4 2 5" xfId="285"/>
    <cellStyle name="Comma 4 3" xfId="286"/>
    <cellStyle name="Comma 4 3 2" xfId="287"/>
    <cellStyle name="Comma 4 3 2 2" xfId="288"/>
    <cellStyle name="Comma 4 3 3" xfId="289"/>
    <cellStyle name="Comma 4 3 3 2" xfId="290"/>
    <cellStyle name="Comma 4 3 4" xfId="291"/>
    <cellStyle name="Comma 4 3 4 2" xfId="292"/>
    <cellStyle name="Comma 4 4" xfId="293"/>
    <cellStyle name="Comma 4 4 2" xfId="294"/>
    <cellStyle name="Comma 4 4 2 2" xfId="295"/>
    <cellStyle name="Comma 4 4 3" xfId="296"/>
    <cellStyle name="Comma 4 4 3 2" xfId="297"/>
    <cellStyle name="Comma 4 4 4" xfId="298"/>
    <cellStyle name="Comma 4 4 4 2" xfId="299"/>
    <cellStyle name="Comma 4 5" xfId="300"/>
    <cellStyle name="Comma 4 5 2" xfId="301"/>
    <cellStyle name="Comma 4 5 2 2" xfId="302"/>
    <cellStyle name="Comma 4 6" xfId="303"/>
    <cellStyle name="Comma 4 6 2" xfId="304"/>
    <cellStyle name="Comma 4 7" xfId="305"/>
    <cellStyle name="Comma 5" xfId="306"/>
    <cellStyle name="Comma 5 2" xfId="307"/>
    <cellStyle name="Comma 5 2 2" xfId="308"/>
    <cellStyle name="Comma 5 2 2 2" xfId="309"/>
    <cellStyle name="Comma 5 2 2 2 2" xfId="310"/>
    <cellStyle name="Comma 5 2 2 3" xfId="311"/>
    <cellStyle name="Comma 5 2 3" xfId="312"/>
    <cellStyle name="Comma 5 2 3 2" xfId="313"/>
    <cellStyle name="Comma 5 2 3 3" xfId="314"/>
    <cellStyle name="Comma 5 2 4" xfId="315"/>
    <cellStyle name="Comma 5 3" xfId="316"/>
    <cellStyle name="Comma 5 3 2" xfId="317"/>
    <cellStyle name="Comma 5 3 2 2" xfId="318"/>
    <cellStyle name="Comma 5 3 3" xfId="319"/>
    <cellStyle name="Comma 5 4" xfId="320"/>
    <cellStyle name="Comma 5 4 2" xfId="321"/>
    <cellStyle name="Comma 5 5" xfId="322"/>
    <cellStyle name="Comma 5 5 2" xfId="323"/>
    <cellStyle name="Comma 5 6" xfId="324"/>
    <cellStyle name="Comma 6" xfId="325"/>
    <cellStyle name="Comma 6 2" xfId="326"/>
    <cellStyle name="Comma 6 2 2" xfId="327"/>
    <cellStyle name="Comma 6 2 2 2" xfId="328"/>
    <cellStyle name="Comma 6 2 2 2 2" xfId="329"/>
    <cellStyle name="Comma 6 2 2 2 3" xfId="330"/>
    <cellStyle name="Comma 6 2 2 3" xfId="331"/>
    <cellStyle name="Comma 6 2 3" xfId="332"/>
    <cellStyle name="Comma 6 2 3 2" xfId="333"/>
    <cellStyle name="Comma 6 2 3 3" xfId="334"/>
    <cellStyle name="Comma 6 2 4" xfId="335"/>
    <cellStyle name="Comma 6 3" xfId="336"/>
    <cellStyle name="Comma 6 3 2" xfId="337"/>
    <cellStyle name="Comma 6 3 2 2" xfId="338"/>
    <cellStyle name="Comma 6 3 2 3" xfId="339"/>
    <cellStyle name="Comma 6 3 3" xfId="340"/>
    <cellStyle name="Comma 6 4" xfId="341"/>
    <cellStyle name="Comma 6 4 2" xfId="342"/>
    <cellStyle name="Comma 6 5" xfId="343"/>
    <cellStyle name="Comma 7" xfId="344"/>
    <cellStyle name="Comma 7 2" xfId="345"/>
    <cellStyle name="Comma 7 2 2" xfId="346"/>
    <cellStyle name="Comma 7 2 2 2" xfId="347"/>
    <cellStyle name="Comma 7 2 2 2 2" xfId="348"/>
    <cellStyle name="Comma 7 2 2 3" xfId="349"/>
    <cellStyle name="Comma 7 2 3" xfId="350"/>
    <cellStyle name="Comma 7 2 3 2" xfId="351"/>
    <cellStyle name="Comma 7 2 3 3" xfId="352"/>
    <cellStyle name="Comma 7 2 4" xfId="353"/>
    <cellStyle name="Comma 7 3" xfId="354"/>
    <cellStyle name="Comma 7 3 2" xfId="355"/>
    <cellStyle name="Comma 7 3 2 2" xfId="356"/>
    <cellStyle name="Comma 7 3 3" xfId="357"/>
    <cellStyle name="Comma 7 4" xfId="358"/>
    <cellStyle name="Comma 7 4 2" xfId="359"/>
    <cellStyle name="Comma 7 5" xfId="360"/>
    <cellStyle name="Comma 8" xfId="361"/>
    <cellStyle name="Comma 8 2" xfId="362"/>
    <cellStyle name="Comma 8 2 2" xfId="363"/>
    <cellStyle name="Comma 8 2 2 2" xfId="364"/>
    <cellStyle name="Comma 8 2 2 3" xfId="365"/>
    <cellStyle name="Comma 8 2 3" xfId="366"/>
    <cellStyle name="Comma 8 3" xfId="367"/>
    <cellStyle name="Comma 8 3 2" xfId="368"/>
    <cellStyle name="Comma 8 4" xfId="369"/>
    <cellStyle name="Comma 9" xfId="370"/>
    <cellStyle name="Comma 9 2" xfId="371"/>
    <cellStyle name="Comma(2)" xfId="372"/>
    <cellStyle name="Comma0" xfId="373"/>
    <cellStyle name="Comma0 - Style2" xfId="374"/>
    <cellStyle name="Comma1 - Style1" xfId="375"/>
    <cellStyle name="Comments" xfId="376"/>
    <cellStyle name="Currency" xfId="2" builtinId="4"/>
    <cellStyle name="Currency 10" xfId="377"/>
    <cellStyle name="Currency 10 2" xfId="378"/>
    <cellStyle name="Currency 11" xfId="6"/>
    <cellStyle name="Currency 11 2" xfId="379"/>
    <cellStyle name="Currency 12" xfId="380"/>
    <cellStyle name="Currency 13" xfId="381"/>
    <cellStyle name="Currency 14" xfId="382"/>
    <cellStyle name="Currency 15" xfId="383"/>
    <cellStyle name="Currency 2" xfId="384"/>
    <cellStyle name="Currency 2 2" xfId="385"/>
    <cellStyle name="Currency 2 2 2" xfId="386"/>
    <cellStyle name="Currency 2 2 3" xfId="387"/>
    <cellStyle name="Currency 2 2 3 2" xfId="388"/>
    <cellStyle name="Currency 2 2 4" xfId="389"/>
    <cellStyle name="Currency 2 3" xfId="390"/>
    <cellStyle name="Currency 2 3 2" xfId="391"/>
    <cellStyle name="Currency 2 3 3" xfId="392"/>
    <cellStyle name="Currency 2 4" xfId="393"/>
    <cellStyle name="Currency 2 4 2" xfId="394"/>
    <cellStyle name="Currency 2 4 3" xfId="395"/>
    <cellStyle name="Currency 2 5" xfId="396"/>
    <cellStyle name="Currency 2 5 2" xfId="397"/>
    <cellStyle name="Currency 2 5 3" xfId="1306"/>
    <cellStyle name="Currency 2 6" xfId="398"/>
    <cellStyle name="Currency 2 6 2" xfId="399"/>
    <cellStyle name="Currency 2 6 2 2" xfId="1305"/>
    <cellStyle name="Currency 2 6 3" xfId="400"/>
    <cellStyle name="Currency 2 7" xfId="401"/>
    <cellStyle name="Currency 3" xfId="402"/>
    <cellStyle name="Currency 3 2" xfId="403"/>
    <cellStyle name="Currency 3 2 2" xfId="404"/>
    <cellStyle name="Currency 3 2 2 2" xfId="405"/>
    <cellStyle name="Currency 3 2 2 2 2" xfId="406"/>
    <cellStyle name="Currency 3 2 2 3" xfId="407"/>
    <cellStyle name="Currency 3 2 3" xfId="408"/>
    <cellStyle name="Currency 3 2 3 2" xfId="409"/>
    <cellStyle name="Currency 3 2 4" xfId="410"/>
    <cellStyle name="Currency 3 3" xfId="411"/>
    <cellStyle name="Currency 3 3 2" xfId="412"/>
    <cellStyle name="Currency 3 3 2 2" xfId="413"/>
    <cellStyle name="Currency 3 3 3" xfId="414"/>
    <cellStyle name="Currency 3 3 3 2" xfId="1301"/>
    <cellStyle name="Currency 3 3 4" xfId="415"/>
    <cellStyle name="Currency 3 4" xfId="416"/>
    <cellStyle name="Currency 3 4 2" xfId="417"/>
    <cellStyle name="Currency 3 5" xfId="418"/>
    <cellStyle name="Currency 4" xfId="419"/>
    <cellStyle name="Currency 4 2" xfId="420"/>
    <cellStyle name="Currency 4 2 2" xfId="421"/>
    <cellStyle name="Currency 4 2 2 2" xfId="422"/>
    <cellStyle name="Currency 4 2 2 2 2" xfId="423"/>
    <cellStyle name="Currency 4 2 2 3" xfId="424"/>
    <cellStyle name="Currency 4 2 3" xfId="425"/>
    <cellStyle name="Currency 4 2 3 2" xfId="426"/>
    <cellStyle name="Currency 4 2 4" xfId="427"/>
    <cellStyle name="Currency 4 3" xfId="428"/>
    <cellStyle name="Currency 4 3 2" xfId="429"/>
    <cellStyle name="Currency 4 3 2 2" xfId="430"/>
    <cellStyle name="Currency 4 3 3" xfId="431"/>
    <cellStyle name="Currency 4 4" xfId="432"/>
    <cellStyle name="Currency 4 4 2" xfId="433"/>
    <cellStyle name="Currency 4 5" xfId="434"/>
    <cellStyle name="Currency 5" xfId="435"/>
    <cellStyle name="Currency 5 2" xfId="436"/>
    <cellStyle name="Currency 5 2 2" xfId="437"/>
    <cellStyle name="Currency 5 2 2 2" xfId="438"/>
    <cellStyle name="Currency 5 2 3" xfId="439"/>
    <cellStyle name="Currency 5 3" xfId="440"/>
    <cellStyle name="Currency 5 3 2" xfId="441"/>
    <cellStyle name="Currency 5 4" xfId="442"/>
    <cellStyle name="Currency 6" xfId="443"/>
    <cellStyle name="Currency 7" xfId="444"/>
    <cellStyle name="Currency 8" xfId="445"/>
    <cellStyle name="Currency 8 2" xfId="446"/>
    <cellStyle name="Currency 8 2 2" xfId="447"/>
    <cellStyle name="Currency 8 2 2 2" xfId="448"/>
    <cellStyle name="Currency 8 2 3" xfId="449"/>
    <cellStyle name="Currency 8 3" xfId="450"/>
    <cellStyle name="Currency 8 3 2" xfId="451"/>
    <cellStyle name="Currency 8 3 3" xfId="452"/>
    <cellStyle name="Currency 8 3 4" xfId="453"/>
    <cellStyle name="Currency 8 4" xfId="454"/>
    <cellStyle name="Currency 9" xfId="455"/>
    <cellStyle name="Currency 9 2" xfId="456"/>
    <cellStyle name="Currency 9 2 2" xfId="457"/>
    <cellStyle name="Currency 9 3" xfId="458"/>
    <cellStyle name="Currency0" xfId="459"/>
    <cellStyle name="Data Enter" xfId="460"/>
    <cellStyle name="date" xfId="461"/>
    <cellStyle name="Explanatory Text 2" xfId="462"/>
    <cellStyle name="Explanatory Text 3" xfId="463"/>
    <cellStyle name="Explanatory Text 4" xfId="464"/>
    <cellStyle name="F9ReportControlStyle_ctpInquire" xfId="465"/>
    <cellStyle name="FactSheet" xfId="466"/>
    <cellStyle name="fish" xfId="467"/>
    <cellStyle name="Good 2" xfId="468"/>
    <cellStyle name="Good 2 2" xfId="469"/>
    <cellStyle name="Good 2 2 2" xfId="470"/>
    <cellStyle name="Good 2 2 3" xfId="471"/>
    <cellStyle name="Good 2 3" xfId="472"/>
    <cellStyle name="Good 3" xfId="473"/>
    <cellStyle name="Good 3 2" xfId="474"/>
    <cellStyle name="Good 3 3" xfId="475"/>
    <cellStyle name="Good 4" xfId="476"/>
    <cellStyle name="Good 5" xfId="477"/>
    <cellStyle name="Heading 1 2" xfId="478"/>
    <cellStyle name="Heading 1 2 2" xfId="479"/>
    <cellStyle name="Heading 1 2 3" xfId="480"/>
    <cellStyle name="Heading 1 2 4" xfId="481"/>
    <cellStyle name="Heading 1 3" xfId="482"/>
    <cellStyle name="Heading 1 3 2" xfId="483"/>
    <cellStyle name="Heading 1 3 3" xfId="484"/>
    <cellStyle name="Heading 1 4" xfId="485"/>
    <cellStyle name="Heading 1 4 2" xfId="486"/>
    <cellStyle name="Heading 2 2" xfId="487"/>
    <cellStyle name="Heading 2 2 2" xfId="488"/>
    <cellStyle name="Heading 2 2 3" xfId="489"/>
    <cellStyle name="Heading 2 2 4" xfId="490"/>
    <cellStyle name="Heading 2 3" xfId="491"/>
    <cellStyle name="Heading 2 3 2" xfId="492"/>
    <cellStyle name="Heading 2 3 3" xfId="493"/>
    <cellStyle name="Heading 2 4" xfId="494"/>
    <cellStyle name="Heading 2 4 2" xfId="495"/>
    <cellStyle name="Heading 3 2" xfId="496"/>
    <cellStyle name="Heading 3 2 2" xfId="497"/>
    <cellStyle name="Heading 3 2 3" xfId="498"/>
    <cellStyle name="Heading 3 2 4" xfId="499"/>
    <cellStyle name="Heading 3 3" xfId="500"/>
    <cellStyle name="Heading 3 3 2" xfId="501"/>
    <cellStyle name="Heading 3 3 3" xfId="502"/>
    <cellStyle name="Heading 3 4" xfId="503"/>
    <cellStyle name="Heading 3 4 2" xfId="504"/>
    <cellStyle name="Heading 4 2" xfId="505"/>
    <cellStyle name="Heading 4 2 2" xfId="506"/>
    <cellStyle name="Heading 4 2 2 2" xfId="507"/>
    <cellStyle name="Heading 4 2 3" xfId="508"/>
    <cellStyle name="Heading 4 3" xfId="509"/>
    <cellStyle name="Heading 4 3 2" xfId="510"/>
    <cellStyle name="Heading 4 4" xfId="511"/>
    <cellStyle name="Hyperlink 2" xfId="512"/>
    <cellStyle name="Hyperlink 2 2" xfId="513"/>
    <cellStyle name="Hyperlink 2 2 2" xfId="514"/>
    <cellStyle name="Hyperlink 2 2 3" xfId="515"/>
    <cellStyle name="Hyperlink 2 2 4" xfId="516"/>
    <cellStyle name="Hyperlink 2 3" xfId="517"/>
    <cellStyle name="Hyperlink 3" xfId="518"/>
    <cellStyle name="Hyperlink 3 2" xfId="519"/>
    <cellStyle name="Hyperlink 3 2 2" xfId="520"/>
    <cellStyle name="Hyperlink 3 3" xfId="521"/>
    <cellStyle name="Input 2" xfId="522"/>
    <cellStyle name="Input 2 2" xfId="523"/>
    <cellStyle name="Input 2 2 2" xfId="524"/>
    <cellStyle name="Input 2 3" xfId="525"/>
    <cellStyle name="Input 3" xfId="526"/>
    <cellStyle name="Input 3 2" xfId="527"/>
    <cellStyle name="Input 4" xfId="528"/>
    <cellStyle name="input(0)" xfId="529"/>
    <cellStyle name="Input(2)" xfId="530"/>
    <cellStyle name="Labels" xfId="531"/>
    <cellStyle name="Linked Cell 2" xfId="532"/>
    <cellStyle name="Linked Cell 2 2" xfId="533"/>
    <cellStyle name="Linked Cell 2 3" xfId="534"/>
    <cellStyle name="Linked Cell 2 4" xfId="535"/>
    <cellStyle name="Linked Cell 3" xfId="536"/>
    <cellStyle name="Linked Cell 3 2" xfId="537"/>
    <cellStyle name="Linked Cell 4" xfId="538"/>
    <cellStyle name="Neutral 2" xfId="539"/>
    <cellStyle name="Neutral 2 2" xfId="540"/>
    <cellStyle name="Neutral 2 3" xfId="541"/>
    <cellStyle name="Neutral 2 4" xfId="542"/>
    <cellStyle name="Neutral 3" xfId="543"/>
    <cellStyle name="Neutral 3 2" xfId="544"/>
    <cellStyle name="Neutral 4" xfId="545"/>
    <cellStyle name="New_normal" xfId="546"/>
    <cellStyle name="Normal" xfId="0" builtinId="0"/>
    <cellStyle name="Normal - Style1" xfId="547"/>
    <cellStyle name="Normal - Style2" xfId="548"/>
    <cellStyle name="Normal - Style3" xfId="549"/>
    <cellStyle name="Normal - Style4" xfId="550"/>
    <cellStyle name="Normal - Style5" xfId="551"/>
    <cellStyle name="Normal 10" xfId="552"/>
    <cellStyle name="Normal 10 2" xfId="553"/>
    <cellStyle name="Normal 10 2 2" xfId="554"/>
    <cellStyle name="Normal 10 2 2 2" xfId="555"/>
    <cellStyle name="Normal 10 2 2 2 2" xfId="556"/>
    <cellStyle name="Normal 10 2 2 3" xfId="557"/>
    <cellStyle name="Normal 10 2 3" xfId="558"/>
    <cellStyle name="Normal 10 2 3 2" xfId="559"/>
    <cellStyle name="Normal 10 2 4" xfId="560"/>
    <cellStyle name="Normal 10 2 4 2" xfId="561"/>
    <cellStyle name="Normal 10 2 5" xfId="562"/>
    <cellStyle name="Normal 10 3" xfId="563"/>
    <cellStyle name="Normal 10 3 2" xfId="564"/>
    <cellStyle name="Normal 10 3 2 2" xfId="565"/>
    <cellStyle name="Normal 10 3 3" xfId="566"/>
    <cellStyle name="Normal 10 4" xfId="567"/>
    <cellStyle name="Normal 10 4 2" xfId="568"/>
    <cellStyle name="Normal 10 5" xfId="569"/>
    <cellStyle name="Normal 10_2112 DF Schedule" xfId="570"/>
    <cellStyle name="Normal 100" xfId="571"/>
    <cellStyle name="Normal 100 2" xfId="572"/>
    <cellStyle name="Normal 101" xfId="573"/>
    <cellStyle name="Normal 101 2" xfId="574"/>
    <cellStyle name="Normal 102" xfId="575"/>
    <cellStyle name="Normal 102 2" xfId="576"/>
    <cellStyle name="Normal 103" xfId="577"/>
    <cellStyle name="Normal 103 2" xfId="578"/>
    <cellStyle name="Normal 104" xfId="579"/>
    <cellStyle name="Normal 104 2" xfId="580"/>
    <cellStyle name="Normal 105" xfId="581"/>
    <cellStyle name="Normal 105 2" xfId="582"/>
    <cellStyle name="Normal 106" xfId="583"/>
    <cellStyle name="Normal 107" xfId="584"/>
    <cellStyle name="Normal 107 2" xfId="585"/>
    <cellStyle name="Normal 108" xfId="586"/>
    <cellStyle name="Normal 108 2" xfId="587"/>
    <cellStyle name="Normal 109" xfId="588"/>
    <cellStyle name="Normal 109 2" xfId="589"/>
    <cellStyle name="Normal 109 3" xfId="590"/>
    <cellStyle name="Normal 11" xfId="591"/>
    <cellStyle name="Normal 11 2" xfId="592"/>
    <cellStyle name="Normal 11 2 2" xfId="593"/>
    <cellStyle name="Normal 11 2 2 2" xfId="594"/>
    <cellStyle name="Normal 11 2 2 2 2" xfId="595"/>
    <cellStyle name="Normal 11 2 2 2 3" xfId="596"/>
    <cellStyle name="Normal 11 2 2 3" xfId="597"/>
    <cellStyle name="Normal 11 2 3" xfId="598"/>
    <cellStyle name="Normal 11 2 3 2" xfId="599"/>
    <cellStyle name="Normal 11 2 4" xfId="600"/>
    <cellStyle name="Normal 11 3" xfId="601"/>
    <cellStyle name="Normal 11 3 2" xfId="602"/>
    <cellStyle name="Normal 11 3 2 2" xfId="603"/>
    <cellStyle name="Normal 11 3 3" xfId="604"/>
    <cellStyle name="Normal 11 4" xfId="605"/>
    <cellStyle name="Normal 11 4 2" xfId="606"/>
    <cellStyle name="Normal 11 5" xfId="607"/>
    <cellStyle name="Normal 110" xfId="608"/>
    <cellStyle name="Normal 110 2" xfId="609"/>
    <cellStyle name="Normal 111" xfId="610"/>
    <cellStyle name="Normal 111 2" xfId="611"/>
    <cellStyle name="Normal 111 3" xfId="612"/>
    <cellStyle name="Normal 112" xfId="613"/>
    <cellStyle name="Normal 112 2" xfId="614"/>
    <cellStyle name="Normal 112 3" xfId="615"/>
    <cellStyle name="Normal 113" xfId="616"/>
    <cellStyle name="Normal 113 2" xfId="617"/>
    <cellStyle name="Normal 113 3" xfId="618"/>
    <cellStyle name="Normal 114" xfId="619"/>
    <cellStyle name="Normal 115" xfId="620"/>
    <cellStyle name="Normal 116" xfId="621"/>
    <cellStyle name="Normal 117" xfId="622"/>
    <cellStyle name="Normal 117 2" xfId="623"/>
    <cellStyle name="Normal 118" xfId="624"/>
    <cellStyle name="Normal 12" xfId="625"/>
    <cellStyle name="Normal 12 2" xfId="626"/>
    <cellStyle name="Normal 12 2 2" xfId="627"/>
    <cellStyle name="Normal 12 2 2 2" xfId="628"/>
    <cellStyle name="Normal 12 2 2 2 2" xfId="629"/>
    <cellStyle name="Normal 12 2 2 2 3" xfId="630"/>
    <cellStyle name="Normal 12 2 2 3" xfId="631"/>
    <cellStyle name="Normal 12 2 3" xfId="632"/>
    <cellStyle name="Normal 12 2 3 2" xfId="633"/>
    <cellStyle name="Normal 12 2 4" xfId="634"/>
    <cellStyle name="Normal 12 3" xfId="635"/>
    <cellStyle name="Normal 12 3 2" xfId="636"/>
    <cellStyle name="Normal 12 3 2 2" xfId="637"/>
    <cellStyle name="Normal 12 3 2 3" xfId="638"/>
    <cellStyle name="Normal 12 3 3" xfId="639"/>
    <cellStyle name="Normal 12 4" xfId="640"/>
    <cellStyle name="Normal 12 4 2" xfId="641"/>
    <cellStyle name="Normal 12 5" xfId="642"/>
    <cellStyle name="Normal 12 6" xfId="643"/>
    <cellStyle name="Normal 12 7" xfId="644"/>
    <cellStyle name="Normal 12_Sheet1" xfId="645"/>
    <cellStyle name="Normal 13" xfId="646"/>
    <cellStyle name="Normal 13 2" xfId="647"/>
    <cellStyle name="Normal 13 2 2" xfId="648"/>
    <cellStyle name="Normal 13 2 2 2" xfId="649"/>
    <cellStyle name="Normal 13 2 2 2 2" xfId="650"/>
    <cellStyle name="Normal 13 2 2 2 3" xfId="651"/>
    <cellStyle name="Normal 13 2 2 3" xfId="652"/>
    <cellStyle name="Normal 13 2 3" xfId="653"/>
    <cellStyle name="Normal 13 2 3 2" xfId="654"/>
    <cellStyle name="Normal 13 2 4" xfId="655"/>
    <cellStyle name="Normal 13 3" xfId="656"/>
    <cellStyle name="Normal 13 3 2" xfId="657"/>
    <cellStyle name="Normal 13 3 2 2" xfId="658"/>
    <cellStyle name="Normal 13 3 3" xfId="659"/>
    <cellStyle name="Normal 13 4" xfId="660"/>
    <cellStyle name="Normal 13 4 2" xfId="661"/>
    <cellStyle name="Normal 13 5" xfId="662"/>
    <cellStyle name="Normal 13 6" xfId="663"/>
    <cellStyle name="Normal 13 7" xfId="664"/>
    <cellStyle name="Normal 13_Sheet1" xfId="665"/>
    <cellStyle name="Normal 14" xfId="666"/>
    <cellStyle name="Normal 14 2" xfId="667"/>
    <cellStyle name="Normal 14 2 2" xfId="668"/>
    <cellStyle name="Normal 14 2 2 2" xfId="669"/>
    <cellStyle name="Normal 14 2 3" xfId="670"/>
    <cellStyle name="Normal 14 3" xfId="671"/>
    <cellStyle name="Normal 14 3 2" xfId="672"/>
    <cellStyle name="Normal 14 4" xfId="673"/>
    <cellStyle name="Normal 14 5" xfId="674"/>
    <cellStyle name="Normal 14_Sheet1" xfId="675"/>
    <cellStyle name="Normal 15" xfId="676"/>
    <cellStyle name="Normal 15 2" xfId="677"/>
    <cellStyle name="Normal 15 2 2" xfId="678"/>
    <cellStyle name="Normal 15 2 2 2" xfId="679"/>
    <cellStyle name="Normal 15 2 3" xfId="680"/>
    <cellStyle name="Normal 15 3" xfId="681"/>
    <cellStyle name="Normal 15 3 2" xfId="682"/>
    <cellStyle name="Normal 15 4" xfId="683"/>
    <cellStyle name="Normal 15 5" xfId="684"/>
    <cellStyle name="Normal 16" xfId="685"/>
    <cellStyle name="Normal 16 2" xfId="686"/>
    <cellStyle name="Normal 16 2 2" xfId="687"/>
    <cellStyle name="Normal 16 2 2 2" xfId="688"/>
    <cellStyle name="Normal 16 3" xfId="689"/>
    <cellStyle name="Normal 16 3 2" xfId="690"/>
    <cellStyle name="Normal 16 3 2 2" xfId="691"/>
    <cellStyle name="Normal 16 3 3" xfId="692"/>
    <cellStyle name="Normal 16 4" xfId="693"/>
    <cellStyle name="Normal 16 4 2" xfId="694"/>
    <cellStyle name="Normal 16 4 3" xfId="695"/>
    <cellStyle name="Normal 16 5" xfId="696"/>
    <cellStyle name="Normal 16 6" xfId="697"/>
    <cellStyle name="Normal 17" xfId="698"/>
    <cellStyle name="Normal 17 2" xfId="699"/>
    <cellStyle name="Normal 17 2 2" xfId="700"/>
    <cellStyle name="Normal 17 2 2 2" xfId="701"/>
    <cellStyle name="Normal 17 3" xfId="702"/>
    <cellStyle name="Normal 17 3 2" xfId="703"/>
    <cellStyle name="Normal 17 4" xfId="704"/>
    <cellStyle name="Normal 18" xfId="705"/>
    <cellStyle name="Normal 18 2" xfId="706"/>
    <cellStyle name="Normal 18 2 2" xfId="707"/>
    <cellStyle name="Normal 18 2 2 2" xfId="708"/>
    <cellStyle name="Normal 18 2 3" xfId="709"/>
    <cellStyle name="Normal 18 3" xfId="710"/>
    <cellStyle name="Normal 18 3 2" xfId="711"/>
    <cellStyle name="Normal 18 3 2 2" xfId="712"/>
    <cellStyle name="Normal 18 3 3" xfId="713"/>
    <cellStyle name="Normal 18 4" xfId="714"/>
    <cellStyle name="Normal 18 4 2" xfId="715"/>
    <cellStyle name="Normal 18 4 3" xfId="716"/>
    <cellStyle name="Normal 18 5" xfId="717"/>
    <cellStyle name="Normal 18 5 2" xfId="718"/>
    <cellStyle name="Normal 18 6" xfId="719"/>
    <cellStyle name="Normal 18 7" xfId="720"/>
    <cellStyle name="Normal 19" xfId="721"/>
    <cellStyle name="Normal 19 2" xfId="722"/>
    <cellStyle name="Normal 19 2 2" xfId="723"/>
    <cellStyle name="Normal 19 3" xfId="724"/>
    <cellStyle name="Normal 19 3 2" xfId="725"/>
    <cellStyle name="Normal 19 4" xfId="726"/>
    <cellStyle name="Normal 2" xfId="727"/>
    <cellStyle name="Normal 2 10" xfId="728"/>
    <cellStyle name="Normal 2 11" xfId="729"/>
    <cellStyle name="Normal 2 12" xfId="1300"/>
    <cellStyle name="Normal 2 2" xfId="730"/>
    <cellStyle name="Normal 2 2 2" xfId="731"/>
    <cellStyle name="Normal 2 2 2 2" xfId="732"/>
    <cellStyle name="Normal 2 2 2_JE_IS11" xfId="733"/>
    <cellStyle name="Normal 2 2 3" xfId="734"/>
    <cellStyle name="Normal 2 2 4" xfId="735"/>
    <cellStyle name="Normal 2 2 5" xfId="736"/>
    <cellStyle name="Normal 2 2 6" xfId="737"/>
    <cellStyle name="Normal 2 2 7" xfId="738"/>
    <cellStyle name="Normal 2 2 8" xfId="739"/>
    <cellStyle name="Normal 2 2 9" xfId="1304"/>
    <cellStyle name="Normal 2 2_4MthProj2" xfId="740"/>
    <cellStyle name="Normal 2 3" xfId="741"/>
    <cellStyle name="Normal 2 3 2" xfId="742"/>
    <cellStyle name="Normal 2 3 2 2" xfId="743"/>
    <cellStyle name="Normal 2 3 2 3" xfId="744"/>
    <cellStyle name="Normal 2 3 3" xfId="745"/>
    <cellStyle name="Normal 2 3 3 2" xfId="746"/>
    <cellStyle name="Normal 2 3 3 2 2" xfId="747"/>
    <cellStyle name="Normal 2 3 3 3" xfId="748"/>
    <cellStyle name="Normal 2 3 4" xfId="749"/>
    <cellStyle name="Normal 2 3 4 2" xfId="750"/>
    <cellStyle name="Normal 2 3 5" xfId="751"/>
    <cellStyle name="Normal 2 3_4MthProj2" xfId="752"/>
    <cellStyle name="Normal 2 4" xfId="753"/>
    <cellStyle name="Normal 2 4 2" xfId="754"/>
    <cellStyle name="Normal 2 4 2 2" xfId="755"/>
    <cellStyle name="Normal 2 4 3" xfId="756"/>
    <cellStyle name="Normal 2 4 3 2" xfId="757"/>
    <cellStyle name="Normal 2 5" xfId="758"/>
    <cellStyle name="Normal 2 5 2" xfId="759"/>
    <cellStyle name="Normal 2 5 3" xfId="760"/>
    <cellStyle name="Normal 2 6" xfId="761"/>
    <cellStyle name="Normal 2 6 2" xfId="762"/>
    <cellStyle name="Normal 2 6 2 2" xfId="763"/>
    <cellStyle name="Normal 2 6 2 3" xfId="764"/>
    <cellStyle name="Normal 2 6 2 4" xfId="1302"/>
    <cellStyle name="Normal 2 6 3" xfId="765"/>
    <cellStyle name="Normal 2 7" xfId="766"/>
    <cellStyle name="Normal 2 7 2" xfId="767"/>
    <cellStyle name="Normal 2 8" xfId="768"/>
    <cellStyle name="Normal 2 9" xfId="769"/>
    <cellStyle name="Normal 2_2009 Regulated Price Out" xfId="770"/>
    <cellStyle name="Normal 20" xfId="771"/>
    <cellStyle name="Normal 20 2" xfId="772"/>
    <cellStyle name="Normal 20 2 2" xfId="773"/>
    <cellStyle name="Normal 20 2 3" xfId="774"/>
    <cellStyle name="Normal 20 3" xfId="775"/>
    <cellStyle name="Normal 20 4" xfId="776"/>
    <cellStyle name="Normal 20 4 2" xfId="777"/>
    <cellStyle name="Normal 20 5" xfId="778"/>
    <cellStyle name="Normal 20 6" xfId="779"/>
    <cellStyle name="Normal 21" xfId="780"/>
    <cellStyle name="Normal 21 2" xfId="781"/>
    <cellStyle name="Normal 21 2 2" xfId="782"/>
    <cellStyle name="Normal 21 3" xfId="783"/>
    <cellStyle name="Normal 21 3 2" xfId="784"/>
    <cellStyle name="Normal 21 4" xfId="785"/>
    <cellStyle name="Normal 22" xfId="786"/>
    <cellStyle name="Normal 22 2" xfId="787"/>
    <cellStyle name="Normal 22 2 2" xfId="788"/>
    <cellStyle name="Normal 22 3" xfId="789"/>
    <cellStyle name="Normal 22 3 2" xfId="790"/>
    <cellStyle name="Normal 22 4" xfId="791"/>
    <cellStyle name="Normal 23" xfId="792"/>
    <cellStyle name="Normal 23 2" xfId="793"/>
    <cellStyle name="Normal 23 2 2" xfId="794"/>
    <cellStyle name="Normal 23 2 3" xfId="795"/>
    <cellStyle name="Normal 23 3" xfId="796"/>
    <cellStyle name="Normal 23 3 2" xfId="797"/>
    <cellStyle name="Normal 23 3 3" xfId="798"/>
    <cellStyle name="Normal 23 4" xfId="799"/>
    <cellStyle name="Normal 24" xfId="800"/>
    <cellStyle name="Normal 24 2" xfId="801"/>
    <cellStyle name="Normal 24 2 2" xfId="802"/>
    <cellStyle name="Normal 24 2 3" xfId="803"/>
    <cellStyle name="Normal 24 3" xfId="804"/>
    <cellStyle name="Normal 24 3 2" xfId="805"/>
    <cellStyle name="Normal 24 4" xfId="806"/>
    <cellStyle name="Normal 25" xfId="807"/>
    <cellStyle name="Normal 25 2" xfId="808"/>
    <cellStyle name="Normal 25 2 2" xfId="809"/>
    <cellStyle name="Normal 25 3" xfId="810"/>
    <cellStyle name="Normal 25 4" xfId="811"/>
    <cellStyle name="Normal 26" xfId="812"/>
    <cellStyle name="Normal 26 2" xfId="813"/>
    <cellStyle name="Normal 26 2 2" xfId="814"/>
    <cellStyle name="Normal 26 3" xfId="815"/>
    <cellStyle name="Normal 26 4" xfId="816"/>
    <cellStyle name="Normal 27" xfId="817"/>
    <cellStyle name="Normal 27 2" xfId="818"/>
    <cellStyle name="Normal 27 2 2" xfId="819"/>
    <cellStyle name="Normal 27 2 2 2" xfId="820"/>
    <cellStyle name="Normal 27 2 2 3" xfId="821"/>
    <cellStyle name="Normal 27 3" xfId="822"/>
    <cellStyle name="Normal 27 3 2" xfId="823"/>
    <cellStyle name="Normal 27 4" xfId="824"/>
    <cellStyle name="Normal 27 5" xfId="825"/>
    <cellStyle name="Normal 28" xfId="826"/>
    <cellStyle name="Normal 28 2" xfId="827"/>
    <cellStyle name="Normal 28 2 2" xfId="828"/>
    <cellStyle name="Normal 28 3" xfId="829"/>
    <cellStyle name="Normal 28 4" xfId="830"/>
    <cellStyle name="Normal 29" xfId="831"/>
    <cellStyle name="Normal 29 2" xfId="832"/>
    <cellStyle name="Normal 29 3" xfId="833"/>
    <cellStyle name="Normal 29 4" xfId="834"/>
    <cellStyle name="Normal 3" xfId="835"/>
    <cellStyle name="Normal 3 2" xfId="836"/>
    <cellStyle name="Normal 3 2 2" xfId="837"/>
    <cellStyle name="Normal 3 2 2 2" xfId="838"/>
    <cellStyle name="Normal 3 2 2 2 2" xfId="839"/>
    <cellStyle name="Normal 3 2 2 2 3" xfId="840"/>
    <cellStyle name="Normal 3 2 3" xfId="841"/>
    <cellStyle name="Normal 3 2 3 2" xfId="842"/>
    <cellStyle name="Normal 3 3" xfId="843"/>
    <cellStyle name="Normal 3 3 2" xfId="844"/>
    <cellStyle name="Normal 3 3 2 2" xfId="845"/>
    <cellStyle name="Normal 3 3 3" xfId="846"/>
    <cellStyle name="Normal 3 3 4" xfId="847"/>
    <cellStyle name="Normal 3 4" xfId="848"/>
    <cellStyle name="Normal 3 4 2" xfId="849"/>
    <cellStyle name="Normal 3_2012 PR" xfId="850"/>
    <cellStyle name="Normal 30" xfId="851"/>
    <cellStyle name="Normal 30 2" xfId="852"/>
    <cellStyle name="Normal 30 3" xfId="853"/>
    <cellStyle name="Normal 30 4" xfId="854"/>
    <cellStyle name="Normal 31" xfId="855"/>
    <cellStyle name="Normal 31 2" xfId="856"/>
    <cellStyle name="Normal 31 2 2" xfId="857"/>
    <cellStyle name="Normal 31 2 2 2" xfId="858"/>
    <cellStyle name="Normal 31 2 2 3" xfId="859"/>
    <cellStyle name="Normal 31 2 3" xfId="860"/>
    <cellStyle name="Normal 31 3" xfId="861"/>
    <cellStyle name="Normal 31 3 2" xfId="862"/>
    <cellStyle name="Normal 31 3 3" xfId="863"/>
    <cellStyle name="Normal 31 4" xfId="864"/>
    <cellStyle name="Normal 31 4 2" xfId="865"/>
    <cellStyle name="Normal 31 4 3" xfId="866"/>
    <cellStyle name="Normal 32" xfId="867"/>
    <cellStyle name="Normal 32 2" xfId="868"/>
    <cellStyle name="Normal 32 2 2" xfId="869"/>
    <cellStyle name="Normal 32 2 2 2" xfId="870"/>
    <cellStyle name="Normal 32 2 3" xfId="871"/>
    <cellStyle name="Normal 32 3" xfId="872"/>
    <cellStyle name="Normal 32 3 2" xfId="873"/>
    <cellStyle name="Normal 32 3 3" xfId="874"/>
    <cellStyle name="Normal 32 4" xfId="875"/>
    <cellStyle name="Normal 32 4 2" xfId="876"/>
    <cellStyle name="Normal 32 4 3" xfId="877"/>
    <cellStyle name="Normal 33" xfId="878"/>
    <cellStyle name="Normal 33 2" xfId="879"/>
    <cellStyle name="Normal 33 3" xfId="880"/>
    <cellStyle name="Normal 34" xfId="881"/>
    <cellStyle name="Normal 34 2" xfId="882"/>
    <cellStyle name="Normal 34 3" xfId="883"/>
    <cellStyle name="Normal 35" xfId="884"/>
    <cellStyle name="Normal 35 2" xfId="885"/>
    <cellStyle name="Normal 35 2 2" xfId="886"/>
    <cellStyle name="Normal 35 2 3" xfId="887"/>
    <cellStyle name="Normal 35 3" xfId="888"/>
    <cellStyle name="Normal 35 3 2" xfId="889"/>
    <cellStyle name="Normal 35 3 3" xfId="890"/>
    <cellStyle name="Normal 36" xfId="891"/>
    <cellStyle name="Normal 36 2" xfId="892"/>
    <cellStyle name="Normal 36 2 2" xfId="893"/>
    <cellStyle name="Normal 36 2 3" xfId="894"/>
    <cellStyle name="Normal 36 3" xfId="895"/>
    <cellStyle name="Normal 37" xfId="896"/>
    <cellStyle name="Normal 37 2" xfId="897"/>
    <cellStyle name="Normal 37 2 2" xfId="898"/>
    <cellStyle name="Normal 37 2 3" xfId="899"/>
    <cellStyle name="Normal 37 3" xfId="900"/>
    <cellStyle name="Normal 38" xfId="901"/>
    <cellStyle name="Normal 38 2" xfId="902"/>
    <cellStyle name="Normal 38 2 2" xfId="903"/>
    <cellStyle name="Normal 38 2 3" xfId="904"/>
    <cellStyle name="Normal 38 3" xfId="905"/>
    <cellStyle name="Normal 39" xfId="906"/>
    <cellStyle name="Normal 39 2" xfId="907"/>
    <cellStyle name="Normal 39 2 2" xfId="908"/>
    <cellStyle name="Normal 39 2 3" xfId="909"/>
    <cellStyle name="Normal 39 3" xfId="910"/>
    <cellStyle name="Normal 4" xfId="911"/>
    <cellStyle name="Normal 4 2" xfId="912"/>
    <cellStyle name="Normal 4 2 2" xfId="913"/>
    <cellStyle name="Normal 4 2 2 2" xfId="914"/>
    <cellStyle name="Normal 4 2 3" xfId="915"/>
    <cellStyle name="Normal 4 2 4" xfId="916"/>
    <cellStyle name="Normal 4 3" xfId="917"/>
    <cellStyle name="Normal 4 3 2" xfId="918"/>
    <cellStyle name="Normal 4 3 2 2" xfId="919"/>
    <cellStyle name="Normal 4 3 3" xfId="920"/>
    <cellStyle name="Normal 4 4" xfId="921"/>
    <cellStyle name="Normal 4 4 2" xfId="922"/>
    <cellStyle name="Normal 4 5" xfId="923"/>
    <cellStyle name="Normal 4_B&amp;O Taxes" xfId="924"/>
    <cellStyle name="Normal 40" xfId="925"/>
    <cellStyle name="Normal 40 2" xfId="926"/>
    <cellStyle name="Normal 40 2 2" xfId="927"/>
    <cellStyle name="Normal 40 2 3" xfId="928"/>
    <cellStyle name="Normal 40 3" xfId="929"/>
    <cellStyle name="Normal 41" xfId="930"/>
    <cellStyle name="Normal 41 2" xfId="931"/>
    <cellStyle name="Normal 41 2 2" xfId="932"/>
    <cellStyle name="Normal 41 2 3" xfId="933"/>
    <cellStyle name="Normal 41 3" xfId="934"/>
    <cellStyle name="Normal 42" xfId="935"/>
    <cellStyle name="Normal 42 2" xfId="936"/>
    <cellStyle name="Normal 42 3" xfId="937"/>
    <cellStyle name="Normal 43" xfId="938"/>
    <cellStyle name="Normal 43 2" xfId="939"/>
    <cellStyle name="Normal 43 3" xfId="940"/>
    <cellStyle name="Normal 44" xfId="941"/>
    <cellStyle name="Normal 44 2" xfId="942"/>
    <cellStyle name="Normal 44 2 2" xfId="943"/>
    <cellStyle name="Normal 44 2 3" xfId="944"/>
    <cellStyle name="Normal 44 3" xfId="945"/>
    <cellStyle name="Normal 45" xfId="946"/>
    <cellStyle name="Normal 45 2" xfId="947"/>
    <cellStyle name="Normal 45 3" xfId="948"/>
    <cellStyle name="Normal 46" xfId="949"/>
    <cellStyle name="Normal 46 2" xfId="950"/>
    <cellStyle name="Normal 46 3" xfId="951"/>
    <cellStyle name="Normal 47" xfId="952"/>
    <cellStyle name="Normal 47 2" xfId="953"/>
    <cellStyle name="Normal 47 3" xfId="954"/>
    <cellStyle name="Normal 48" xfId="955"/>
    <cellStyle name="Normal 48 2" xfId="956"/>
    <cellStyle name="Normal 48 3" xfId="957"/>
    <cellStyle name="Normal 49" xfId="958"/>
    <cellStyle name="Normal 49 2" xfId="959"/>
    <cellStyle name="Normal 49 3" xfId="960"/>
    <cellStyle name="Normal 5" xfId="961"/>
    <cellStyle name="Normal 5 2" xfId="962"/>
    <cellStyle name="Normal 5 2 2" xfId="963"/>
    <cellStyle name="Normal 5 2 2 2" xfId="964"/>
    <cellStyle name="Normal 5 2 2 2 2" xfId="965"/>
    <cellStyle name="Normal 5 2 2 3" xfId="966"/>
    <cellStyle name="Normal 5 2 3" xfId="967"/>
    <cellStyle name="Normal 5 2 3 2" xfId="968"/>
    <cellStyle name="Normal 5 2 4" xfId="969"/>
    <cellStyle name="Normal 5 3" xfId="970"/>
    <cellStyle name="Normal 5 3 2" xfId="971"/>
    <cellStyle name="Normal 5 3 2 2" xfId="972"/>
    <cellStyle name="Normal 5 3 3" xfId="973"/>
    <cellStyle name="Normal 5 4" xfId="974"/>
    <cellStyle name="Normal 5 4 2" xfId="975"/>
    <cellStyle name="Normal 5 5" xfId="976"/>
    <cellStyle name="Normal 5_2112 DF Schedule" xfId="977"/>
    <cellStyle name="Normal 50" xfId="978"/>
    <cellStyle name="Normal 50 2" xfId="979"/>
    <cellStyle name="Normal 50 3" xfId="980"/>
    <cellStyle name="Normal 51" xfId="981"/>
    <cellStyle name="Normal 51 2" xfId="982"/>
    <cellStyle name="Normal 51 3" xfId="983"/>
    <cellStyle name="Normal 52" xfId="984"/>
    <cellStyle name="Normal 52 2" xfId="985"/>
    <cellStyle name="Normal 52 3" xfId="986"/>
    <cellStyle name="Normal 53" xfId="987"/>
    <cellStyle name="Normal 53 2" xfId="988"/>
    <cellStyle name="Normal 53 3" xfId="989"/>
    <cellStyle name="Normal 54" xfId="990"/>
    <cellStyle name="Normal 54 2" xfId="991"/>
    <cellStyle name="Normal 54 3" xfId="992"/>
    <cellStyle name="Normal 55" xfId="993"/>
    <cellStyle name="Normal 55 2" xfId="994"/>
    <cellStyle name="Normal 55 3" xfId="995"/>
    <cellStyle name="Normal 56" xfId="996"/>
    <cellStyle name="Normal 56 2" xfId="997"/>
    <cellStyle name="Normal 56 3" xfId="998"/>
    <cellStyle name="Normal 57" xfId="999"/>
    <cellStyle name="Normal 57 2" xfId="1000"/>
    <cellStyle name="Normal 57 3" xfId="1001"/>
    <cellStyle name="Normal 58" xfId="1002"/>
    <cellStyle name="Normal 58 2" xfId="1003"/>
    <cellStyle name="Normal 58 3" xfId="1004"/>
    <cellStyle name="Normal 59" xfId="1005"/>
    <cellStyle name="Normal 59 2" xfId="1006"/>
    <cellStyle name="Normal 59 3" xfId="1007"/>
    <cellStyle name="Normal 6" xfId="1008"/>
    <cellStyle name="Normal 6 2" xfId="1009"/>
    <cellStyle name="Normal 6 2 2" xfId="1010"/>
    <cellStyle name="Normal 6 2 2 2" xfId="1011"/>
    <cellStyle name="Normal 6 2 2 2 2" xfId="1012"/>
    <cellStyle name="Normal 6 2 2 2 3" xfId="1013"/>
    <cellStyle name="Normal 6 2 2 3" xfId="1014"/>
    <cellStyle name="Normal 6 2 3" xfId="1015"/>
    <cellStyle name="Normal 6 2 3 2" xfId="1016"/>
    <cellStyle name="Normal 6 2 4" xfId="1017"/>
    <cellStyle name="Normal 6 3" xfId="1018"/>
    <cellStyle name="Normal 6 3 2" xfId="1019"/>
    <cellStyle name="Normal 6 3 2 2" xfId="1020"/>
    <cellStyle name="Normal 6 3 3" xfId="1021"/>
    <cellStyle name="Normal 6 4" xfId="1022"/>
    <cellStyle name="Normal 6 4 2" xfId="1023"/>
    <cellStyle name="Normal 6 5" xfId="1024"/>
    <cellStyle name="Normal 60" xfId="1025"/>
    <cellStyle name="Normal 60 2" xfId="1026"/>
    <cellStyle name="Normal 60 3" xfId="1027"/>
    <cellStyle name="Normal 61" xfId="1028"/>
    <cellStyle name="Normal 61 2" xfId="1029"/>
    <cellStyle name="Normal 61 3" xfId="1030"/>
    <cellStyle name="Normal 62" xfId="1031"/>
    <cellStyle name="Normal 62 2" xfId="1032"/>
    <cellStyle name="Normal 62 3" xfId="1033"/>
    <cellStyle name="Normal 63" xfId="1034"/>
    <cellStyle name="Normal 63 2" xfId="1035"/>
    <cellStyle name="Normal 63 3" xfId="1036"/>
    <cellStyle name="Normal 64" xfId="1037"/>
    <cellStyle name="Normal 64 2" xfId="1038"/>
    <cellStyle name="Normal 64 3" xfId="1039"/>
    <cellStyle name="Normal 65" xfId="1040"/>
    <cellStyle name="Normal 65 2" xfId="1041"/>
    <cellStyle name="Normal 65 3" xfId="1042"/>
    <cellStyle name="Normal 66" xfId="1043"/>
    <cellStyle name="Normal 66 2" xfId="1044"/>
    <cellStyle name="Normal 66 3" xfId="1045"/>
    <cellStyle name="Normal 67" xfId="1046"/>
    <cellStyle name="Normal 67 2" xfId="1047"/>
    <cellStyle name="Normal 67 3" xfId="1048"/>
    <cellStyle name="Normal 68" xfId="1049"/>
    <cellStyle name="Normal 68 2" xfId="1050"/>
    <cellStyle name="Normal 68 3" xfId="1051"/>
    <cellStyle name="Normal 69" xfId="1052"/>
    <cellStyle name="Normal 69 2" xfId="1053"/>
    <cellStyle name="Normal 69 3" xfId="1054"/>
    <cellStyle name="Normal 7" xfId="1055"/>
    <cellStyle name="Normal 7 2" xfId="1056"/>
    <cellStyle name="Normal 7 2 2" xfId="1057"/>
    <cellStyle name="Normal 7 2 2 2" xfId="1058"/>
    <cellStyle name="Normal 7 2 2 2 2" xfId="1059"/>
    <cellStyle name="Normal 7 2 2 2 2 2" xfId="1060"/>
    <cellStyle name="Normal 7 2 2 2 3" xfId="1061"/>
    <cellStyle name="Normal 7 2 2 3" xfId="1062"/>
    <cellStyle name="Normal 7 2 2 3 2" xfId="1063"/>
    <cellStyle name="Normal 7 2 2 3 3" xfId="1064"/>
    <cellStyle name="Normal 7 2 2 4" xfId="1065"/>
    <cellStyle name="Normal 7 2 3" xfId="1066"/>
    <cellStyle name="Normal 7 2 3 2" xfId="1067"/>
    <cellStyle name="Normal 7 2 3 2 2" xfId="1068"/>
    <cellStyle name="Normal 7 2 3 3" xfId="1069"/>
    <cellStyle name="Normal 7 2 4" xfId="1070"/>
    <cellStyle name="Normal 7 2 4 2" xfId="1071"/>
    <cellStyle name="Normal 7 2 5" xfId="1072"/>
    <cellStyle name="Normal 7 3" xfId="1073"/>
    <cellStyle name="Normal 7 3 2" xfId="1074"/>
    <cellStyle name="Normal 7 3 2 2" xfId="1075"/>
    <cellStyle name="Normal 7 3 2 2 2" xfId="1076"/>
    <cellStyle name="Normal 7 3 2 3" xfId="1077"/>
    <cellStyle name="Normal 7 3 3" xfId="1078"/>
    <cellStyle name="Normal 7 3 3 2" xfId="1079"/>
    <cellStyle name="Normal 7 3 4" xfId="1080"/>
    <cellStyle name="Normal 7 4" xfId="1081"/>
    <cellStyle name="Normal 7 4 2" xfId="1082"/>
    <cellStyle name="Normal 7 4 2 2" xfId="1083"/>
    <cellStyle name="Normal 7 4 3" xfId="1084"/>
    <cellStyle name="Normal 7 5" xfId="1085"/>
    <cellStyle name="Normal 7 5 2" xfId="1086"/>
    <cellStyle name="Normal 7 6" xfId="1087"/>
    <cellStyle name="Normal 70" xfId="1088"/>
    <cellStyle name="Normal 70 2" xfId="1089"/>
    <cellStyle name="Normal 70 3" xfId="1090"/>
    <cellStyle name="Normal 71" xfId="1091"/>
    <cellStyle name="Normal 72" xfId="1092"/>
    <cellStyle name="Normal 73" xfId="1093"/>
    <cellStyle name="Normal 74" xfId="1094"/>
    <cellStyle name="Normal 75" xfId="1095"/>
    <cellStyle name="Normal 76" xfId="1096"/>
    <cellStyle name="Normal 77" xfId="1097"/>
    <cellStyle name="Normal 78" xfId="1098"/>
    <cellStyle name="Normal 79" xfId="1099"/>
    <cellStyle name="Normal 8" xfId="1100"/>
    <cellStyle name="Normal 8 2" xfId="1101"/>
    <cellStyle name="Normal 8 2 2" xfId="1102"/>
    <cellStyle name="Normal 8 2 2 2" xfId="1103"/>
    <cellStyle name="Normal 8 2 2 2 2" xfId="1104"/>
    <cellStyle name="Normal 8 2 2 2 3" xfId="1105"/>
    <cellStyle name="Normal 8 2 2 3" xfId="1106"/>
    <cellStyle name="Normal 8 2 3" xfId="1107"/>
    <cellStyle name="Normal 8 2 3 2" xfId="1108"/>
    <cellStyle name="Normal 8 2 4" xfId="1109"/>
    <cellStyle name="Normal 8 3" xfId="1110"/>
    <cellStyle name="Normal 8 3 2" xfId="1111"/>
    <cellStyle name="Normal 8 3 2 2" xfId="1112"/>
    <cellStyle name="Normal 8 3 3" xfId="1113"/>
    <cellStyle name="Normal 8 4" xfId="1114"/>
    <cellStyle name="Normal 8 4 2" xfId="1115"/>
    <cellStyle name="Normal 8 5" xfId="1116"/>
    <cellStyle name="Normal 80" xfId="1117"/>
    <cellStyle name="Normal 81" xfId="1118"/>
    <cellStyle name="Normal 82" xfId="1119"/>
    <cellStyle name="Normal 83" xfId="1120"/>
    <cellStyle name="Normal 84" xfId="1121"/>
    <cellStyle name="Normal 84 2" xfId="1122"/>
    <cellStyle name="Normal 84 3" xfId="1123"/>
    <cellStyle name="Normal 85" xfId="1124"/>
    <cellStyle name="Normal 85 2" xfId="1125"/>
    <cellStyle name="Normal 85 2 2" xfId="1126"/>
    <cellStyle name="Normal 85 3" xfId="1127"/>
    <cellStyle name="Normal 86" xfId="1128"/>
    <cellStyle name="Normal 86 2" xfId="1129"/>
    <cellStyle name="Normal 86 3" xfId="1130"/>
    <cellStyle name="Normal 87" xfId="1131"/>
    <cellStyle name="Normal 87 2" xfId="1132"/>
    <cellStyle name="Normal 88" xfId="1133"/>
    <cellStyle name="Normal 88 2" xfId="1134"/>
    <cellStyle name="Normal 89" xfId="1135"/>
    <cellStyle name="Normal 9" xfId="1136"/>
    <cellStyle name="Normal 9 2" xfId="1137"/>
    <cellStyle name="Normal 9 2 2" xfId="1138"/>
    <cellStyle name="Normal 9 2 2 2" xfId="1139"/>
    <cellStyle name="Normal 9 2 2 2 2" xfId="1140"/>
    <cellStyle name="Normal 9 2 2 2 3" xfId="1141"/>
    <cellStyle name="Normal 9 2 2 3" xfId="1142"/>
    <cellStyle name="Normal 9 2 3" xfId="1143"/>
    <cellStyle name="Normal 9 2 3 2" xfId="1144"/>
    <cellStyle name="Normal 9 2 4" xfId="1145"/>
    <cellStyle name="Normal 9 3" xfId="1146"/>
    <cellStyle name="Normal 9 3 2" xfId="1147"/>
    <cellStyle name="Normal 9 3 2 2" xfId="1148"/>
    <cellStyle name="Normal 9 3 3" xfId="1149"/>
    <cellStyle name="Normal 9 4" xfId="1150"/>
    <cellStyle name="Normal 9 4 2" xfId="1151"/>
    <cellStyle name="Normal 9 5" xfId="1152"/>
    <cellStyle name="Normal 90" xfId="1153"/>
    <cellStyle name="Normal 91" xfId="1154"/>
    <cellStyle name="Normal 92" xfId="1155"/>
    <cellStyle name="Normal 92 2" xfId="1156"/>
    <cellStyle name="Normal 93" xfId="1157"/>
    <cellStyle name="Normal 93 2" xfId="1158"/>
    <cellStyle name="Normal 94" xfId="1159"/>
    <cellStyle name="Normal 94 2" xfId="1160"/>
    <cellStyle name="Normal 95" xfId="1161"/>
    <cellStyle name="Normal 95 2" xfId="1162"/>
    <cellStyle name="Normal 96" xfId="1163"/>
    <cellStyle name="Normal 96 2" xfId="1164"/>
    <cellStyle name="Normal 97" xfId="1165"/>
    <cellStyle name="Normal 97 2" xfId="1166"/>
    <cellStyle name="Normal 98" xfId="1167"/>
    <cellStyle name="Normal 98 2" xfId="1168"/>
    <cellStyle name="Normal 99" xfId="1169"/>
    <cellStyle name="Normal 99 2" xfId="1170"/>
    <cellStyle name="Normal_Book3" xfId="1171"/>
    <cellStyle name="Normal_M-A DF Calculation 3-1-2013-Final" xfId="1172"/>
    <cellStyle name="Normal_Regulated Price Out 9-6-2011 Final HL" xfId="4"/>
    <cellStyle name="Note 2" xfId="1173"/>
    <cellStyle name="Note 2 2" xfId="1174"/>
    <cellStyle name="Note 2 3" xfId="1175"/>
    <cellStyle name="Note 2 4" xfId="1176"/>
    <cellStyle name="Note 3" xfId="1177"/>
    <cellStyle name="Note 3 2" xfId="1178"/>
    <cellStyle name="Note 3 3" xfId="1179"/>
    <cellStyle name="Note 3 4" xfId="1180"/>
    <cellStyle name="Note 4" xfId="1181"/>
    <cellStyle name="Note 4 2" xfId="1182"/>
    <cellStyle name="Note 5" xfId="1183"/>
    <cellStyle name="Notes" xfId="1184"/>
    <cellStyle name="Output 2" xfId="1185"/>
    <cellStyle name="Output 2 2" xfId="1186"/>
    <cellStyle name="Output 2 2 2" xfId="1187"/>
    <cellStyle name="Output 2 3" xfId="1188"/>
    <cellStyle name="Output 3" xfId="1189"/>
    <cellStyle name="Output 3 2" xfId="1190"/>
    <cellStyle name="Output 4" xfId="1191"/>
    <cellStyle name="Percent" xfId="3" builtinId="5"/>
    <cellStyle name="Percent 10" xfId="1192"/>
    <cellStyle name="Percent 10 2" xfId="1193"/>
    <cellStyle name="Percent 10 3" xfId="1194"/>
    <cellStyle name="Percent 2" xfId="1195"/>
    <cellStyle name="Percent 2 2" xfId="1196"/>
    <cellStyle name="Percent 2 2 2" xfId="1197"/>
    <cellStyle name="Percent 2 2 3" xfId="1198"/>
    <cellStyle name="Percent 2 3" xfId="1199"/>
    <cellStyle name="Percent 2 4" xfId="1200"/>
    <cellStyle name="Percent 2 6" xfId="1201"/>
    <cellStyle name="Percent 3" xfId="1202"/>
    <cellStyle name="Percent 3 2" xfId="1203"/>
    <cellStyle name="Percent 3 2 2" xfId="1204"/>
    <cellStyle name="Percent 3 2 2 2" xfId="1205"/>
    <cellStyle name="Percent 3 2 2 2 2" xfId="1206"/>
    <cellStyle name="Percent 3 2 2 3" xfId="1207"/>
    <cellStyle name="Percent 3 2 3" xfId="1208"/>
    <cellStyle name="Percent 3 2 3 2" xfId="1209"/>
    <cellStyle name="Percent 3 2 4" xfId="1210"/>
    <cellStyle name="Percent 3 3" xfId="1211"/>
    <cellStyle name="Percent 3 3 2" xfId="1212"/>
    <cellStyle name="Percent 3 3 2 2" xfId="1213"/>
    <cellStyle name="Percent 3 3 3" xfId="1214"/>
    <cellStyle name="Percent 3 4" xfId="1215"/>
    <cellStyle name="Percent 3 4 2" xfId="1216"/>
    <cellStyle name="Percent 3 5" xfId="1217"/>
    <cellStyle name="Percent 3 5 2" xfId="1218"/>
    <cellStyle name="Percent 3 5 3" xfId="1219"/>
    <cellStyle name="Percent 3 6" xfId="1220"/>
    <cellStyle name="Percent 4" xfId="1221"/>
    <cellStyle name="Percent 4 2" xfId="1222"/>
    <cellStyle name="Percent 4 3" xfId="1223"/>
    <cellStyle name="Percent 4 4" xfId="1224"/>
    <cellStyle name="Percent 4 4 2" xfId="1225"/>
    <cellStyle name="Percent 4 4 2 2" xfId="1226"/>
    <cellStyle name="Percent 4 4 2 3" xfId="1227"/>
    <cellStyle name="Percent 5" xfId="1228"/>
    <cellStyle name="Percent 5 2" xfId="1229"/>
    <cellStyle name="Percent 5 2 2" xfId="1230"/>
    <cellStyle name="Percent 5 2 2 2" xfId="1231"/>
    <cellStyle name="Percent 5 2 3" xfId="1232"/>
    <cellStyle name="Percent 5 3" xfId="1233"/>
    <cellStyle name="Percent 5 3 2" xfId="1234"/>
    <cellStyle name="Percent 5 4" xfId="1235"/>
    <cellStyle name="Percent 5 4 2" xfId="1236"/>
    <cellStyle name="Percent 6" xfId="1237"/>
    <cellStyle name="Percent 6 2" xfId="1238"/>
    <cellStyle name="Percent 6 2 2" xfId="1239"/>
    <cellStyle name="Percent 6 3" xfId="1240"/>
    <cellStyle name="Percent 7" xfId="1241"/>
    <cellStyle name="Percent 7 2" xfId="1242"/>
    <cellStyle name="Percent 7 2 2" xfId="1243"/>
    <cellStyle name="Percent 7 3" xfId="1244"/>
    <cellStyle name="Percent 7 4" xfId="1245"/>
    <cellStyle name="Percent 8" xfId="1246"/>
    <cellStyle name="Percent 8 2" xfId="1247"/>
    <cellStyle name="Percent 9" xfId="1248"/>
    <cellStyle name="Percent 9 2" xfId="1249"/>
    <cellStyle name="Percent 9 3" xfId="1250"/>
    <cellStyle name="Percent(1)" xfId="1251"/>
    <cellStyle name="Percent(2)" xfId="1252"/>
    <cellStyle name="Posting_Period" xfId="1253"/>
    <cellStyle name="PRM" xfId="1254"/>
    <cellStyle name="PRM 2" xfId="1255"/>
    <cellStyle name="PRM 3" xfId="1256"/>
    <cellStyle name="PRM_2011-11" xfId="1257"/>
    <cellStyle name="PS_Comma" xfId="1258"/>
    <cellStyle name="PSChar" xfId="1259"/>
    <cellStyle name="PSDate" xfId="1260"/>
    <cellStyle name="PSDec" xfId="1261"/>
    <cellStyle name="PSHeading" xfId="1262"/>
    <cellStyle name="PSInt" xfId="1263"/>
    <cellStyle name="PSSpacer" xfId="1264"/>
    <cellStyle name="STYL0 - Style1" xfId="1265"/>
    <cellStyle name="STYL1 - Style2" xfId="1266"/>
    <cellStyle name="STYL2 - Style3" xfId="1267"/>
    <cellStyle name="STYL3 - Style4" xfId="1268"/>
    <cellStyle name="STYL4 - Style5" xfId="1269"/>
    <cellStyle name="STYL5 - Style6" xfId="1270"/>
    <cellStyle name="STYL6 - Style7" xfId="1271"/>
    <cellStyle name="STYL7 - Style8" xfId="1272"/>
    <cellStyle name="Style 1" xfId="1273"/>
    <cellStyle name="Style 1 2" xfId="1274"/>
    <cellStyle name="STYLE1" xfId="1275"/>
    <cellStyle name="STYLE1 2" xfId="1276"/>
    <cellStyle name="sub heading" xfId="1277"/>
    <cellStyle name="Tax_Rate" xfId="1278"/>
    <cellStyle name="Title 2" xfId="1279"/>
    <cellStyle name="Title 2 2" xfId="1280"/>
    <cellStyle name="Title 2 2 2" xfId="1281"/>
    <cellStyle name="Title 2 3" xfId="1282"/>
    <cellStyle name="Title 3" xfId="1283"/>
    <cellStyle name="Title 3 2" xfId="1284"/>
    <cellStyle name="Title 4" xfId="1285"/>
    <cellStyle name="Total 2" xfId="1286"/>
    <cellStyle name="Total 2 2" xfId="1287"/>
    <cellStyle name="Total 2 3" xfId="1288"/>
    <cellStyle name="Total 2 4" xfId="1289"/>
    <cellStyle name="Total 3" xfId="1290"/>
    <cellStyle name="Total 3 2" xfId="1291"/>
    <cellStyle name="Total 3 3" xfId="1292"/>
    <cellStyle name="Total 4" xfId="1293"/>
    <cellStyle name="Total 4 2" xfId="1294"/>
    <cellStyle name="Transcript_Date" xfId="1295"/>
    <cellStyle name="Warning Text 2" xfId="1296"/>
    <cellStyle name="Warning Text 3" xfId="1297"/>
    <cellStyle name="Warning Text 4" xfId="1298"/>
    <cellStyle name="WM_STANDARD" xfId="1299"/>
  </cellStyles>
  <dxfs count="0"/>
  <tableStyles count="0" defaultTableStyle="TableStyleMedium2" defaultPivotStyle="PivotStyleLight16"/>
  <colors>
    <mruColors>
      <color rgb="FFFFFF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26" Type="http://schemas.openxmlformats.org/officeDocument/2006/relationships/externalLink" Target="externalLinks/externalLink21.xml"/><Relationship Id="rId39" Type="http://schemas.openxmlformats.org/officeDocument/2006/relationships/sharedStrings" Target="sharedStrings.xml"/><Relationship Id="rId21" Type="http://schemas.openxmlformats.org/officeDocument/2006/relationships/externalLink" Target="externalLinks/externalLink16.xml"/><Relationship Id="rId34" Type="http://schemas.openxmlformats.org/officeDocument/2006/relationships/externalLink" Target="externalLinks/externalLink29.xml"/><Relationship Id="rId42" Type="http://schemas.openxmlformats.org/officeDocument/2006/relationships/customXml" Target="../customXml/item2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4.xml"/><Relationship Id="rId41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24" Type="http://schemas.openxmlformats.org/officeDocument/2006/relationships/externalLink" Target="externalLinks/externalLink19.xml"/><Relationship Id="rId32" Type="http://schemas.openxmlformats.org/officeDocument/2006/relationships/externalLink" Target="externalLinks/externalLink27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18.xml"/><Relationship Id="rId28" Type="http://schemas.openxmlformats.org/officeDocument/2006/relationships/externalLink" Target="externalLinks/externalLink23.xml"/><Relationship Id="rId36" Type="http://schemas.openxmlformats.org/officeDocument/2006/relationships/externalLink" Target="externalLinks/externalLink31.xml"/><Relationship Id="rId10" Type="http://schemas.openxmlformats.org/officeDocument/2006/relationships/externalLink" Target="externalLinks/externalLink5.xml"/><Relationship Id="rId19" Type="http://schemas.openxmlformats.org/officeDocument/2006/relationships/externalLink" Target="externalLinks/externalLink14.xml"/><Relationship Id="rId31" Type="http://schemas.openxmlformats.org/officeDocument/2006/relationships/externalLink" Target="externalLinks/externalLink26.xml"/><Relationship Id="rId44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externalLink" Target="externalLinks/externalLink17.xml"/><Relationship Id="rId27" Type="http://schemas.openxmlformats.org/officeDocument/2006/relationships/externalLink" Target="externalLinks/externalLink22.xml"/><Relationship Id="rId30" Type="http://schemas.openxmlformats.org/officeDocument/2006/relationships/externalLink" Target="externalLinks/externalLink25.xml"/><Relationship Id="rId35" Type="http://schemas.openxmlformats.org/officeDocument/2006/relationships/externalLink" Target="externalLinks/externalLink30.xml"/><Relationship Id="rId43" Type="http://schemas.openxmlformats.org/officeDocument/2006/relationships/customXml" Target="../customXml/item3.xml"/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20.xml"/><Relationship Id="rId33" Type="http://schemas.openxmlformats.org/officeDocument/2006/relationships/externalLink" Target="externalLinks/externalLink28.xml"/><Relationship Id="rId38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_db5_srv\SRC\User\REPORTS\STANDARD%20REPORTS\CUSTOM%20REPORTS\PL_RollingTrend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ome.utc.wa.gov/Mason/Rate%20Increase%201-1-2013/1%20Filing%2011-14-2012/Revised%202-21-2013/staff%20Mason%20Proforma%209-30-2012-Linked%20Cust%20Count%20Fix%2012-27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Mason\Rate%20Increase%201-1-2013\1%20Filing%2011-14-2012\Revised%202-21-2013\staff%20Mason%20Proforma%209-30-2012-Linked%20Cust%20Count%20Fix%2012-27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Mason/Rate%20Increase%201-1-2013/1%20Filing%2011-14-2012/Revised%202-21-2013/staff%20Mason%20Proforma%209-30-2012-Linked%20Cust%20Count%20Fix%2012-27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utcfs2\grp_data\District\Joe_Garza\mark%20gregg\WUTC%20Files\Eastside\Eastside%20Rate%20Case%202006\Eastside%20RC%202006%20Filing%20Docs\Proforma%20Eastside%202005%204.17.06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inf05\DistShares\WCNX%20Stuff\Excel\Financials\Excel%20Financials\ExcelFinancial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Western%20Region/WUTC/WUTC-Columbia%202025/General%20Filing%204-15-2016/Audit/Final/TG-160424%20CRD%20Pro%20forma%203-31-2016%20Staff%20FINAL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Western%20Region/WUTC/WUTC-Columbia%202025/General%20Filing%204-15-2016/Filed%204-15-16/CRD%20Pro%20forma%203-31-2016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ome.utc.wa.gov/Western%20Region/ControllerDir/Brent_Blair_Kortney/PO%20Report%20by%20Division/PO%20Report_v3b%202013-08-26.xlsm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Western%20Region/ControllerDir/Brent_Blair_Kortney/PO%20Report%20by%20Division/PO%20Report_v3b%202013-08-26.xlsm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ome.utc.wa.gov/Vashon/Rate%20Incr%201-1-2012/Vashon%20Pro%20Form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disnap\accounting\MODEST~1\20320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Vashon\Rate%20Incr%201-1-2012\Vashon%20Pro%20Forma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inf06\sacshare\Data_Automation\DMS\RouteManagerReports\RM_MM001_Query_v4c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Western%20Region/WUTC/WIP%20Files/2010%20Clark%20County-%202009%20Vancouver/12.31.2010%20Test%20Year/Proforma%20Clark%20County%20101231%20Filing-Draft-FINAL%20VERSION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microsoft.com/office/2006/relationships/xlExternalLinkPath/xlPathMissing" Target="ExcelFinancials_v3b1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ome.utc.wa.gov/Annual%20Reports/2180%20LeMay/2009/LeMay%20Annual%20Report%2009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Annual%20Reports\2180%20LeMay\2009\LeMay%20Annual%20Report%2009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Annual%20Reports/2180%20LeMay/2009/LeMay%20Annual%20Report%2009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inf04\home$\LeMay\Master%20Truck%20Schedule\South_LeMay%20Master%20Truck%20Schedule-Shared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ome.utc.wa.gov/LeMay/Master%20Truck%20Schedule/South_LeMay%20Master%20Truck%20Schedule-Shared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LeMay\Master%20Truck%20Schedule\South_LeMay%20Master%20Truck%20Schedule-Share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L_WASTE\SYS\ACCOUNT\CV2000\022000\2000_FEBRUARY_%20GL%20RECON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LeMay/Master%20Truck%20Schedule/South_LeMay%20Master%20Truck%20Schedule-Shared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microsoft.com/office/2006/relationships/xlExternalLinkPath/xlPathMissing" Target="ExcelFinancials_v3c1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ome.utc.wa.gov/SRC%20Reports/SRC%20Format/Bonus%20Schedule/PNWR%20SRC%20Bonus%20Schedule%20200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SRC%20Reports\SRC%20Format\Bonus%20Schedule\PNWR%20SRC%20Bonus%20Schedule%20200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SRC%20Reports/SRC%20Format/Bonus%20Schedule/PNWR%20SRC%20Bonus%20Schedule%20200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ome.utc.wa.gov/LeMay/2183-1%20Pacific%20Disp,%20Butlers%20Cove/Filing%20Possibly%202012/Filing/Audit/Final%20Outcome%208-14-2012/Pro%20Forma%20Pacific%20Disposal_Staff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LeMay\2183-1%20Pacific%20Disp,%20Butlers%20Cove\Filing%20Possibly%202012\Filing\Audit\Final%20Outcome%208-14-2012\Pro%20Forma%20Pacific%20Disposal_Staff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LeMay/2183-1%20Pacific%20Disp,%20Butlers%20Cove/Filing%20Possibly%202012/Filing/Audit/Final%20Outcome%208-14-2012/Pro%20Forma%20Pacific%20Disposal_Staf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  <sheetName val="Instructions"/>
      <sheetName val="User"/>
      <sheetName val="Settings"/>
      <sheetName val="Orientation"/>
      <sheetName val="Delivery"/>
      <sheetName val="RptClose"/>
      <sheetName val="Hidden"/>
    </sheetNames>
    <sheetDataSet>
      <sheetData sheetId="0" refreshError="1"/>
      <sheetData sheetId="1" refreshError="1"/>
      <sheetData sheetId="2" refreshError="1"/>
      <sheetData sheetId="3" refreshError="1">
        <row r="5">
          <cell r="D5">
            <v>10.71</v>
          </cell>
        </row>
        <row r="14">
          <cell r="C14" t="str">
            <v>dist</v>
          </cell>
          <cell r="E14" t="str">
            <v>=</v>
          </cell>
          <cell r="F14">
            <v>2149</v>
          </cell>
        </row>
      </sheetData>
      <sheetData sheetId="4" refreshError="1">
        <row r="6">
          <cell r="F6" t="str">
            <v>Time Series</v>
          </cell>
        </row>
        <row r="17">
          <cell r="B17" t="str">
            <v>ACCT</v>
          </cell>
          <cell r="C17" t="str">
            <v>-</v>
          </cell>
        </row>
        <row r="22">
          <cell r="C22" t="str">
            <v>Financial</v>
          </cell>
        </row>
        <row r="23">
          <cell r="C23" t="str">
            <v>ALL</v>
          </cell>
        </row>
        <row r="24">
          <cell r="C24" t="str">
            <v>Variable</v>
          </cell>
        </row>
      </sheetData>
      <sheetData sheetId="5" refreshError="1">
        <row r="8">
          <cell r="E8" t="str">
            <v>Report</v>
          </cell>
        </row>
        <row r="12">
          <cell r="B12" t="b">
            <v>0</v>
          </cell>
        </row>
      </sheetData>
      <sheetData sheetId="6" refreshError="1"/>
      <sheetData sheetId="7" refreshError="1">
        <row r="11">
          <cell r="D11">
            <v>10002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 t="str">
            <v>Cash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f Rate Sheet"/>
      <sheetName val="Class A IS"/>
      <sheetName val="2149 BS"/>
      <sheetName val="9-30-11 BS"/>
      <sheetName val="2149 IS"/>
      <sheetName val="Consolidated IS"/>
      <sheetName val="Ratios"/>
      <sheetName val="Restating Adj"/>
      <sheetName val="Restating Expl"/>
      <sheetName val="Pro forma Adj"/>
      <sheetName val="Pro-forma"/>
      <sheetName val="LG-Combined"/>
      <sheetName val="LG-Pckr,RO"/>
      <sheetName val="LG-Recycl"/>
      <sheetName val="Price Out"/>
      <sheetName val="Rate Sheet"/>
      <sheetName val="Pckr, RO, Matrix"/>
      <sheetName val="COS Packer,RO "/>
      <sheetName val="Recycl Matrix"/>
      <sheetName val="COS Recycle"/>
      <sheetName val="Disposal Calc"/>
      <sheetName val="Disposal Schedule"/>
      <sheetName val="Fuel"/>
      <sheetName val="PR Summary"/>
      <sheetName val="Depr Summary"/>
      <sheetName val="Depreciation"/>
      <sheetName val="Cust Count"/>
      <sheetName val="Rt Study Summary"/>
      <sheetName val="Recycl Tons, Commodity Value"/>
      <sheetName val="Tribal Cnts"/>
      <sheetName val="Corp OH"/>
      <sheetName val="Corp Debt Equity"/>
      <sheetName val="Balance Sheet"/>
      <sheetName val="P&amp;L"/>
      <sheetName val="70195 JE-WRRA Dues"/>
      <sheetName val="56095 JE"/>
      <sheetName val="Non-Reg Price Out"/>
      <sheetName val="30% Commodity Justification"/>
      <sheetName val="TRC Processing Justfication"/>
      <sheetName val="Orig Price Out"/>
      <sheetName val="Rate Sheet Dec 2012"/>
      <sheetName val="Orig COS Packer,RO "/>
      <sheetName val="LG-Pckr w DF"/>
      <sheetName val="LG-Pckr w-out DF"/>
      <sheetName val="LG-RO"/>
    </sheetNames>
    <sheetDataSet>
      <sheetData sheetId="0" refreshError="1">
        <row r="107">
          <cell r="L107">
            <v>1755086.2007667283</v>
          </cell>
        </row>
        <row r="214">
          <cell r="L214">
            <v>861493.18580596044</v>
          </cell>
        </row>
        <row r="278">
          <cell r="L278">
            <v>840474.49671344017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>
        <row r="23">
          <cell r="L23">
            <v>2329.3388396454475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f Rate Sheet"/>
      <sheetName val="Class A IS"/>
      <sheetName val="2149 BS"/>
      <sheetName val="9-30-11 BS"/>
      <sheetName val="2149 IS"/>
      <sheetName val="Consolidated IS"/>
      <sheetName val="Ratios"/>
      <sheetName val="Restating Adj"/>
      <sheetName val="Restating Expl"/>
      <sheetName val="Pro forma Adj"/>
      <sheetName val="Pro-forma"/>
      <sheetName val="LG-Combined"/>
      <sheetName val="LG-Pckr,RO"/>
      <sheetName val="LG-Recycl"/>
      <sheetName val="Price Out"/>
      <sheetName val="Rate Sheet"/>
      <sheetName val="Pckr, RO, Matrix"/>
      <sheetName val="COS Packer,RO "/>
      <sheetName val="Recycl Matrix"/>
      <sheetName val="COS Recycle"/>
      <sheetName val="Disposal Calc"/>
      <sheetName val="Disposal Schedule"/>
      <sheetName val="Fuel"/>
      <sheetName val="PR Summary"/>
      <sheetName val="Depr Summary"/>
      <sheetName val="Depreciation"/>
      <sheetName val="Cust Count"/>
      <sheetName val="Rt Study Summary"/>
      <sheetName val="Recycl Tons, Commodity Value"/>
      <sheetName val="Tribal Cnts"/>
      <sheetName val="Corp OH"/>
      <sheetName val="Corp Debt Equity"/>
      <sheetName val="Balance Sheet"/>
      <sheetName val="P&amp;L"/>
      <sheetName val="70195 JE-WRRA Dues"/>
      <sheetName val="56095 JE"/>
      <sheetName val="Non-Reg Price Out"/>
      <sheetName val="30% Commodity Justification"/>
      <sheetName val="TRC Processing Justfication"/>
      <sheetName val="Orig Price Out"/>
      <sheetName val="Rate Sheet Dec 2012"/>
      <sheetName val="Orig COS Packer,RO "/>
      <sheetName val="LG-Pckr w DF"/>
      <sheetName val="LG-Pckr w-out DF"/>
      <sheetName val="LG-RO"/>
    </sheetNames>
    <sheetDataSet>
      <sheetData sheetId="0">
        <row r="107">
          <cell r="L107">
            <v>1755086.2007667283</v>
          </cell>
        </row>
        <row r="214">
          <cell r="L214">
            <v>861493.18580596044</v>
          </cell>
        </row>
        <row r="278">
          <cell r="L278">
            <v>840474.49671344017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23">
          <cell r="L23">
            <v>2329.3388396454475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f Rate Sheet"/>
      <sheetName val="Class A IS"/>
      <sheetName val="2149 BS"/>
      <sheetName val="9-30-11 BS"/>
      <sheetName val="2149 IS"/>
      <sheetName val="Consolidated IS"/>
      <sheetName val="Ratios"/>
      <sheetName val="Restating Adj"/>
      <sheetName val="Restating Expl"/>
      <sheetName val="Pro forma Adj"/>
      <sheetName val="Pro-forma"/>
      <sheetName val="LG-Combined"/>
      <sheetName val="LG-Pckr,RO"/>
      <sheetName val="LG-Recycl"/>
      <sheetName val="Price Out"/>
      <sheetName val="Rate Sheet"/>
      <sheetName val="Pckr, RO, Matrix"/>
      <sheetName val="COS Packer,RO "/>
      <sheetName val="Recycl Matrix"/>
      <sheetName val="COS Recycle"/>
      <sheetName val="Disposal Calc"/>
      <sheetName val="Disposal Schedule"/>
      <sheetName val="Fuel"/>
      <sheetName val="PR Summary"/>
      <sheetName val="Depr Summary"/>
      <sheetName val="Depreciation"/>
      <sheetName val="Cust Count"/>
      <sheetName val="Rt Study Summary"/>
      <sheetName val="Recycl Tons, Commodity Value"/>
      <sheetName val="Tribal Cnts"/>
      <sheetName val="Corp OH"/>
      <sheetName val="Corp Debt Equity"/>
      <sheetName val="Balance Sheet"/>
      <sheetName val="P&amp;L"/>
      <sheetName val="70195 JE-WRRA Dues"/>
      <sheetName val="56095 JE"/>
      <sheetName val="Non-Reg Price Out"/>
      <sheetName val="30% Commodity Justification"/>
      <sheetName val="TRC Processing Justfication"/>
      <sheetName val="Orig Price Out"/>
      <sheetName val="Rate Sheet Dec 2012"/>
      <sheetName val="Orig COS Packer,RO "/>
      <sheetName val="LG-Pckr w DF"/>
      <sheetName val="LG-Pckr w-out DF"/>
      <sheetName val="LG-RO"/>
    </sheetNames>
    <sheetDataSet>
      <sheetData sheetId="0" refreshError="1">
        <row r="107">
          <cell r="L107">
            <v>1755086.2007667283</v>
          </cell>
        </row>
        <row r="214">
          <cell r="L214">
            <v>861493.18580596044</v>
          </cell>
        </row>
        <row r="278">
          <cell r="L278">
            <v>840474.49671344017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>
        <row r="23">
          <cell r="L23">
            <v>2329.3388396454475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LG Garbage"/>
      <sheetName val=" LG recycle"/>
      <sheetName val="LG Yardwaste"/>
      <sheetName val="LG MF Recycle"/>
      <sheetName val="Proforma"/>
      <sheetName val="matrix"/>
      <sheetName val="COS"/>
      <sheetName val="Price Out-Reg EASTSIDE-Resi"/>
      <sheetName val="Price Out-Comm MSW"/>
      <sheetName val="Price Out-Drop Box"/>
      <sheetName val="Price Out-MF Recycle 200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rorNote"/>
      <sheetName val="ControlPanel"/>
      <sheetName val="PL_ActReview"/>
      <sheetName val="BS_Close"/>
      <sheetName val="PL_ActTranx"/>
      <sheetName val="JE_Review"/>
      <sheetName val="PL_CloseByDay"/>
      <sheetName val="PL_IS200"/>
      <sheetName val="PL_IS210"/>
      <sheetName val="PL_ActByDistrict"/>
      <sheetName val="PL_ProjReview"/>
    </sheetNames>
    <sheetDataSet>
      <sheetData sheetId="0"/>
      <sheetData sheetId="1" refreshError="1">
        <row r="2">
          <cell r="X2" t="str">
            <v>P&amp;L Close Report</v>
          </cell>
          <cell r="Z2" t="str">
            <v>Consolidated</v>
          </cell>
        </row>
        <row r="3">
          <cell r="Z3" t="str">
            <v>Region</v>
          </cell>
        </row>
        <row r="4">
          <cell r="Z4" t="str">
            <v>District</v>
          </cell>
        </row>
        <row r="5">
          <cell r="Z5" t="str">
            <v>Multiple Districts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5 BS"/>
      <sheetName val="2025 IS"/>
      <sheetName val="Consolidated IS"/>
      <sheetName val="Pro-forma"/>
      <sheetName val="Restating Adj"/>
      <sheetName val="Restating Expl"/>
      <sheetName val="Pro Forma Adj"/>
      <sheetName val="Staff Adjustments"/>
      <sheetName val="Ratios"/>
      <sheetName val="Staff LG G-48"/>
      <sheetName val="LG"/>
      <sheetName val="LG G-48"/>
      <sheetName val="LG G-51"/>
      <sheetName val=" Staff G-48 Price Out"/>
      <sheetName val="G-51 Price Out"/>
      <sheetName val="Rate Schedule G-48"/>
      <sheetName val="References"/>
      <sheetName val="Staff Reference"/>
      <sheetName val="Staff Tariff Changes"/>
      <sheetName val="Staff Disposal Calcs"/>
      <sheetName val="Staff Customer Counts"/>
      <sheetName val="G-48 DF Calc"/>
      <sheetName val="DF Schedule"/>
      <sheetName val="Staff Depr Summary"/>
      <sheetName val="Staff Depr Calculation"/>
      <sheetName val="Staff 2008 Peterblt calc"/>
      <sheetName val="Depr Summary"/>
      <sheetName val="Depreciation"/>
      <sheetName val="Staff Fuel"/>
      <sheetName val="Payroll Detail Staff"/>
      <sheetName val="Payroll Detail"/>
      <sheetName val="DivCon-DVP Alloc In"/>
      <sheetName val="Corp-OH"/>
      <sheetName val="Region OH Calc"/>
      <sheetName val="Corp-BS"/>
      <sheetName val="Corp-IS"/>
      <sheetName val="38000 Other Rev"/>
      <sheetName val="2025 BS 3-31-2015"/>
    </sheetNames>
    <sheetDataSet>
      <sheetData sheetId="0"/>
      <sheetData sheetId="1">
        <row r="10">
          <cell r="G10">
            <v>4697.8500000000004</v>
          </cell>
        </row>
      </sheetData>
      <sheetData sheetId="2">
        <row r="11">
          <cell r="G11">
            <v>1890.3621021897816</v>
          </cell>
        </row>
      </sheetData>
      <sheetData sheetId="3">
        <row r="30">
          <cell r="J30">
            <v>5773.1046131634448</v>
          </cell>
        </row>
      </sheetData>
      <sheetData sheetId="4"/>
      <sheetData sheetId="5"/>
      <sheetData sheetId="6"/>
      <sheetData sheetId="7"/>
      <sheetData sheetId="8"/>
      <sheetData sheetId="9">
        <row r="3">
          <cell r="E3">
            <v>1042968.7335742195</v>
          </cell>
        </row>
      </sheetData>
      <sheetData sheetId="10"/>
      <sheetData sheetId="11"/>
      <sheetData sheetId="12"/>
      <sheetData sheetId="13">
        <row r="14">
          <cell r="D14">
            <v>14.27</v>
          </cell>
        </row>
      </sheetData>
      <sheetData sheetId="14"/>
      <sheetData sheetId="15"/>
      <sheetData sheetId="16">
        <row r="5">
          <cell r="C5">
            <v>13</v>
          </cell>
        </row>
      </sheetData>
      <sheetData sheetId="17"/>
      <sheetData sheetId="18"/>
      <sheetData sheetId="19">
        <row r="4">
          <cell r="L4">
            <v>4.783124729467951E-2</v>
          </cell>
        </row>
      </sheetData>
      <sheetData sheetId="20"/>
      <sheetData sheetId="21">
        <row r="11">
          <cell r="L11">
            <v>0.05</v>
          </cell>
        </row>
      </sheetData>
      <sheetData sheetId="22">
        <row r="56">
          <cell r="C56">
            <v>2521.0289343065688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6">
          <cell r="D6">
            <v>10000</v>
          </cell>
        </row>
        <row r="8">
          <cell r="H8" t="str">
            <v>2017-02</v>
          </cell>
        </row>
        <row r="12">
          <cell r="G12" t="str">
            <v>2015-04</v>
          </cell>
        </row>
        <row r="13">
          <cell r="G13" t="str">
            <v>2016-03</v>
          </cell>
        </row>
      </sheetData>
      <sheetData sheetId="37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5 BS"/>
      <sheetName val="2025 IS"/>
      <sheetName val="Consolidated IS"/>
      <sheetName val="Pro-forma"/>
      <sheetName val="Restating Adj"/>
      <sheetName val="Restating Expl"/>
      <sheetName val="Pro Forma Adj"/>
      <sheetName val="Ratios"/>
      <sheetName val="LG"/>
      <sheetName val="LG G-48"/>
      <sheetName val="LG G-51"/>
      <sheetName val="G-48 Price Out"/>
      <sheetName val="G-51 Price Out"/>
      <sheetName val="Rate Schedule G-48"/>
      <sheetName val="References"/>
      <sheetName val="G-48 DF Calc"/>
      <sheetName val="DF Schedule"/>
      <sheetName val="Depr Summary"/>
      <sheetName val="Depreciation"/>
      <sheetName val="Payroll Detail"/>
      <sheetName val="DivCon-DVP Alloc In"/>
      <sheetName val="Corp-OH"/>
      <sheetName val="Region OH Calc"/>
      <sheetName val="Corp-BS"/>
      <sheetName val="Corp-IS"/>
      <sheetName val="38000 Other Rev"/>
      <sheetName val="2025 BS 3-31-2015"/>
    </sheetNames>
    <sheetDataSet>
      <sheetData sheetId="0"/>
      <sheetData sheetId="1"/>
      <sheetData sheetId="2"/>
      <sheetData sheetId="3" refreshError="1"/>
      <sheetData sheetId="4"/>
      <sheetData sheetId="5">
        <row r="78">
          <cell r="D78">
            <v>13340.018881532844</v>
          </cell>
        </row>
      </sheetData>
      <sheetData sheetId="6">
        <row r="27">
          <cell r="B27">
            <v>353.32367365298381</v>
          </cell>
        </row>
      </sheetData>
      <sheetData sheetId="7">
        <row r="13">
          <cell r="B13">
            <v>0.89361089902323576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60">
          <cell r="C60">
            <v>178633.12500000003</v>
          </cell>
        </row>
      </sheetData>
      <sheetData sheetId="17">
        <row r="1">
          <cell r="A1" t="str">
            <v>Columbia River Disposal, Inc. G-48/G-51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6">
          <cell r="D6">
            <v>10000</v>
          </cell>
        </row>
        <row r="8">
          <cell r="H8" t="str">
            <v>2016-06</v>
          </cell>
        </row>
        <row r="12">
          <cell r="G12" t="str">
            <v>2015-04</v>
          </cell>
        </row>
        <row r="13">
          <cell r="G13" t="str">
            <v>2016-03</v>
          </cell>
        </row>
      </sheetData>
      <sheetData sheetId="26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okup Tables"/>
      <sheetName val="Data"/>
      <sheetName val="By Division"/>
      <sheetName val="&quot;Invioced&quot;"/>
      <sheetName val="Invoice_Drill"/>
      <sheetName val="PO_Drill"/>
      <sheetName val="District-Division Listing"/>
    </sheetNames>
    <sheetDataSet>
      <sheetData sheetId="0">
        <row r="1">
          <cell r="A1" t="str">
            <v>All</v>
          </cell>
        </row>
        <row r="2">
          <cell r="A2" t="str">
            <v>2008-01</v>
          </cell>
        </row>
        <row r="3">
          <cell r="A3" t="str">
            <v>2008-02</v>
          </cell>
        </row>
        <row r="4">
          <cell r="A4" t="str">
            <v>2008-03</v>
          </cell>
        </row>
        <row r="5">
          <cell r="A5" t="str">
            <v>2008-04</v>
          </cell>
        </row>
        <row r="6">
          <cell r="A6" t="str">
            <v>2008-05</v>
          </cell>
        </row>
        <row r="7">
          <cell r="A7" t="str">
            <v>2008-06</v>
          </cell>
        </row>
        <row r="8">
          <cell r="A8" t="str">
            <v>2008-07</v>
          </cell>
        </row>
        <row r="9">
          <cell r="A9" t="str">
            <v>2008-08</v>
          </cell>
        </row>
        <row r="10">
          <cell r="A10" t="str">
            <v>2008-09</v>
          </cell>
        </row>
        <row r="11">
          <cell r="A11" t="str">
            <v>2008-10</v>
          </cell>
        </row>
        <row r="12">
          <cell r="A12" t="str">
            <v>2008-11</v>
          </cell>
        </row>
        <row r="13">
          <cell r="A13" t="str">
            <v>2008-12</v>
          </cell>
        </row>
      </sheetData>
      <sheetData sheetId="1">
        <row r="3">
          <cell r="E3" t="str">
            <v>Western</v>
          </cell>
        </row>
      </sheetData>
      <sheetData sheetId="2" refreshError="1"/>
      <sheetData sheetId="3" refreshError="1"/>
      <sheetData sheetId="4"/>
      <sheetData sheetId="5" refreshError="1"/>
      <sheetData sheetId="6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okup Tables"/>
      <sheetName val="Data"/>
      <sheetName val="By Division"/>
      <sheetName val="&quot;Invioced&quot;"/>
      <sheetName val="Invoice_Drill"/>
      <sheetName val="PO_Drill"/>
      <sheetName val="District-Division Listing"/>
    </sheetNames>
    <sheetDataSet>
      <sheetData sheetId="0">
        <row r="1">
          <cell r="A1" t="str">
            <v>All</v>
          </cell>
        </row>
        <row r="2">
          <cell r="A2" t="str">
            <v>2008-01</v>
          </cell>
        </row>
        <row r="3">
          <cell r="A3" t="str">
            <v>2008-02</v>
          </cell>
        </row>
        <row r="4">
          <cell r="A4" t="str">
            <v>2008-03</v>
          </cell>
        </row>
        <row r="5">
          <cell r="A5" t="str">
            <v>2008-04</v>
          </cell>
        </row>
        <row r="6">
          <cell r="A6" t="str">
            <v>2008-05</v>
          </cell>
        </row>
        <row r="7">
          <cell r="A7" t="str">
            <v>2008-06</v>
          </cell>
        </row>
        <row r="8">
          <cell r="A8" t="str">
            <v>2008-07</v>
          </cell>
        </row>
        <row r="9">
          <cell r="A9" t="str">
            <v>2008-08</v>
          </cell>
        </row>
        <row r="10">
          <cell r="A10" t="str">
            <v>2008-09</v>
          </cell>
        </row>
        <row r="11">
          <cell r="A11" t="str">
            <v>2008-10</v>
          </cell>
        </row>
        <row r="12">
          <cell r="A12" t="str">
            <v>2008-11</v>
          </cell>
        </row>
        <row r="13">
          <cell r="A13" t="str">
            <v>2008-12</v>
          </cell>
        </row>
      </sheetData>
      <sheetData sheetId="1">
        <row r="3">
          <cell r="E3" t="str">
            <v>Western</v>
          </cell>
        </row>
      </sheetData>
      <sheetData sheetId="2" refreshError="1"/>
      <sheetData sheetId="3" refreshError="1"/>
      <sheetData sheetId="4"/>
      <sheetData sheetId="5" refreshError="1"/>
      <sheetData sheetId="6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 A, IS "/>
      <sheetName val="Vashon BS"/>
      <sheetName val="Vashon IS"/>
      <sheetName val="Consolidated IS"/>
      <sheetName val="Restating Adj"/>
      <sheetName val="Prof Adj"/>
      <sheetName val="Price-out"/>
      <sheetName val="LG-Total Comp"/>
      <sheetName val="LG-Packer Rts"/>
      <sheetName val="LG-RO Rts"/>
      <sheetName val="LG-Recycl"/>
      <sheetName val="DF Schedule"/>
      <sheetName val="Depr-Summary"/>
      <sheetName val="2132 Trks"/>
      <sheetName val="2132 Cont, DB"/>
      <sheetName val="2132 Oth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320"/>
      <sheetName val="#REF"/>
    </sheetNames>
    <sheetDataSet>
      <sheetData sheetId="0" refreshError="1"/>
      <sheetData sheetId="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 A, IS "/>
      <sheetName val="Vashon BS"/>
      <sheetName val="Vashon IS"/>
      <sheetName val="Consolidated IS"/>
      <sheetName val="Restating Adj"/>
      <sheetName val="Prof Adj"/>
      <sheetName val="Price-out"/>
      <sheetName val="LG-Total Comp"/>
      <sheetName val="LG-Packer Rts"/>
      <sheetName val="LG-RO Rts"/>
      <sheetName val="LG-Recycl"/>
      <sheetName val="DF Schedule"/>
      <sheetName val="Depr-Summary"/>
      <sheetName val="2132 Trks"/>
      <sheetName val="2132 Cont, DB"/>
      <sheetName val="2132 Oth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M001Tranx"/>
      <sheetName val="JEexport"/>
      <sheetName val="Intro Memo"/>
      <sheetName val="JE_Summary"/>
      <sheetName val="Mth00"/>
      <sheetName val="Mth01"/>
      <sheetName val="Mth02"/>
      <sheetName val="Mth03"/>
      <sheetName val="Mth04"/>
      <sheetName val="Mth05"/>
      <sheetName val="Mth06"/>
      <sheetName val="Mth07"/>
      <sheetName val="Mth08"/>
      <sheetName val="Mth09"/>
      <sheetName val="Mth10"/>
      <sheetName val="Mth11"/>
      <sheetName val="Mth12"/>
      <sheetName val="TEST"/>
      <sheetName val="To Do"/>
      <sheetName val="GLMapping"/>
      <sheetName val="BatchLog"/>
      <sheetName val="Reference"/>
    </sheetNames>
    <sheetDataSet>
      <sheetData sheetId="0"/>
      <sheetData sheetId="1">
        <row r="9">
          <cell r="L9">
            <v>11501</v>
          </cell>
        </row>
        <row r="10">
          <cell r="L10" t="str">
            <v>11501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 A IS"/>
      <sheetName val="2009 BS"/>
      <sheetName val="2010 BS"/>
      <sheetName val="Combined BS"/>
      <sheetName val="2009 IS"/>
      <sheetName val="2010 IS"/>
      <sheetName val="Combined 12 mo IS"/>
      <sheetName val="Consolidated IS 2009 2010"/>
      <sheetName val="Consolidated IS - IRMGARD"/>
      <sheetName val="Pro forma "/>
      <sheetName val="Pro forma-Line of Service"/>
      <sheetName val="Restatements"/>
      <sheetName val="Proforma Adjusts"/>
      <sheetName val="2009 Price Out (REG)"/>
      <sheetName val="GL Recon"/>
      <sheetName val="Customer Count Summary"/>
      <sheetName val="2009 Payroll"/>
      <sheetName val="2010 Payroll"/>
      <sheetName val="2009,2010 Depr Summary"/>
      <sheetName val="Time Study"/>
      <sheetName val="2009 Insurance"/>
      <sheetName val="2010 Insurance"/>
      <sheetName val="2009 Disposal"/>
      <sheetName val="2010 Disposal"/>
      <sheetName val="2009 Fuel"/>
      <sheetName val="2009 Depr Summary"/>
      <sheetName val="2009 Trks"/>
      <sheetName val="2009 Cont, DB"/>
      <sheetName val="2009 Serv, Shop"/>
      <sheetName val="2009 Office"/>
      <sheetName val="2009 Leasehold"/>
      <sheetName val="2010 Fuel"/>
      <sheetName val="2010 Deprec Summary"/>
      <sheetName val="2010 Trks"/>
      <sheetName val="2010 Cont, DB"/>
      <sheetName val="2010 Serv, Shop"/>
      <sheetName val="2010 Office"/>
      <sheetName val="2010 Leasehold"/>
      <sheetName val="Region Allocation (2)"/>
      <sheetName val="LG-Total Company before DF"/>
      <sheetName val="LG-Packer Rts before DF"/>
      <sheetName val="LG-RO Rts before DF"/>
      <sheetName val="LG-Total Company"/>
      <sheetName val="LG-Packer Rts"/>
      <sheetName val="LG-RO Rts"/>
      <sheetName val="LG-Recycl"/>
      <sheetName val="Scenarios"/>
      <sheetName val="Scenarios (2)"/>
      <sheetName val="No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2">
          <cell r="A12" t="str">
            <v>Revenue</v>
          </cell>
        </row>
        <row r="13">
          <cell r="A13" t="str">
            <v>Hauling</v>
          </cell>
        </row>
        <row r="14">
          <cell r="A14">
            <v>31000</v>
          </cell>
          <cell r="B14" t="str">
            <v>Hauling Revenue - Roll Off Permanent</v>
          </cell>
          <cell r="E14">
            <v>41429.11</v>
          </cell>
          <cell r="F14">
            <v>39826.22</v>
          </cell>
          <cell r="G14">
            <v>49022.75</v>
          </cell>
          <cell r="H14">
            <v>45137.86</v>
          </cell>
          <cell r="I14">
            <v>48263.81</v>
          </cell>
          <cell r="J14">
            <v>55314.5</v>
          </cell>
          <cell r="K14">
            <v>60046.02</v>
          </cell>
          <cell r="L14">
            <v>64582.7</v>
          </cell>
          <cell r="M14">
            <v>55932.07</v>
          </cell>
          <cell r="N14">
            <v>50932.34</v>
          </cell>
          <cell r="O14">
            <v>38587.67</v>
          </cell>
          <cell r="P14">
            <v>43420.76</v>
          </cell>
          <cell r="Q14">
            <v>592495.81000000006</v>
          </cell>
        </row>
        <row r="15">
          <cell r="A15">
            <v>31001</v>
          </cell>
          <cell r="B15" t="str">
            <v>Hauling Revenue - Roll Off Temporary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</row>
        <row r="16">
          <cell r="A16">
            <v>31002</v>
          </cell>
          <cell r="B16" t="str">
            <v>Hauling Revenue - Roll Off Rental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</row>
        <row r="17">
          <cell r="A17">
            <v>31003</v>
          </cell>
          <cell r="B17" t="str">
            <v>Hauling Revenue - Roll Off Compactor Ren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</row>
        <row r="18">
          <cell r="A18">
            <v>31004</v>
          </cell>
          <cell r="B18" t="str">
            <v>Hauling Revenue - Roll Off Recycling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</row>
        <row r="19">
          <cell r="A19">
            <v>31005</v>
          </cell>
          <cell r="B19" t="str">
            <v>Corporate Roll Off Disposal Charge</v>
          </cell>
          <cell r="E19">
            <v>93946.63</v>
          </cell>
          <cell r="F19">
            <v>91101.8</v>
          </cell>
          <cell r="G19">
            <v>108743.12</v>
          </cell>
          <cell r="H19">
            <v>100411.54</v>
          </cell>
          <cell r="I19">
            <v>109421.85</v>
          </cell>
          <cell r="J19">
            <v>119111.11</v>
          </cell>
          <cell r="K19">
            <v>114939.05</v>
          </cell>
          <cell r="L19">
            <v>123201.29</v>
          </cell>
          <cell r="M19">
            <v>128616.56</v>
          </cell>
          <cell r="N19">
            <v>103849.76</v>
          </cell>
          <cell r="O19">
            <v>87162.7</v>
          </cell>
          <cell r="P19">
            <v>101585.44</v>
          </cell>
          <cell r="Q19">
            <v>1282090.8499999999</v>
          </cell>
        </row>
        <row r="20">
          <cell r="A20">
            <v>31008</v>
          </cell>
          <cell r="B20" t="str">
            <v>Hauling Revenue - Roll Off Adjustments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</row>
        <row r="21">
          <cell r="A21">
            <v>31009</v>
          </cell>
          <cell r="B21" t="str">
            <v>Hauling Revenue - Roll Off Intercompany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</row>
        <row r="22">
          <cell r="A22">
            <v>31010</v>
          </cell>
          <cell r="B22" t="str">
            <v>Hauling Revenue - Roll Off Extras</v>
          </cell>
          <cell r="E22">
            <v>16354.41</v>
          </cell>
          <cell r="F22">
            <v>16430.849999999999</v>
          </cell>
          <cell r="G22">
            <v>18226.63</v>
          </cell>
          <cell r="H22">
            <v>17972.400000000001</v>
          </cell>
          <cell r="I22">
            <v>18790.919999999998</v>
          </cell>
          <cell r="J22">
            <v>19705.3</v>
          </cell>
          <cell r="K22">
            <v>21354.080000000002</v>
          </cell>
          <cell r="L22">
            <v>22365.29</v>
          </cell>
          <cell r="M22">
            <v>20804.36</v>
          </cell>
          <cell r="N22">
            <v>18374.21</v>
          </cell>
          <cell r="O22">
            <v>17346.11</v>
          </cell>
          <cell r="P22">
            <v>15627.2</v>
          </cell>
          <cell r="Q22">
            <v>223351.76</v>
          </cell>
        </row>
        <row r="23">
          <cell r="A23">
            <v>31020</v>
          </cell>
          <cell r="B23" t="str">
            <v>Hauling Revenue - Roll Off Special Waste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</row>
        <row r="24">
          <cell r="A24">
            <v>31021</v>
          </cell>
          <cell r="B24" t="str">
            <v>Hauling Revenue - Roll Off Special Waste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</row>
        <row r="25">
          <cell r="A25">
            <v>31029</v>
          </cell>
          <cell r="B25" t="str">
            <v>Hauling Revenue - Roll Off Special Waste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</row>
        <row r="26">
          <cell r="A26">
            <v>32000</v>
          </cell>
          <cell r="B26" t="str">
            <v>Hauling Revenue - Residential MSW</v>
          </cell>
          <cell r="E26">
            <v>754535.74</v>
          </cell>
          <cell r="F26">
            <v>750848.79</v>
          </cell>
          <cell r="G26">
            <v>751484.07</v>
          </cell>
          <cell r="H26">
            <v>759461.88</v>
          </cell>
          <cell r="I26">
            <v>756344.84</v>
          </cell>
          <cell r="J26">
            <v>762351.19</v>
          </cell>
          <cell r="K26">
            <v>763571.04</v>
          </cell>
          <cell r="L26">
            <v>762014.08</v>
          </cell>
          <cell r="M26">
            <v>763381.19</v>
          </cell>
          <cell r="N26">
            <v>760410.82</v>
          </cell>
          <cell r="O26">
            <v>760222.53</v>
          </cell>
          <cell r="P26">
            <v>757663.07</v>
          </cell>
          <cell r="Q26">
            <v>9102289.2400000002</v>
          </cell>
        </row>
        <row r="27">
          <cell r="A27">
            <v>32001</v>
          </cell>
          <cell r="B27" t="str">
            <v>Hauling Revenue - Residential MSW Extras</v>
          </cell>
          <cell r="E27">
            <v>48676.93</v>
          </cell>
          <cell r="F27">
            <v>46005.81</v>
          </cell>
          <cell r="G27">
            <v>44057.39</v>
          </cell>
          <cell r="H27">
            <v>54145.79</v>
          </cell>
          <cell r="I27">
            <v>47089.22</v>
          </cell>
          <cell r="J27">
            <v>62711.39</v>
          </cell>
          <cell r="K27">
            <v>60222.84</v>
          </cell>
          <cell r="L27">
            <v>63321.38</v>
          </cell>
          <cell r="M27">
            <v>48663.92</v>
          </cell>
          <cell r="N27">
            <v>45750.71</v>
          </cell>
          <cell r="O27">
            <v>44578.41</v>
          </cell>
          <cell r="P27">
            <v>66011.64</v>
          </cell>
          <cell r="Q27">
            <v>631235.43000000005</v>
          </cell>
        </row>
        <row r="28">
          <cell r="A28">
            <v>32002</v>
          </cell>
          <cell r="B28" t="str">
            <v>Hauling Revenue - Residential MSW Adjust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</row>
        <row r="29">
          <cell r="A29">
            <v>32003</v>
          </cell>
          <cell r="B29" t="str">
            <v>Hauling Revenue - Residential MSW Specia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</row>
        <row r="30">
          <cell r="A30">
            <v>32009</v>
          </cell>
          <cell r="B30" t="str">
            <v>Hauling Revenue - Residential MSW Interc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</row>
        <row r="31">
          <cell r="A31">
            <v>32100</v>
          </cell>
          <cell r="B31" t="str">
            <v>Hauling Revenue - Residential Recycling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</row>
        <row r="32">
          <cell r="A32">
            <v>32101</v>
          </cell>
          <cell r="B32" t="str">
            <v>Hauling Revenue - Residential Recycling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</row>
        <row r="33">
          <cell r="A33">
            <v>32102</v>
          </cell>
          <cell r="B33" t="str">
            <v>Hauling Revenue - Residential Recycling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</row>
        <row r="34">
          <cell r="A34">
            <v>32103</v>
          </cell>
          <cell r="B34" t="str">
            <v>Hauling Revenue - Residential Recycling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</row>
        <row r="35">
          <cell r="A35">
            <v>32109</v>
          </cell>
          <cell r="B35" t="str">
            <v>Hauling Revenue - Residential Recycling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</row>
        <row r="36">
          <cell r="A36">
            <v>32110</v>
          </cell>
          <cell r="B36" t="str">
            <v>Hauling Revenue - Residential Composting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</row>
        <row r="37">
          <cell r="A37">
            <v>32111</v>
          </cell>
          <cell r="B37" t="str">
            <v>Hauling Revenue - Residential Composting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</row>
        <row r="38">
          <cell r="A38">
            <v>32112</v>
          </cell>
          <cell r="B38" t="str">
            <v>Hauling Revenue - Residential Composting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</row>
        <row r="39">
          <cell r="A39">
            <v>32113</v>
          </cell>
          <cell r="B39" t="str">
            <v>Hauling Revenue - Residential Composting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</row>
        <row r="40">
          <cell r="A40">
            <v>32119</v>
          </cell>
          <cell r="B40" t="str">
            <v>Hauling Revenue - Residential Composting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</row>
        <row r="41">
          <cell r="A41">
            <v>33000</v>
          </cell>
          <cell r="B41" t="str">
            <v>Hauling Revenue - Commercial FEL</v>
          </cell>
          <cell r="E41">
            <v>414760.73</v>
          </cell>
          <cell r="F41">
            <v>412841.01</v>
          </cell>
          <cell r="G41">
            <v>416757.93</v>
          </cell>
          <cell r="H41">
            <v>417298.76</v>
          </cell>
          <cell r="I41">
            <v>417121.97</v>
          </cell>
          <cell r="J41">
            <v>421939.51</v>
          </cell>
          <cell r="K41">
            <v>420917.49</v>
          </cell>
          <cell r="L41">
            <v>425821.47</v>
          </cell>
          <cell r="M41">
            <v>424192</v>
          </cell>
          <cell r="N41">
            <v>415412.9</v>
          </cell>
          <cell r="O41">
            <v>413023.47</v>
          </cell>
          <cell r="P41">
            <v>411406.25</v>
          </cell>
          <cell r="Q41">
            <v>5011493.49</v>
          </cell>
        </row>
        <row r="42">
          <cell r="A42">
            <v>33001</v>
          </cell>
          <cell r="B42" t="str">
            <v>Hauling Revenue - Commercial FEL Extras</v>
          </cell>
          <cell r="E42">
            <v>16369.94</v>
          </cell>
          <cell r="F42">
            <v>15223.46</v>
          </cell>
          <cell r="G42">
            <v>18054.59</v>
          </cell>
          <cell r="H42">
            <v>17483.330000000002</v>
          </cell>
          <cell r="I42">
            <v>19168.46</v>
          </cell>
          <cell r="J42">
            <v>18357.68</v>
          </cell>
          <cell r="K42">
            <v>21453.19</v>
          </cell>
          <cell r="L42">
            <v>22591.22</v>
          </cell>
          <cell r="M42">
            <v>16352.74</v>
          </cell>
          <cell r="N42">
            <v>17430.650000000001</v>
          </cell>
          <cell r="O42">
            <v>16278.67</v>
          </cell>
          <cell r="P42">
            <v>16972.88</v>
          </cell>
          <cell r="Q42">
            <v>215736.81</v>
          </cell>
        </row>
        <row r="43">
          <cell r="A43">
            <v>33002</v>
          </cell>
          <cell r="B43" t="str">
            <v>Hauling Revenue - Commercial FEL Adjustm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</row>
        <row r="44">
          <cell r="A44">
            <v>33009</v>
          </cell>
          <cell r="B44" t="str">
            <v>Hauling Revenue - Commercial FEL Interco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</row>
        <row r="45">
          <cell r="A45">
            <v>33010</v>
          </cell>
          <cell r="B45" t="str">
            <v>Hauling Revenue - Commercial REL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</row>
        <row r="46">
          <cell r="A46">
            <v>33011</v>
          </cell>
          <cell r="B46" t="str">
            <v>Hauling Revenue - Commercial REL Extras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</row>
        <row r="47">
          <cell r="A47">
            <v>33012</v>
          </cell>
          <cell r="B47" t="str">
            <v>Hauling Revenue - Commercial REL Adjustm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</row>
        <row r="48">
          <cell r="A48">
            <v>33019</v>
          </cell>
          <cell r="B48" t="str">
            <v>Hauling Revenue - Commercial REL Interco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</row>
        <row r="49">
          <cell r="A49">
            <v>33020</v>
          </cell>
          <cell r="B49" t="str">
            <v>Hauling Revenue - Commercial Recycling F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</row>
        <row r="50">
          <cell r="A50">
            <v>33021</v>
          </cell>
          <cell r="B50" t="str">
            <v>Hauling Revenue - Commercial Recycling F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</row>
        <row r="51">
          <cell r="A51">
            <v>33022</v>
          </cell>
          <cell r="B51" t="str">
            <v>Hauling Revenue - Commercial Recycling F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</row>
        <row r="52">
          <cell r="A52">
            <v>33029</v>
          </cell>
          <cell r="B52" t="str">
            <v>Hauling Revenue - Commercial Recycling F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</row>
        <row r="53">
          <cell r="A53">
            <v>33030</v>
          </cell>
          <cell r="B53" t="str">
            <v>Hauling Revenue - Commercial Recycling R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</row>
        <row r="54">
          <cell r="A54">
            <v>33031</v>
          </cell>
          <cell r="B54" t="str">
            <v>Hauling Revenue - Commercial Recycling R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</row>
        <row r="55">
          <cell r="A55">
            <v>33032</v>
          </cell>
          <cell r="B55" t="str">
            <v>Hauling Revenue - Commercial Recycling R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</row>
        <row r="56">
          <cell r="A56">
            <v>33039</v>
          </cell>
          <cell r="B56" t="str">
            <v>Hauling Revenue - Commercial Recycling R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</row>
        <row r="57">
          <cell r="A57">
            <v>33500</v>
          </cell>
          <cell r="B57" t="str">
            <v>Portable Toilet Revenue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</row>
        <row r="58">
          <cell r="A58">
            <v>33501</v>
          </cell>
          <cell r="B58" t="str">
            <v>Portable Toilet Extras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</row>
        <row r="59">
          <cell r="A59">
            <v>33502</v>
          </cell>
          <cell r="B59" t="str">
            <v>Portable Toilet Adjustments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</row>
        <row r="60">
          <cell r="A60">
            <v>33509</v>
          </cell>
          <cell r="B60" t="str">
            <v>Portable Toilet Intercompany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</row>
        <row r="61">
          <cell r="A61" t="str">
            <v>Total Hauling</v>
          </cell>
          <cell r="E61">
            <v>1386073.49</v>
          </cell>
          <cell r="F61">
            <v>1372277.94</v>
          </cell>
          <cell r="G61">
            <v>1406346.48</v>
          </cell>
          <cell r="H61">
            <v>1411911.56</v>
          </cell>
          <cell r="I61">
            <v>1416201.0699999998</v>
          </cell>
          <cell r="J61">
            <v>1459490.68</v>
          </cell>
          <cell r="K61">
            <v>1462503.71</v>
          </cell>
          <cell r="L61">
            <v>1483897.43</v>
          </cell>
          <cell r="M61">
            <v>1457942.84</v>
          </cell>
          <cell r="N61">
            <v>1412161.3899999997</v>
          </cell>
          <cell r="O61">
            <v>1377199.56</v>
          </cell>
          <cell r="P61">
            <v>1412687.2399999998</v>
          </cell>
          <cell r="Q61">
            <v>17058693.389999997</v>
          </cell>
        </row>
        <row r="63">
          <cell r="A63" t="str">
            <v>Transfer</v>
          </cell>
        </row>
        <row r="64">
          <cell r="A64">
            <v>35000</v>
          </cell>
          <cell r="B64" t="str">
            <v>Transfer Station - Third Party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</row>
        <row r="65">
          <cell r="A65">
            <v>35001</v>
          </cell>
          <cell r="B65" t="str">
            <v>Transfer Station - Third Party Adjustmen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</row>
        <row r="66">
          <cell r="A66">
            <v>35009</v>
          </cell>
          <cell r="B66" t="str">
            <v>Transfer Station - Intercompany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</row>
        <row r="67">
          <cell r="A67">
            <v>35500</v>
          </cell>
          <cell r="B67" t="str">
            <v>MRF Processing Charge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</row>
        <row r="68">
          <cell r="A68">
            <v>35501</v>
          </cell>
          <cell r="B68" t="str">
            <v>MRF Processing Charge Adjustments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</row>
        <row r="69">
          <cell r="A69">
            <v>35509</v>
          </cell>
          <cell r="B69" t="str">
            <v>MRF Processing Charge Intercompany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</row>
        <row r="70">
          <cell r="A70" t="str">
            <v>Total Transfer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</row>
        <row r="72">
          <cell r="A72" t="str">
            <v>MRF</v>
          </cell>
        </row>
        <row r="73">
          <cell r="A73">
            <v>35510</v>
          </cell>
          <cell r="B73" t="str">
            <v>Proceeds - OCC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</row>
        <row r="74">
          <cell r="A74">
            <v>35511</v>
          </cell>
          <cell r="B74" t="str">
            <v>Proceeds - ONP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</row>
        <row r="75">
          <cell r="A75">
            <v>35512</v>
          </cell>
          <cell r="B75" t="str">
            <v>Proceeds - Other Paper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</row>
        <row r="76">
          <cell r="A76">
            <v>35513</v>
          </cell>
          <cell r="B76" t="str">
            <v>Proceeds - Aluminum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</row>
        <row r="77">
          <cell r="A77">
            <v>35514</v>
          </cell>
          <cell r="B77" t="str">
            <v>Proceeds - Metal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</row>
        <row r="78">
          <cell r="A78">
            <v>35515</v>
          </cell>
          <cell r="B78" t="str">
            <v>Proceeds - Glass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</row>
        <row r="79">
          <cell r="A79">
            <v>35516</v>
          </cell>
          <cell r="B79" t="str">
            <v>Proceeds - Plastic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</row>
        <row r="80">
          <cell r="A80">
            <v>35517</v>
          </cell>
          <cell r="B80" t="str">
            <v>Proceeds - Other Recyclables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</row>
        <row r="81">
          <cell r="A81">
            <v>35518</v>
          </cell>
          <cell r="B81" t="str">
            <v>Proceeds - Commingled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</row>
        <row r="82">
          <cell r="A82">
            <v>35519</v>
          </cell>
          <cell r="B82" t="str">
            <v>Proceeds - Intercompany Material Sales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</row>
        <row r="83">
          <cell r="A83">
            <v>35520</v>
          </cell>
          <cell r="B83" t="str">
            <v>Support - OCC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</row>
        <row r="84">
          <cell r="A84">
            <v>35521</v>
          </cell>
          <cell r="B84" t="str">
            <v>Support - ONP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</row>
        <row r="85">
          <cell r="A85">
            <v>35522</v>
          </cell>
          <cell r="B85" t="str">
            <v>Support - Other Paper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</row>
        <row r="86">
          <cell r="A86">
            <v>35523</v>
          </cell>
          <cell r="B86" t="str">
            <v>Support - Aluminum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</row>
        <row r="87">
          <cell r="A87">
            <v>35524</v>
          </cell>
          <cell r="B87" t="str">
            <v>Support - Metal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</row>
        <row r="88">
          <cell r="A88">
            <v>35525</v>
          </cell>
          <cell r="B88" t="str">
            <v>Support - Glass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</row>
        <row r="89">
          <cell r="A89">
            <v>35526</v>
          </cell>
          <cell r="B89" t="str">
            <v>Support - Plastic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</row>
        <row r="90">
          <cell r="A90">
            <v>35527</v>
          </cell>
          <cell r="B90" t="str">
            <v>Support - Other Recyclables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</row>
        <row r="91">
          <cell r="A91">
            <v>35529</v>
          </cell>
          <cell r="B91" t="str">
            <v>Support - Intercompany Material Sales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</row>
        <row r="92">
          <cell r="A92">
            <v>35551</v>
          </cell>
          <cell r="B92" t="str">
            <v>Proceeds - Compost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</row>
        <row r="93">
          <cell r="A93">
            <v>35552</v>
          </cell>
          <cell r="B93" t="str">
            <v>Proceeds - Fuel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</row>
        <row r="94">
          <cell r="A94">
            <v>35553</v>
          </cell>
          <cell r="B94" t="str">
            <v>Proceeds - Landscape Materials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</row>
        <row r="95">
          <cell r="A95" t="str">
            <v>Total MRF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</row>
        <row r="97">
          <cell r="A97" t="str">
            <v>Landfill</v>
          </cell>
        </row>
        <row r="98">
          <cell r="A98">
            <v>36000</v>
          </cell>
          <cell r="B98" t="str">
            <v>Landfill Revenue - MSW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</row>
        <row r="99">
          <cell r="A99">
            <v>36001</v>
          </cell>
          <cell r="B99" t="str">
            <v>Landfill Revenue - MSW Adjustments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</row>
        <row r="100">
          <cell r="A100">
            <v>36002</v>
          </cell>
          <cell r="B100" t="str">
            <v>Landfill Revenue - Extras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</row>
        <row r="101">
          <cell r="A101">
            <v>36009</v>
          </cell>
          <cell r="B101" t="str">
            <v>Landfill Revenue - MSW Intercompany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</row>
        <row r="102">
          <cell r="A102">
            <v>36010</v>
          </cell>
          <cell r="B102" t="str">
            <v>Landfill Revenue - C&amp;D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</row>
        <row r="103">
          <cell r="A103">
            <v>36011</v>
          </cell>
          <cell r="B103" t="str">
            <v>Landfill Revenue - C&amp;D Adjustments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</row>
        <row r="104">
          <cell r="A104">
            <v>36019</v>
          </cell>
          <cell r="B104" t="str">
            <v>Landfill Revenue - C&amp;D Intercompany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</row>
        <row r="105">
          <cell r="A105">
            <v>36020</v>
          </cell>
          <cell r="B105" t="str">
            <v>Landfill Revenue - Special Waste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</row>
        <row r="106">
          <cell r="A106">
            <v>36021</v>
          </cell>
          <cell r="B106" t="str">
            <v>Landfill Revenue - Special Waste Adjustm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</row>
        <row r="107">
          <cell r="A107">
            <v>36029</v>
          </cell>
          <cell r="B107" t="str">
            <v>Landfill Revenue - Special Waste Interco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</row>
        <row r="108">
          <cell r="A108">
            <v>36030</v>
          </cell>
          <cell r="B108" t="str">
            <v>Landfill Revenue - Asbestos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</row>
        <row r="109">
          <cell r="A109">
            <v>36031</v>
          </cell>
          <cell r="B109" t="str">
            <v>Landfill Revenue - Asbestos Adjustments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</row>
        <row r="110">
          <cell r="A110">
            <v>36039</v>
          </cell>
          <cell r="B110" t="str">
            <v>Landfill Revenue - Asbestos Intercompany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</row>
        <row r="111">
          <cell r="A111">
            <v>36040</v>
          </cell>
          <cell r="B111" t="str">
            <v>Landfill Revenue - Contaminated Soil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</row>
        <row r="112">
          <cell r="A112">
            <v>36041</v>
          </cell>
          <cell r="B112" t="str">
            <v>Landfill Revenue - Contaminated Soil Adj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</row>
        <row r="113">
          <cell r="A113">
            <v>36049</v>
          </cell>
          <cell r="B113" t="str">
            <v>Landfill Revenue - Contaminated Soil Int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</row>
        <row r="114">
          <cell r="A114">
            <v>36050</v>
          </cell>
          <cell r="B114" t="str">
            <v>Landfill Revenue - Yard Waste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</row>
        <row r="115">
          <cell r="A115">
            <v>36051</v>
          </cell>
          <cell r="B115" t="str">
            <v>Landfill Revenue - Yard Waste Adjustment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</row>
        <row r="116">
          <cell r="A116">
            <v>36059</v>
          </cell>
          <cell r="B116" t="str">
            <v>Landfill Revenue - Yard Waste Intercompa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</row>
        <row r="117">
          <cell r="A117">
            <v>36090</v>
          </cell>
          <cell r="B117" t="str">
            <v>Landfill Pass Through Revenue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</row>
        <row r="118">
          <cell r="A118">
            <v>36099</v>
          </cell>
          <cell r="B118" t="str">
            <v>Landfill Pass Through Revenue Intercompany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</row>
        <row r="119">
          <cell r="A119">
            <v>36301</v>
          </cell>
          <cell r="B119" t="str">
            <v>E&amp;P Liquids - Non Count Waste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</row>
        <row r="120">
          <cell r="A120">
            <v>36309</v>
          </cell>
          <cell r="B120" t="str">
            <v>E&amp;P Liquids - Non Count Waste Intercompany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</row>
        <row r="121">
          <cell r="A121">
            <v>36311</v>
          </cell>
          <cell r="B121" t="str">
            <v>E&amp;P Liquids - Count Waste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</row>
        <row r="122">
          <cell r="A122">
            <v>36319</v>
          </cell>
          <cell r="B122" t="str">
            <v>E&amp;P Liquids - Count Waste Intercompany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</row>
        <row r="123">
          <cell r="A123">
            <v>36321</v>
          </cell>
          <cell r="B123" t="str">
            <v>Other Liquids - Non E&amp;P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</row>
        <row r="124">
          <cell r="A124">
            <v>36329</v>
          </cell>
          <cell r="B124" t="str">
            <v>Other Liquids - Non E&amp;P Intercompany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</row>
        <row r="125">
          <cell r="A125">
            <v>36331</v>
          </cell>
          <cell r="B125" t="str">
            <v>E&amp;P Solids - Count Waste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</row>
        <row r="126">
          <cell r="A126">
            <v>36339</v>
          </cell>
          <cell r="B126" t="str">
            <v>E&amp;P Solids - Count Waste Intercompany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</row>
        <row r="127">
          <cell r="A127" t="str">
            <v>Total Landfill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</row>
        <row r="129">
          <cell r="A129" t="str">
            <v>Intermodal</v>
          </cell>
        </row>
        <row r="130">
          <cell r="A130">
            <v>36101</v>
          </cell>
          <cell r="B130" t="str">
            <v>Rail Drayage Revenue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</row>
        <row r="131">
          <cell r="A131">
            <v>36109</v>
          </cell>
          <cell r="B131" t="str">
            <v>Rail Drayage Revenue - Intercompany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</row>
        <row r="132">
          <cell r="A132">
            <v>36111</v>
          </cell>
          <cell r="B132" t="str">
            <v>Truck Drayage Revenue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</row>
        <row r="133">
          <cell r="A133">
            <v>36119</v>
          </cell>
          <cell r="B133" t="str">
            <v>Truck Drayage Revenue - Intercompany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</row>
        <row r="134">
          <cell r="A134">
            <v>36121</v>
          </cell>
          <cell r="B134" t="str">
            <v>Barge Drayage Revenue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</row>
        <row r="135">
          <cell r="A135">
            <v>36131</v>
          </cell>
          <cell r="B135" t="str">
            <v>Service Labor Revenue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</row>
        <row r="136">
          <cell r="A136">
            <v>36141</v>
          </cell>
          <cell r="B136" t="str">
            <v>Refrigeration Labor Revenue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</row>
        <row r="137">
          <cell r="A137">
            <v>36145</v>
          </cell>
          <cell r="B137" t="str">
            <v>Parts Revenue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</row>
        <row r="138">
          <cell r="A138">
            <v>36151</v>
          </cell>
          <cell r="B138" t="str">
            <v>Container Sales Revenue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</row>
        <row r="139">
          <cell r="A139">
            <v>36161</v>
          </cell>
          <cell r="B139" t="str">
            <v>Container Rental Revenue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</row>
        <row r="140">
          <cell r="A140">
            <v>36171</v>
          </cell>
          <cell r="B140" t="str">
            <v>Intermodal Revenue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</row>
        <row r="141">
          <cell r="A141">
            <v>36181</v>
          </cell>
          <cell r="B141" t="str">
            <v>Chassis Lease Revenue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</row>
        <row r="142">
          <cell r="A142">
            <v>36191</v>
          </cell>
          <cell r="B142" t="str">
            <v>Interchanges Revenue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</row>
        <row r="143">
          <cell r="A143">
            <v>36201</v>
          </cell>
          <cell r="B143" t="str">
            <v>Storage Revenue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</row>
        <row r="144">
          <cell r="A144">
            <v>36211</v>
          </cell>
          <cell r="B144" t="str">
            <v>Empty Lifts Revenue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</row>
        <row r="145">
          <cell r="A145">
            <v>36221</v>
          </cell>
          <cell r="B145" t="str">
            <v>Load Lifts Revenue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</row>
        <row r="146">
          <cell r="A146" t="str">
            <v>Total Intermodal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</row>
        <row r="148">
          <cell r="A148" t="str">
            <v>Other Revenue</v>
          </cell>
        </row>
        <row r="149">
          <cell r="A149">
            <v>37001</v>
          </cell>
          <cell r="B149" t="str">
            <v>Sale of Equipment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</row>
        <row r="150">
          <cell r="A150">
            <v>37010</v>
          </cell>
          <cell r="B150" t="str">
            <v>Tire Processing Revenue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</row>
        <row r="151">
          <cell r="A151">
            <v>37019</v>
          </cell>
          <cell r="B151" t="str">
            <v>Tire Processing Revenue - Intercompany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</row>
        <row r="152">
          <cell r="A152">
            <v>38000</v>
          </cell>
          <cell r="B152" t="str">
            <v>Corporate Other Revenue</v>
          </cell>
          <cell r="E152">
            <v>3459.12</v>
          </cell>
          <cell r="F152">
            <v>7799.57</v>
          </cell>
          <cell r="G152">
            <v>2100.42</v>
          </cell>
          <cell r="H152">
            <v>7267.51</v>
          </cell>
          <cell r="I152">
            <v>3376.39</v>
          </cell>
          <cell r="J152">
            <v>7176.57</v>
          </cell>
          <cell r="K152">
            <v>3493.22</v>
          </cell>
          <cell r="L152">
            <v>8060.32</v>
          </cell>
          <cell r="M152">
            <v>2594</v>
          </cell>
          <cell r="N152">
            <v>7784.1</v>
          </cell>
          <cell r="O152">
            <v>6369.79</v>
          </cell>
          <cell r="P152">
            <v>9281.82</v>
          </cell>
          <cell r="Q152">
            <v>68762.829999999987</v>
          </cell>
        </row>
        <row r="153">
          <cell r="A153">
            <v>38001</v>
          </cell>
          <cell r="B153" t="str">
            <v>P-Card Rebate Revenue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</row>
        <row r="154">
          <cell r="A154" t="str">
            <v>Total Other Revenue</v>
          </cell>
          <cell r="E154">
            <v>3459.12</v>
          </cell>
          <cell r="F154">
            <v>7799.57</v>
          </cell>
          <cell r="G154">
            <v>2100.42</v>
          </cell>
          <cell r="H154">
            <v>7267.51</v>
          </cell>
          <cell r="I154">
            <v>3376.39</v>
          </cell>
          <cell r="J154">
            <v>7176.57</v>
          </cell>
          <cell r="K154">
            <v>3493.22</v>
          </cell>
          <cell r="L154">
            <v>8060.32</v>
          </cell>
          <cell r="M154">
            <v>2594</v>
          </cell>
          <cell r="N154">
            <v>7784.1</v>
          </cell>
          <cell r="O154">
            <v>6369.79</v>
          </cell>
          <cell r="P154">
            <v>9281.82</v>
          </cell>
          <cell r="Q154">
            <v>68762.829999999987</v>
          </cell>
        </row>
        <row r="156">
          <cell r="A156" t="str">
            <v>Total Revenue</v>
          </cell>
          <cell r="E156">
            <v>1389532.61</v>
          </cell>
          <cell r="F156">
            <v>1380077.51</v>
          </cell>
          <cell r="G156">
            <v>1408446.9</v>
          </cell>
          <cell r="H156">
            <v>1419179.07</v>
          </cell>
          <cell r="I156">
            <v>1419577.4599999997</v>
          </cell>
          <cell r="J156">
            <v>1466667.25</v>
          </cell>
          <cell r="K156">
            <v>1465996.93</v>
          </cell>
          <cell r="L156">
            <v>1491957.75</v>
          </cell>
          <cell r="M156">
            <v>1460536.84</v>
          </cell>
          <cell r="N156">
            <v>1419945.4899999998</v>
          </cell>
          <cell r="O156">
            <v>1383569.35</v>
          </cell>
          <cell r="P156">
            <v>1421969.0599999998</v>
          </cell>
          <cell r="Q156">
            <v>17127456.219999995</v>
          </cell>
        </row>
        <row r="158">
          <cell r="A158" t="str">
            <v>Revenue Reductions</v>
          </cell>
        </row>
        <row r="159">
          <cell r="A159" t="str">
            <v>Disposal</v>
          </cell>
        </row>
        <row r="160">
          <cell r="A160">
            <v>40101</v>
          </cell>
          <cell r="B160" t="str">
            <v>Disposal Landfill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</row>
        <row r="161">
          <cell r="A161">
            <v>40109</v>
          </cell>
          <cell r="B161" t="str">
            <v>Disposal Landfill Intercompany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</row>
        <row r="162">
          <cell r="A162">
            <v>40121</v>
          </cell>
          <cell r="B162" t="str">
            <v>Disposal Incineration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</row>
        <row r="163">
          <cell r="A163">
            <v>40122</v>
          </cell>
          <cell r="B163" t="str">
            <v>Disposal Other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</row>
        <row r="164">
          <cell r="A164">
            <v>40129</v>
          </cell>
          <cell r="B164" t="str">
            <v>Disposal Other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</row>
        <row r="165">
          <cell r="A165">
            <v>40131</v>
          </cell>
          <cell r="B165" t="str">
            <v>Disposal Transfer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</row>
        <row r="166">
          <cell r="A166">
            <v>40139</v>
          </cell>
          <cell r="B166" t="str">
            <v>Disposal Transfer Intercompany</v>
          </cell>
          <cell r="E166">
            <v>522940.33</v>
          </cell>
          <cell r="F166">
            <v>473522.39</v>
          </cell>
          <cell r="G166">
            <v>554204.89</v>
          </cell>
          <cell r="H166">
            <v>538277.64</v>
          </cell>
          <cell r="I166">
            <v>535071.71</v>
          </cell>
          <cell r="J166">
            <v>582693.4</v>
          </cell>
          <cell r="K166">
            <v>571614.11</v>
          </cell>
          <cell r="L166">
            <v>571380.55000000005</v>
          </cell>
          <cell r="M166">
            <v>569779.74</v>
          </cell>
          <cell r="N166">
            <v>537814.68999999994</v>
          </cell>
          <cell r="O166">
            <v>530807.82999999996</v>
          </cell>
          <cell r="P166">
            <v>576009.71</v>
          </cell>
          <cell r="Q166">
            <v>6564116.9899999993</v>
          </cell>
        </row>
        <row r="167">
          <cell r="A167" t="str">
            <v>Total Disposal</v>
          </cell>
          <cell r="E167">
            <v>522940.33</v>
          </cell>
          <cell r="F167">
            <v>473522.39</v>
          </cell>
          <cell r="G167">
            <v>554204.89</v>
          </cell>
          <cell r="H167">
            <v>538277.64</v>
          </cell>
          <cell r="I167">
            <v>535071.71</v>
          </cell>
          <cell r="J167">
            <v>582693.4</v>
          </cell>
          <cell r="K167">
            <v>571614.11</v>
          </cell>
          <cell r="L167">
            <v>571380.55000000005</v>
          </cell>
          <cell r="M167">
            <v>569779.74</v>
          </cell>
          <cell r="N167">
            <v>537814.68999999994</v>
          </cell>
          <cell r="O167">
            <v>530807.82999999996</v>
          </cell>
          <cell r="P167">
            <v>576009.71</v>
          </cell>
          <cell r="Q167">
            <v>6564116.9899999993</v>
          </cell>
        </row>
        <row r="169">
          <cell r="A169" t="str">
            <v>MRF Processing</v>
          </cell>
        </row>
        <row r="170">
          <cell r="A170">
            <v>40861</v>
          </cell>
          <cell r="B170" t="str">
            <v>Processing Fees MRF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</row>
        <row r="171">
          <cell r="A171">
            <v>40869</v>
          </cell>
          <cell r="B171" t="str">
            <v>Processing Fees MRF Intercompany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</row>
        <row r="172">
          <cell r="A172" t="str">
            <v>Total MRF Processing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</row>
        <row r="174">
          <cell r="A174" t="str">
            <v>Brokerage, Rebates and Taxes</v>
          </cell>
        </row>
        <row r="175">
          <cell r="A175">
            <v>41121</v>
          </cell>
          <cell r="B175" t="str">
            <v>Brokerage Cost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</row>
        <row r="176">
          <cell r="A176">
            <v>41129</v>
          </cell>
          <cell r="B176" t="str">
            <v>Brokerage Cost Intercompany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</row>
        <row r="177">
          <cell r="A177">
            <v>41131</v>
          </cell>
          <cell r="B177" t="str">
            <v>Rail Drayage Expenses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</row>
        <row r="178">
          <cell r="A178">
            <v>41135</v>
          </cell>
          <cell r="B178" t="str">
            <v>Resale Parts - Cost of Goods Sold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</row>
        <row r="179">
          <cell r="A179">
            <v>41139</v>
          </cell>
          <cell r="B179" t="str">
            <v>Rail Drayage Expenses - Intercompany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</row>
        <row r="180">
          <cell r="A180">
            <v>41141</v>
          </cell>
          <cell r="B180" t="str">
            <v>Truck Drayage Expenses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</row>
        <row r="181">
          <cell r="A181">
            <v>41149</v>
          </cell>
          <cell r="B181" t="str">
            <v>Truck Drayage Expenses - Intercompany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</row>
        <row r="182">
          <cell r="A182">
            <v>41151</v>
          </cell>
          <cell r="B182" t="str">
            <v>Intermodal Expenses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</row>
        <row r="183">
          <cell r="A183">
            <v>41201</v>
          </cell>
          <cell r="B183" t="str">
            <v>Rebates and Revenue Sharing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</row>
        <row r="184">
          <cell r="A184">
            <v>43001</v>
          </cell>
          <cell r="B184" t="str">
            <v>Taxes and Pass Thru Fees</v>
          </cell>
          <cell r="E184">
            <v>21087.73</v>
          </cell>
          <cell r="F184">
            <v>20959.080000000002</v>
          </cell>
          <cell r="G184">
            <v>21310.05</v>
          </cell>
          <cell r="H184">
            <v>15944.56</v>
          </cell>
          <cell r="I184">
            <v>23292.27</v>
          </cell>
          <cell r="J184">
            <v>26639.14</v>
          </cell>
          <cell r="K184">
            <v>26629.39</v>
          </cell>
          <cell r="L184">
            <v>27074.49</v>
          </cell>
          <cell r="M184">
            <v>26539.13</v>
          </cell>
          <cell r="N184">
            <v>25799.21</v>
          </cell>
          <cell r="O184">
            <v>25079.16</v>
          </cell>
          <cell r="P184">
            <v>25860.43</v>
          </cell>
          <cell r="Q184">
            <v>286214.64</v>
          </cell>
        </row>
        <row r="185">
          <cell r="A185">
            <v>43002</v>
          </cell>
          <cell r="B185" t="str">
            <v>WUTC Taxes</v>
          </cell>
          <cell r="E185">
            <v>5546.62</v>
          </cell>
          <cell r="F185">
            <v>5496.04</v>
          </cell>
          <cell r="G185">
            <v>5619.91</v>
          </cell>
          <cell r="H185">
            <v>5691.97</v>
          </cell>
          <cell r="I185">
            <v>5646.5</v>
          </cell>
          <cell r="J185">
            <v>5841.42</v>
          </cell>
          <cell r="K185">
            <v>5857.81</v>
          </cell>
          <cell r="L185">
            <v>5948.97</v>
          </cell>
          <cell r="M185">
            <v>5802.43</v>
          </cell>
          <cell r="N185">
            <v>5678.9</v>
          </cell>
          <cell r="O185">
            <v>5511.15</v>
          </cell>
          <cell r="P185">
            <v>5695</v>
          </cell>
          <cell r="Q185">
            <v>68336.72</v>
          </cell>
        </row>
        <row r="186">
          <cell r="A186">
            <v>43090</v>
          </cell>
          <cell r="B186" t="str">
            <v>Pass Through Expenses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</row>
        <row r="187">
          <cell r="A187">
            <v>43099</v>
          </cell>
          <cell r="B187" t="str">
            <v>Pass Through Expenses Intercompany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</row>
        <row r="188">
          <cell r="A188" t="str">
            <v>Total Brokerage, Rebates and Taxes</v>
          </cell>
          <cell r="E188">
            <v>26634.35</v>
          </cell>
          <cell r="F188">
            <v>26455.120000000003</v>
          </cell>
          <cell r="G188">
            <v>26929.96</v>
          </cell>
          <cell r="H188">
            <v>21636.53</v>
          </cell>
          <cell r="I188">
            <v>28938.77</v>
          </cell>
          <cell r="J188">
            <v>32480.559999999998</v>
          </cell>
          <cell r="K188">
            <v>32487.200000000001</v>
          </cell>
          <cell r="L188">
            <v>33023.46</v>
          </cell>
          <cell r="M188">
            <v>32341.56</v>
          </cell>
          <cell r="N188">
            <v>31478.11</v>
          </cell>
          <cell r="O188">
            <v>30590.309999999998</v>
          </cell>
          <cell r="P188">
            <v>31555.43</v>
          </cell>
          <cell r="Q188">
            <v>354551.36</v>
          </cell>
        </row>
        <row r="190">
          <cell r="A190" t="str">
            <v>Recycling Materials Expense</v>
          </cell>
        </row>
        <row r="191">
          <cell r="A191">
            <v>44161</v>
          </cell>
          <cell r="B191" t="str">
            <v>Cost of Materials - OCC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</row>
        <row r="192">
          <cell r="A192">
            <v>44162</v>
          </cell>
          <cell r="B192" t="str">
            <v>Cost of Materials - ONP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</row>
        <row r="193">
          <cell r="A193">
            <v>44163</v>
          </cell>
          <cell r="B193" t="str">
            <v>Cost of Materials - Other Paper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</row>
        <row r="194">
          <cell r="A194">
            <v>44164</v>
          </cell>
          <cell r="B194" t="str">
            <v>Cost of Materials - Aluminum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</row>
        <row r="195">
          <cell r="A195">
            <v>44165</v>
          </cell>
          <cell r="B195" t="str">
            <v>Cost of Materials - Metal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</row>
        <row r="196">
          <cell r="A196">
            <v>44166</v>
          </cell>
          <cell r="B196" t="str">
            <v>Cost of Materials - Glass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</row>
        <row r="197">
          <cell r="A197">
            <v>44167</v>
          </cell>
          <cell r="B197" t="str">
            <v>Cost of Materials - Plastic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</row>
        <row r="198">
          <cell r="A198">
            <v>44168</v>
          </cell>
          <cell r="B198" t="str">
            <v>Cost of Materials - Other Recyclables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</row>
        <row r="199">
          <cell r="A199">
            <v>44169</v>
          </cell>
          <cell r="B199" t="str">
            <v>Cost of Materials - Intercompany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</row>
        <row r="200">
          <cell r="A200">
            <v>44261</v>
          </cell>
          <cell r="B200" t="str">
            <v>Cost of Materials - Organics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</row>
        <row r="201">
          <cell r="A201">
            <v>44262</v>
          </cell>
          <cell r="B201" t="str">
            <v>Cost of Materials - Clean Wood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</row>
        <row r="202">
          <cell r="A202">
            <v>44263</v>
          </cell>
          <cell r="B202" t="str">
            <v>Cost of Materials - Landscaping Materials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</row>
        <row r="203">
          <cell r="A203" t="str">
            <v>Total Recycling Materials Expense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</row>
        <row r="205">
          <cell r="A205" t="str">
            <v>Other Expense</v>
          </cell>
        </row>
        <row r="206">
          <cell r="A206">
            <v>47000</v>
          </cell>
          <cell r="B206" t="str">
            <v>Cost of Containers Sold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</row>
        <row r="207">
          <cell r="A207">
            <v>47001</v>
          </cell>
          <cell r="B207" t="str">
            <v>Cost of Equipment Sold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</row>
        <row r="208">
          <cell r="A208">
            <v>47010</v>
          </cell>
          <cell r="B208" t="str">
            <v>Tire Processing Expenses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</row>
        <row r="209">
          <cell r="A209">
            <v>47019</v>
          </cell>
          <cell r="B209" t="str">
            <v>Tire Processing Expenses - Intercompany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</row>
        <row r="210">
          <cell r="A210" t="str">
            <v>Total Other Expense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</row>
        <row r="212">
          <cell r="A212" t="str">
            <v>Total Revenue Reductions</v>
          </cell>
          <cell r="E212">
            <v>549574.68000000005</v>
          </cell>
          <cell r="F212">
            <v>499977.51</v>
          </cell>
          <cell r="G212">
            <v>581134.85</v>
          </cell>
          <cell r="H212">
            <v>559914.17000000004</v>
          </cell>
          <cell r="I212">
            <v>564010.48</v>
          </cell>
          <cell r="J212">
            <v>615173.96</v>
          </cell>
          <cell r="K212">
            <v>604101.30999999994</v>
          </cell>
          <cell r="L212">
            <v>604404.01</v>
          </cell>
          <cell r="M212">
            <v>602121.30000000005</v>
          </cell>
          <cell r="N212">
            <v>569292.79999999993</v>
          </cell>
          <cell r="O212">
            <v>561398.1399999999</v>
          </cell>
          <cell r="P212">
            <v>607565.14</v>
          </cell>
          <cell r="Q212">
            <v>6918668.3499999996</v>
          </cell>
        </row>
        <row r="214">
          <cell r="A214" t="str">
            <v>Net Revenue</v>
          </cell>
          <cell r="E214">
            <v>839957.93</v>
          </cell>
          <cell r="F214">
            <v>880100</v>
          </cell>
          <cell r="G214">
            <v>827312.04999999993</v>
          </cell>
          <cell r="H214">
            <v>859264.9</v>
          </cell>
          <cell r="I214">
            <v>855566.97999999975</v>
          </cell>
          <cell r="J214">
            <v>851493.29</v>
          </cell>
          <cell r="K214">
            <v>861895.62</v>
          </cell>
          <cell r="L214">
            <v>887553.74</v>
          </cell>
          <cell r="M214">
            <v>858415.54</v>
          </cell>
          <cell r="N214">
            <v>850652.68999999983</v>
          </cell>
          <cell r="O214">
            <v>822171.2100000002</v>
          </cell>
          <cell r="P214">
            <v>814403.91999999981</v>
          </cell>
          <cell r="Q214">
            <v>10208787.869999995</v>
          </cell>
        </row>
        <row r="216">
          <cell r="A216" t="str">
            <v>Cost of Operations</v>
          </cell>
        </row>
        <row r="217">
          <cell r="A217" t="str">
            <v>Labor</v>
          </cell>
        </row>
        <row r="218">
          <cell r="A218">
            <v>50010</v>
          </cell>
          <cell r="B218" t="str">
            <v>Salaries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</row>
        <row r="219">
          <cell r="A219">
            <v>50020</v>
          </cell>
          <cell r="B219" t="str">
            <v>Wages Regular</v>
          </cell>
          <cell r="E219">
            <v>148506.62</v>
          </cell>
          <cell r="F219">
            <v>147781.52000000002</v>
          </cell>
          <cell r="G219">
            <v>162872.48000000001</v>
          </cell>
          <cell r="H219">
            <v>152426.56</v>
          </cell>
          <cell r="I219">
            <v>133250.6</v>
          </cell>
          <cell r="J219">
            <v>141014.94</v>
          </cell>
          <cell r="K219">
            <v>138800.41999999998</v>
          </cell>
          <cell r="L219">
            <v>144467.28999999998</v>
          </cell>
          <cell r="M219">
            <v>139411.4</v>
          </cell>
          <cell r="N219">
            <v>131255.16</v>
          </cell>
          <cell r="O219">
            <v>135440.33000000002</v>
          </cell>
          <cell r="P219">
            <v>141049.91999999998</v>
          </cell>
          <cell r="Q219">
            <v>1716277.2399999998</v>
          </cell>
        </row>
        <row r="220">
          <cell r="A220">
            <v>50025</v>
          </cell>
          <cell r="B220" t="str">
            <v>Wages O.T.</v>
          </cell>
          <cell r="E220">
            <v>22975.54</v>
          </cell>
          <cell r="F220">
            <v>6810.35</v>
          </cell>
          <cell r="G220">
            <v>14008.81</v>
          </cell>
          <cell r="H220">
            <v>20795.96</v>
          </cell>
          <cell r="I220">
            <v>28625.24</v>
          </cell>
          <cell r="J220">
            <v>22652.750000000004</v>
          </cell>
          <cell r="K220">
            <v>20035.850000000002</v>
          </cell>
          <cell r="L220">
            <v>20754.88</v>
          </cell>
          <cell r="M220">
            <v>29699.32</v>
          </cell>
          <cell r="N220">
            <v>20332.329999999998</v>
          </cell>
          <cell r="O220">
            <v>32459.590000000004</v>
          </cell>
          <cell r="P220">
            <v>20007.580000000002</v>
          </cell>
          <cell r="Q220">
            <v>259158.2</v>
          </cell>
        </row>
        <row r="221">
          <cell r="A221">
            <v>50035</v>
          </cell>
          <cell r="B221" t="str">
            <v>Safety Bonuses</v>
          </cell>
          <cell r="E221">
            <v>3200</v>
          </cell>
          <cell r="F221">
            <v>3200</v>
          </cell>
          <cell r="G221">
            <v>3200</v>
          </cell>
          <cell r="H221">
            <v>3200</v>
          </cell>
          <cell r="I221">
            <v>3950</v>
          </cell>
          <cell r="J221">
            <v>3950</v>
          </cell>
          <cell r="K221">
            <v>3950</v>
          </cell>
          <cell r="L221">
            <v>3950</v>
          </cell>
          <cell r="M221">
            <v>2000</v>
          </cell>
          <cell r="N221">
            <v>2000</v>
          </cell>
          <cell r="O221">
            <v>3200</v>
          </cell>
          <cell r="P221">
            <v>0</v>
          </cell>
          <cell r="Q221">
            <v>35800</v>
          </cell>
        </row>
        <row r="222">
          <cell r="A222">
            <v>50036</v>
          </cell>
          <cell r="B222" t="str">
            <v>Other Bonus/Commission - Non-Safety</v>
          </cell>
          <cell r="E222">
            <v>0</v>
          </cell>
          <cell r="F222">
            <v>0</v>
          </cell>
          <cell r="G222">
            <v>1125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1125</v>
          </cell>
        </row>
        <row r="223">
          <cell r="A223">
            <v>50045</v>
          </cell>
          <cell r="B223" t="str">
            <v>Contract Labor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</row>
        <row r="224">
          <cell r="A224">
            <v>50050</v>
          </cell>
          <cell r="B224" t="str">
            <v>Payroll Taxes</v>
          </cell>
          <cell r="E224">
            <v>21085.43</v>
          </cell>
          <cell r="F224">
            <v>16517.190000000002</v>
          </cell>
          <cell r="G224">
            <v>17618.89</v>
          </cell>
          <cell r="H224">
            <v>17201.14</v>
          </cell>
          <cell r="I224">
            <v>16035.320000000002</v>
          </cell>
          <cell r="J224">
            <v>17468.87</v>
          </cell>
          <cell r="K224">
            <v>16392.41</v>
          </cell>
          <cell r="L224">
            <v>16351.01</v>
          </cell>
          <cell r="M224">
            <v>17217.28</v>
          </cell>
          <cell r="N224">
            <v>14701.12</v>
          </cell>
          <cell r="O224">
            <v>17942.59</v>
          </cell>
          <cell r="P224">
            <v>10482.15</v>
          </cell>
          <cell r="Q224">
            <v>199013.4</v>
          </cell>
        </row>
        <row r="225">
          <cell r="A225">
            <v>50060</v>
          </cell>
          <cell r="B225" t="str">
            <v>Group Insurance</v>
          </cell>
          <cell r="E225">
            <v>1330</v>
          </cell>
          <cell r="F225">
            <v>1226</v>
          </cell>
          <cell r="G225">
            <v>729.5</v>
          </cell>
          <cell r="H225">
            <v>1026.5</v>
          </cell>
          <cell r="I225">
            <v>878</v>
          </cell>
          <cell r="J225">
            <v>878</v>
          </cell>
          <cell r="K225">
            <v>878.77</v>
          </cell>
          <cell r="L225">
            <v>826</v>
          </cell>
          <cell r="M225">
            <v>1077.5</v>
          </cell>
          <cell r="N225">
            <v>1826.5</v>
          </cell>
          <cell r="O225">
            <v>1678.77</v>
          </cell>
          <cell r="P225">
            <v>1088.4199999999998</v>
          </cell>
          <cell r="Q225">
            <v>13443.960000000001</v>
          </cell>
        </row>
        <row r="226">
          <cell r="A226">
            <v>50065</v>
          </cell>
          <cell r="B226" t="str">
            <v>Vacation Pay</v>
          </cell>
          <cell r="E226">
            <v>13381.59</v>
          </cell>
          <cell r="F226">
            <v>8706.9500000000007</v>
          </cell>
          <cell r="G226">
            <v>9543.1899999999987</v>
          </cell>
          <cell r="H226">
            <v>7013.4</v>
          </cell>
          <cell r="I226">
            <v>14309.95</v>
          </cell>
          <cell r="J226">
            <v>8179.11</v>
          </cell>
          <cell r="K226">
            <v>14227.68</v>
          </cell>
          <cell r="L226">
            <v>7288.4699999999993</v>
          </cell>
          <cell r="M226">
            <v>15009.16</v>
          </cell>
          <cell r="N226">
            <v>10400.879999999999</v>
          </cell>
          <cell r="O226">
            <v>16702.490000000002</v>
          </cell>
          <cell r="P226">
            <v>14167.710000000001</v>
          </cell>
          <cell r="Q226">
            <v>138930.58000000002</v>
          </cell>
        </row>
        <row r="227">
          <cell r="A227">
            <v>50070</v>
          </cell>
          <cell r="B227" t="str">
            <v>Sick Pay</v>
          </cell>
          <cell r="E227">
            <v>510.84</v>
          </cell>
          <cell r="F227">
            <v>-249.9</v>
          </cell>
          <cell r="G227">
            <v>257.39999999999998</v>
          </cell>
          <cell r="H227">
            <v>14.4</v>
          </cell>
          <cell r="I227">
            <v>0</v>
          </cell>
          <cell r="J227">
            <v>722.88</v>
          </cell>
          <cell r="K227">
            <v>80.319999999999993</v>
          </cell>
          <cell r="L227">
            <v>92</v>
          </cell>
          <cell r="M227">
            <v>0</v>
          </cell>
          <cell r="N227">
            <v>200.8</v>
          </cell>
          <cell r="O227">
            <v>156.4</v>
          </cell>
          <cell r="P227">
            <v>27.6</v>
          </cell>
          <cell r="Q227">
            <v>1812.7399999999998</v>
          </cell>
        </row>
        <row r="228">
          <cell r="A228">
            <v>50086</v>
          </cell>
          <cell r="B228" t="str">
            <v>Safety and Training</v>
          </cell>
          <cell r="E228">
            <v>52.5</v>
          </cell>
          <cell r="F228">
            <v>57.5</v>
          </cell>
          <cell r="G228">
            <v>269.42</v>
          </cell>
          <cell r="H228">
            <v>-147.5</v>
          </cell>
          <cell r="I228">
            <v>423.2</v>
          </cell>
          <cell r="J228">
            <v>0</v>
          </cell>
          <cell r="K228">
            <v>0</v>
          </cell>
          <cell r="L228">
            <v>0</v>
          </cell>
          <cell r="M228">
            <v>1724.48</v>
          </cell>
          <cell r="N228">
            <v>1092.78</v>
          </cell>
          <cell r="O228">
            <v>642.78</v>
          </cell>
          <cell r="P228">
            <v>0</v>
          </cell>
          <cell r="Q228">
            <v>4115.16</v>
          </cell>
        </row>
        <row r="229">
          <cell r="A229">
            <v>50087</v>
          </cell>
          <cell r="B229" t="str">
            <v>Drug Testing</v>
          </cell>
          <cell r="E229">
            <v>60</v>
          </cell>
          <cell r="F229">
            <v>0</v>
          </cell>
          <cell r="G229">
            <v>0</v>
          </cell>
          <cell r="H229">
            <v>240</v>
          </cell>
          <cell r="I229">
            <v>120</v>
          </cell>
          <cell r="J229">
            <v>240</v>
          </cell>
          <cell r="K229">
            <v>694</v>
          </cell>
          <cell r="L229">
            <v>180</v>
          </cell>
          <cell r="M229">
            <v>420</v>
          </cell>
          <cell r="N229">
            <v>60</v>
          </cell>
          <cell r="O229">
            <v>360</v>
          </cell>
          <cell r="P229">
            <v>60</v>
          </cell>
          <cell r="Q229">
            <v>2434</v>
          </cell>
        </row>
        <row r="230">
          <cell r="A230">
            <v>50090</v>
          </cell>
          <cell r="B230" t="str">
            <v>Uniforms</v>
          </cell>
          <cell r="E230">
            <v>6868.59</v>
          </cell>
          <cell r="F230">
            <v>9292.77</v>
          </cell>
          <cell r="G230">
            <v>8124.38</v>
          </cell>
          <cell r="H230">
            <v>7694.95</v>
          </cell>
          <cell r="I230">
            <v>4128.24</v>
          </cell>
          <cell r="J230">
            <v>12100.73</v>
          </cell>
          <cell r="K230">
            <v>9167.7900000000009</v>
          </cell>
          <cell r="L230">
            <v>12042.49</v>
          </cell>
          <cell r="M230">
            <v>8237.0400000000009</v>
          </cell>
          <cell r="N230">
            <v>8038.55</v>
          </cell>
          <cell r="O230">
            <v>7814.48</v>
          </cell>
          <cell r="P230">
            <v>9358.16</v>
          </cell>
          <cell r="Q230">
            <v>102868.17000000001</v>
          </cell>
        </row>
        <row r="231">
          <cell r="A231">
            <v>50115</v>
          </cell>
          <cell r="B231" t="str">
            <v>Pension and Profit Sharing</v>
          </cell>
          <cell r="E231">
            <v>20881.310000000001</v>
          </cell>
          <cell r="F231">
            <v>19908.310000000001</v>
          </cell>
          <cell r="G231">
            <v>22571.059999999998</v>
          </cell>
          <cell r="H231">
            <v>20908.93</v>
          </cell>
          <cell r="I231">
            <v>20644.87</v>
          </cell>
          <cell r="J231">
            <v>20431.82</v>
          </cell>
          <cell r="K231">
            <v>19793.68</v>
          </cell>
          <cell r="L231">
            <v>25409.94</v>
          </cell>
          <cell r="M231">
            <v>19345.43</v>
          </cell>
          <cell r="N231">
            <v>18963.18</v>
          </cell>
          <cell r="O231">
            <v>19131.61</v>
          </cell>
          <cell r="P231">
            <v>16610.04</v>
          </cell>
          <cell r="Q231">
            <v>244600.17999999996</v>
          </cell>
        </row>
        <row r="232">
          <cell r="A232">
            <v>50116</v>
          </cell>
          <cell r="B232" t="str">
            <v>Union Benefit Expense</v>
          </cell>
          <cell r="E232">
            <v>55955.6</v>
          </cell>
          <cell r="F232">
            <v>54981.08</v>
          </cell>
          <cell r="G232">
            <v>57124.76</v>
          </cell>
          <cell r="H232">
            <v>59521.61</v>
          </cell>
          <cell r="I232">
            <v>55020.61</v>
          </cell>
          <cell r="J232">
            <v>53907.77</v>
          </cell>
          <cell r="K232">
            <v>51487.79</v>
          </cell>
          <cell r="L232">
            <v>50364.490000000005</v>
          </cell>
          <cell r="M232">
            <v>51135.950000000004</v>
          </cell>
          <cell r="N232">
            <v>51271.57</v>
          </cell>
          <cell r="O232">
            <v>52010.640000000007</v>
          </cell>
          <cell r="P232">
            <v>49943.11</v>
          </cell>
          <cell r="Q232">
            <v>642724.98</v>
          </cell>
        </row>
        <row r="233">
          <cell r="A233">
            <v>50117</v>
          </cell>
          <cell r="B233" t="str">
            <v>Union Pension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</row>
        <row r="234">
          <cell r="A234">
            <v>50148</v>
          </cell>
          <cell r="B234" t="str">
            <v>Allocated Exp In - District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</row>
        <row r="235">
          <cell r="A235">
            <v>50149</v>
          </cell>
          <cell r="B235" t="str">
            <v>Allocated Exp In Out - District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</row>
        <row r="236">
          <cell r="A236">
            <v>50335</v>
          </cell>
          <cell r="B236" t="str">
            <v>Miscellaneous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</row>
        <row r="237">
          <cell r="A237">
            <v>50900</v>
          </cell>
          <cell r="B237" t="str">
            <v>Capitalized Costs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</row>
        <row r="238">
          <cell r="A238">
            <v>50998</v>
          </cell>
          <cell r="B238" t="str">
            <v>Allocation Out - District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</row>
        <row r="239">
          <cell r="A239">
            <v>50999</v>
          </cell>
          <cell r="B239" t="str">
            <v>Allocation Out - Out District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</row>
        <row r="240">
          <cell r="A240" t="str">
            <v>Total Labor</v>
          </cell>
          <cell r="E240">
            <v>294808.01999999996</v>
          </cell>
          <cell r="F240">
            <v>268231.77</v>
          </cell>
          <cell r="G240">
            <v>297444.89</v>
          </cell>
          <cell r="H240">
            <v>289895.94999999995</v>
          </cell>
          <cell r="I240">
            <v>277386.03000000003</v>
          </cell>
          <cell r="J240">
            <v>281546.87</v>
          </cell>
          <cell r="K240">
            <v>275508.70999999996</v>
          </cell>
          <cell r="L240">
            <v>281726.57</v>
          </cell>
          <cell r="M240">
            <v>285277.56</v>
          </cell>
          <cell r="N240">
            <v>260142.86999999997</v>
          </cell>
          <cell r="O240">
            <v>287539.68</v>
          </cell>
          <cell r="P240">
            <v>262794.69</v>
          </cell>
          <cell r="Q240">
            <v>3362303.6100000003</v>
          </cell>
        </row>
        <row r="242">
          <cell r="A242" t="str">
            <v>Truck Fixed Expenses</v>
          </cell>
        </row>
        <row r="243">
          <cell r="A243">
            <v>51148</v>
          </cell>
          <cell r="B243" t="str">
            <v>Allocation In - District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</row>
        <row r="244">
          <cell r="A244">
            <v>51149</v>
          </cell>
          <cell r="B244" t="str">
            <v>Allocation In - Out District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</row>
        <row r="245">
          <cell r="A245">
            <v>51175</v>
          </cell>
          <cell r="B245" t="str">
            <v>Equipment/Vehicle Rental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</row>
        <row r="246">
          <cell r="A246">
            <v>51275</v>
          </cell>
          <cell r="B246" t="str">
            <v>Property Taxes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</row>
        <row r="247">
          <cell r="A247">
            <v>51295</v>
          </cell>
          <cell r="B247" t="str">
            <v>Licenses</v>
          </cell>
          <cell r="E247">
            <v>2602.56</v>
          </cell>
          <cell r="F247">
            <v>2531.56</v>
          </cell>
          <cell r="G247">
            <v>2595.5500000000002</v>
          </cell>
          <cell r="H247">
            <v>2489.9299999999998</v>
          </cell>
          <cell r="I247">
            <v>2160.58</v>
          </cell>
          <cell r="J247">
            <v>2256.83</v>
          </cell>
          <cell r="K247">
            <v>2128.83</v>
          </cell>
          <cell r="L247">
            <v>2085.83</v>
          </cell>
          <cell r="M247">
            <v>2085.83</v>
          </cell>
          <cell r="N247">
            <v>2190.83</v>
          </cell>
          <cell r="O247">
            <v>2085.83</v>
          </cell>
          <cell r="P247">
            <v>2550.89</v>
          </cell>
          <cell r="Q247">
            <v>27765.050000000003</v>
          </cell>
        </row>
        <row r="248">
          <cell r="A248">
            <v>51335</v>
          </cell>
          <cell r="B248" t="str">
            <v>Miscellaneous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</row>
        <row r="249">
          <cell r="A249">
            <v>51998</v>
          </cell>
          <cell r="B249" t="str">
            <v>Allocation Out - District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</row>
        <row r="250">
          <cell r="A250">
            <v>51999</v>
          </cell>
          <cell r="B250" t="str">
            <v>Allocation Out - Out District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</row>
        <row r="251">
          <cell r="A251" t="str">
            <v>Total Truck Fixed Expenses</v>
          </cell>
          <cell r="E251">
            <v>2602.56</v>
          </cell>
          <cell r="F251">
            <v>2531.56</v>
          </cell>
          <cell r="G251">
            <v>2595.5500000000002</v>
          </cell>
          <cell r="H251">
            <v>2489.9299999999998</v>
          </cell>
          <cell r="I251">
            <v>2160.58</v>
          </cell>
          <cell r="J251">
            <v>2256.83</v>
          </cell>
          <cell r="K251">
            <v>2128.83</v>
          </cell>
          <cell r="L251">
            <v>2085.83</v>
          </cell>
          <cell r="M251">
            <v>2085.83</v>
          </cell>
          <cell r="N251">
            <v>2190.83</v>
          </cell>
          <cell r="O251">
            <v>2085.83</v>
          </cell>
          <cell r="P251">
            <v>2550.89</v>
          </cell>
          <cell r="Q251">
            <v>27765.050000000003</v>
          </cell>
        </row>
        <row r="253">
          <cell r="A253" t="str">
            <v>Truck Variable Expenses</v>
          </cell>
        </row>
        <row r="254">
          <cell r="A254">
            <v>52010</v>
          </cell>
          <cell r="B254" t="str">
            <v>Salaries</v>
          </cell>
          <cell r="E254">
            <v>6209.13</v>
          </cell>
          <cell r="F254">
            <v>5913.46</v>
          </cell>
          <cell r="G254">
            <v>6800.48</v>
          </cell>
          <cell r="H254">
            <v>6504.81</v>
          </cell>
          <cell r="I254">
            <v>6209.13</v>
          </cell>
          <cell r="J254">
            <v>6504.8</v>
          </cell>
          <cell r="K254">
            <v>6504.81</v>
          </cell>
          <cell r="L254">
            <v>6504.81</v>
          </cell>
          <cell r="M254">
            <v>6504.8</v>
          </cell>
          <cell r="N254">
            <v>6209.14</v>
          </cell>
          <cell r="O254">
            <v>6504.8</v>
          </cell>
          <cell r="P254">
            <v>6800.48</v>
          </cell>
          <cell r="Q254">
            <v>77170.649999999994</v>
          </cell>
        </row>
        <row r="255">
          <cell r="A255">
            <v>52020</v>
          </cell>
          <cell r="B255" t="str">
            <v>Wages Regular</v>
          </cell>
          <cell r="E255">
            <v>11640.62</v>
          </cell>
          <cell r="F255">
            <v>14929.71</v>
          </cell>
          <cell r="G255">
            <v>14082.73</v>
          </cell>
          <cell r="H255">
            <v>13654.74</v>
          </cell>
          <cell r="I255">
            <v>14918.37</v>
          </cell>
          <cell r="J255">
            <v>14754.95</v>
          </cell>
          <cell r="K255">
            <v>12181.44</v>
          </cell>
          <cell r="L255">
            <v>11315.17</v>
          </cell>
          <cell r="M255">
            <v>11931.83</v>
          </cell>
          <cell r="N255">
            <v>11946.65</v>
          </cell>
          <cell r="O255">
            <v>12371.33</v>
          </cell>
          <cell r="P255">
            <v>15662.7</v>
          </cell>
          <cell r="Q255">
            <v>159390.24</v>
          </cell>
        </row>
        <row r="256">
          <cell r="A256">
            <v>52025</v>
          </cell>
          <cell r="B256" t="str">
            <v>Wages O.T.</v>
          </cell>
          <cell r="E256">
            <v>2614.52</v>
          </cell>
          <cell r="F256">
            <v>2473.63</v>
          </cell>
          <cell r="G256">
            <v>2117.09</v>
          </cell>
          <cell r="H256">
            <v>2164.7199999999998</v>
          </cell>
          <cell r="I256">
            <v>2848.44</v>
          </cell>
          <cell r="J256">
            <v>3075.19</v>
          </cell>
          <cell r="K256">
            <v>3378.52</v>
          </cell>
          <cell r="L256">
            <v>1747.37</v>
          </cell>
          <cell r="M256">
            <v>2402.91</v>
          </cell>
          <cell r="N256">
            <v>2322.34</v>
          </cell>
          <cell r="O256">
            <v>3755.06</v>
          </cell>
          <cell r="P256">
            <v>2288.11</v>
          </cell>
          <cell r="Q256">
            <v>31187.9</v>
          </cell>
        </row>
        <row r="257">
          <cell r="A257">
            <v>52035</v>
          </cell>
          <cell r="B257" t="str">
            <v>Safety Bonuses</v>
          </cell>
          <cell r="E257">
            <v>833</v>
          </cell>
          <cell r="F257">
            <v>833</v>
          </cell>
          <cell r="G257">
            <v>833</v>
          </cell>
          <cell r="H257">
            <v>833</v>
          </cell>
          <cell r="I257">
            <v>1583</v>
          </cell>
          <cell r="J257">
            <v>1583</v>
          </cell>
          <cell r="K257">
            <v>1583</v>
          </cell>
          <cell r="L257">
            <v>1583</v>
          </cell>
          <cell r="M257">
            <v>500</v>
          </cell>
          <cell r="N257">
            <v>500</v>
          </cell>
          <cell r="O257">
            <v>1000</v>
          </cell>
          <cell r="P257">
            <v>0</v>
          </cell>
          <cell r="Q257">
            <v>11664</v>
          </cell>
        </row>
        <row r="258">
          <cell r="A258">
            <v>52036</v>
          </cell>
          <cell r="B258" t="str">
            <v>Other Bonus/Commission - Non-Safety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</row>
        <row r="259">
          <cell r="A259">
            <v>52045</v>
          </cell>
          <cell r="B259" t="str">
            <v>Contract Labor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</row>
        <row r="260">
          <cell r="A260">
            <v>52050</v>
          </cell>
          <cell r="B260" t="str">
            <v>Payroll Taxes</v>
          </cell>
          <cell r="E260">
            <v>2869.35</v>
          </cell>
          <cell r="F260">
            <v>2242.16</v>
          </cell>
          <cell r="G260">
            <v>2468.5100000000002</v>
          </cell>
          <cell r="H260">
            <v>2064.63</v>
          </cell>
          <cell r="I260">
            <v>2186.88</v>
          </cell>
          <cell r="J260">
            <v>2344.56</v>
          </cell>
          <cell r="K260">
            <v>1962.2</v>
          </cell>
          <cell r="L260">
            <v>1763.36</v>
          </cell>
          <cell r="M260">
            <v>1881.81</v>
          </cell>
          <cell r="N260">
            <v>1731.74</v>
          </cell>
          <cell r="O260">
            <v>2453.91</v>
          </cell>
          <cell r="P260">
            <v>1757.74</v>
          </cell>
          <cell r="Q260">
            <v>25726.850000000006</v>
          </cell>
        </row>
        <row r="261">
          <cell r="A261">
            <v>52060</v>
          </cell>
          <cell r="B261" t="str">
            <v>Group Insurance</v>
          </cell>
          <cell r="E261">
            <v>1441</v>
          </cell>
          <cell r="F261">
            <v>1441</v>
          </cell>
          <cell r="G261">
            <v>561.5</v>
          </cell>
          <cell r="H261">
            <v>720.5</v>
          </cell>
          <cell r="I261">
            <v>641</v>
          </cell>
          <cell r="J261">
            <v>641</v>
          </cell>
          <cell r="K261">
            <v>641</v>
          </cell>
          <cell r="L261">
            <v>641</v>
          </cell>
          <cell r="M261">
            <v>561.5</v>
          </cell>
          <cell r="N261">
            <v>720.5</v>
          </cell>
          <cell r="O261">
            <v>641</v>
          </cell>
          <cell r="P261">
            <v>583.48</v>
          </cell>
          <cell r="Q261">
            <v>9234.48</v>
          </cell>
        </row>
        <row r="262">
          <cell r="A262">
            <v>52065</v>
          </cell>
          <cell r="B262" t="str">
            <v>Vacation Pay</v>
          </cell>
          <cell r="E262">
            <v>1511.38</v>
          </cell>
          <cell r="F262">
            <v>-838.54</v>
          </cell>
          <cell r="G262">
            <v>2800.68</v>
          </cell>
          <cell r="H262">
            <v>381.27</v>
          </cell>
          <cell r="I262">
            <v>800.29</v>
          </cell>
          <cell r="J262">
            <v>1912.65</v>
          </cell>
          <cell r="K262">
            <v>745.69</v>
          </cell>
          <cell r="L262">
            <v>1755.74</v>
          </cell>
          <cell r="M262">
            <v>996.88</v>
          </cell>
          <cell r="N262">
            <v>1492.04</v>
          </cell>
          <cell r="O262">
            <v>2476.17</v>
          </cell>
          <cell r="P262">
            <v>1846.32</v>
          </cell>
          <cell r="Q262">
            <v>15880.569999999998</v>
          </cell>
        </row>
        <row r="263">
          <cell r="A263">
            <v>52070</v>
          </cell>
          <cell r="B263" t="str">
            <v>Sick Pay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</row>
        <row r="264">
          <cell r="A264">
            <v>52086</v>
          </cell>
          <cell r="B264" t="str">
            <v>Safety and Training</v>
          </cell>
          <cell r="E264">
            <v>104.55</v>
          </cell>
          <cell r="F264">
            <v>112.64</v>
          </cell>
          <cell r="G264">
            <v>154.71</v>
          </cell>
          <cell r="H264">
            <v>299.60000000000002</v>
          </cell>
          <cell r="I264">
            <v>846.98</v>
          </cell>
          <cell r="J264">
            <v>185.38</v>
          </cell>
          <cell r="K264">
            <v>78.989999999999995</v>
          </cell>
          <cell r="L264">
            <v>145.65</v>
          </cell>
          <cell r="M264">
            <v>0</v>
          </cell>
          <cell r="N264">
            <v>876.33</v>
          </cell>
          <cell r="O264">
            <v>-395.59</v>
          </cell>
          <cell r="P264">
            <v>1720.49</v>
          </cell>
          <cell r="Q264">
            <v>4129.7300000000005</v>
          </cell>
        </row>
        <row r="265">
          <cell r="A265">
            <v>52087</v>
          </cell>
          <cell r="B265" t="str">
            <v>Drug Screening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</row>
        <row r="266">
          <cell r="A266">
            <v>52090</v>
          </cell>
          <cell r="B266" t="str">
            <v>Uniforms</v>
          </cell>
          <cell r="E266">
            <v>1040.42</v>
          </cell>
          <cell r="F266">
            <v>1033.9000000000001</v>
          </cell>
          <cell r="G266">
            <v>1397.48</v>
          </cell>
          <cell r="H266">
            <v>1377.31</v>
          </cell>
          <cell r="I266">
            <v>475.1</v>
          </cell>
          <cell r="J266">
            <v>1617.7</v>
          </cell>
          <cell r="K266">
            <v>910.5</v>
          </cell>
          <cell r="L266">
            <v>1633.6</v>
          </cell>
          <cell r="M266">
            <v>1021.73</v>
          </cell>
          <cell r="N266">
            <v>756.54</v>
          </cell>
          <cell r="O266">
            <v>828.81</v>
          </cell>
          <cell r="P266">
            <v>987.61</v>
          </cell>
          <cell r="Q266">
            <v>13080.699999999999</v>
          </cell>
        </row>
        <row r="267">
          <cell r="A267">
            <v>52115</v>
          </cell>
          <cell r="B267" t="str">
            <v>Pension and Profit Sharing</v>
          </cell>
          <cell r="E267">
            <v>2995.29</v>
          </cell>
          <cell r="F267">
            <v>2862.61</v>
          </cell>
          <cell r="G267">
            <v>3299.63</v>
          </cell>
          <cell r="H267">
            <v>2999.06</v>
          </cell>
          <cell r="I267">
            <v>2963.05</v>
          </cell>
          <cell r="J267">
            <v>2934</v>
          </cell>
          <cell r="K267">
            <v>2846.98</v>
          </cell>
          <cell r="L267">
            <v>2774.57</v>
          </cell>
          <cell r="M267">
            <v>2785.85</v>
          </cell>
          <cell r="N267">
            <v>2807.65</v>
          </cell>
          <cell r="O267">
            <v>2756.7</v>
          </cell>
          <cell r="P267">
            <v>2412.85</v>
          </cell>
          <cell r="Q267">
            <v>34438.239999999998</v>
          </cell>
        </row>
        <row r="268">
          <cell r="A268">
            <v>52116</v>
          </cell>
          <cell r="B268" t="str">
            <v>Union Benefit Expense</v>
          </cell>
          <cell r="E268">
            <v>7876.76</v>
          </cell>
          <cell r="F268">
            <v>7880.62</v>
          </cell>
          <cell r="G268">
            <v>7872.8</v>
          </cell>
          <cell r="H268">
            <v>7884.58</v>
          </cell>
          <cell r="I268">
            <v>7878.69</v>
          </cell>
          <cell r="J268">
            <v>7878.69</v>
          </cell>
          <cell r="K268">
            <v>7881.97</v>
          </cell>
          <cell r="L268">
            <v>6752.1</v>
          </cell>
          <cell r="M268">
            <v>6747.85</v>
          </cell>
          <cell r="N268">
            <v>6756.35</v>
          </cell>
          <cell r="O268">
            <v>7182.94</v>
          </cell>
          <cell r="P268">
            <v>7779.69</v>
          </cell>
          <cell r="Q268">
            <v>90373.040000000023</v>
          </cell>
        </row>
        <row r="269">
          <cell r="A269">
            <v>52117</v>
          </cell>
          <cell r="B269" t="str">
            <v>Union Pension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</row>
        <row r="270">
          <cell r="A270">
            <v>52120</v>
          </cell>
          <cell r="B270" t="str">
            <v>Parts and Materials</v>
          </cell>
          <cell r="E270">
            <v>13715.59</v>
          </cell>
          <cell r="F270">
            <v>21102.71</v>
          </cell>
          <cell r="G270">
            <v>18678.920000000006</v>
          </cell>
          <cell r="H270">
            <v>30064.99</v>
          </cell>
          <cell r="I270">
            <v>11133.51</v>
          </cell>
          <cell r="J270">
            <v>9706.94</v>
          </cell>
          <cell r="K270">
            <v>12873.069999999998</v>
          </cell>
          <cell r="L270">
            <v>12811.720000000001</v>
          </cell>
          <cell r="M270">
            <v>13514.23</v>
          </cell>
          <cell r="N270">
            <v>8953.7200000000012</v>
          </cell>
          <cell r="O270">
            <v>16547.27</v>
          </cell>
          <cell r="P270">
            <v>15817.25</v>
          </cell>
          <cell r="Q270">
            <v>184919.91999999998</v>
          </cell>
        </row>
        <row r="271">
          <cell r="A271">
            <v>52125</v>
          </cell>
          <cell r="B271" t="str">
            <v>Operating Supplies</v>
          </cell>
          <cell r="E271">
            <v>568.15</v>
          </cell>
          <cell r="F271">
            <v>288.02999999999997</v>
          </cell>
          <cell r="G271">
            <v>385.62</v>
          </cell>
          <cell r="H271">
            <v>179.18</v>
          </cell>
          <cell r="I271">
            <v>339.98</v>
          </cell>
          <cell r="J271">
            <v>264.08</v>
          </cell>
          <cell r="K271">
            <v>131.13</v>
          </cell>
          <cell r="L271">
            <v>13.55</v>
          </cell>
          <cell r="M271">
            <v>9.8699999999999992</v>
          </cell>
          <cell r="N271">
            <v>372.92</v>
          </cell>
          <cell r="O271">
            <v>819.61</v>
          </cell>
          <cell r="P271">
            <v>414.71</v>
          </cell>
          <cell r="Q271">
            <v>3786.8300000000004</v>
          </cell>
        </row>
        <row r="272">
          <cell r="A272">
            <v>52135</v>
          </cell>
          <cell r="B272" t="str">
            <v>Equipment and Maint Repair</v>
          </cell>
          <cell r="E272">
            <v>0</v>
          </cell>
          <cell r="F272">
            <v>0</v>
          </cell>
          <cell r="G272">
            <v>149.16</v>
          </cell>
          <cell r="H272">
            <v>681.98</v>
          </cell>
          <cell r="I272">
            <v>545.25</v>
          </cell>
          <cell r="J272">
            <v>332.59</v>
          </cell>
          <cell r="K272">
            <v>984.37</v>
          </cell>
          <cell r="L272">
            <v>173.37</v>
          </cell>
          <cell r="M272">
            <v>0</v>
          </cell>
          <cell r="N272">
            <v>156.19999999999999</v>
          </cell>
          <cell r="O272">
            <v>-156.19999999999999</v>
          </cell>
          <cell r="P272">
            <v>27.01</v>
          </cell>
          <cell r="Q272">
            <v>2893.73</v>
          </cell>
        </row>
        <row r="273">
          <cell r="A273">
            <v>52140</v>
          </cell>
          <cell r="B273" t="str">
            <v>Tires</v>
          </cell>
          <cell r="E273">
            <v>11282.69</v>
          </cell>
          <cell r="F273">
            <v>1664.63</v>
          </cell>
          <cell r="G273">
            <v>5175.3999999999996</v>
          </cell>
          <cell r="H273">
            <v>8753.43</v>
          </cell>
          <cell r="I273">
            <v>9084.64</v>
          </cell>
          <cell r="J273">
            <v>1370.04</v>
          </cell>
          <cell r="K273">
            <v>8864.5</v>
          </cell>
          <cell r="L273">
            <v>438.2</v>
          </cell>
          <cell r="M273">
            <v>5010.1400000000003</v>
          </cell>
          <cell r="N273">
            <v>1896.06</v>
          </cell>
          <cell r="O273">
            <v>7161.25</v>
          </cell>
          <cell r="P273">
            <v>3395.56</v>
          </cell>
          <cell r="Q273">
            <v>64096.539999999994</v>
          </cell>
        </row>
        <row r="274">
          <cell r="A274">
            <v>52142</v>
          </cell>
          <cell r="B274" t="str">
            <v>Fuel Expense</v>
          </cell>
          <cell r="E274">
            <v>54158.289999999994</v>
          </cell>
          <cell r="F274">
            <v>50956.94</v>
          </cell>
          <cell r="G274">
            <v>60111.49</v>
          </cell>
          <cell r="H274">
            <v>62505</v>
          </cell>
          <cell r="I274">
            <v>58155.18</v>
          </cell>
          <cell r="J274">
            <v>61304.36</v>
          </cell>
          <cell r="K274">
            <v>60908.59</v>
          </cell>
          <cell r="L274">
            <v>64096.240000000005</v>
          </cell>
          <cell r="M274">
            <v>63144.08</v>
          </cell>
          <cell r="N274">
            <v>63868.340000000004</v>
          </cell>
          <cell r="O274">
            <v>56605.93</v>
          </cell>
          <cell r="P274">
            <v>67191.64</v>
          </cell>
          <cell r="Q274">
            <v>723006.08</v>
          </cell>
        </row>
        <row r="275">
          <cell r="A275">
            <v>52143</v>
          </cell>
          <cell r="B275" t="str">
            <v>Transmontagne Fuel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</row>
        <row r="276">
          <cell r="A276">
            <v>52144</v>
          </cell>
          <cell r="B276" t="str">
            <v>Urea Expense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</row>
        <row r="277">
          <cell r="A277">
            <v>52146</v>
          </cell>
          <cell r="B277" t="str">
            <v>Oil and Grease</v>
          </cell>
          <cell r="E277">
            <v>3179.71</v>
          </cell>
          <cell r="F277">
            <v>7401.66</v>
          </cell>
          <cell r="G277">
            <v>5696.15</v>
          </cell>
          <cell r="H277">
            <v>6990.25</v>
          </cell>
          <cell r="I277">
            <v>4918.58</v>
          </cell>
          <cell r="J277">
            <v>3341.27</v>
          </cell>
          <cell r="K277">
            <v>1599.94</v>
          </cell>
          <cell r="L277">
            <v>9095.31</v>
          </cell>
          <cell r="M277">
            <v>5629.35</v>
          </cell>
          <cell r="N277">
            <v>4937.97</v>
          </cell>
          <cell r="O277">
            <v>5285.37</v>
          </cell>
          <cell r="P277">
            <v>5402.36</v>
          </cell>
          <cell r="Q277">
            <v>63477.919999999998</v>
          </cell>
        </row>
        <row r="278">
          <cell r="A278">
            <v>52147</v>
          </cell>
          <cell r="B278" t="str">
            <v>Outside Repairs</v>
          </cell>
          <cell r="E278">
            <v>2520.1099999999997</v>
          </cell>
          <cell r="F278">
            <v>148.44</v>
          </cell>
          <cell r="G278">
            <v>4753.75</v>
          </cell>
          <cell r="H278">
            <v>2049.4</v>
          </cell>
          <cell r="I278">
            <v>568.04999999999995</v>
          </cell>
          <cell r="J278">
            <v>4319.34</v>
          </cell>
          <cell r="K278">
            <v>3088.65</v>
          </cell>
          <cell r="L278">
            <v>4131.92</v>
          </cell>
          <cell r="M278">
            <v>939.12</v>
          </cell>
          <cell r="N278">
            <v>4227.5600000000004</v>
          </cell>
          <cell r="O278">
            <v>38.909999999999997</v>
          </cell>
          <cell r="P278">
            <v>448.88</v>
          </cell>
          <cell r="Q278">
            <v>27234.129999999997</v>
          </cell>
        </row>
        <row r="279">
          <cell r="A279">
            <v>52148</v>
          </cell>
          <cell r="B279" t="str">
            <v>Allocated Exp In - District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</row>
        <row r="280">
          <cell r="A280">
            <v>52149</v>
          </cell>
          <cell r="B280" t="str">
            <v>Allocated Exp In Out - District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</row>
        <row r="281">
          <cell r="A281">
            <v>52150</v>
          </cell>
          <cell r="B281" t="str">
            <v>Utilities</v>
          </cell>
          <cell r="E281">
            <v>1060.3800000000001</v>
          </cell>
          <cell r="F281">
            <v>764.22</v>
          </cell>
          <cell r="G281">
            <v>713.08</v>
          </cell>
          <cell r="H281">
            <v>617.6</v>
          </cell>
          <cell r="I281">
            <v>412.22</v>
          </cell>
          <cell r="J281">
            <v>355.41</v>
          </cell>
          <cell r="K281">
            <v>1187.46</v>
          </cell>
          <cell r="L281">
            <v>314.74</v>
          </cell>
          <cell r="M281">
            <v>291.92</v>
          </cell>
          <cell r="N281">
            <v>296.52999999999997</v>
          </cell>
          <cell r="O281">
            <v>545.01</v>
          </cell>
          <cell r="P281">
            <v>997.3</v>
          </cell>
          <cell r="Q281">
            <v>7555.87</v>
          </cell>
        </row>
        <row r="282">
          <cell r="A282">
            <v>52165</v>
          </cell>
          <cell r="B282" t="str">
            <v>Communications</v>
          </cell>
          <cell r="E282">
            <v>497.52</v>
          </cell>
          <cell r="F282">
            <v>509.58</v>
          </cell>
          <cell r="G282">
            <v>521.71</v>
          </cell>
          <cell r="H282">
            <v>497.47</v>
          </cell>
          <cell r="I282">
            <v>622.69000000000005</v>
          </cell>
          <cell r="J282">
            <v>534.09</v>
          </cell>
          <cell r="K282">
            <v>-388.32</v>
          </cell>
          <cell r="L282">
            <v>662.93</v>
          </cell>
          <cell r="M282">
            <v>678.76</v>
          </cell>
          <cell r="N282">
            <v>509.78</v>
          </cell>
          <cell r="O282">
            <v>678.67</v>
          </cell>
          <cell r="P282">
            <v>546.71</v>
          </cell>
          <cell r="Q282">
            <v>5871.59</v>
          </cell>
        </row>
        <row r="283">
          <cell r="A283">
            <v>52170</v>
          </cell>
          <cell r="B283" t="str">
            <v>Real Estate Rentals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</row>
        <row r="284">
          <cell r="A284">
            <v>52172</v>
          </cell>
          <cell r="B284" t="str">
            <v>Chassis Lease Expense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</row>
        <row r="285">
          <cell r="A285">
            <v>52175</v>
          </cell>
          <cell r="B285" t="str">
            <v>Equip/Vehicle Rental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</row>
        <row r="286">
          <cell r="A286">
            <v>52181</v>
          </cell>
          <cell r="B286" t="str">
            <v>Freight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</row>
        <row r="287">
          <cell r="A287">
            <v>52182</v>
          </cell>
          <cell r="B287" t="str">
            <v>Towing Expense</v>
          </cell>
          <cell r="E287">
            <v>243.9</v>
          </cell>
          <cell r="F287">
            <v>678.32</v>
          </cell>
          <cell r="G287">
            <v>518.41999999999996</v>
          </cell>
          <cell r="H287">
            <v>0</v>
          </cell>
          <cell r="I287">
            <v>0</v>
          </cell>
          <cell r="J287">
            <v>271</v>
          </cell>
          <cell r="K287">
            <v>0</v>
          </cell>
          <cell r="L287">
            <v>211.38</v>
          </cell>
          <cell r="M287">
            <v>563.67999999999995</v>
          </cell>
          <cell r="N287">
            <v>0</v>
          </cell>
          <cell r="O287">
            <v>0</v>
          </cell>
          <cell r="P287">
            <v>243.9</v>
          </cell>
          <cell r="Q287">
            <v>2730.6</v>
          </cell>
        </row>
        <row r="288">
          <cell r="A288">
            <v>52185</v>
          </cell>
          <cell r="B288" t="str">
            <v>Travel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397.98</v>
          </cell>
          <cell r="O288">
            <v>-397.98</v>
          </cell>
          <cell r="P288">
            <v>0</v>
          </cell>
          <cell r="Q288">
            <v>0</v>
          </cell>
        </row>
        <row r="289">
          <cell r="A289">
            <v>52200</v>
          </cell>
          <cell r="B289" t="str">
            <v>Office Supply and Equip</v>
          </cell>
          <cell r="E289">
            <v>100.76</v>
          </cell>
          <cell r="F289">
            <v>168.31</v>
          </cell>
          <cell r="G289">
            <v>81.760000000000005</v>
          </cell>
          <cell r="H289">
            <v>538.53</v>
          </cell>
          <cell r="I289">
            <v>50.95</v>
          </cell>
          <cell r="J289">
            <v>51.81</v>
          </cell>
          <cell r="K289">
            <v>0</v>
          </cell>
          <cell r="L289">
            <v>226.01</v>
          </cell>
          <cell r="M289">
            <v>51.5</v>
          </cell>
          <cell r="N289">
            <v>0</v>
          </cell>
          <cell r="O289">
            <v>556.91</v>
          </cell>
          <cell r="P289">
            <v>324.24</v>
          </cell>
          <cell r="Q289">
            <v>2150.7799999999997</v>
          </cell>
        </row>
        <row r="290">
          <cell r="A290">
            <v>52275</v>
          </cell>
          <cell r="B290" t="str">
            <v>Property Taxes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</row>
        <row r="291">
          <cell r="A291">
            <v>52335</v>
          </cell>
          <cell r="B291" t="str">
            <v>Miscellaneous</v>
          </cell>
          <cell r="E291">
            <v>9</v>
          </cell>
          <cell r="F291">
            <v>0</v>
          </cell>
          <cell r="G291">
            <v>4.5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13.5</v>
          </cell>
        </row>
        <row r="292">
          <cell r="A292">
            <v>52900</v>
          </cell>
          <cell r="B292" t="str">
            <v>Capitalized Costs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</row>
        <row r="293">
          <cell r="A293">
            <v>52901</v>
          </cell>
          <cell r="B293" t="str">
            <v>Costs Awaiting Capitilization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</row>
        <row r="294">
          <cell r="A294">
            <v>52998</v>
          </cell>
          <cell r="B294" t="str">
            <v>Allocation Out - District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</row>
        <row r="295">
          <cell r="A295">
            <v>52999</v>
          </cell>
          <cell r="B295" t="str">
            <v>Allocation Out - Out District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</row>
        <row r="296">
          <cell r="A296" t="str">
            <v>Total Truck Variable</v>
          </cell>
          <cell r="E296">
            <v>126472.12</v>
          </cell>
          <cell r="F296">
            <v>122567.03000000001</v>
          </cell>
          <cell r="G296">
            <v>139178.57</v>
          </cell>
          <cell r="H296">
            <v>151762.04999999999</v>
          </cell>
          <cell r="I296">
            <v>127181.98000000001</v>
          </cell>
          <cell r="J296">
            <v>125282.85</v>
          </cell>
          <cell r="K296">
            <v>127964.48999999999</v>
          </cell>
          <cell r="L296">
            <v>128791.74</v>
          </cell>
          <cell r="M296">
            <v>125167.81</v>
          </cell>
          <cell r="N296">
            <v>121736.34</v>
          </cell>
          <cell r="O296">
            <v>127259.88000000002</v>
          </cell>
          <cell r="P296">
            <v>136649.02999999997</v>
          </cell>
          <cell r="Q296">
            <v>1560013.8900000001</v>
          </cell>
        </row>
        <row r="298">
          <cell r="A298" t="str">
            <v>Container</v>
          </cell>
        </row>
        <row r="299">
          <cell r="A299">
            <v>54148</v>
          </cell>
          <cell r="B299" t="str">
            <v>Allocation In - District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</row>
        <row r="300">
          <cell r="A300">
            <v>54149</v>
          </cell>
          <cell r="B300" t="str">
            <v>Allocation In - Out District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</row>
        <row r="301">
          <cell r="A301">
            <v>54175</v>
          </cell>
          <cell r="B301" t="str">
            <v>Equipment/Vehicle Rental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</row>
        <row r="302">
          <cell r="A302">
            <v>54275</v>
          </cell>
          <cell r="B302" t="str">
            <v>Property Taxes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</row>
        <row r="303">
          <cell r="A303">
            <v>54335</v>
          </cell>
          <cell r="B303" t="str">
            <v>Miscellaneous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</row>
        <row r="304">
          <cell r="A304">
            <v>54998</v>
          </cell>
          <cell r="B304" t="str">
            <v>Allocation Out - District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</row>
        <row r="305">
          <cell r="A305">
            <v>54999</v>
          </cell>
          <cell r="B305" t="str">
            <v>Allocation Out - Out District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</row>
        <row r="306">
          <cell r="A306">
            <v>55010</v>
          </cell>
          <cell r="B306" t="str">
            <v>Salaries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</row>
        <row r="307">
          <cell r="A307">
            <v>55020</v>
          </cell>
          <cell r="B307" t="str">
            <v>Wages Regular</v>
          </cell>
          <cell r="E307">
            <v>10121.69</v>
          </cell>
          <cell r="F307">
            <v>8242.4699999999993</v>
          </cell>
          <cell r="G307">
            <v>12061.67</v>
          </cell>
          <cell r="H307">
            <v>10915.7</v>
          </cell>
          <cell r="I307">
            <v>8008.44</v>
          </cell>
          <cell r="J307">
            <v>8531.7900000000009</v>
          </cell>
          <cell r="K307">
            <v>9525.08</v>
          </cell>
          <cell r="L307">
            <v>11641.49</v>
          </cell>
          <cell r="M307">
            <v>9358.9</v>
          </cell>
          <cell r="N307">
            <v>9463.3700000000008</v>
          </cell>
          <cell r="O307">
            <v>10355.24</v>
          </cell>
          <cell r="P307">
            <v>9802.01</v>
          </cell>
          <cell r="Q307">
            <v>118027.84999999999</v>
          </cell>
        </row>
        <row r="308">
          <cell r="A308">
            <v>55025</v>
          </cell>
          <cell r="B308" t="str">
            <v>Wages O.T.</v>
          </cell>
          <cell r="E308">
            <v>636.62</v>
          </cell>
          <cell r="F308">
            <v>425.9</v>
          </cell>
          <cell r="G308">
            <v>278.45999999999998</v>
          </cell>
          <cell r="H308">
            <v>1269.6099999999999</v>
          </cell>
          <cell r="I308">
            <v>580.07000000000005</v>
          </cell>
          <cell r="J308">
            <v>803.54</v>
          </cell>
          <cell r="K308">
            <v>467.98</v>
          </cell>
          <cell r="L308">
            <v>832.02</v>
          </cell>
          <cell r="M308">
            <v>17.989999999999998</v>
          </cell>
          <cell r="N308">
            <v>412.16</v>
          </cell>
          <cell r="O308">
            <v>650.38</v>
          </cell>
          <cell r="P308">
            <v>65.599999999999994</v>
          </cell>
          <cell r="Q308">
            <v>6440.3300000000008</v>
          </cell>
        </row>
        <row r="309">
          <cell r="A309">
            <v>55035</v>
          </cell>
          <cell r="B309" t="str">
            <v>Safety Bonuses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</row>
        <row r="310">
          <cell r="A310">
            <v>55036</v>
          </cell>
          <cell r="B310" t="str">
            <v>Other Bonus/Commission - Non-Safety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</row>
        <row r="311">
          <cell r="A311">
            <v>55045</v>
          </cell>
          <cell r="B311" t="str">
            <v>Contract Labor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</row>
        <row r="312">
          <cell r="A312">
            <v>55050</v>
          </cell>
          <cell r="B312" t="str">
            <v>Payroll Taxes</v>
          </cell>
          <cell r="E312">
            <v>1302.32</v>
          </cell>
          <cell r="F312">
            <v>934.4</v>
          </cell>
          <cell r="G312">
            <v>1150.47</v>
          </cell>
          <cell r="H312">
            <v>1167.9000000000001</v>
          </cell>
          <cell r="I312">
            <v>860.19</v>
          </cell>
          <cell r="J312">
            <v>884.97</v>
          </cell>
          <cell r="K312">
            <v>1058.24</v>
          </cell>
          <cell r="L312">
            <v>1180.19</v>
          </cell>
          <cell r="M312">
            <v>1055.3399999999999</v>
          </cell>
          <cell r="N312">
            <v>1038.93</v>
          </cell>
          <cell r="O312">
            <v>1185.43</v>
          </cell>
          <cell r="P312">
            <v>525.12</v>
          </cell>
          <cell r="Q312">
            <v>12343.500000000002</v>
          </cell>
        </row>
        <row r="313">
          <cell r="A313">
            <v>55060</v>
          </cell>
          <cell r="B313" t="str">
            <v>Group Insurance</v>
          </cell>
          <cell r="E313">
            <v>2215</v>
          </cell>
          <cell r="F313">
            <v>2215</v>
          </cell>
          <cell r="G313">
            <v>1935</v>
          </cell>
          <cell r="H313">
            <v>2495</v>
          </cell>
          <cell r="I313">
            <v>2215</v>
          </cell>
          <cell r="J313">
            <v>1919</v>
          </cell>
          <cell r="K313">
            <v>1919</v>
          </cell>
          <cell r="L313">
            <v>1919</v>
          </cell>
          <cell r="M313">
            <v>1691</v>
          </cell>
          <cell r="N313">
            <v>2147</v>
          </cell>
          <cell r="O313">
            <v>1711</v>
          </cell>
          <cell r="P313">
            <v>2215</v>
          </cell>
          <cell r="Q313">
            <v>24596</v>
          </cell>
        </row>
        <row r="314">
          <cell r="A314">
            <v>55065</v>
          </cell>
          <cell r="B314" t="str">
            <v>Vacation Pay</v>
          </cell>
          <cell r="E314">
            <v>303.81</v>
          </cell>
          <cell r="F314">
            <v>1016.29</v>
          </cell>
          <cell r="G314">
            <v>-198.06</v>
          </cell>
          <cell r="H314">
            <v>1145.3599999999999</v>
          </cell>
          <cell r="I314">
            <v>1042.8699999999999</v>
          </cell>
          <cell r="J314">
            <v>-719.54</v>
          </cell>
          <cell r="K314">
            <v>1222.3399999999999</v>
          </cell>
          <cell r="L314">
            <v>925.15</v>
          </cell>
          <cell r="M314">
            <v>1907.53</v>
          </cell>
          <cell r="N314">
            <v>789.75</v>
          </cell>
          <cell r="O314">
            <v>394.38</v>
          </cell>
          <cell r="P314">
            <v>930.27</v>
          </cell>
          <cell r="Q314">
            <v>8760.15</v>
          </cell>
        </row>
        <row r="315">
          <cell r="A315">
            <v>55070</v>
          </cell>
          <cell r="B315" t="str">
            <v>Sick Pay</v>
          </cell>
          <cell r="E315">
            <v>255.74</v>
          </cell>
          <cell r="F315">
            <v>163.92</v>
          </cell>
          <cell r="G315">
            <v>253.25</v>
          </cell>
          <cell r="H315">
            <v>-42.31</v>
          </cell>
          <cell r="I315">
            <v>0</v>
          </cell>
          <cell r="J315">
            <v>317.39999999999998</v>
          </cell>
          <cell r="K315">
            <v>165.6</v>
          </cell>
          <cell r="L315">
            <v>-138</v>
          </cell>
          <cell r="M315">
            <v>138</v>
          </cell>
          <cell r="N315">
            <v>216.36</v>
          </cell>
          <cell r="O315">
            <v>0</v>
          </cell>
          <cell r="P315">
            <v>317.60000000000002</v>
          </cell>
          <cell r="Q315">
            <v>1647.56</v>
          </cell>
        </row>
        <row r="316">
          <cell r="A316">
            <v>55086</v>
          </cell>
          <cell r="B316" t="str">
            <v>Safety and Training</v>
          </cell>
          <cell r="E316">
            <v>0</v>
          </cell>
          <cell r="F316">
            <v>0</v>
          </cell>
          <cell r="G316">
            <v>0</v>
          </cell>
          <cell r="H316">
            <v>34.299999999999997</v>
          </cell>
          <cell r="I316">
            <v>29.01</v>
          </cell>
          <cell r="J316">
            <v>0</v>
          </cell>
          <cell r="K316">
            <v>0</v>
          </cell>
          <cell r="L316">
            <v>1292.83</v>
          </cell>
          <cell r="M316">
            <v>425.23</v>
          </cell>
          <cell r="N316">
            <v>50</v>
          </cell>
          <cell r="O316">
            <v>0</v>
          </cell>
          <cell r="P316">
            <v>0</v>
          </cell>
          <cell r="Q316">
            <v>1831.37</v>
          </cell>
        </row>
        <row r="317">
          <cell r="A317">
            <v>55090</v>
          </cell>
          <cell r="B317" t="str">
            <v>Uniforms</v>
          </cell>
          <cell r="E317">
            <v>711.08</v>
          </cell>
          <cell r="F317">
            <v>516.91999999999996</v>
          </cell>
          <cell r="G317">
            <v>548.66</v>
          </cell>
          <cell r="H317">
            <v>420.37</v>
          </cell>
          <cell r="I317">
            <v>237.53</v>
          </cell>
          <cell r="J317">
            <v>620.41999999999996</v>
          </cell>
          <cell r="K317">
            <v>488.2</v>
          </cell>
          <cell r="L317">
            <v>1071.5999999999999</v>
          </cell>
          <cell r="M317">
            <v>360.8</v>
          </cell>
          <cell r="N317">
            <v>378.21</v>
          </cell>
          <cell r="O317">
            <v>414.33</v>
          </cell>
          <cell r="P317">
            <v>378.31</v>
          </cell>
          <cell r="Q317">
            <v>6146.43</v>
          </cell>
        </row>
        <row r="318">
          <cell r="A318">
            <v>55115</v>
          </cell>
          <cell r="B318" t="str">
            <v>Pension and Profit Sharing</v>
          </cell>
          <cell r="E318">
            <v>75.61</v>
          </cell>
          <cell r="F318">
            <v>80.2</v>
          </cell>
          <cell r="G318">
            <v>115.17</v>
          </cell>
          <cell r="H318">
            <v>81.77</v>
          </cell>
          <cell r="I318">
            <v>90.46</v>
          </cell>
          <cell r="J318">
            <v>86.97</v>
          </cell>
          <cell r="K318">
            <v>86.46</v>
          </cell>
          <cell r="L318">
            <v>85.09</v>
          </cell>
          <cell r="M318">
            <v>75.69</v>
          </cell>
          <cell r="N318">
            <v>120.4</v>
          </cell>
          <cell r="O318">
            <v>78.64</v>
          </cell>
          <cell r="P318">
            <v>73.08</v>
          </cell>
          <cell r="Q318">
            <v>1049.54</v>
          </cell>
        </row>
        <row r="319">
          <cell r="A319">
            <v>55116</v>
          </cell>
          <cell r="B319" t="str">
            <v>Union Benefit Expense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</row>
        <row r="320">
          <cell r="A320">
            <v>55117</v>
          </cell>
          <cell r="B320" t="str">
            <v>Union Pension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</row>
        <row r="321">
          <cell r="A321">
            <v>55120</v>
          </cell>
          <cell r="B321" t="str">
            <v>Parts and Materials</v>
          </cell>
          <cell r="E321">
            <v>6822.4</v>
          </cell>
          <cell r="F321">
            <v>7408.98</v>
          </cell>
          <cell r="G321">
            <v>6676.59</v>
          </cell>
          <cell r="H321">
            <v>10883.54</v>
          </cell>
          <cell r="I321">
            <v>6756.74</v>
          </cell>
          <cell r="J321">
            <v>6992.66</v>
          </cell>
          <cell r="K321">
            <v>7598.15</v>
          </cell>
          <cell r="L321">
            <v>6124.07</v>
          </cell>
          <cell r="M321">
            <v>6075.32</v>
          </cell>
          <cell r="N321">
            <v>1985.95</v>
          </cell>
          <cell r="O321">
            <v>4110.71</v>
          </cell>
          <cell r="P321">
            <v>5007.25</v>
          </cell>
          <cell r="Q321">
            <v>76442.360000000015</v>
          </cell>
        </row>
        <row r="322">
          <cell r="A322">
            <v>55125</v>
          </cell>
          <cell r="B322" t="str">
            <v>Operating Supplies</v>
          </cell>
          <cell r="E322">
            <v>208.43</v>
          </cell>
          <cell r="F322">
            <v>96</v>
          </cell>
          <cell r="G322">
            <v>0</v>
          </cell>
          <cell r="H322">
            <v>269.91000000000003</v>
          </cell>
          <cell r="I322">
            <v>134.9</v>
          </cell>
          <cell r="J322">
            <v>0</v>
          </cell>
          <cell r="K322">
            <v>0</v>
          </cell>
          <cell r="L322">
            <v>242.16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951.4</v>
          </cell>
        </row>
        <row r="323">
          <cell r="A323">
            <v>55135</v>
          </cell>
          <cell r="B323" t="str">
            <v>Equipment and Maint Repair</v>
          </cell>
          <cell r="E323">
            <v>0</v>
          </cell>
          <cell r="F323">
            <v>107.12</v>
          </cell>
          <cell r="G323">
            <v>103.06</v>
          </cell>
          <cell r="H323">
            <v>127.6</v>
          </cell>
          <cell r="I323">
            <v>177.2</v>
          </cell>
          <cell r="J323">
            <v>0</v>
          </cell>
          <cell r="K323">
            <v>402.9</v>
          </cell>
          <cell r="L323">
            <v>0</v>
          </cell>
          <cell r="M323">
            <v>1045.6400000000001</v>
          </cell>
          <cell r="N323">
            <v>613.79999999999995</v>
          </cell>
          <cell r="O323">
            <v>0.01</v>
          </cell>
          <cell r="P323">
            <v>0</v>
          </cell>
          <cell r="Q323">
            <v>2577.33</v>
          </cell>
        </row>
        <row r="324">
          <cell r="A324">
            <v>55140</v>
          </cell>
          <cell r="B324" t="str">
            <v>Tires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</row>
        <row r="325">
          <cell r="A325">
            <v>55142</v>
          </cell>
          <cell r="B325" t="str">
            <v>Fuel Expense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</row>
        <row r="326">
          <cell r="A326">
            <v>55143</v>
          </cell>
          <cell r="B326" t="str">
            <v>Corporate Medical Waste Supplies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</row>
        <row r="327">
          <cell r="A327">
            <v>55146</v>
          </cell>
          <cell r="B327" t="str">
            <v>Oil and Grease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</row>
        <row r="328">
          <cell r="A328">
            <v>55147</v>
          </cell>
          <cell r="B328" t="str">
            <v>Outside Repairs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</row>
        <row r="329">
          <cell r="A329">
            <v>55148</v>
          </cell>
          <cell r="B329" t="str">
            <v>Allocated Exp In - District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</row>
        <row r="330">
          <cell r="A330">
            <v>55149</v>
          </cell>
          <cell r="B330" t="str">
            <v>Allocated Exp In Out - District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</row>
        <row r="331">
          <cell r="A331">
            <v>55150</v>
          </cell>
          <cell r="B331" t="str">
            <v>Utilities</v>
          </cell>
          <cell r="E331">
            <v>145.91</v>
          </cell>
          <cell r="F331">
            <v>170</v>
          </cell>
          <cell r="G331">
            <v>160.13999999999999</v>
          </cell>
          <cell r="H331">
            <v>153.57</v>
          </cell>
          <cell r="I331">
            <v>132.77000000000001</v>
          </cell>
          <cell r="J331">
            <v>124.01</v>
          </cell>
          <cell r="K331">
            <v>109.77</v>
          </cell>
          <cell r="L331">
            <v>522.32000000000005</v>
          </cell>
          <cell r="M331">
            <v>123.5</v>
          </cell>
          <cell r="N331">
            <v>114.69</v>
          </cell>
          <cell r="O331">
            <v>122.68</v>
          </cell>
          <cell r="P331">
            <v>122.68</v>
          </cell>
          <cell r="Q331">
            <v>2002.04</v>
          </cell>
        </row>
        <row r="332">
          <cell r="A332">
            <v>55181</v>
          </cell>
          <cell r="B332" t="str">
            <v>Freight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</row>
        <row r="333">
          <cell r="A333">
            <v>55335</v>
          </cell>
          <cell r="B333" t="str">
            <v>Miscellaneous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</row>
        <row r="334">
          <cell r="A334">
            <v>55900</v>
          </cell>
          <cell r="B334" t="str">
            <v>Capitalized Costs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</row>
        <row r="335">
          <cell r="A335">
            <v>55998</v>
          </cell>
          <cell r="B335" t="str">
            <v>Allocation Out - District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</row>
        <row r="336">
          <cell r="A336">
            <v>55999</v>
          </cell>
          <cell r="B336" t="str">
            <v>Allocation Out - Out District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</row>
        <row r="337">
          <cell r="A337" t="str">
            <v>Total Container</v>
          </cell>
          <cell r="E337">
            <v>22798.61</v>
          </cell>
          <cell r="F337">
            <v>21377.199999999997</v>
          </cell>
          <cell r="G337">
            <v>23084.41</v>
          </cell>
          <cell r="H337">
            <v>28922.319999999996</v>
          </cell>
          <cell r="I337">
            <v>20265.18</v>
          </cell>
          <cell r="J337">
            <v>19561.219999999998</v>
          </cell>
          <cell r="K337">
            <v>23043.72</v>
          </cell>
          <cell r="L337">
            <v>25697.919999999998</v>
          </cell>
          <cell r="M337">
            <v>22274.94</v>
          </cell>
          <cell r="N337">
            <v>17330.62</v>
          </cell>
          <cell r="O337">
            <v>19022.799999999996</v>
          </cell>
          <cell r="P337">
            <v>19436.920000000002</v>
          </cell>
          <cell r="Q337">
            <v>262815.86</v>
          </cell>
        </row>
        <row r="339">
          <cell r="A339" t="str">
            <v>Supervisor</v>
          </cell>
        </row>
        <row r="340">
          <cell r="A340">
            <v>56010</v>
          </cell>
          <cell r="B340" t="str">
            <v>Salaries</v>
          </cell>
          <cell r="E340">
            <v>21484.6</v>
          </cell>
          <cell r="F340">
            <v>20461.52</v>
          </cell>
          <cell r="G340">
            <v>23530.74</v>
          </cell>
          <cell r="H340">
            <v>22507.68</v>
          </cell>
          <cell r="I340">
            <v>21484.6</v>
          </cell>
          <cell r="J340">
            <v>22507.66</v>
          </cell>
          <cell r="K340">
            <v>22636.52</v>
          </cell>
          <cell r="L340">
            <v>22649.4</v>
          </cell>
          <cell r="M340">
            <v>22649.39</v>
          </cell>
          <cell r="N340">
            <v>21768.59</v>
          </cell>
          <cell r="O340">
            <v>22733.7</v>
          </cell>
          <cell r="P340">
            <v>23898.34</v>
          </cell>
          <cell r="Q340">
            <v>268312.74</v>
          </cell>
        </row>
        <row r="341">
          <cell r="A341">
            <v>56020</v>
          </cell>
          <cell r="B341" t="str">
            <v>Wages Regular</v>
          </cell>
          <cell r="E341">
            <v>4948.7299999999996</v>
          </cell>
          <cell r="F341">
            <v>4243.8599999999997</v>
          </cell>
          <cell r="G341">
            <v>5249.43</v>
          </cell>
          <cell r="H341">
            <v>5618.66</v>
          </cell>
          <cell r="I341">
            <v>4920.93</v>
          </cell>
          <cell r="J341">
            <v>5799.39</v>
          </cell>
          <cell r="K341">
            <v>5404.71</v>
          </cell>
          <cell r="L341">
            <v>5365.56</v>
          </cell>
          <cell r="M341">
            <v>4903.59</v>
          </cell>
          <cell r="N341">
            <v>5263.01</v>
          </cell>
          <cell r="O341">
            <v>5800.6</v>
          </cell>
          <cell r="P341">
            <v>5428.54</v>
          </cell>
          <cell r="Q341">
            <v>62947.01</v>
          </cell>
        </row>
        <row r="342">
          <cell r="A342">
            <v>56025</v>
          </cell>
          <cell r="B342" t="str">
            <v>Wages O.T.</v>
          </cell>
          <cell r="E342">
            <v>515.38</v>
          </cell>
          <cell r="F342">
            <v>23.34</v>
          </cell>
          <cell r="G342">
            <v>199.47</v>
          </cell>
          <cell r="H342">
            <v>439.74</v>
          </cell>
          <cell r="I342">
            <v>937.69</v>
          </cell>
          <cell r="J342">
            <v>676.04</v>
          </cell>
          <cell r="K342">
            <v>89.23</v>
          </cell>
          <cell r="L342">
            <v>691.05</v>
          </cell>
          <cell r="M342">
            <v>707.32</v>
          </cell>
          <cell r="N342">
            <v>322.20999999999998</v>
          </cell>
          <cell r="O342">
            <v>737.63</v>
          </cell>
          <cell r="P342">
            <v>791.29</v>
          </cell>
          <cell r="Q342">
            <v>6130.3899999999994</v>
          </cell>
        </row>
        <row r="343">
          <cell r="A343">
            <v>56035</v>
          </cell>
          <cell r="B343" t="str">
            <v>Safety Bonuses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</row>
        <row r="344">
          <cell r="A344">
            <v>56036</v>
          </cell>
          <cell r="B344" t="str">
            <v>Other Bonus/Commission - Non-Safety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</row>
        <row r="345">
          <cell r="A345">
            <v>56037</v>
          </cell>
          <cell r="B345" t="str">
            <v>Termination Pay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</row>
        <row r="346">
          <cell r="A346">
            <v>56045</v>
          </cell>
          <cell r="B346" t="str">
            <v>Contract Labor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</row>
        <row r="347">
          <cell r="A347">
            <v>56050</v>
          </cell>
          <cell r="B347" t="str">
            <v>Payroll Taxes</v>
          </cell>
          <cell r="E347">
            <v>3178.64</v>
          </cell>
          <cell r="F347">
            <v>2251.66</v>
          </cell>
          <cell r="G347">
            <v>2524.9499999999998</v>
          </cell>
          <cell r="H347">
            <v>2497.5100000000002</v>
          </cell>
          <cell r="I347">
            <v>2309.15</v>
          </cell>
          <cell r="J347">
            <v>2588.5</v>
          </cell>
          <cell r="K347">
            <v>2219.94</v>
          </cell>
          <cell r="L347">
            <v>1586.57</v>
          </cell>
          <cell r="M347">
            <v>1804.92</v>
          </cell>
          <cell r="N347">
            <v>1787.26</v>
          </cell>
          <cell r="O347">
            <v>1971.2</v>
          </cell>
          <cell r="P347">
            <v>1725.76</v>
          </cell>
          <cell r="Q347">
            <v>26446.059999999994</v>
          </cell>
        </row>
        <row r="348">
          <cell r="A348">
            <v>56060</v>
          </cell>
          <cell r="B348" t="str">
            <v>Group Insurance</v>
          </cell>
          <cell r="E348">
            <v>2508.5</v>
          </cell>
          <cell r="F348">
            <v>2315.5</v>
          </cell>
          <cell r="G348">
            <v>2043</v>
          </cell>
          <cell r="H348">
            <v>2781</v>
          </cell>
          <cell r="I348">
            <v>2412</v>
          </cell>
          <cell r="J348">
            <v>1237</v>
          </cell>
          <cell r="K348">
            <v>1237</v>
          </cell>
          <cell r="L348">
            <v>1237</v>
          </cell>
          <cell r="M348">
            <v>868</v>
          </cell>
          <cell r="N348">
            <v>1606</v>
          </cell>
          <cell r="O348">
            <v>1237</v>
          </cell>
          <cell r="P348">
            <v>1237</v>
          </cell>
          <cell r="Q348">
            <v>20719</v>
          </cell>
        </row>
        <row r="349">
          <cell r="A349">
            <v>56065</v>
          </cell>
          <cell r="B349" t="str">
            <v>Vacation Pay</v>
          </cell>
          <cell r="E349">
            <v>2015.83</v>
          </cell>
          <cell r="F349">
            <v>1112.7</v>
          </cell>
          <cell r="G349">
            <v>1240.4000000000001</v>
          </cell>
          <cell r="H349">
            <v>1221.3699999999999</v>
          </cell>
          <cell r="I349">
            <v>1789.21</v>
          </cell>
          <cell r="J349">
            <v>2096.9899999999998</v>
          </cell>
          <cell r="K349">
            <v>-3773.2</v>
          </cell>
          <cell r="L349">
            <v>-940.29</v>
          </cell>
          <cell r="M349">
            <v>2549.7399999999998</v>
          </cell>
          <cell r="N349">
            <v>360.95</v>
          </cell>
          <cell r="O349">
            <v>2162.4499999999998</v>
          </cell>
          <cell r="P349">
            <v>2200.5700000000002</v>
          </cell>
          <cell r="Q349">
            <v>12036.72</v>
          </cell>
        </row>
        <row r="350">
          <cell r="A350">
            <v>56070</v>
          </cell>
          <cell r="B350" t="str">
            <v>Sick Pay</v>
          </cell>
          <cell r="E350">
            <v>-88.92</v>
          </cell>
          <cell r="F350">
            <v>208.16</v>
          </cell>
          <cell r="G350">
            <v>-102.08</v>
          </cell>
          <cell r="H350">
            <v>0</v>
          </cell>
          <cell r="I350">
            <v>487.17</v>
          </cell>
          <cell r="J350">
            <v>-182.69</v>
          </cell>
          <cell r="K350">
            <v>304.48</v>
          </cell>
          <cell r="L350">
            <v>182.69</v>
          </cell>
          <cell r="M350">
            <v>124.67</v>
          </cell>
          <cell r="N350">
            <v>66.48</v>
          </cell>
          <cell r="O350">
            <v>0</v>
          </cell>
          <cell r="P350">
            <v>0</v>
          </cell>
          <cell r="Q350">
            <v>999.96000000000015</v>
          </cell>
        </row>
        <row r="351">
          <cell r="A351">
            <v>56086</v>
          </cell>
          <cell r="B351" t="str">
            <v>Safety and Training</v>
          </cell>
          <cell r="E351">
            <v>86.34</v>
          </cell>
          <cell r="F351">
            <v>16.23</v>
          </cell>
          <cell r="G351">
            <v>31.23</v>
          </cell>
          <cell r="H351">
            <v>21.48</v>
          </cell>
          <cell r="I351">
            <v>0</v>
          </cell>
          <cell r="J351">
            <v>64.92</v>
          </cell>
          <cell r="K351">
            <v>0</v>
          </cell>
          <cell r="L351">
            <v>80.650000000000006</v>
          </cell>
          <cell r="M351">
            <v>0</v>
          </cell>
          <cell r="N351">
            <v>121.71</v>
          </cell>
          <cell r="O351">
            <v>0</v>
          </cell>
          <cell r="P351">
            <v>0</v>
          </cell>
          <cell r="Q351">
            <v>422.56</v>
          </cell>
        </row>
        <row r="352">
          <cell r="A352">
            <v>56090</v>
          </cell>
          <cell r="B352" t="str">
            <v>Uniforms</v>
          </cell>
          <cell r="E352">
            <v>356.19</v>
          </cell>
          <cell r="F352">
            <v>519.97</v>
          </cell>
          <cell r="G352">
            <v>1421.43</v>
          </cell>
          <cell r="H352">
            <v>967.63</v>
          </cell>
          <cell r="I352">
            <v>1153.95</v>
          </cell>
          <cell r="J352">
            <v>1314.26</v>
          </cell>
          <cell r="K352">
            <v>1629.69</v>
          </cell>
          <cell r="L352">
            <v>1082.08</v>
          </cell>
          <cell r="M352">
            <v>1087.67</v>
          </cell>
          <cell r="N352">
            <v>1240.51</v>
          </cell>
          <cell r="O352">
            <v>1230.1199999999999</v>
          </cell>
          <cell r="P352">
            <v>1719.85</v>
          </cell>
          <cell r="Q352">
            <v>13723.35</v>
          </cell>
        </row>
        <row r="353">
          <cell r="A353">
            <v>56095</v>
          </cell>
          <cell r="B353" t="str">
            <v>Empl &amp; Commun Activ</v>
          </cell>
          <cell r="E353">
            <v>242.51</v>
          </cell>
          <cell r="F353">
            <v>-88.98</v>
          </cell>
          <cell r="G353">
            <v>0</v>
          </cell>
          <cell r="H353">
            <v>30.82</v>
          </cell>
          <cell r="I353">
            <v>161.91999999999999</v>
          </cell>
          <cell r="J353">
            <v>154.44999999999999</v>
          </cell>
          <cell r="K353">
            <v>0</v>
          </cell>
          <cell r="L353">
            <v>81.739999999999995</v>
          </cell>
          <cell r="M353">
            <v>97.68</v>
          </cell>
          <cell r="N353">
            <v>250.97</v>
          </cell>
          <cell r="O353">
            <v>-60.35</v>
          </cell>
          <cell r="P353">
            <v>0</v>
          </cell>
          <cell r="Q353">
            <v>870.75999999999988</v>
          </cell>
        </row>
        <row r="354">
          <cell r="A354">
            <v>56105</v>
          </cell>
          <cell r="B354" t="str">
            <v>Employee Relocation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</row>
        <row r="355">
          <cell r="A355">
            <v>56108</v>
          </cell>
          <cell r="B355" t="str">
            <v>School Tuition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</row>
        <row r="356">
          <cell r="A356">
            <v>56115</v>
          </cell>
          <cell r="B356" t="str">
            <v>Pension and Profit Sharing</v>
          </cell>
          <cell r="E356">
            <v>259.32</v>
          </cell>
          <cell r="F356">
            <v>257.68</v>
          </cell>
          <cell r="G356">
            <v>386.43</v>
          </cell>
          <cell r="H356">
            <v>258.10000000000002</v>
          </cell>
          <cell r="I356">
            <v>332.41</v>
          </cell>
          <cell r="J356">
            <v>433.93</v>
          </cell>
          <cell r="K356">
            <v>427.05</v>
          </cell>
          <cell r="L356">
            <v>424.39</v>
          </cell>
          <cell r="M356">
            <v>428.34</v>
          </cell>
          <cell r="N356">
            <v>657.37</v>
          </cell>
          <cell r="O356">
            <v>545.69000000000005</v>
          </cell>
          <cell r="P356">
            <v>433.37</v>
          </cell>
          <cell r="Q356">
            <v>4844.0800000000008</v>
          </cell>
        </row>
        <row r="357">
          <cell r="A357">
            <v>56116</v>
          </cell>
          <cell r="B357" t="str">
            <v>Union Benefit Expense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</row>
        <row r="358">
          <cell r="A358">
            <v>56117</v>
          </cell>
          <cell r="B358" t="str">
            <v>Union Pension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</row>
        <row r="359">
          <cell r="A359">
            <v>56125</v>
          </cell>
          <cell r="B359" t="str">
            <v>Operating Supplies</v>
          </cell>
          <cell r="E359">
            <v>391.66</v>
          </cell>
          <cell r="F359">
            <v>526.79999999999995</v>
          </cell>
          <cell r="G359">
            <v>580.32000000000005</v>
          </cell>
          <cell r="H359">
            <v>1039.98</v>
          </cell>
          <cell r="I359">
            <v>-623.28</v>
          </cell>
          <cell r="J359">
            <v>102.55</v>
          </cell>
          <cell r="K359">
            <v>582.14</v>
          </cell>
          <cell r="L359">
            <v>366.9</v>
          </cell>
          <cell r="M359">
            <v>350.1</v>
          </cell>
          <cell r="N359">
            <v>0</v>
          </cell>
          <cell r="O359">
            <v>255.27</v>
          </cell>
          <cell r="P359">
            <v>127.61</v>
          </cell>
          <cell r="Q359">
            <v>3700.05</v>
          </cell>
        </row>
        <row r="360">
          <cell r="A360">
            <v>56140</v>
          </cell>
          <cell r="B360" t="str">
            <v>Tires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</row>
        <row r="361">
          <cell r="A361">
            <v>56142</v>
          </cell>
          <cell r="B361" t="str">
            <v>Fuel Expense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</row>
        <row r="362">
          <cell r="A362">
            <v>56148</v>
          </cell>
          <cell r="B362" t="str">
            <v>Allocated Exp In - District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</row>
        <row r="363">
          <cell r="A363">
            <v>56149</v>
          </cell>
          <cell r="B363" t="str">
            <v>Allocated Exp In Out - District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</row>
        <row r="364">
          <cell r="A364">
            <v>56165</v>
          </cell>
          <cell r="B364" t="str">
            <v>Communications</v>
          </cell>
          <cell r="E364">
            <v>1519.45</v>
          </cell>
          <cell r="F364">
            <v>1450.07</v>
          </cell>
          <cell r="G364">
            <v>1554.65</v>
          </cell>
          <cell r="H364">
            <v>4434.3500000000004</v>
          </cell>
          <cell r="I364">
            <v>-1597.73</v>
          </cell>
          <cell r="J364">
            <v>1513.67</v>
          </cell>
          <cell r="K364">
            <v>1505.33</v>
          </cell>
          <cell r="L364">
            <v>5156.7</v>
          </cell>
          <cell r="M364">
            <v>1422.01</v>
          </cell>
          <cell r="N364">
            <v>1404.71</v>
          </cell>
          <cell r="O364">
            <v>4969.07</v>
          </cell>
          <cell r="P364">
            <v>2885.81</v>
          </cell>
          <cell r="Q364">
            <v>26218.09</v>
          </cell>
        </row>
        <row r="365">
          <cell r="A365">
            <v>56200</v>
          </cell>
          <cell r="B365" t="str">
            <v>Travel</v>
          </cell>
          <cell r="E365">
            <v>0</v>
          </cell>
          <cell r="F365">
            <v>23</v>
          </cell>
          <cell r="G365">
            <v>32.75</v>
          </cell>
          <cell r="H365">
            <v>17.62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14.84</v>
          </cell>
          <cell r="O365">
            <v>-12.97</v>
          </cell>
          <cell r="P365">
            <v>0</v>
          </cell>
          <cell r="Q365">
            <v>75.240000000000009</v>
          </cell>
        </row>
        <row r="366">
          <cell r="A366">
            <v>56201</v>
          </cell>
          <cell r="B366" t="str">
            <v>Meal and Entertainment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34.36</v>
          </cell>
          <cell r="K366">
            <v>0</v>
          </cell>
          <cell r="L366">
            <v>0</v>
          </cell>
          <cell r="M366">
            <v>0</v>
          </cell>
          <cell r="N366">
            <v>348.63</v>
          </cell>
          <cell r="O366">
            <v>-333.79</v>
          </cell>
          <cell r="P366">
            <v>0</v>
          </cell>
          <cell r="Q366">
            <v>49.199999999999989</v>
          </cell>
        </row>
        <row r="367">
          <cell r="A367">
            <v>56210</v>
          </cell>
          <cell r="B367" t="str">
            <v>Office Supply and Equip</v>
          </cell>
          <cell r="E367">
            <v>302.63</v>
          </cell>
          <cell r="F367">
            <v>422.29</v>
          </cell>
          <cell r="G367">
            <v>391.69</v>
          </cell>
          <cell r="H367">
            <v>179.55</v>
          </cell>
          <cell r="I367">
            <v>722.74</v>
          </cell>
          <cell r="J367">
            <v>352.24</v>
          </cell>
          <cell r="K367">
            <v>0</v>
          </cell>
          <cell r="L367">
            <v>741.46</v>
          </cell>
          <cell r="M367">
            <v>364.82</v>
          </cell>
          <cell r="N367">
            <v>0</v>
          </cell>
          <cell r="O367">
            <v>886.4</v>
          </cell>
          <cell r="P367">
            <v>0</v>
          </cell>
          <cell r="Q367">
            <v>4363.8200000000006</v>
          </cell>
        </row>
        <row r="368">
          <cell r="A368">
            <v>56335</v>
          </cell>
          <cell r="B368" t="str">
            <v>Miscellaneous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</row>
        <row r="369">
          <cell r="A369">
            <v>56998</v>
          </cell>
          <cell r="B369" t="str">
            <v>Allocation Out - District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</row>
        <row r="370">
          <cell r="A370">
            <v>56999</v>
          </cell>
          <cell r="B370" t="str">
            <v>Allocation Out - Out District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</row>
        <row r="371">
          <cell r="A371" t="str">
            <v>Total Supervisor</v>
          </cell>
          <cell r="E371">
            <v>37720.86</v>
          </cell>
          <cell r="F371">
            <v>33743.800000000003</v>
          </cell>
          <cell r="G371">
            <v>39084.410000000011</v>
          </cell>
          <cell r="H371">
            <v>42015.490000000013</v>
          </cell>
          <cell r="I371">
            <v>34490.759999999995</v>
          </cell>
          <cell r="J371">
            <v>38693.26999999999</v>
          </cell>
          <cell r="K371">
            <v>32262.889999999992</v>
          </cell>
          <cell r="L371">
            <v>38705.899999999994</v>
          </cell>
          <cell r="M371">
            <v>37358.249999999993</v>
          </cell>
          <cell r="N371">
            <v>35213.239999999991</v>
          </cell>
          <cell r="O371">
            <v>42122.020000000004</v>
          </cell>
          <cell r="P371">
            <v>40448.14</v>
          </cell>
          <cell r="Q371">
            <v>451859.03</v>
          </cell>
        </row>
        <row r="373">
          <cell r="A373" t="str">
            <v>Other Operating Expense</v>
          </cell>
        </row>
        <row r="374">
          <cell r="A374">
            <v>46020</v>
          </cell>
          <cell r="B374" t="str">
            <v>Post Closure Amortization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</row>
        <row r="375">
          <cell r="A375">
            <v>57051</v>
          </cell>
          <cell r="B375" t="str">
            <v>AA Premiums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</row>
        <row r="376">
          <cell r="A376">
            <v>57125</v>
          </cell>
          <cell r="B376" t="str">
            <v>Operating Supplies</v>
          </cell>
          <cell r="E376">
            <v>0</v>
          </cell>
          <cell r="F376">
            <v>0</v>
          </cell>
          <cell r="G376">
            <v>0</v>
          </cell>
          <cell r="H376">
            <v>142.55000000000001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1177.5899999999999</v>
          </cell>
          <cell r="O376">
            <v>-1102.77</v>
          </cell>
          <cell r="P376">
            <v>0</v>
          </cell>
          <cell r="Q376">
            <v>217.36999999999989</v>
          </cell>
        </row>
        <row r="377">
          <cell r="A377">
            <v>57147</v>
          </cell>
          <cell r="B377" t="str">
            <v>Bldg &amp; Property</v>
          </cell>
          <cell r="E377">
            <v>5273.81</v>
          </cell>
          <cell r="F377">
            <v>1312.43</v>
          </cell>
          <cell r="G377">
            <v>1899.21</v>
          </cell>
          <cell r="H377">
            <v>1309.79</v>
          </cell>
          <cell r="I377">
            <v>1872.61</v>
          </cell>
          <cell r="J377">
            <v>1128</v>
          </cell>
          <cell r="K377">
            <v>1740.26</v>
          </cell>
          <cell r="L377">
            <v>3083.68</v>
          </cell>
          <cell r="M377">
            <v>2114.81</v>
          </cell>
          <cell r="N377">
            <v>1811.92</v>
          </cell>
          <cell r="O377">
            <v>3002.6</v>
          </cell>
          <cell r="P377">
            <v>2169.63</v>
          </cell>
          <cell r="Q377">
            <v>26718.750000000004</v>
          </cell>
        </row>
        <row r="378">
          <cell r="A378">
            <v>57148</v>
          </cell>
          <cell r="B378" t="str">
            <v>Allocated In - District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  <cell r="P378">
            <v>0</v>
          </cell>
          <cell r="Q378">
            <v>0</v>
          </cell>
        </row>
        <row r="379">
          <cell r="A379">
            <v>57149</v>
          </cell>
          <cell r="B379" t="str">
            <v>Allocated In - Out District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</row>
        <row r="380">
          <cell r="A380">
            <v>57150</v>
          </cell>
          <cell r="B380" t="str">
            <v>Utilities</v>
          </cell>
          <cell r="E380">
            <v>461.43</v>
          </cell>
          <cell r="F380">
            <v>96.57</v>
          </cell>
          <cell r="G380">
            <v>117.6</v>
          </cell>
          <cell r="H380">
            <v>83.43</v>
          </cell>
          <cell r="I380">
            <v>90.9</v>
          </cell>
          <cell r="J380">
            <v>57.15</v>
          </cell>
          <cell r="K380">
            <v>89.42</v>
          </cell>
          <cell r="L380">
            <v>52.59</v>
          </cell>
          <cell r="M380">
            <v>307.08</v>
          </cell>
          <cell r="N380">
            <v>59.56</v>
          </cell>
          <cell r="O380">
            <v>541.69000000000005</v>
          </cell>
          <cell r="P380">
            <v>104.21</v>
          </cell>
          <cell r="Q380">
            <v>2061.6299999999997</v>
          </cell>
        </row>
        <row r="381">
          <cell r="A381">
            <v>57165</v>
          </cell>
          <cell r="B381" t="str">
            <v>Communications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</row>
        <row r="382">
          <cell r="A382">
            <v>57166</v>
          </cell>
          <cell r="B382" t="str">
            <v>Leachate Treatment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</row>
        <row r="383">
          <cell r="A383">
            <v>57170</v>
          </cell>
          <cell r="B383" t="str">
            <v>Real Estate Rentals</v>
          </cell>
          <cell r="E383">
            <v>5891.03</v>
          </cell>
          <cell r="F383">
            <v>6528.62</v>
          </cell>
          <cell r="G383">
            <v>5891.03</v>
          </cell>
          <cell r="H383">
            <v>5800.95</v>
          </cell>
          <cell r="I383">
            <v>5800.95</v>
          </cell>
          <cell r="J383">
            <v>5800.95</v>
          </cell>
          <cell r="K383">
            <v>5800.95</v>
          </cell>
          <cell r="L383">
            <v>5800.95</v>
          </cell>
          <cell r="M383">
            <v>4412</v>
          </cell>
          <cell r="N383">
            <v>4412</v>
          </cell>
          <cell r="O383">
            <v>5800.95</v>
          </cell>
          <cell r="P383">
            <v>13259</v>
          </cell>
          <cell r="Q383">
            <v>75199.37999999999</v>
          </cell>
        </row>
        <row r="384">
          <cell r="A384">
            <v>57175</v>
          </cell>
          <cell r="B384" t="str">
            <v>Equipment Vehicle Rental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  <cell r="Q384">
            <v>0</v>
          </cell>
        </row>
        <row r="385">
          <cell r="A385">
            <v>57185</v>
          </cell>
          <cell r="B385" t="str">
            <v>Postage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</row>
        <row r="386">
          <cell r="A386">
            <v>57252</v>
          </cell>
          <cell r="B386" t="str">
            <v>Subcontract Expense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</row>
        <row r="387">
          <cell r="A387">
            <v>57254</v>
          </cell>
          <cell r="B387" t="str">
            <v>Drive Cam Fees</v>
          </cell>
          <cell r="E387">
            <v>1912.5</v>
          </cell>
          <cell r="F387">
            <v>1912.5</v>
          </cell>
          <cell r="G387">
            <v>1912.5</v>
          </cell>
          <cell r="H387">
            <v>1912.5</v>
          </cell>
          <cell r="I387">
            <v>2520</v>
          </cell>
          <cell r="J387">
            <v>2520</v>
          </cell>
          <cell r="K387">
            <v>2678.73</v>
          </cell>
          <cell r="L387">
            <v>2580.4699999999998</v>
          </cell>
          <cell r="M387">
            <v>2576.33</v>
          </cell>
          <cell r="N387">
            <v>2636.37</v>
          </cell>
          <cell r="O387">
            <v>2511.33</v>
          </cell>
          <cell r="P387">
            <v>2531.54</v>
          </cell>
          <cell r="Q387">
            <v>28204.769999999997</v>
          </cell>
        </row>
        <row r="388">
          <cell r="A388">
            <v>57255</v>
          </cell>
          <cell r="B388" t="str">
            <v>Other Prof Fees</v>
          </cell>
          <cell r="E388">
            <v>0</v>
          </cell>
          <cell r="F388">
            <v>0</v>
          </cell>
          <cell r="G388">
            <v>4.5</v>
          </cell>
          <cell r="H388">
            <v>4.5</v>
          </cell>
          <cell r="I388">
            <v>4.5</v>
          </cell>
          <cell r="J388">
            <v>4.5</v>
          </cell>
          <cell r="K388">
            <v>18</v>
          </cell>
          <cell r="L388">
            <v>4.5</v>
          </cell>
          <cell r="M388">
            <v>4.5</v>
          </cell>
          <cell r="N388">
            <v>4.5</v>
          </cell>
          <cell r="O388">
            <v>4.5</v>
          </cell>
          <cell r="P388">
            <v>0</v>
          </cell>
          <cell r="Q388">
            <v>54</v>
          </cell>
        </row>
        <row r="389">
          <cell r="A389">
            <v>57256</v>
          </cell>
          <cell r="B389" t="str">
            <v>Laboratory Fees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</row>
        <row r="390">
          <cell r="A390">
            <v>57257</v>
          </cell>
          <cell r="B390" t="str">
            <v>Engineering Fees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18100.03</v>
          </cell>
          <cell r="K390">
            <v>1254.3699999999999</v>
          </cell>
          <cell r="L390">
            <v>1448.12</v>
          </cell>
          <cell r="M390">
            <v>-11585</v>
          </cell>
          <cell r="N390">
            <v>0</v>
          </cell>
          <cell r="O390">
            <v>0</v>
          </cell>
          <cell r="P390">
            <v>0</v>
          </cell>
          <cell r="Q390">
            <v>9217.5199999999968</v>
          </cell>
        </row>
        <row r="391">
          <cell r="A391">
            <v>57275</v>
          </cell>
          <cell r="B391" t="str">
            <v>Property Taxes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</row>
        <row r="392">
          <cell r="A392">
            <v>57280</v>
          </cell>
          <cell r="B392" t="str">
            <v>Other Taxes</v>
          </cell>
          <cell r="E392">
            <v>459</v>
          </cell>
          <cell r="F392">
            <v>459</v>
          </cell>
          <cell r="G392">
            <v>459</v>
          </cell>
          <cell r="H392">
            <v>459</v>
          </cell>
          <cell r="I392">
            <v>459</v>
          </cell>
          <cell r="J392">
            <v>459</v>
          </cell>
          <cell r="K392">
            <v>459</v>
          </cell>
          <cell r="L392">
            <v>459</v>
          </cell>
          <cell r="M392">
            <v>459</v>
          </cell>
          <cell r="N392">
            <v>459</v>
          </cell>
          <cell r="O392">
            <v>459</v>
          </cell>
          <cell r="P392">
            <v>459</v>
          </cell>
          <cell r="Q392">
            <v>5508</v>
          </cell>
        </row>
        <row r="393">
          <cell r="A393">
            <v>57324</v>
          </cell>
          <cell r="B393" t="str">
            <v>Penalties and Violations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266.95</v>
          </cell>
          <cell r="O393">
            <v>0</v>
          </cell>
          <cell r="P393">
            <v>631.95000000000005</v>
          </cell>
          <cell r="Q393">
            <v>898.90000000000009</v>
          </cell>
        </row>
        <row r="394">
          <cell r="A394">
            <v>57335</v>
          </cell>
          <cell r="B394" t="str">
            <v>Miscellaneous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</row>
        <row r="395">
          <cell r="A395">
            <v>57345</v>
          </cell>
          <cell r="B395" t="str">
            <v>Secruity Services</v>
          </cell>
          <cell r="E395">
            <v>62.5</v>
          </cell>
          <cell r="F395">
            <v>62.5</v>
          </cell>
          <cell r="G395">
            <v>62.5</v>
          </cell>
          <cell r="H395">
            <v>62.5</v>
          </cell>
          <cell r="I395">
            <v>62.5</v>
          </cell>
          <cell r="J395">
            <v>62.5</v>
          </cell>
          <cell r="K395">
            <v>62.5</v>
          </cell>
          <cell r="L395">
            <v>62.5</v>
          </cell>
          <cell r="M395">
            <v>62.5</v>
          </cell>
          <cell r="N395">
            <v>0</v>
          </cell>
          <cell r="O395">
            <v>125</v>
          </cell>
          <cell r="P395">
            <v>0</v>
          </cell>
          <cell r="Q395">
            <v>687.5</v>
          </cell>
        </row>
        <row r="396">
          <cell r="A396">
            <v>57353</v>
          </cell>
          <cell r="B396" t="str">
            <v>Monitoring and Maint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</row>
        <row r="397">
          <cell r="A397">
            <v>57356</v>
          </cell>
          <cell r="B397" t="str">
            <v>Cover Cost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</row>
        <row r="398">
          <cell r="A398">
            <v>57357</v>
          </cell>
          <cell r="B398" t="str">
            <v>Permits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15</v>
          </cell>
          <cell r="O398">
            <v>0</v>
          </cell>
          <cell r="P398">
            <v>80</v>
          </cell>
          <cell r="Q398">
            <v>95</v>
          </cell>
        </row>
        <row r="399">
          <cell r="A399">
            <v>57360</v>
          </cell>
          <cell r="B399" t="str">
            <v>Royalties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</row>
        <row r="400">
          <cell r="A400">
            <v>57370</v>
          </cell>
          <cell r="B400" t="str">
            <v>Bonds Expense</v>
          </cell>
          <cell r="E400">
            <v>79.209999999999994</v>
          </cell>
          <cell r="F400">
            <v>79.209999999999994</v>
          </cell>
          <cell r="G400">
            <v>79.209999999999994</v>
          </cell>
          <cell r="H400">
            <v>129.57</v>
          </cell>
          <cell r="I400">
            <v>342.55</v>
          </cell>
          <cell r="J400">
            <v>129.55000000000001</v>
          </cell>
          <cell r="K400">
            <v>129.55000000000001</v>
          </cell>
          <cell r="L400">
            <v>129.55000000000001</v>
          </cell>
          <cell r="M400">
            <v>129.55000000000001</v>
          </cell>
          <cell r="N400">
            <v>129.55000000000001</v>
          </cell>
          <cell r="O400">
            <v>129.55000000000001</v>
          </cell>
          <cell r="P400">
            <v>39.549999999999997</v>
          </cell>
          <cell r="Q400">
            <v>1526.5999999999997</v>
          </cell>
        </row>
        <row r="401">
          <cell r="A401">
            <v>57900</v>
          </cell>
          <cell r="B401" t="str">
            <v>Capitalized Costs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</row>
        <row r="402">
          <cell r="A402">
            <v>57998</v>
          </cell>
          <cell r="B402" t="str">
            <v>Allocation Out - District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0</v>
          </cell>
        </row>
        <row r="403">
          <cell r="A403">
            <v>57999</v>
          </cell>
          <cell r="B403" t="str">
            <v>Allocation Out - Out District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</row>
        <row r="404">
          <cell r="A404">
            <v>70265</v>
          </cell>
          <cell r="B404" t="str">
            <v>Amortization of Long Term Contracts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  <cell r="P404">
            <v>0</v>
          </cell>
          <cell r="Q404">
            <v>0</v>
          </cell>
        </row>
        <row r="405">
          <cell r="A405">
            <v>80050</v>
          </cell>
          <cell r="B405" t="str">
            <v>Interest Expense Closure/Post Closure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  <cell r="Q405">
            <v>0</v>
          </cell>
        </row>
        <row r="406">
          <cell r="A406" t="str">
            <v>Total Other Operating Expense</v>
          </cell>
          <cell r="E406">
            <v>14139.48</v>
          </cell>
          <cell r="F406">
            <v>10450.829999999998</v>
          </cell>
          <cell r="G406">
            <v>10425.549999999999</v>
          </cell>
          <cell r="H406">
            <v>9904.7899999999991</v>
          </cell>
          <cell r="I406">
            <v>11153.009999999998</v>
          </cell>
          <cell r="J406">
            <v>28261.679999999997</v>
          </cell>
          <cell r="K406">
            <v>12232.779999999999</v>
          </cell>
          <cell r="L406">
            <v>13621.359999999997</v>
          </cell>
          <cell r="M406">
            <v>-1519.2300000000007</v>
          </cell>
          <cell r="N406">
            <v>10972.439999999999</v>
          </cell>
          <cell r="O406">
            <v>11471.849999999999</v>
          </cell>
          <cell r="P406">
            <v>19274.88</v>
          </cell>
          <cell r="Q406">
            <v>150389.41999999998</v>
          </cell>
        </row>
        <row r="408">
          <cell r="A408" t="str">
            <v>Insurance</v>
          </cell>
        </row>
        <row r="409">
          <cell r="A409">
            <v>59148</v>
          </cell>
          <cell r="B409" t="str">
            <v>Allocation In - District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</row>
        <row r="410">
          <cell r="A410">
            <v>59149</v>
          </cell>
          <cell r="B410" t="str">
            <v>Allocation In - Out District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</row>
        <row r="411">
          <cell r="A411">
            <v>59271</v>
          </cell>
          <cell r="B411" t="str">
            <v>Property and Liability Insurance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</row>
        <row r="412">
          <cell r="A412">
            <v>59326</v>
          </cell>
          <cell r="B412" t="str">
            <v>Deductible - Current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  <cell r="P412">
            <v>0</v>
          </cell>
          <cell r="Q412">
            <v>0</v>
          </cell>
        </row>
        <row r="413">
          <cell r="A413">
            <v>59327</v>
          </cell>
          <cell r="B413" t="str">
            <v>Deductible - Damage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0</v>
          </cell>
          <cell r="Q413">
            <v>0</v>
          </cell>
        </row>
        <row r="414">
          <cell r="A414">
            <v>59328</v>
          </cell>
          <cell r="B414" t="str">
            <v>Claim Recoveries</v>
          </cell>
          <cell r="E414">
            <v>0</v>
          </cell>
          <cell r="F414">
            <v>0</v>
          </cell>
          <cell r="G414">
            <v>-2328.46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-2328.46</v>
          </cell>
        </row>
        <row r="415">
          <cell r="A415">
            <v>59330</v>
          </cell>
          <cell r="B415" t="str">
            <v>Deduct - Prior Year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</row>
        <row r="416">
          <cell r="A416">
            <v>59331</v>
          </cell>
          <cell r="B416" t="str">
            <v>RM Fixed Costs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</row>
        <row r="417">
          <cell r="A417">
            <v>59340</v>
          </cell>
          <cell r="B417" t="str">
            <v>Self Insurance Premium</v>
          </cell>
          <cell r="E417">
            <v>6884.94</v>
          </cell>
          <cell r="F417">
            <v>6884.94</v>
          </cell>
          <cell r="G417">
            <v>6884.94</v>
          </cell>
          <cell r="H417">
            <v>6884.94</v>
          </cell>
          <cell r="I417">
            <v>6884.94</v>
          </cell>
          <cell r="J417">
            <v>6884.94</v>
          </cell>
          <cell r="K417">
            <v>6884.94</v>
          </cell>
          <cell r="L417">
            <v>6884.94</v>
          </cell>
          <cell r="M417">
            <v>6884.94</v>
          </cell>
          <cell r="N417">
            <v>6884.94</v>
          </cell>
          <cell r="O417">
            <v>6884.94</v>
          </cell>
          <cell r="P417">
            <v>6884.94</v>
          </cell>
          <cell r="Q417">
            <v>82619.280000000013</v>
          </cell>
        </row>
        <row r="418">
          <cell r="A418">
            <v>59341</v>
          </cell>
          <cell r="B418" t="str">
            <v>A&amp;L - Current Year Claims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  <cell r="P418">
            <v>2600</v>
          </cell>
          <cell r="Q418">
            <v>2600</v>
          </cell>
        </row>
        <row r="419">
          <cell r="A419">
            <v>59342</v>
          </cell>
          <cell r="B419" t="str">
            <v>A&amp;L - Prior Year Claims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0.3</v>
          </cell>
          <cell r="J419">
            <v>-0.15</v>
          </cell>
          <cell r="K419">
            <v>1577.07</v>
          </cell>
          <cell r="L419">
            <v>0.05</v>
          </cell>
          <cell r="M419">
            <v>0</v>
          </cell>
          <cell r="N419">
            <v>0</v>
          </cell>
          <cell r="O419">
            <v>0</v>
          </cell>
          <cell r="P419">
            <v>0</v>
          </cell>
          <cell r="Q419">
            <v>1577.27</v>
          </cell>
        </row>
        <row r="420">
          <cell r="A420">
            <v>59343</v>
          </cell>
          <cell r="B420" t="str">
            <v>WC - Current Year Claims</v>
          </cell>
          <cell r="E420">
            <v>53330.6</v>
          </cell>
          <cell r="F420">
            <v>13301</v>
          </cell>
          <cell r="G420">
            <v>13532.93</v>
          </cell>
          <cell r="H420">
            <v>-35945.980000000003</v>
          </cell>
          <cell r="I420">
            <v>151.47999999999999</v>
          </cell>
          <cell r="J420">
            <v>0</v>
          </cell>
          <cell r="K420">
            <v>-5630.29</v>
          </cell>
          <cell r="L420">
            <v>19.420000000000002</v>
          </cell>
          <cell r="M420">
            <v>28.64</v>
          </cell>
          <cell r="N420">
            <v>6955.88</v>
          </cell>
          <cell r="O420">
            <v>11900</v>
          </cell>
          <cell r="P420">
            <v>2180.23</v>
          </cell>
          <cell r="Q420">
            <v>59823.909999999996</v>
          </cell>
        </row>
        <row r="421">
          <cell r="A421">
            <v>59344</v>
          </cell>
          <cell r="B421" t="str">
            <v>WC - Prior Year Claims</v>
          </cell>
          <cell r="E421">
            <v>0</v>
          </cell>
          <cell r="F421">
            <v>0</v>
          </cell>
          <cell r="G421">
            <v>0</v>
          </cell>
          <cell r="H421">
            <v>66006.16</v>
          </cell>
          <cell r="I421">
            <v>2800</v>
          </cell>
          <cell r="J421">
            <v>-3742.81</v>
          </cell>
          <cell r="K421">
            <v>36406.36</v>
          </cell>
          <cell r="L421">
            <v>0</v>
          </cell>
          <cell r="M421">
            <v>28.28</v>
          </cell>
          <cell r="N421">
            <v>4000</v>
          </cell>
          <cell r="O421">
            <v>-547</v>
          </cell>
          <cell r="P421">
            <v>12729.61</v>
          </cell>
          <cell r="Q421">
            <v>117680.6</v>
          </cell>
        </row>
        <row r="422">
          <cell r="A422">
            <v>59350</v>
          </cell>
          <cell r="B422" t="str">
            <v>Self Isurance IBNR Estimates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</row>
        <row r="423">
          <cell r="A423">
            <v>59400</v>
          </cell>
          <cell r="B423" t="str">
            <v>Damages paid by District</v>
          </cell>
          <cell r="E423">
            <v>-3539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  <cell r="P423">
            <v>2099.67</v>
          </cell>
          <cell r="Q423">
            <v>-1439.33</v>
          </cell>
        </row>
        <row r="424">
          <cell r="A424">
            <v>59401</v>
          </cell>
          <cell r="B424" t="str">
            <v>Insurance claim repairs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</row>
        <row r="425">
          <cell r="A425">
            <v>59500</v>
          </cell>
          <cell r="B425" t="str">
            <v>Workers Comp Prem</v>
          </cell>
          <cell r="E425">
            <v>1104</v>
          </cell>
          <cell r="F425">
            <v>4000</v>
          </cell>
          <cell r="G425">
            <v>4000</v>
          </cell>
          <cell r="H425">
            <v>2000</v>
          </cell>
          <cell r="I425">
            <v>1000</v>
          </cell>
          <cell r="J425">
            <v>2000</v>
          </cell>
          <cell r="K425">
            <v>2000</v>
          </cell>
          <cell r="L425">
            <v>2000</v>
          </cell>
          <cell r="M425">
            <v>3000</v>
          </cell>
          <cell r="N425">
            <v>3000</v>
          </cell>
          <cell r="O425">
            <v>3000</v>
          </cell>
          <cell r="P425">
            <v>0</v>
          </cell>
          <cell r="Q425">
            <v>27104</v>
          </cell>
        </row>
        <row r="426">
          <cell r="A426">
            <v>59998</v>
          </cell>
          <cell r="B426" t="str">
            <v>Allocation Out - District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0</v>
          </cell>
          <cell r="P426">
            <v>0</v>
          </cell>
          <cell r="Q426">
            <v>0</v>
          </cell>
        </row>
        <row r="427">
          <cell r="A427">
            <v>59999</v>
          </cell>
          <cell r="B427" t="str">
            <v>Allocation Out - Out District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0</v>
          </cell>
        </row>
        <row r="428">
          <cell r="A428" t="str">
            <v>Total Insurance</v>
          </cell>
          <cell r="E428">
            <v>57780.54</v>
          </cell>
          <cell r="F428">
            <v>24185.94</v>
          </cell>
          <cell r="G428">
            <v>22089.41</v>
          </cell>
          <cell r="H428">
            <v>38945.119999999995</v>
          </cell>
          <cell r="I428">
            <v>10836.72</v>
          </cell>
          <cell r="J428">
            <v>5141.9799999999996</v>
          </cell>
          <cell r="K428">
            <v>41238.080000000002</v>
          </cell>
          <cell r="L428">
            <v>8904.41</v>
          </cell>
          <cell r="M428">
            <v>9941.86</v>
          </cell>
          <cell r="N428">
            <v>20840.82</v>
          </cell>
          <cell r="O428">
            <v>21237.94</v>
          </cell>
          <cell r="P428">
            <v>26494.449999999997</v>
          </cell>
          <cell r="Q428">
            <v>287637.27</v>
          </cell>
        </row>
        <row r="430">
          <cell r="A430" t="str">
            <v>Disposal of Assets and Operations</v>
          </cell>
        </row>
        <row r="431">
          <cell r="A431">
            <v>72000</v>
          </cell>
          <cell r="B431" t="str">
            <v>Gain/Loss on Disposal of Operations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0</v>
          </cell>
        </row>
        <row r="432">
          <cell r="A432">
            <v>91010</v>
          </cell>
          <cell r="B432" t="str">
            <v>Gain/Loss on Sale of Asset</v>
          </cell>
          <cell r="E432">
            <v>0</v>
          </cell>
          <cell r="F432">
            <v>0</v>
          </cell>
          <cell r="G432">
            <v>0</v>
          </cell>
          <cell r="H432">
            <v>145.82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145.82</v>
          </cell>
        </row>
        <row r="433">
          <cell r="A433" t="str">
            <v>Total Disposal of Assets and Operations</v>
          </cell>
          <cell r="E433">
            <v>0</v>
          </cell>
          <cell r="F433">
            <v>0</v>
          </cell>
          <cell r="G433">
            <v>0</v>
          </cell>
          <cell r="H433">
            <v>145.82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145.82</v>
          </cell>
        </row>
        <row r="435">
          <cell r="A435" t="str">
            <v>Total Operating Costs</v>
          </cell>
          <cell r="E435">
            <v>556322.18999999994</v>
          </cell>
          <cell r="F435">
            <v>483088.13</v>
          </cell>
          <cell r="G435">
            <v>533902.79</v>
          </cell>
          <cell r="H435">
            <v>564081.47</v>
          </cell>
          <cell r="I435">
            <v>483474.26</v>
          </cell>
          <cell r="J435">
            <v>500744.69999999995</v>
          </cell>
          <cell r="K435">
            <v>514379.49999999994</v>
          </cell>
          <cell r="L435">
            <v>499533.73</v>
          </cell>
          <cell r="M435">
            <v>480587.02</v>
          </cell>
          <cell r="N435">
            <v>468427.15999999992</v>
          </cell>
          <cell r="O435">
            <v>510740</v>
          </cell>
          <cell r="P435">
            <v>507649</v>
          </cell>
          <cell r="Q435">
            <v>6102929.9500000002</v>
          </cell>
        </row>
        <row r="437">
          <cell r="A437" t="str">
            <v>Gross Profit</v>
          </cell>
          <cell r="E437">
            <v>283635.74000000011</v>
          </cell>
          <cell r="F437">
            <v>397011.87</v>
          </cell>
          <cell r="G437">
            <v>293409.25999999989</v>
          </cell>
          <cell r="H437">
            <v>295183.43000000005</v>
          </cell>
          <cell r="I437">
            <v>372092.71999999974</v>
          </cell>
          <cell r="J437">
            <v>350748.59000000008</v>
          </cell>
          <cell r="K437">
            <v>347516.12000000005</v>
          </cell>
          <cell r="L437">
            <v>388020.01</v>
          </cell>
          <cell r="M437">
            <v>377828.52</v>
          </cell>
          <cell r="N437">
            <v>382225.52999999991</v>
          </cell>
          <cell r="O437">
            <v>311431.2100000002</v>
          </cell>
          <cell r="P437">
            <v>306754.91999999981</v>
          </cell>
          <cell r="Q437">
            <v>4105857.9199999953</v>
          </cell>
        </row>
        <row r="439">
          <cell r="A439" t="str">
            <v>SG&amp;A</v>
          </cell>
        </row>
        <row r="440">
          <cell r="A440" t="str">
            <v>Sales</v>
          </cell>
        </row>
        <row r="441">
          <cell r="A441">
            <v>60010</v>
          </cell>
          <cell r="B441" t="str">
            <v>Salaries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  <cell r="Q441">
            <v>0</v>
          </cell>
        </row>
        <row r="442">
          <cell r="A442">
            <v>60020</v>
          </cell>
          <cell r="B442" t="str">
            <v>Wages Regular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>
            <v>0</v>
          </cell>
          <cell r="N442">
            <v>0</v>
          </cell>
          <cell r="O442">
            <v>0</v>
          </cell>
          <cell r="P442">
            <v>0</v>
          </cell>
          <cell r="Q442">
            <v>0</v>
          </cell>
        </row>
        <row r="443">
          <cell r="A443">
            <v>60025</v>
          </cell>
          <cell r="B443" t="str">
            <v>Wages O.T.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  <cell r="P443">
            <v>0</v>
          </cell>
          <cell r="Q443">
            <v>0</v>
          </cell>
        </row>
        <row r="444">
          <cell r="A444">
            <v>60030</v>
          </cell>
          <cell r="B444" t="str">
            <v>Bonuses and Commissions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  <cell r="Q444">
            <v>0</v>
          </cell>
        </row>
        <row r="445">
          <cell r="A445">
            <v>60035</v>
          </cell>
          <cell r="B445" t="str">
            <v>Safety Bonuses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</row>
        <row r="446">
          <cell r="A446">
            <v>60037</v>
          </cell>
          <cell r="B446" t="str">
            <v>Termination Pay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</row>
        <row r="447">
          <cell r="A447">
            <v>60045</v>
          </cell>
          <cell r="B447" t="str">
            <v>Contract Labor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</row>
        <row r="448">
          <cell r="A448">
            <v>60050</v>
          </cell>
          <cell r="B448" t="str">
            <v>Payroll Taxes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</row>
        <row r="449">
          <cell r="A449">
            <v>60060</v>
          </cell>
          <cell r="B449" t="str">
            <v>Group Insurance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</row>
        <row r="450">
          <cell r="A450">
            <v>60065</v>
          </cell>
          <cell r="B450" t="str">
            <v>Vacation Pay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</row>
        <row r="451">
          <cell r="A451">
            <v>60070</v>
          </cell>
          <cell r="B451" t="str">
            <v>Sick Pay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</row>
        <row r="452">
          <cell r="A452">
            <v>60086</v>
          </cell>
          <cell r="B452" t="str">
            <v>Safety and Training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</row>
        <row r="453">
          <cell r="A453">
            <v>60095</v>
          </cell>
          <cell r="B453" t="str">
            <v>Empl &amp; Commun Activ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</row>
        <row r="454">
          <cell r="A454">
            <v>60105</v>
          </cell>
          <cell r="B454" t="str">
            <v>Employee Relocation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</row>
        <row r="455">
          <cell r="A455">
            <v>60115</v>
          </cell>
          <cell r="B455" t="str">
            <v>School Tuition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</row>
        <row r="456">
          <cell r="A456">
            <v>60116</v>
          </cell>
          <cell r="B456" t="str">
            <v>Pension and Profit Sharing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  <cell r="Q456">
            <v>0</v>
          </cell>
        </row>
        <row r="457">
          <cell r="A457">
            <v>60117</v>
          </cell>
          <cell r="B457" t="str">
            <v>Union Pension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</row>
        <row r="458">
          <cell r="A458">
            <v>60148</v>
          </cell>
          <cell r="B458" t="str">
            <v>Allocated Exp In - District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</row>
        <row r="459">
          <cell r="A459">
            <v>60149</v>
          </cell>
          <cell r="B459" t="str">
            <v>Allocated Exp In Out - District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</row>
        <row r="460">
          <cell r="A460">
            <v>60165</v>
          </cell>
          <cell r="B460" t="str">
            <v>Communications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</row>
        <row r="461">
          <cell r="A461">
            <v>60170</v>
          </cell>
          <cell r="B461" t="str">
            <v>Real Estate Rentals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</row>
        <row r="462">
          <cell r="A462">
            <v>60175</v>
          </cell>
          <cell r="B462" t="str">
            <v>Equip/Vehicle Rental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</row>
        <row r="463">
          <cell r="A463">
            <v>60185</v>
          </cell>
          <cell r="B463" t="str">
            <v>Postage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</row>
        <row r="464">
          <cell r="A464">
            <v>60195</v>
          </cell>
          <cell r="B464" t="str">
            <v>Dues and Subscriptions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</row>
        <row r="465">
          <cell r="A465">
            <v>60196</v>
          </cell>
          <cell r="B465" t="str">
            <v>Club Dues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</row>
        <row r="466">
          <cell r="A466">
            <v>60200</v>
          </cell>
          <cell r="B466" t="str">
            <v>Travel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</row>
        <row r="467">
          <cell r="A467">
            <v>60201</v>
          </cell>
          <cell r="B467" t="str">
            <v>Entertainment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</row>
        <row r="468">
          <cell r="A468">
            <v>60205</v>
          </cell>
          <cell r="B468" t="str">
            <v>Travel - Auto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</row>
        <row r="469">
          <cell r="A469">
            <v>60210</v>
          </cell>
          <cell r="B469" t="str">
            <v>Office Supplies and Equip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</row>
        <row r="470">
          <cell r="A470">
            <v>60225</v>
          </cell>
          <cell r="B470" t="str">
            <v>Advertising and Promotions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3237.6</v>
          </cell>
          <cell r="Q470">
            <v>3237.6</v>
          </cell>
        </row>
        <row r="471">
          <cell r="A471">
            <v>60234</v>
          </cell>
          <cell r="B471" t="str">
            <v>O/S Sales Exp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</row>
        <row r="472">
          <cell r="A472">
            <v>60255</v>
          </cell>
          <cell r="B472" t="str">
            <v>Other Prof Fees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</row>
        <row r="473">
          <cell r="A473">
            <v>60326</v>
          </cell>
          <cell r="B473" t="str">
            <v>Deduct - Current Yr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A474">
            <v>60327</v>
          </cell>
          <cell r="B474" t="str">
            <v>Deduct - Damage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</row>
        <row r="475">
          <cell r="A475">
            <v>60328</v>
          </cell>
          <cell r="B475" t="str">
            <v>Claim Recoveries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</row>
        <row r="476">
          <cell r="A476">
            <v>60330</v>
          </cell>
          <cell r="B476" t="str">
            <v>Deduct Prior Year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</row>
        <row r="477">
          <cell r="A477">
            <v>60335</v>
          </cell>
          <cell r="B477" t="str">
            <v>Miscellaneous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</row>
        <row r="478">
          <cell r="A478">
            <v>60998</v>
          </cell>
          <cell r="B478" t="str">
            <v>Allocation Out - District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60999</v>
          </cell>
          <cell r="B479" t="str">
            <v>Allocation Out - Out District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  <cell r="P479">
            <v>0</v>
          </cell>
          <cell r="Q479">
            <v>0</v>
          </cell>
        </row>
        <row r="480">
          <cell r="A480" t="str">
            <v>Total Sales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3237.6</v>
          </cell>
          <cell r="Q480">
            <v>3237.6</v>
          </cell>
        </row>
        <row r="482">
          <cell r="A482" t="str">
            <v>G&amp;A</v>
          </cell>
        </row>
        <row r="483">
          <cell r="A483">
            <v>70010</v>
          </cell>
          <cell r="B483" t="str">
            <v>Salaries</v>
          </cell>
          <cell r="E483">
            <v>28808.37</v>
          </cell>
          <cell r="F483">
            <v>29237.93</v>
          </cell>
          <cell r="G483">
            <v>34055.660000000003</v>
          </cell>
          <cell r="H483">
            <v>32303.54</v>
          </cell>
          <cell r="I483">
            <v>32394.99</v>
          </cell>
          <cell r="J483">
            <v>34374</v>
          </cell>
          <cell r="K483">
            <v>35547.46</v>
          </cell>
          <cell r="L483">
            <v>34794.910000000003</v>
          </cell>
          <cell r="M483">
            <v>35448.120000000003</v>
          </cell>
          <cell r="N483">
            <v>34195.99</v>
          </cell>
          <cell r="O483">
            <v>35269.089999999997</v>
          </cell>
          <cell r="P483">
            <v>37099.64</v>
          </cell>
          <cell r="Q483">
            <v>403529.69999999995</v>
          </cell>
        </row>
        <row r="484">
          <cell r="A484">
            <v>70015</v>
          </cell>
          <cell r="B484" t="str">
            <v>Deferred Comp Earnings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</row>
        <row r="485">
          <cell r="A485">
            <v>70020</v>
          </cell>
          <cell r="B485" t="str">
            <v>Wages Regular</v>
          </cell>
          <cell r="E485">
            <v>28572.240000000002</v>
          </cell>
          <cell r="F485">
            <v>30096.06</v>
          </cell>
          <cell r="G485">
            <v>32883.68</v>
          </cell>
          <cell r="H485">
            <v>33553.279999999999</v>
          </cell>
          <cell r="I485">
            <v>27323.32</v>
          </cell>
          <cell r="J485">
            <v>31281.360000000001</v>
          </cell>
          <cell r="K485">
            <v>28636.82</v>
          </cell>
          <cell r="L485">
            <v>32591.07</v>
          </cell>
          <cell r="M485">
            <v>25152.99</v>
          </cell>
          <cell r="N485">
            <v>26476.49</v>
          </cell>
          <cell r="O485">
            <v>29556.5</v>
          </cell>
          <cell r="P485">
            <v>26409.97</v>
          </cell>
          <cell r="Q485">
            <v>352533.78</v>
          </cell>
        </row>
        <row r="486">
          <cell r="A486">
            <v>70025</v>
          </cell>
          <cell r="B486" t="str">
            <v>Wages O.T.</v>
          </cell>
          <cell r="E486">
            <v>1534.05</v>
          </cell>
          <cell r="F486">
            <v>1546.14</v>
          </cell>
          <cell r="G486">
            <v>1142.1400000000001</v>
          </cell>
          <cell r="H486">
            <v>1991.39</v>
          </cell>
          <cell r="I486">
            <v>1423.14</v>
          </cell>
          <cell r="J486">
            <v>1581.5</v>
          </cell>
          <cell r="K486">
            <v>577.54</v>
          </cell>
          <cell r="L486">
            <v>3583.2</v>
          </cell>
          <cell r="M486">
            <v>1079.97</v>
          </cell>
          <cell r="N486">
            <v>1516.27</v>
          </cell>
          <cell r="O486">
            <v>2000.96</v>
          </cell>
          <cell r="P486">
            <v>1477.46</v>
          </cell>
          <cell r="Q486">
            <v>19453.760000000002</v>
          </cell>
        </row>
        <row r="487">
          <cell r="A487">
            <v>70030</v>
          </cell>
          <cell r="B487" t="str">
            <v>Corp Allocated Bonus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  <cell r="Q487">
            <v>0</v>
          </cell>
        </row>
        <row r="488">
          <cell r="A488">
            <v>70035</v>
          </cell>
          <cell r="B488" t="str">
            <v>Safety Bonuses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</row>
        <row r="489">
          <cell r="A489">
            <v>70036</v>
          </cell>
          <cell r="B489" t="str">
            <v>Other Bonus/Commission - Non-Safety</v>
          </cell>
          <cell r="E489">
            <v>1075</v>
          </cell>
          <cell r="F489">
            <v>1675</v>
          </cell>
          <cell r="G489">
            <v>7455.5</v>
          </cell>
          <cell r="H489">
            <v>3066.38</v>
          </cell>
          <cell r="I489">
            <v>1438.95</v>
          </cell>
          <cell r="J489">
            <v>3016.36</v>
          </cell>
          <cell r="K489">
            <v>2625</v>
          </cell>
          <cell r="L489">
            <v>2678.43</v>
          </cell>
          <cell r="M489">
            <v>2913.79</v>
          </cell>
          <cell r="N489">
            <v>1746.4</v>
          </cell>
          <cell r="O489">
            <v>2652.32</v>
          </cell>
          <cell r="P489">
            <v>5362.05</v>
          </cell>
          <cell r="Q489">
            <v>35705.180000000008</v>
          </cell>
        </row>
        <row r="490">
          <cell r="A490">
            <v>70037</v>
          </cell>
          <cell r="B490" t="str">
            <v>Termination Pay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  <cell r="Q490">
            <v>0</v>
          </cell>
        </row>
        <row r="491">
          <cell r="A491">
            <v>70045</v>
          </cell>
          <cell r="B491" t="str">
            <v>Contract Labor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  <cell r="M491">
            <v>0</v>
          </cell>
          <cell r="N491">
            <v>0</v>
          </cell>
          <cell r="O491">
            <v>0</v>
          </cell>
          <cell r="P491">
            <v>0</v>
          </cell>
          <cell r="Q491">
            <v>0</v>
          </cell>
        </row>
        <row r="492">
          <cell r="A492">
            <v>70050</v>
          </cell>
          <cell r="B492" t="str">
            <v>Payroll Taxes</v>
          </cell>
          <cell r="E492">
            <v>7335.33</v>
          </cell>
          <cell r="F492">
            <v>5253.85</v>
          </cell>
          <cell r="G492">
            <v>6887.21</v>
          </cell>
          <cell r="H492">
            <v>5839.13</v>
          </cell>
          <cell r="I492">
            <v>4643.53</v>
          </cell>
          <cell r="J492">
            <v>5669.76</v>
          </cell>
          <cell r="K492">
            <v>4555.33</v>
          </cell>
          <cell r="L492">
            <v>5742.05</v>
          </cell>
          <cell r="M492">
            <v>4517.6899999999996</v>
          </cell>
          <cell r="N492">
            <v>4408.2</v>
          </cell>
          <cell r="O492">
            <v>4942.4399999999996</v>
          </cell>
          <cell r="P492">
            <v>5199.09</v>
          </cell>
          <cell r="Q492">
            <v>64993.61</v>
          </cell>
        </row>
        <row r="493">
          <cell r="A493">
            <v>70060</v>
          </cell>
          <cell r="B493" t="str">
            <v>Group Insurance</v>
          </cell>
          <cell r="E493">
            <v>11410.52</v>
          </cell>
          <cell r="F493">
            <v>11524.58</v>
          </cell>
          <cell r="G493">
            <v>10554.24</v>
          </cell>
          <cell r="H493">
            <v>13084.2</v>
          </cell>
          <cell r="I493">
            <v>12115.75</v>
          </cell>
          <cell r="J493">
            <v>12494.37</v>
          </cell>
          <cell r="K493">
            <v>12559.75</v>
          </cell>
          <cell r="L493">
            <v>12415.93</v>
          </cell>
          <cell r="M493">
            <v>11362.28</v>
          </cell>
          <cell r="N493">
            <v>13749.11</v>
          </cell>
          <cell r="O493">
            <v>12593.52</v>
          </cell>
          <cell r="P493">
            <v>12600.59</v>
          </cell>
          <cell r="Q493">
            <v>146464.84</v>
          </cell>
        </row>
        <row r="494">
          <cell r="A494">
            <v>70065</v>
          </cell>
          <cell r="B494" t="str">
            <v>Vacation Pay</v>
          </cell>
          <cell r="E494">
            <v>1582.88</v>
          </cell>
          <cell r="F494">
            <v>4413.99</v>
          </cell>
          <cell r="G494">
            <v>48.78</v>
          </cell>
          <cell r="H494">
            <v>2185.79</v>
          </cell>
          <cell r="I494">
            <v>4000.59</v>
          </cell>
          <cell r="J494">
            <v>-891.88</v>
          </cell>
          <cell r="K494">
            <v>4756.8500000000004</v>
          </cell>
          <cell r="L494">
            <v>2920.08</v>
          </cell>
          <cell r="M494">
            <v>4784.29</v>
          </cell>
          <cell r="N494">
            <v>3124.36</v>
          </cell>
          <cell r="O494">
            <v>2610.1999999999998</v>
          </cell>
          <cell r="P494">
            <v>4173.68</v>
          </cell>
          <cell r="Q494">
            <v>33709.61</v>
          </cell>
        </row>
        <row r="495">
          <cell r="A495">
            <v>70070</v>
          </cell>
          <cell r="B495" t="str">
            <v>Sick Pay</v>
          </cell>
          <cell r="E495">
            <v>396.68</v>
          </cell>
          <cell r="F495">
            <v>680.36</v>
          </cell>
          <cell r="G495">
            <v>1133.57</v>
          </cell>
          <cell r="H495">
            <v>674.93</v>
          </cell>
          <cell r="I495">
            <v>892.47</v>
          </cell>
          <cell r="J495">
            <v>554.58000000000004</v>
          </cell>
          <cell r="K495">
            <v>198.93</v>
          </cell>
          <cell r="L495">
            <v>122.21</v>
          </cell>
          <cell r="M495">
            <v>727.21</v>
          </cell>
          <cell r="N495">
            <v>366.82</v>
          </cell>
          <cell r="O495">
            <v>768.29</v>
          </cell>
          <cell r="P495">
            <v>121.28</v>
          </cell>
          <cell r="Q495">
            <v>6637.329999999999</v>
          </cell>
        </row>
        <row r="496">
          <cell r="A496">
            <v>70086</v>
          </cell>
          <cell r="B496" t="str">
            <v>Safety and Training</v>
          </cell>
          <cell r="E496">
            <v>14.8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35.6</v>
          </cell>
          <cell r="K496">
            <v>0</v>
          </cell>
          <cell r="L496">
            <v>70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120.4</v>
          </cell>
        </row>
        <row r="497">
          <cell r="A497">
            <v>70090</v>
          </cell>
          <cell r="B497" t="str">
            <v>WCN Training</v>
          </cell>
          <cell r="E497">
            <v>0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708.81</v>
          </cell>
          <cell r="O497">
            <v>-708.81</v>
          </cell>
          <cell r="P497">
            <v>0</v>
          </cell>
          <cell r="Q497">
            <v>0</v>
          </cell>
        </row>
        <row r="498">
          <cell r="A498">
            <v>70095</v>
          </cell>
          <cell r="B498" t="str">
            <v>Empl &amp; Commun Activ</v>
          </cell>
          <cell r="E498">
            <v>16986.41</v>
          </cell>
          <cell r="F498">
            <v>158.86000000000001</v>
          </cell>
          <cell r="G498">
            <v>1019.92</v>
          </cell>
          <cell r="H498">
            <v>210.51</v>
          </cell>
          <cell r="I498">
            <v>1580.13</v>
          </cell>
          <cell r="J498">
            <v>4162.7</v>
          </cell>
          <cell r="K498">
            <v>660.39</v>
          </cell>
          <cell r="L498">
            <v>2656.19</v>
          </cell>
          <cell r="M498">
            <v>517.80999999999995</v>
          </cell>
          <cell r="N498">
            <v>54.01</v>
          </cell>
          <cell r="O498">
            <v>1519.35</v>
          </cell>
          <cell r="P498">
            <v>3351.61</v>
          </cell>
          <cell r="Q498">
            <v>32877.889999999992</v>
          </cell>
        </row>
        <row r="499">
          <cell r="A499">
            <v>70105</v>
          </cell>
          <cell r="B499" t="str">
            <v>Employee Relocation</v>
          </cell>
          <cell r="E499">
            <v>381.64</v>
          </cell>
          <cell r="F499">
            <v>381.64</v>
          </cell>
          <cell r="G499">
            <v>381.64</v>
          </cell>
          <cell r="H499">
            <v>381.64</v>
          </cell>
          <cell r="I499">
            <v>381.64</v>
          </cell>
          <cell r="J499">
            <v>381.64</v>
          </cell>
          <cell r="K499">
            <v>381.64</v>
          </cell>
          <cell r="L499">
            <v>381.64</v>
          </cell>
          <cell r="M499">
            <v>381.64</v>
          </cell>
          <cell r="N499">
            <v>381.64</v>
          </cell>
          <cell r="O499">
            <v>381.64</v>
          </cell>
          <cell r="P499">
            <v>381.64</v>
          </cell>
          <cell r="Q499">
            <v>4579.6799999999994</v>
          </cell>
        </row>
        <row r="500">
          <cell r="A500">
            <v>70107</v>
          </cell>
          <cell r="B500" t="str">
            <v>Housing Subsidy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</row>
        <row r="501">
          <cell r="A501">
            <v>70108</v>
          </cell>
          <cell r="B501" t="str">
            <v>School Tuition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  <cell r="O501">
            <v>0</v>
          </cell>
          <cell r="P501">
            <v>0</v>
          </cell>
          <cell r="Q501">
            <v>0</v>
          </cell>
        </row>
        <row r="502">
          <cell r="A502">
            <v>70110</v>
          </cell>
          <cell r="B502" t="str">
            <v>Contributions</v>
          </cell>
          <cell r="E502">
            <v>312.5</v>
          </cell>
          <cell r="F502">
            <v>5000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1308.46</v>
          </cell>
          <cell r="L502">
            <v>0</v>
          </cell>
          <cell r="M502">
            <v>250</v>
          </cell>
          <cell r="N502">
            <v>0</v>
          </cell>
          <cell r="O502">
            <v>0</v>
          </cell>
          <cell r="P502">
            <v>0</v>
          </cell>
          <cell r="Q502">
            <v>6870.96</v>
          </cell>
        </row>
        <row r="503">
          <cell r="A503">
            <v>70111</v>
          </cell>
          <cell r="B503" t="str">
            <v>Non Cash Charitable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  <cell r="Q503">
            <v>0</v>
          </cell>
        </row>
        <row r="504">
          <cell r="A504">
            <v>70112</v>
          </cell>
          <cell r="B504" t="str">
            <v>Political Contributions</v>
          </cell>
          <cell r="E504">
            <v>0</v>
          </cell>
          <cell r="F504">
            <v>0</v>
          </cell>
          <cell r="G504">
            <v>0</v>
          </cell>
          <cell r="H504">
            <v>0</v>
          </cell>
          <cell r="I504">
            <v>0</v>
          </cell>
          <cell r="J504">
            <v>0</v>
          </cell>
          <cell r="K504">
            <v>0</v>
          </cell>
          <cell r="L504">
            <v>0</v>
          </cell>
          <cell r="M504">
            <v>0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</row>
        <row r="505">
          <cell r="A505">
            <v>70116</v>
          </cell>
          <cell r="B505" t="str">
            <v>Pension and Profit Sharing</v>
          </cell>
          <cell r="E505">
            <v>775.31</v>
          </cell>
          <cell r="F505">
            <v>784.92</v>
          </cell>
          <cell r="G505">
            <v>1191.3900000000001</v>
          </cell>
          <cell r="H505">
            <v>882.19</v>
          </cell>
          <cell r="I505">
            <v>848.69</v>
          </cell>
          <cell r="J505">
            <v>942.95</v>
          </cell>
          <cell r="K505">
            <v>949.67</v>
          </cell>
          <cell r="L505">
            <v>1042.08</v>
          </cell>
          <cell r="M505">
            <v>979.97</v>
          </cell>
          <cell r="N505">
            <v>1418.44</v>
          </cell>
          <cell r="O505">
            <v>969.88</v>
          </cell>
          <cell r="P505">
            <v>1066.9100000000001</v>
          </cell>
          <cell r="Q505">
            <v>11852.4</v>
          </cell>
        </row>
        <row r="506">
          <cell r="A506">
            <v>70117</v>
          </cell>
          <cell r="B506" t="str">
            <v>Union Pension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</row>
        <row r="507">
          <cell r="A507">
            <v>70142</v>
          </cell>
          <cell r="B507" t="str">
            <v>Fuel Expense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  <cell r="Q507">
            <v>0</v>
          </cell>
        </row>
        <row r="508">
          <cell r="A508">
            <v>70145</v>
          </cell>
          <cell r="B508" t="str">
            <v>Outside Repairs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  <cell r="O508">
            <v>0</v>
          </cell>
          <cell r="P508">
            <v>0</v>
          </cell>
          <cell r="Q508">
            <v>0</v>
          </cell>
        </row>
        <row r="509">
          <cell r="A509">
            <v>70147</v>
          </cell>
          <cell r="B509" t="str">
            <v>Bldg &amp; Property Maint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  <cell r="Q509">
            <v>0</v>
          </cell>
        </row>
        <row r="510">
          <cell r="A510">
            <v>70148</v>
          </cell>
          <cell r="B510" t="str">
            <v>Allocated Exp In - District</v>
          </cell>
          <cell r="E510">
            <v>2932.61</v>
          </cell>
          <cell r="F510">
            <v>3215.3</v>
          </cell>
          <cell r="G510">
            <v>3962.99</v>
          </cell>
          <cell r="H510">
            <v>2924.73</v>
          </cell>
          <cell r="I510">
            <v>1275.23</v>
          </cell>
          <cell r="J510">
            <v>4265.58</v>
          </cell>
          <cell r="K510">
            <v>8940.42</v>
          </cell>
          <cell r="L510">
            <v>7247.4</v>
          </cell>
          <cell r="M510">
            <v>-383</v>
          </cell>
          <cell r="N510">
            <v>2709.33</v>
          </cell>
          <cell r="O510">
            <v>3459.2</v>
          </cell>
          <cell r="P510">
            <v>2793.15</v>
          </cell>
          <cell r="Q510">
            <v>43342.94</v>
          </cell>
        </row>
        <row r="511">
          <cell r="A511">
            <v>70150</v>
          </cell>
          <cell r="B511" t="str">
            <v>Utilities</v>
          </cell>
          <cell r="E511">
            <v>380.73</v>
          </cell>
          <cell r="F511">
            <v>364.13</v>
          </cell>
          <cell r="G511">
            <v>364.19</v>
          </cell>
          <cell r="H511">
            <v>352.07</v>
          </cell>
          <cell r="I511">
            <v>323.74</v>
          </cell>
          <cell r="J511">
            <v>309.05</v>
          </cell>
          <cell r="K511">
            <v>1116.01</v>
          </cell>
          <cell r="L511">
            <v>325.92</v>
          </cell>
          <cell r="M511">
            <v>289.63</v>
          </cell>
          <cell r="N511">
            <v>300.67</v>
          </cell>
          <cell r="O511">
            <v>324.64999999999998</v>
          </cell>
          <cell r="P511">
            <v>559.65</v>
          </cell>
          <cell r="Q511">
            <v>5010.4399999999996</v>
          </cell>
        </row>
        <row r="512">
          <cell r="A512">
            <v>70165</v>
          </cell>
          <cell r="B512" t="str">
            <v>Communications</v>
          </cell>
          <cell r="E512">
            <v>471.39</v>
          </cell>
          <cell r="F512">
            <v>299.95</v>
          </cell>
          <cell r="G512">
            <v>548.38</v>
          </cell>
          <cell r="H512">
            <v>403.25</v>
          </cell>
          <cell r="I512">
            <v>472.01</v>
          </cell>
          <cell r="J512">
            <v>532</v>
          </cell>
          <cell r="K512">
            <v>463.52</v>
          </cell>
          <cell r="L512">
            <v>1173.68</v>
          </cell>
          <cell r="M512">
            <v>539.39</v>
          </cell>
          <cell r="N512">
            <v>124.82</v>
          </cell>
          <cell r="O512">
            <v>370.1</v>
          </cell>
          <cell r="P512">
            <v>2409.2399999999998</v>
          </cell>
          <cell r="Q512">
            <v>7807.73</v>
          </cell>
        </row>
        <row r="513">
          <cell r="A513">
            <v>70166</v>
          </cell>
          <cell r="B513" t="str">
            <v>Office Telephone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  <cell r="Q513">
            <v>0</v>
          </cell>
        </row>
        <row r="514">
          <cell r="A514">
            <v>70167</v>
          </cell>
          <cell r="B514" t="str">
            <v>Cellular Telephone</v>
          </cell>
          <cell r="E514">
            <v>18.989999999999998</v>
          </cell>
          <cell r="F514">
            <v>62.24</v>
          </cell>
          <cell r="G514">
            <v>118.47</v>
          </cell>
          <cell r="H514">
            <v>68.52</v>
          </cell>
          <cell r="I514">
            <v>56.02</v>
          </cell>
          <cell r="J514">
            <v>68.52</v>
          </cell>
          <cell r="K514">
            <v>118.98</v>
          </cell>
          <cell r="L514">
            <v>62.5</v>
          </cell>
          <cell r="M514">
            <v>25</v>
          </cell>
          <cell r="N514">
            <v>-73.709999999999994</v>
          </cell>
          <cell r="O514">
            <v>223.71</v>
          </cell>
          <cell r="P514">
            <v>50</v>
          </cell>
          <cell r="Q514">
            <v>799.24</v>
          </cell>
        </row>
        <row r="515">
          <cell r="A515">
            <v>70170</v>
          </cell>
          <cell r="B515" t="str">
            <v>Real Estate Rentals</v>
          </cell>
          <cell r="E515">
            <v>0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3168.8</v>
          </cell>
          <cell r="Q515">
            <v>3168.8</v>
          </cell>
        </row>
        <row r="516">
          <cell r="A516">
            <v>70175</v>
          </cell>
          <cell r="B516" t="str">
            <v>Equip/Vehicle Rental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</row>
        <row r="517">
          <cell r="A517">
            <v>70185</v>
          </cell>
          <cell r="B517" t="str">
            <v>Postage</v>
          </cell>
          <cell r="E517">
            <v>554.46</v>
          </cell>
          <cell r="F517">
            <v>488.09</v>
          </cell>
          <cell r="G517">
            <v>167.53</v>
          </cell>
          <cell r="H517">
            <v>594.19000000000005</v>
          </cell>
          <cell r="I517">
            <v>578.76</v>
          </cell>
          <cell r="J517">
            <v>533.45000000000005</v>
          </cell>
          <cell r="K517">
            <v>916.47</v>
          </cell>
          <cell r="L517">
            <v>529.91</v>
          </cell>
          <cell r="M517">
            <v>533.41</v>
          </cell>
          <cell r="N517">
            <v>625</v>
          </cell>
          <cell r="O517">
            <v>547.6</v>
          </cell>
          <cell r="P517">
            <v>547.17999999999995</v>
          </cell>
          <cell r="Q517">
            <v>6616.05</v>
          </cell>
        </row>
        <row r="518">
          <cell r="A518">
            <v>70190</v>
          </cell>
          <cell r="B518" t="str">
            <v>Registration Fees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  <cell r="M518">
            <v>0</v>
          </cell>
          <cell r="N518">
            <v>0</v>
          </cell>
          <cell r="O518">
            <v>0</v>
          </cell>
          <cell r="P518">
            <v>0</v>
          </cell>
          <cell r="Q518">
            <v>0</v>
          </cell>
        </row>
        <row r="519">
          <cell r="A519">
            <v>70195</v>
          </cell>
          <cell r="B519" t="str">
            <v>Dues and Subscriptions</v>
          </cell>
          <cell r="E519">
            <v>913</v>
          </cell>
          <cell r="F519">
            <v>1939.67</v>
          </cell>
          <cell r="G519">
            <v>663</v>
          </cell>
          <cell r="H519">
            <v>2175.4699999999998</v>
          </cell>
          <cell r="I519">
            <v>775.41</v>
          </cell>
          <cell r="J519">
            <v>1375.47</v>
          </cell>
          <cell r="K519">
            <v>833</v>
          </cell>
          <cell r="L519">
            <v>2029.58</v>
          </cell>
          <cell r="M519">
            <v>672.93</v>
          </cell>
          <cell r="N519">
            <v>1244.56</v>
          </cell>
          <cell r="O519">
            <v>2034.76</v>
          </cell>
          <cell r="P519">
            <v>974.76</v>
          </cell>
          <cell r="Q519">
            <v>15631.61</v>
          </cell>
        </row>
        <row r="520">
          <cell r="A520">
            <v>70196</v>
          </cell>
          <cell r="B520" t="str">
            <v>Club Dues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  <cell r="O520">
            <v>0</v>
          </cell>
          <cell r="P520">
            <v>0</v>
          </cell>
          <cell r="Q520">
            <v>0</v>
          </cell>
        </row>
        <row r="521">
          <cell r="A521">
            <v>70200</v>
          </cell>
          <cell r="B521" t="str">
            <v>Travel</v>
          </cell>
          <cell r="E521">
            <v>284.18</v>
          </cell>
          <cell r="F521">
            <v>570.14</v>
          </cell>
          <cell r="G521">
            <v>-220.29</v>
          </cell>
          <cell r="H521">
            <v>1900</v>
          </cell>
          <cell r="I521">
            <v>-1665.7</v>
          </cell>
          <cell r="J521">
            <v>263.64999999999998</v>
          </cell>
          <cell r="K521">
            <v>203.4</v>
          </cell>
          <cell r="L521">
            <v>-15.5</v>
          </cell>
          <cell r="M521">
            <v>340.62</v>
          </cell>
          <cell r="N521">
            <v>348.94</v>
          </cell>
          <cell r="O521">
            <v>14.75</v>
          </cell>
          <cell r="P521">
            <v>68.2</v>
          </cell>
          <cell r="Q521">
            <v>2092.3899999999994</v>
          </cell>
        </row>
        <row r="522">
          <cell r="A522">
            <v>70201</v>
          </cell>
          <cell r="B522" t="str">
            <v>Entertainment</v>
          </cell>
          <cell r="E522">
            <v>0</v>
          </cell>
          <cell r="F522">
            <v>7.85</v>
          </cell>
          <cell r="G522">
            <v>137.01</v>
          </cell>
          <cell r="H522">
            <v>-29.88</v>
          </cell>
          <cell r="I522">
            <v>73.069999999999993</v>
          </cell>
          <cell r="J522">
            <v>428.59</v>
          </cell>
          <cell r="K522">
            <v>-290.98</v>
          </cell>
          <cell r="L522">
            <v>540.96</v>
          </cell>
          <cell r="M522">
            <v>-468.86</v>
          </cell>
          <cell r="N522">
            <v>13.96</v>
          </cell>
          <cell r="O522">
            <v>0</v>
          </cell>
          <cell r="P522">
            <v>0</v>
          </cell>
          <cell r="Q522">
            <v>411.71999999999997</v>
          </cell>
        </row>
        <row r="523">
          <cell r="A523">
            <v>70202</v>
          </cell>
          <cell r="B523" t="str">
            <v>Excursions Meetings</v>
          </cell>
          <cell r="E523">
            <v>0</v>
          </cell>
          <cell r="F523">
            <v>115.17</v>
          </cell>
          <cell r="G523">
            <v>0</v>
          </cell>
          <cell r="H523">
            <v>0</v>
          </cell>
          <cell r="I523">
            <v>0</v>
          </cell>
          <cell r="J523">
            <v>416.25</v>
          </cell>
          <cell r="K523">
            <v>0</v>
          </cell>
          <cell r="L523">
            <v>0</v>
          </cell>
          <cell r="M523">
            <v>0</v>
          </cell>
          <cell r="N523">
            <v>46.73</v>
          </cell>
          <cell r="O523">
            <v>-46.73</v>
          </cell>
          <cell r="P523">
            <v>0</v>
          </cell>
          <cell r="Q523">
            <v>531.41999999999996</v>
          </cell>
        </row>
        <row r="524">
          <cell r="A524">
            <v>70203</v>
          </cell>
          <cell r="B524" t="str">
            <v>Lodging</v>
          </cell>
          <cell r="E524">
            <v>-462.54</v>
          </cell>
          <cell r="F524">
            <v>0</v>
          </cell>
          <cell r="G524">
            <v>0</v>
          </cell>
          <cell r="H524">
            <v>326.7</v>
          </cell>
          <cell r="I524">
            <v>193</v>
          </cell>
          <cell r="J524">
            <v>436.86</v>
          </cell>
          <cell r="K524">
            <v>-170.97</v>
          </cell>
          <cell r="L524">
            <v>841.43</v>
          </cell>
          <cell r="M524">
            <v>127.5</v>
          </cell>
          <cell r="N524">
            <v>159.44</v>
          </cell>
          <cell r="O524">
            <v>-28.18</v>
          </cell>
          <cell r="P524">
            <v>171.48</v>
          </cell>
          <cell r="Q524">
            <v>1594.72</v>
          </cell>
        </row>
        <row r="525">
          <cell r="A525">
            <v>70204</v>
          </cell>
          <cell r="B525" t="str">
            <v>Gifts to Customers</v>
          </cell>
          <cell r="E525">
            <v>0</v>
          </cell>
          <cell r="F525">
            <v>0</v>
          </cell>
          <cell r="G525">
            <v>0</v>
          </cell>
          <cell r="H525">
            <v>0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M525">
            <v>0</v>
          </cell>
          <cell r="N525">
            <v>0</v>
          </cell>
          <cell r="O525">
            <v>0</v>
          </cell>
          <cell r="P525">
            <v>0</v>
          </cell>
          <cell r="Q525">
            <v>0</v>
          </cell>
        </row>
        <row r="526">
          <cell r="A526">
            <v>70205</v>
          </cell>
          <cell r="B526" t="str">
            <v>Travel - Auto</v>
          </cell>
          <cell r="E526">
            <v>45.73</v>
          </cell>
          <cell r="F526">
            <v>-10.71</v>
          </cell>
          <cell r="G526">
            <v>526.05999999999995</v>
          </cell>
          <cell r="H526">
            <v>861.17</v>
          </cell>
          <cell r="I526">
            <v>156.44999999999999</v>
          </cell>
          <cell r="J526">
            <v>24.24</v>
          </cell>
          <cell r="K526">
            <v>2459.6</v>
          </cell>
          <cell r="L526">
            <v>-623.04</v>
          </cell>
          <cell r="M526">
            <v>1397.2</v>
          </cell>
          <cell r="N526">
            <v>-382.55</v>
          </cell>
          <cell r="O526">
            <v>-70.31</v>
          </cell>
          <cell r="P526">
            <v>-1079.19</v>
          </cell>
          <cell r="Q526">
            <v>3304.6499999999992</v>
          </cell>
        </row>
        <row r="527">
          <cell r="A527">
            <v>70206</v>
          </cell>
          <cell r="B527" t="str">
            <v>Meals</v>
          </cell>
          <cell r="E527">
            <v>-77.31</v>
          </cell>
          <cell r="F527">
            <v>17.46</v>
          </cell>
          <cell r="G527">
            <v>200.29</v>
          </cell>
          <cell r="H527">
            <v>-74.84</v>
          </cell>
          <cell r="I527">
            <v>191.59</v>
          </cell>
          <cell r="J527">
            <v>1.26</v>
          </cell>
          <cell r="K527">
            <v>-7.59</v>
          </cell>
          <cell r="L527">
            <v>350.62</v>
          </cell>
          <cell r="M527">
            <v>-21.04</v>
          </cell>
          <cell r="N527">
            <v>31.96</v>
          </cell>
          <cell r="O527">
            <v>562.61</v>
          </cell>
          <cell r="P527">
            <v>262.97000000000003</v>
          </cell>
          <cell r="Q527">
            <v>1437.9800000000002</v>
          </cell>
        </row>
        <row r="528">
          <cell r="A528">
            <v>70207</v>
          </cell>
          <cell r="B528" t="str">
            <v>Meals with Customers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  <cell r="M528">
            <v>0</v>
          </cell>
          <cell r="N528">
            <v>0</v>
          </cell>
          <cell r="O528">
            <v>0</v>
          </cell>
          <cell r="P528">
            <v>0</v>
          </cell>
          <cell r="Q528">
            <v>0</v>
          </cell>
        </row>
        <row r="529">
          <cell r="A529">
            <v>70209</v>
          </cell>
          <cell r="B529" t="str">
            <v>Photo Supplies</v>
          </cell>
          <cell r="E529">
            <v>0</v>
          </cell>
          <cell r="F529">
            <v>0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  <cell r="Q529">
            <v>0</v>
          </cell>
        </row>
        <row r="530">
          <cell r="A530">
            <v>70210</v>
          </cell>
          <cell r="B530" t="str">
            <v>Office Supplies and Equip</v>
          </cell>
          <cell r="E530">
            <v>5866.86</v>
          </cell>
          <cell r="F530">
            <v>2088.08</v>
          </cell>
          <cell r="G530">
            <v>1297.8399999999999</v>
          </cell>
          <cell r="H530">
            <v>1260.67</v>
          </cell>
          <cell r="I530">
            <v>1042.3699999999999</v>
          </cell>
          <cell r="J530">
            <v>1576.14</v>
          </cell>
          <cell r="K530">
            <v>1736.71</v>
          </cell>
          <cell r="L530">
            <v>1305.27</v>
          </cell>
          <cell r="M530">
            <v>1356.75</v>
          </cell>
          <cell r="N530">
            <v>4188.3100000000004</v>
          </cell>
          <cell r="O530">
            <v>352.32</v>
          </cell>
          <cell r="P530">
            <v>2617.98</v>
          </cell>
          <cell r="Q530">
            <v>24689.3</v>
          </cell>
        </row>
        <row r="531">
          <cell r="A531">
            <v>70213</v>
          </cell>
          <cell r="B531" t="str">
            <v>Pcard Rebate</v>
          </cell>
          <cell r="C531">
            <v>0</v>
          </cell>
          <cell r="D531">
            <v>0</v>
          </cell>
          <cell r="E531">
            <v>0</v>
          </cell>
          <cell r="F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M531">
            <v>0</v>
          </cell>
          <cell r="N531">
            <v>0</v>
          </cell>
          <cell r="O531">
            <v>0</v>
          </cell>
          <cell r="P531">
            <v>0</v>
          </cell>
          <cell r="Q531">
            <v>0</v>
          </cell>
        </row>
        <row r="532">
          <cell r="A532">
            <v>70214</v>
          </cell>
          <cell r="B532" t="str">
            <v>Credit Card Fees</v>
          </cell>
          <cell r="E532">
            <v>2484.66</v>
          </cell>
          <cell r="F532">
            <v>2690.82</v>
          </cell>
          <cell r="G532">
            <v>2823.76</v>
          </cell>
          <cell r="H532">
            <v>2495.84</v>
          </cell>
          <cell r="I532">
            <v>2467.4499999999998</v>
          </cell>
          <cell r="J532">
            <v>2868.03</v>
          </cell>
          <cell r="K532">
            <v>2914.02</v>
          </cell>
          <cell r="L532">
            <v>3099.61</v>
          </cell>
          <cell r="M532">
            <v>3243.81</v>
          </cell>
          <cell r="N532">
            <v>129.69</v>
          </cell>
          <cell r="O532">
            <v>6329.67</v>
          </cell>
          <cell r="P532">
            <v>3002.76</v>
          </cell>
          <cell r="Q532">
            <v>34550.120000000003</v>
          </cell>
        </row>
        <row r="533">
          <cell r="A533">
            <v>70215</v>
          </cell>
          <cell r="B533" t="str">
            <v>Bank Charges</v>
          </cell>
          <cell r="E533">
            <v>146.88</v>
          </cell>
          <cell r="F533">
            <v>148.75</v>
          </cell>
          <cell r="G533">
            <v>150.41999999999999</v>
          </cell>
          <cell r="H533">
            <v>150.63</v>
          </cell>
          <cell r="I533">
            <v>131.56</v>
          </cell>
          <cell r="J533">
            <v>137.5</v>
          </cell>
          <cell r="K533">
            <v>0</v>
          </cell>
          <cell r="L533">
            <v>129.06</v>
          </cell>
          <cell r="M533">
            <v>133.75</v>
          </cell>
          <cell r="N533">
            <v>0</v>
          </cell>
          <cell r="O533">
            <v>264.07</v>
          </cell>
          <cell r="P533">
            <v>18.73</v>
          </cell>
          <cell r="Q533">
            <v>1411.35</v>
          </cell>
        </row>
        <row r="534">
          <cell r="A534">
            <v>70216</v>
          </cell>
          <cell r="B534" t="str">
            <v>Outside Storages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  <cell r="M534">
            <v>0</v>
          </cell>
          <cell r="N534">
            <v>0</v>
          </cell>
          <cell r="O534">
            <v>0</v>
          </cell>
          <cell r="P534">
            <v>0</v>
          </cell>
          <cell r="Q534">
            <v>0</v>
          </cell>
        </row>
        <row r="535">
          <cell r="A535">
            <v>70217</v>
          </cell>
          <cell r="B535" t="str">
            <v>Invoice Printing Costs</v>
          </cell>
          <cell r="E535">
            <v>0</v>
          </cell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  <cell r="M535">
            <v>0</v>
          </cell>
          <cell r="N535">
            <v>0</v>
          </cell>
          <cell r="O535">
            <v>0</v>
          </cell>
          <cell r="P535">
            <v>0</v>
          </cell>
          <cell r="Q535">
            <v>0</v>
          </cell>
        </row>
        <row r="536">
          <cell r="A536">
            <v>70225</v>
          </cell>
          <cell r="B536" t="str">
            <v>Advertising and Promotions</v>
          </cell>
          <cell r="E536">
            <v>0</v>
          </cell>
          <cell r="F536">
            <v>473.41</v>
          </cell>
          <cell r="G536">
            <v>0</v>
          </cell>
          <cell r="H536">
            <v>10.55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311.8</v>
          </cell>
          <cell r="P536">
            <v>0</v>
          </cell>
          <cell r="Q536">
            <v>795.76</v>
          </cell>
        </row>
        <row r="537">
          <cell r="A537">
            <v>70230</v>
          </cell>
          <cell r="B537" t="str">
            <v>External Recruiter Fees</v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  <cell r="M537">
            <v>0</v>
          </cell>
          <cell r="N537">
            <v>0</v>
          </cell>
          <cell r="O537">
            <v>0</v>
          </cell>
          <cell r="P537">
            <v>0</v>
          </cell>
          <cell r="Q537">
            <v>0</v>
          </cell>
        </row>
        <row r="538">
          <cell r="A538">
            <v>70231</v>
          </cell>
          <cell r="B538" t="str">
            <v>Recruitment Advertising &amp; Expenses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108.21</v>
          </cell>
          <cell r="N538">
            <v>0</v>
          </cell>
          <cell r="O538">
            <v>0</v>
          </cell>
          <cell r="P538">
            <v>0</v>
          </cell>
          <cell r="Q538">
            <v>108.21</v>
          </cell>
        </row>
        <row r="539">
          <cell r="A539">
            <v>70232</v>
          </cell>
          <cell r="B539" t="str">
            <v>Recruitment Travel Expenses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M539">
            <v>0</v>
          </cell>
          <cell r="N539">
            <v>0</v>
          </cell>
          <cell r="O539">
            <v>0</v>
          </cell>
          <cell r="P539">
            <v>0</v>
          </cell>
          <cell r="Q539">
            <v>0</v>
          </cell>
        </row>
        <row r="540">
          <cell r="A540">
            <v>70235</v>
          </cell>
          <cell r="B540" t="str">
            <v>Legal</v>
          </cell>
          <cell r="E540">
            <v>2439.5700000000002</v>
          </cell>
          <cell r="F540">
            <v>2131.5700000000002</v>
          </cell>
          <cell r="G540">
            <v>3481.88</v>
          </cell>
          <cell r="H540">
            <v>-1738.5</v>
          </cell>
          <cell r="I540">
            <v>447.82</v>
          </cell>
          <cell r="J540">
            <v>9856.85</v>
          </cell>
          <cell r="K540">
            <v>1380.87</v>
          </cell>
          <cell r="L540">
            <v>9752.81</v>
          </cell>
          <cell r="M540">
            <v>14711.58</v>
          </cell>
          <cell r="N540">
            <v>-607.33000000000004</v>
          </cell>
          <cell r="O540">
            <v>1378.45</v>
          </cell>
          <cell r="P540">
            <v>10240.9</v>
          </cell>
          <cell r="Q540">
            <v>53476.47</v>
          </cell>
        </row>
        <row r="541">
          <cell r="A541">
            <v>70240</v>
          </cell>
          <cell r="B541" t="str">
            <v>Accounting Professional Fees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  <cell r="M541">
            <v>0</v>
          </cell>
          <cell r="N541">
            <v>0</v>
          </cell>
          <cell r="O541">
            <v>0</v>
          </cell>
          <cell r="P541">
            <v>0</v>
          </cell>
          <cell r="Q541">
            <v>0</v>
          </cell>
        </row>
        <row r="542">
          <cell r="A542">
            <v>70245</v>
          </cell>
          <cell r="B542" t="str">
            <v>Payroll Processing Fees</v>
          </cell>
          <cell r="E542">
            <v>99.03</v>
          </cell>
          <cell r="F542">
            <v>97.9</v>
          </cell>
          <cell r="G542">
            <v>97.9</v>
          </cell>
          <cell r="H542">
            <v>97.9</v>
          </cell>
          <cell r="I542">
            <v>97.9</v>
          </cell>
          <cell r="J542">
            <v>97.9</v>
          </cell>
          <cell r="K542">
            <v>97.9</v>
          </cell>
          <cell r="L542">
            <v>80.55</v>
          </cell>
          <cell r="M542">
            <v>80.55</v>
          </cell>
          <cell r="N542">
            <v>80.55</v>
          </cell>
          <cell r="O542">
            <v>80.680000000000007</v>
          </cell>
          <cell r="P542">
            <v>80.680000000000007</v>
          </cell>
          <cell r="Q542">
            <v>1089.4399999999998</v>
          </cell>
        </row>
        <row r="543">
          <cell r="A543">
            <v>70250</v>
          </cell>
          <cell r="B543" t="str">
            <v>Acquisition Cost Write Off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</row>
        <row r="544">
          <cell r="A544">
            <v>70254</v>
          </cell>
          <cell r="B544" t="str">
            <v>Corporate Capitalized Expenses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</row>
        <row r="545">
          <cell r="A545">
            <v>70255</v>
          </cell>
          <cell r="B545" t="str">
            <v>Other Prof Fees</v>
          </cell>
          <cell r="E545">
            <v>0</v>
          </cell>
          <cell r="F545">
            <v>219.75</v>
          </cell>
          <cell r="G545">
            <v>56.21</v>
          </cell>
          <cell r="H545">
            <v>0</v>
          </cell>
          <cell r="I545">
            <v>0</v>
          </cell>
          <cell r="J545">
            <v>56.21</v>
          </cell>
          <cell r="K545">
            <v>0</v>
          </cell>
          <cell r="L545">
            <v>0</v>
          </cell>
          <cell r="M545">
            <v>56.21</v>
          </cell>
          <cell r="N545">
            <v>0</v>
          </cell>
          <cell r="O545">
            <v>-84.14</v>
          </cell>
          <cell r="P545">
            <v>482.7</v>
          </cell>
          <cell r="Q545">
            <v>786.93999999999994</v>
          </cell>
        </row>
        <row r="546">
          <cell r="A546">
            <v>70271</v>
          </cell>
          <cell r="B546" t="str">
            <v>Property and Liability Insurance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</row>
        <row r="547">
          <cell r="A547">
            <v>70272</v>
          </cell>
          <cell r="B547" t="str">
            <v>Keyman Life Insurance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  <cell r="P547">
            <v>0</v>
          </cell>
          <cell r="Q547">
            <v>0</v>
          </cell>
        </row>
        <row r="548">
          <cell r="A548">
            <v>70273</v>
          </cell>
          <cell r="B548" t="str">
            <v>Directors and Officers Insurance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0</v>
          </cell>
          <cell r="P548">
            <v>0</v>
          </cell>
          <cell r="Q548">
            <v>0</v>
          </cell>
        </row>
        <row r="549">
          <cell r="A549">
            <v>70275</v>
          </cell>
          <cell r="B549" t="str">
            <v>Property Taxes</v>
          </cell>
          <cell r="E549">
            <v>1875</v>
          </cell>
          <cell r="F549">
            <v>1875</v>
          </cell>
          <cell r="G549">
            <v>2015.82</v>
          </cell>
          <cell r="H549">
            <v>2554.7800000000002</v>
          </cell>
          <cell r="I549">
            <v>2554.7800000000002</v>
          </cell>
          <cell r="J549">
            <v>2554.7800000000002</v>
          </cell>
          <cell r="K549">
            <v>3187.6</v>
          </cell>
          <cell r="L549">
            <v>2396.5700000000002</v>
          </cell>
          <cell r="M549">
            <v>2396.5700000000002</v>
          </cell>
          <cell r="N549">
            <v>2449.23</v>
          </cell>
          <cell r="O549">
            <v>2343.73</v>
          </cell>
          <cell r="P549">
            <v>2554.7199999999998</v>
          </cell>
          <cell r="Q549">
            <v>28758.58</v>
          </cell>
        </row>
        <row r="550">
          <cell r="A550">
            <v>70280</v>
          </cell>
          <cell r="B550" t="str">
            <v>Other Taxes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  <cell r="M550">
            <v>0</v>
          </cell>
          <cell r="N550">
            <v>0</v>
          </cell>
          <cell r="O550">
            <v>0</v>
          </cell>
          <cell r="P550">
            <v>0</v>
          </cell>
          <cell r="Q550">
            <v>0</v>
          </cell>
        </row>
        <row r="551">
          <cell r="A551">
            <v>70300</v>
          </cell>
          <cell r="B551" t="str">
            <v>Data Processing</v>
          </cell>
          <cell r="E551">
            <v>24958.15</v>
          </cell>
          <cell r="F551">
            <v>2262.73</v>
          </cell>
          <cell r="G551">
            <v>16300.02</v>
          </cell>
          <cell r="H551">
            <v>2127.0700000000002</v>
          </cell>
          <cell r="I551">
            <v>33912.97</v>
          </cell>
          <cell r="J551">
            <v>1054.05</v>
          </cell>
          <cell r="K551">
            <v>22342.57</v>
          </cell>
          <cell r="L551">
            <v>2410.96</v>
          </cell>
          <cell r="M551">
            <v>22431</v>
          </cell>
          <cell r="N551">
            <v>1947.24</v>
          </cell>
          <cell r="O551">
            <v>21688.02</v>
          </cell>
          <cell r="P551">
            <v>-2059.87</v>
          </cell>
          <cell r="Q551">
            <v>149374.91</v>
          </cell>
        </row>
        <row r="552">
          <cell r="A552">
            <v>70301</v>
          </cell>
          <cell r="B552" t="str">
            <v>Computer Software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</row>
        <row r="553">
          <cell r="A553">
            <v>70302</v>
          </cell>
          <cell r="B553" t="str">
            <v>Computer Supplies</v>
          </cell>
          <cell r="E553">
            <v>0</v>
          </cell>
          <cell r="F553">
            <v>145.26</v>
          </cell>
          <cell r="G553">
            <v>231.28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  <cell r="M553">
            <v>0</v>
          </cell>
          <cell r="N553">
            <v>1365.11</v>
          </cell>
          <cell r="O553">
            <v>-1365.11</v>
          </cell>
          <cell r="P553">
            <v>187.29</v>
          </cell>
          <cell r="Q553">
            <v>563.82999999999993</v>
          </cell>
        </row>
        <row r="554">
          <cell r="A554">
            <v>70310</v>
          </cell>
          <cell r="B554" t="str">
            <v>Bad Debt Provision</v>
          </cell>
          <cell r="E554">
            <v>59587.53</v>
          </cell>
          <cell r="F554">
            <v>-42181.27</v>
          </cell>
          <cell r="G554">
            <v>26327.15</v>
          </cell>
          <cell r="H554">
            <v>-23518.21</v>
          </cell>
          <cell r="I554">
            <v>45403.42</v>
          </cell>
          <cell r="J554">
            <v>-30919.22</v>
          </cell>
          <cell r="K554">
            <v>58231.48</v>
          </cell>
          <cell r="L554">
            <v>-42566.26</v>
          </cell>
          <cell r="M554">
            <v>51551.54</v>
          </cell>
          <cell r="N554">
            <v>-30438.81</v>
          </cell>
          <cell r="O554">
            <v>61503.66</v>
          </cell>
          <cell r="P554">
            <v>-32663.45</v>
          </cell>
          <cell r="Q554">
            <v>100317.56000000001</v>
          </cell>
        </row>
        <row r="555">
          <cell r="A555">
            <v>70315</v>
          </cell>
          <cell r="B555" t="str">
            <v>Bad Debt Recoveries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  <cell r="Q555">
            <v>0</v>
          </cell>
        </row>
        <row r="556">
          <cell r="A556">
            <v>70320</v>
          </cell>
          <cell r="B556" t="str">
            <v>Credit and Collection</v>
          </cell>
          <cell r="E556">
            <v>6202.09</v>
          </cell>
          <cell r="F556">
            <v>-976.61</v>
          </cell>
          <cell r="G556">
            <v>5260.16</v>
          </cell>
          <cell r="H556">
            <v>-803.96</v>
          </cell>
          <cell r="I556">
            <v>1871.95</v>
          </cell>
          <cell r="J556">
            <v>1067.25</v>
          </cell>
          <cell r="K556">
            <v>1589.22</v>
          </cell>
          <cell r="L556">
            <v>936.71</v>
          </cell>
          <cell r="M556">
            <v>1051.27</v>
          </cell>
          <cell r="N556">
            <v>482.15</v>
          </cell>
          <cell r="O556">
            <v>1946.37</v>
          </cell>
          <cell r="P556">
            <v>5166.42</v>
          </cell>
          <cell r="Q556">
            <v>23793.020000000004</v>
          </cell>
        </row>
        <row r="557">
          <cell r="A557">
            <v>70324</v>
          </cell>
          <cell r="B557" t="str">
            <v>Penalties and Violations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>
            <v>0</v>
          </cell>
          <cell r="P557">
            <v>0</v>
          </cell>
          <cell r="Q557">
            <v>0</v>
          </cell>
        </row>
        <row r="558">
          <cell r="A558">
            <v>70325</v>
          </cell>
          <cell r="B558" t="str">
            <v>Legal Settlement Payments</v>
          </cell>
          <cell r="E558">
            <v>0</v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</row>
        <row r="559">
          <cell r="A559">
            <v>70326</v>
          </cell>
          <cell r="B559" t="str">
            <v>Deductible Current Year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  <cell r="O559">
            <v>0</v>
          </cell>
          <cell r="P559">
            <v>0</v>
          </cell>
          <cell r="Q559">
            <v>0</v>
          </cell>
        </row>
        <row r="560">
          <cell r="A560">
            <v>70327</v>
          </cell>
          <cell r="B560" t="str">
            <v>Deductible Dammage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  <cell r="M560">
            <v>0</v>
          </cell>
          <cell r="N560">
            <v>0</v>
          </cell>
          <cell r="O560">
            <v>0</v>
          </cell>
          <cell r="P560">
            <v>0</v>
          </cell>
          <cell r="Q560">
            <v>0</v>
          </cell>
        </row>
        <row r="561">
          <cell r="A561">
            <v>70328</v>
          </cell>
          <cell r="B561" t="str">
            <v>Claim Recoveries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  <cell r="P561">
            <v>0</v>
          </cell>
          <cell r="Q561">
            <v>0</v>
          </cell>
        </row>
        <row r="562">
          <cell r="A562">
            <v>70330</v>
          </cell>
          <cell r="B562" t="str">
            <v>Deductible Prior Year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</row>
        <row r="563">
          <cell r="A563">
            <v>70335</v>
          </cell>
          <cell r="B563" t="str">
            <v>Miscellaneous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M563">
            <v>0</v>
          </cell>
          <cell r="N563">
            <v>0</v>
          </cell>
          <cell r="O563">
            <v>0</v>
          </cell>
          <cell r="P563">
            <v>0</v>
          </cell>
          <cell r="Q563">
            <v>0</v>
          </cell>
        </row>
        <row r="564">
          <cell r="A564">
            <v>70336</v>
          </cell>
          <cell r="B564" t="str">
            <v>Coffe Bar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  <cell r="O564">
            <v>0</v>
          </cell>
          <cell r="P564">
            <v>0</v>
          </cell>
          <cell r="Q564">
            <v>0</v>
          </cell>
        </row>
        <row r="565">
          <cell r="A565">
            <v>70345</v>
          </cell>
          <cell r="B565" t="str">
            <v>Security Services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</row>
        <row r="566">
          <cell r="A566">
            <v>70357</v>
          </cell>
          <cell r="B566" t="str">
            <v>Permits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>
            <v>0</v>
          </cell>
          <cell r="O566">
            <v>0</v>
          </cell>
          <cell r="P566">
            <v>0</v>
          </cell>
          <cell r="Q566">
            <v>0</v>
          </cell>
        </row>
        <row r="567">
          <cell r="A567">
            <v>70370</v>
          </cell>
          <cell r="B567" t="str">
            <v>Bonds Expense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  <cell r="M567">
            <v>0</v>
          </cell>
          <cell r="N567">
            <v>0</v>
          </cell>
          <cell r="O567">
            <v>0</v>
          </cell>
          <cell r="P567">
            <v>0</v>
          </cell>
          <cell r="Q567">
            <v>0</v>
          </cell>
        </row>
        <row r="568">
          <cell r="A568">
            <v>70371</v>
          </cell>
          <cell r="B568" t="str">
            <v>Board of Directors Fees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</row>
        <row r="569">
          <cell r="A569">
            <v>70372</v>
          </cell>
          <cell r="B569" t="str">
            <v>Board of Directors Expense Report</v>
          </cell>
          <cell r="E569">
            <v>0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  <cell r="Q569">
            <v>0</v>
          </cell>
        </row>
        <row r="570">
          <cell r="A570">
            <v>70475</v>
          </cell>
          <cell r="B570" t="str">
            <v>Trade Shows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</row>
        <row r="571">
          <cell r="A571">
            <v>70900</v>
          </cell>
          <cell r="B571" t="str">
            <v>Entitiy Formation Costs</v>
          </cell>
          <cell r="E571">
            <v>0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  <cell r="M571">
            <v>0</v>
          </cell>
          <cell r="N571">
            <v>0</v>
          </cell>
          <cell r="O571">
            <v>0</v>
          </cell>
          <cell r="P571">
            <v>0</v>
          </cell>
          <cell r="Q571">
            <v>0</v>
          </cell>
        </row>
        <row r="572">
          <cell r="A572">
            <v>70998</v>
          </cell>
          <cell r="B572" t="str">
            <v>Allocation Out - District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0</v>
          </cell>
          <cell r="N572">
            <v>0</v>
          </cell>
          <cell r="O572">
            <v>0</v>
          </cell>
          <cell r="P572">
            <v>0</v>
          </cell>
          <cell r="Q572">
            <v>0</v>
          </cell>
        </row>
        <row r="573">
          <cell r="A573">
            <v>70999</v>
          </cell>
          <cell r="B573" t="str">
            <v>Allocation Out - Out District</v>
          </cell>
          <cell r="E573">
            <v>0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</row>
        <row r="574">
          <cell r="A574">
            <v>71000</v>
          </cell>
          <cell r="B574" t="str">
            <v>Stock Comp Expense</v>
          </cell>
          <cell r="E574">
            <v>0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  <cell r="M574">
            <v>0</v>
          </cell>
          <cell r="N574">
            <v>0</v>
          </cell>
          <cell r="O574">
            <v>0</v>
          </cell>
          <cell r="P574">
            <v>0</v>
          </cell>
          <cell r="Q574">
            <v>0</v>
          </cell>
        </row>
        <row r="575">
          <cell r="A575" t="str">
            <v>Total G&amp;A</v>
          </cell>
          <cell r="E575">
            <v>207906.74000000002</v>
          </cell>
          <cell r="F575">
            <v>66798.010000000024</v>
          </cell>
          <cell r="G575">
            <v>161263.80000000002</v>
          </cell>
          <cell r="H575">
            <v>86311.12999999999</v>
          </cell>
          <cell r="I575">
            <v>177403</v>
          </cell>
          <cell r="J575">
            <v>90607.349999999991</v>
          </cell>
          <cell r="K575">
            <v>198820.07000000004</v>
          </cell>
          <cell r="L575">
            <v>89006.530000000013</v>
          </cell>
          <cell r="M575">
            <v>188289.78000000003</v>
          </cell>
          <cell r="N575">
            <v>72891.83</v>
          </cell>
          <cell r="O575">
            <v>194697.06000000006</v>
          </cell>
          <cell r="P575">
            <v>96799.019999999931</v>
          </cell>
          <cell r="Q575">
            <v>1630794.3199999996</v>
          </cell>
        </row>
        <row r="577">
          <cell r="A577" t="str">
            <v>Overhead</v>
          </cell>
        </row>
        <row r="578">
          <cell r="A578">
            <v>70149</v>
          </cell>
          <cell r="B578" t="str">
            <v>Corporate Overhead Allocation In</v>
          </cell>
          <cell r="E578">
            <v>55340.22</v>
          </cell>
          <cell r="F578">
            <v>54315.21</v>
          </cell>
          <cell r="G578">
            <v>54439.91</v>
          </cell>
          <cell r="H578">
            <v>55653.47</v>
          </cell>
          <cell r="I578">
            <v>54826.44</v>
          </cell>
          <cell r="J578">
            <v>55802.53</v>
          </cell>
          <cell r="K578">
            <v>55353.69</v>
          </cell>
          <cell r="L578">
            <v>57179.64</v>
          </cell>
          <cell r="M578">
            <v>55296.08</v>
          </cell>
          <cell r="N578">
            <v>55281.99</v>
          </cell>
          <cell r="O578">
            <v>54995.29</v>
          </cell>
          <cell r="P578">
            <v>55389.94</v>
          </cell>
          <cell r="Q578">
            <v>663874.41000000015</v>
          </cell>
        </row>
        <row r="579">
          <cell r="A579">
            <v>70159</v>
          </cell>
          <cell r="B579" t="str">
            <v>Region Overhead Allocation In</v>
          </cell>
          <cell r="E579">
            <v>0</v>
          </cell>
          <cell r="F579">
            <v>0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  <cell r="M579">
            <v>0</v>
          </cell>
          <cell r="N579">
            <v>0</v>
          </cell>
          <cell r="O579">
            <v>0</v>
          </cell>
          <cell r="P579">
            <v>0</v>
          </cell>
          <cell r="Q579">
            <v>0</v>
          </cell>
        </row>
        <row r="580">
          <cell r="A580" t="str">
            <v>Total Overhead</v>
          </cell>
          <cell r="E580">
            <v>55340.22</v>
          </cell>
          <cell r="F580">
            <v>54315.21</v>
          </cell>
          <cell r="G580">
            <v>54439.91</v>
          </cell>
          <cell r="H580">
            <v>55653.47</v>
          </cell>
          <cell r="I580">
            <v>54826.44</v>
          </cell>
          <cell r="J580">
            <v>55802.53</v>
          </cell>
          <cell r="K580">
            <v>55353.69</v>
          </cell>
          <cell r="L580">
            <v>57179.64</v>
          </cell>
          <cell r="M580">
            <v>55296.08</v>
          </cell>
          <cell r="N580">
            <v>55281.99</v>
          </cell>
          <cell r="O580">
            <v>54995.29</v>
          </cell>
          <cell r="P580">
            <v>55389.94</v>
          </cell>
          <cell r="Q580">
            <v>663874.41000000015</v>
          </cell>
        </row>
        <row r="582">
          <cell r="A582" t="str">
            <v>Total SG&amp;A</v>
          </cell>
          <cell r="E582">
            <v>263246.96000000002</v>
          </cell>
          <cell r="F582">
            <v>121113.22000000003</v>
          </cell>
          <cell r="G582">
            <v>215703.71000000002</v>
          </cell>
          <cell r="H582">
            <v>141964.59999999998</v>
          </cell>
          <cell r="I582">
            <v>232229.44</v>
          </cell>
          <cell r="J582">
            <v>146409.88</v>
          </cell>
          <cell r="K582">
            <v>254173.76000000004</v>
          </cell>
          <cell r="L582">
            <v>146186.17000000001</v>
          </cell>
          <cell r="M582">
            <v>243585.86000000004</v>
          </cell>
          <cell r="N582">
            <v>128173.82</v>
          </cell>
          <cell r="O582">
            <v>249692.35000000006</v>
          </cell>
          <cell r="P582">
            <v>155426.55999999994</v>
          </cell>
          <cell r="Q582">
            <v>2297906.3299999996</v>
          </cell>
        </row>
        <row r="584">
          <cell r="A584" t="str">
            <v>EBITDA</v>
          </cell>
          <cell r="E584">
            <v>20388.780000000086</v>
          </cell>
          <cell r="F584">
            <v>275898.64999999997</v>
          </cell>
          <cell r="G584">
            <v>77705.549999999872</v>
          </cell>
          <cell r="H584">
            <v>153218.83000000007</v>
          </cell>
          <cell r="I584">
            <v>139863.27999999974</v>
          </cell>
          <cell r="J584">
            <v>204338.71000000008</v>
          </cell>
          <cell r="K584">
            <v>93342.360000000015</v>
          </cell>
          <cell r="L584">
            <v>241833.84</v>
          </cell>
          <cell r="M584">
            <v>134242.65999999997</v>
          </cell>
          <cell r="N584">
            <v>254051.7099999999</v>
          </cell>
          <cell r="O584">
            <v>61738.860000000132</v>
          </cell>
          <cell r="P584">
            <v>151328.35999999987</v>
          </cell>
          <cell r="Q584">
            <v>1807951.5899999957</v>
          </cell>
        </row>
        <row r="586">
          <cell r="A586" t="str">
            <v>DD&amp;A</v>
          </cell>
        </row>
        <row r="587">
          <cell r="A587" t="str">
            <v>Depreciation</v>
          </cell>
        </row>
        <row r="588">
          <cell r="A588">
            <v>51260</v>
          </cell>
          <cell r="B588" t="str">
            <v>Depreciation</v>
          </cell>
          <cell r="E588">
            <v>49490.6</v>
          </cell>
          <cell r="F588">
            <v>49625.87</v>
          </cell>
          <cell r="G588">
            <v>49625.95</v>
          </cell>
          <cell r="H588">
            <v>49620.11</v>
          </cell>
          <cell r="I588">
            <v>49620.2</v>
          </cell>
          <cell r="J588">
            <v>48737.05</v>
          </cell>
          <cell r="K588">
            <v>48736.639999999999</v>
          </cell>
          <cell r="L588">
            <v>47681.86</v>
          </cell>
          <cell r="M588">
            <v>47682.18</v>
          </cell>
          <cell r="N588">
            <v>47681.87</v>
          </cell>
          <cell r="O588">
            <v>47328.05</v>
          </cell>
          <cell r="P588">
            <v>47849.53</v>
          </cell>
          <cell r="Q588">
            <v>583679.91</v>
          </cell>
        </row>
        <row r="589">
          <cell r="A589">
            <v>54260</v>
          </cell>
          <cell r="B589" t="str">
            <v>Depreciation</v>
          </cell>
          <cell r="E589">
            <v>11933.53</v>
          </cell>
          <cell r="F589">
            <v>11933.51</v>
          </cell>
          <cell r="G589">
            <v>11933.4</v>
          </cell>
          <cell r="H589">
            <v>11933.26</v>
          </cell>
          <cell r="I589">
            <v>11933.49</v>
          </cell>
          <cell r="J589">
            <v>11933.83</v>
          </cell>
          <cell r="K589">
            <v>11932.86</v>
          </cell>
          <cell r="L589">
            <v>11933.32</v>
          </cell>
          <cell r="M589">
            <v>11933.62</v>
          </cell>
          <cell r="N589">
            <v>11933.41</v>
          </cell>
          <cell r="O589">
            <v>11933.19</v>
          </cell>
          <cell r="P589">
            <v>11933.37</v>
          </cell>
          <cell r="Q589">
            <v>143200.79</v>
          </cell>
        </row>
        <row r="590">
          <cell r="A590">
            <v>56260</v>
          </cell>
          <cell r="B590" t="str">
            <v>Depreciation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M590">
            <v>0</v>
          </cell>
          <cell r="N590">
            <v>0</v>
          </cell>
          <cell r="O590">
            <v>0</v>
          </cell>
          <cell r="P590">
            <v>0</v>
          </cell>
          <cell r="Q590">
            <v>0</v>
          </cell>
        </row>
        <row r="591">
          <cell r="A591">
            <v>57260</v>
          </cell>
          <cell r="B591" t="str">
            <v>Depreciation</v>
          </cell>
          <cell r="E591">
            <v>2414.64</v>
          </cell>
          <cell r="F591">
            <v>2414.6799999999998</v>
          </cell>
          <cell r="G591">
            <v>2414.64</v>
          </cell>
          <cell r="H591">
            <v>2441.84</v>
          </cell>
          <cell r="I591">
            <v>2441.87</v>
          </cell>
          <cell r="J591">
            <v>2441.86</v>
          </cell>
          <cell r="K591">
            <v>2441.83</v>
          </cell>
          <cell r="L591">
            <v>2503.59</v>
          </cell>
          <cell r="M591">
            <v>2503.59</v>
          </cell>
          <cell r="N591">
            <v>3307.76</v>
          </cell>
          <cell r="O591">
            <v>3318.13</v>
          </cell>
          <cell r="P591">
            <v>3312.93</v>
          </cell>
          <cell r="Q591">
            <v>31957.360000000004</v>
          </cell>
        </row>
        <row r="592">
          <cell r="A592">
            <v>60260</v>
          </cell>
          <cell r="B592" t="str">
            <v>Depreciation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  <cell r="L592">
            <v>0</v>
          </cell>
          <cell r="M592">
            <v>0</v>
          </cell>
          <cell r="N592">
            <v>0</v>
          </cell>
          <cell r="O592">
            <v>0</v>
          </cell>
          <cell r="P592">
            <v>0</v>
          </cell>
          <cell r="Q592">
            <v>0</v>
          </cell>
        </row>
        <row r="593">
          <cell r="A593">
            <v>70257</v>
          </cell>
          <cell r="B593" t="str">
            <v>Depreciation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  <cell r="O593">
            <v>0</v>
          </cell>
          <cell r="P593">
            <v>0</v>
          </cell>
          <cell r="Q593">
            <v>0</v>
          </cell>
        </row>
        <row r="594">
          <cell r="A594">
            <v>70260</v>
          </cell>
          <cell r="B594" t="str">
            <v>Depreciation</v>
          </cell>
          <cell r="E594">
            <v>1532.42</v>
          </cell>
          <cell r="F594">
            <v>1532.4</v>
          </cell>
          <cell r="G594">
            <v>1532.42</v>
          </cell>
          <cell r="H594">
            <v>1459.5</v>
          </cell>
          <cell r="I594">
            <v>1459.49</v>
          </cell>
          <cell r="J594">
            <v>1422.66</v>
          </cell>
          <cell r="K594">
            <v>1422.61</v>
          </cell>
          <cell r="L594">
            <v>1422.6</v>
          </cell>
          <cell r="M594">
            <v>1422.64</v>
          </cell>
          <cell r="N594">
            <v>1422.61</v>
          </cell>
          <cell r="O594">
            <v>1422.62</v>
          </cell>
          <cell r="P594">
            <v>1595.38</v>
          </cell>
          <cell r="Q594">
            <v>17647.350000000002</v>
          </cell>
        </row>
        <row r="595">
          <cell r="A595" t="str">
            <v>Total Depreciation</v>
          </cell>
          <cell r="E595">
            <v>65371.189999999995</v>
          </cell>
          <cell r="F595">
            <v>65506.460000000006</v>
          </cell>
          <cell r="G595">
            <v>65506.409999999996</v>
          </cell>
          <cell r="H595">
            <v>65454.710000000006</v>
          </cell>
          <cell r="I595">
            <v>65455.049999999996</v>
          </cell>
          <cell r="J595">
            <v>64535.400000000009</v>
          </cell>
          <cell r="K595">
            <v>64533.94</v>
          </cell>
          <cell r="L595">
            <v>63541.37</v>
          </cell>
          <cell r="M595">
            <v>63542.03</v>
          </cell>
          <cell r="N595">
            <v>64345.65</v>
          </cell>
          <cell r="O595">
            <v>64001.990000000005</v>
          </cell>
          <cell r="P595">
            <v>64691.21</v>
          </cell>
          <cell r="Q595">
            <v>776485.41</v>
          </cell>
        </row>
        <row r="597">
          <cell r="A597" t="str">
            <v>Depletion</v>
          </cell>
        </row>
        <row r="598">
          <cell r="A598">
            <v>46000</v>
          </cell>
          <cell r="B598" t="str">
            <v>Depletion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  <cell r="O598">
            <v>0</v>
          </cell>
          <cell r="P598">
            <v>0</v>
          </cell>
          <cell r="Q598">
            <v>0</v>
          </cell>
        </row>
        <row r="599">
          <cell r="A599">
            <v>46010</v>
          </cell>
          <cell r="B599" t="str">
            <v>Closure Amortization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  <cell r="O599">
            <v>0</v>
          </cell>
          <cell r="P599">
            <v>0</v>
          </cell>
          <cell r="Q599">
            <v>0</v>
          </cell>
        </row>
        <row r="600">
          <cell r="A600">
            <v>57261</v>
          </cell>
          <cell r="B600" t="str">
            <v>Airspace Amortization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>
            <v>0</v>
          </cell>
          <cell r="O600">
            <v>0</v>
          </cell>
          <cell r="P600">
            <v>0</v>
          </cell>
          <cell r="Q600">
            <v>0</v>
          </cell>
        </row>
        <row r="601">
          <cell r="A601" t="str">
            <v>Total Depletion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  <cell r="M601">
            <v>0</v>
          </cell>
          <cell r="N601">
            <v>0</v>
          </cell>
          <cell r="O601">
            <v>0</v>
          </cell>
          <cell r="P601">
            <v>0</v>
          </cell>
          <cell r="Q601">
            <v>0</v>
          </cell>
        </row>
        <row r="603">
          <cell r="A603" t="str">
            <v>Amortization</v>
          </cell>
        </row>
        <row r="604">
          <cell r="A604">
            <v>70264</v>
          </cell>
          <cell r="B604" t="str">
            <v>Amortization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  <cell r="O604">
            <v>0</v>
          </cell>
          <cell r="P604">
            <v>0</v>
          </cell>
          <cell r="Q604">
            <v>0</v>
          </cell>
        </row>
        <row r="605">
          <cell r="A605">
            <v>70266</v>
          </cell>
          <cell r="B605" t="str">
            <v>Cov. Not to Compete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</row>
        <row r="606">
          <cell r="A606">
            <v>70267</v>
          </cell>
          <cell r="B606" t="str">
            <v>Amortization of Goodwill - Taxable</v>
          </cell>
          <cell r="E606">
            <v>0</v>
          </cell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  <cell r="N606">
            <v>0</v>
          </cell>
          <cell r="O606">
            <v>0</v>
          </cell>
          <cell r="P606">
            <v>0</v>
          </cell>
          <cell r="Q606">
            <v>0</v>
          </cell>
        </row>
        <row r="607">
          <cell r="A607">
            <v>70268</v>
          </cell>
          <cell r="B607" t="str">
            <v>Amortization of Goodwill - Non-Taxable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M607">
            <v>0</v>
          </cell>
          <cell r="N607">
            <v>0</v>
          </cell>
          <cell r="O607">
            <v>0</v>
          </cell>
          <cell r="P607">
            <v>0</v>
          </cell>
          <cell r="Q607">
            <v>0</v>
          </cell>
        </row>
        <row r="608">
          <cell r="A608">
            <v>70269</v>
          </cell>
          <cell r="B608" t="str">
            <v>Long Term Contract Amort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</row>
        <row r="609">
          <cell r="A609" t="str">
            <v>Total Amortization</v>
          </cell>
          <cell r="E609">
            <v>0</v>
          </cell>
          <cell r="F609">
            <v>0</v>
          </cell>
          <cell r="G609">
            <v>0</v>
          </cell>
          <cell r="H609">
            <v>0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M609">
            <v>0</v>
          </cell>
          <cell r="N609">
            <v>0</v>
          </cell>
          <cell r="O609">
            <v>0</v>
          </cell>
          <cell r="P609">
            <v>0</v>
          </cell>
          <cell r="Q609">
            <v>0</v>
          </cell>
        </row>
        <row r="611">
          <cell r="A611" t="str">
            <v>Total DDA</v>
          </cell>
          <cell r="E611">
            <v>65371.189999999995</v>
          </cell>
          <cell r="F611">
            <v>65506.460000000006</v>
          </cell>
          <cell r="G611">
            <v>65506.409999999996</v>
          </cell>
          <cell r="H611">
            <v>65454.710000000006</v>
          </cell>
          <cell r="I611">
            <v>65455.049999999996</v>
          </cell>
          <cell r="J611">
            <v>64535.400000000009</v>
          </cell>
          <cell r="K611">
            <v>64533.94</v>
          </cell>
          <cell r="L611">
            <v>63541.37</v>
          </cell>
          <cell r="M611">
            <v>63542.03</v>
          </cell>
          <cell r="N611">
            <v>64345.65</v>
          </cell>
          <cell r="O611">
            <v>64001.990000000005</v>
          </cell>
          <cell r="P611">
            <v>64691.21</v>
          </cell>
          <cell r="Q611">
            <v>776485.41</v>
          </cell>
        </row>
        <row r="613">
          <cell r="A613" t="str">
            <v>EBIT</v>
          </cell>
          <cell r="E613">
            <v>-44982.409999999909</v>
          </cell>
          <cell r="F613">
            <v>210392.18999999994</v>
          </cell>
          <cell r="G613">
            <v>12199.139999999876</v>
          </cell>
          <cell r="H613">
            <v>87764.120000000068</v>
          </cell>
          <cell r="I613">
            <v>74408.229999999749</v>
          </cell>
          <cell r="J613">
            <v>139803.31000000006</v>
          </cell>
          <cell r="K613">
            <v>28808.420000000013</v>
          </cell>
          <cell r="L613">
            <v>178292.47</v>
          </cell>
          <cell r="M613">
            <v>70700.629999999976</v>
          </cell>
          <cell r="N613">
            <v>189706.05999999991</v>
          </cell>
          <cell r="O613">
            <v>-2263.1299999998737</v>
          </cell>
          <cell r="P613">
            <v>86637.149999999878</v>
          </cell>
          <cell r="Q613">
            <v>1031466.1799999956</v>
          </cell>
        </row>
        <row r="615">
          <cell r="A615" t="str">
            <v>Interest Expense</v>
          </cell>
        </row>
        <row r="616">
          <cell r="A616">
            <v>80000</v>
          </cell>
          <cell r="B616" t="str">
            <v>Interest Expense</v>
          </cell>
          <cell r="E616">
            <v>0</v>
          </cell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</row>
        <row r="617">
          <cell r="A617">
            <v>80001</v>
          </cell>
          <cell r="B617" t="str">
            <v>Debt Accretion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0</v>
          </cell>
          <cell r="O617">
            <v>0</v>
          </cell>
          <cell r="P617">
            <v>0</v>
          </cell>
          <cell r="Q617">
            <v>0</v>
          </cell>
        </row>
        <row r="618">
          <cell r="A618">
            <v>80009</v>
          </cell>
          <cell r="B618" t="str">
            <v>Capitalized Interest</v>
          </cell>
          <cell r="E618">
            <v>0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M618">
            <v>0</v>
          </cell>
          <cell r="N618">
            <v>0</v>
          </cell>
          <cell r="O618">
            <v>0</v>
          </cell>
          <cell r="P618">
            <v>0</v>
          </cell>
          <cell r="Q618">
            <v>0</v>
          </cell>
        </row>
        <row r="619">
          <cell r="A619">
            <v>80099</v>
          </cell>
          <cell r="B619" t="str">
            <v>Interest Allocation</v>
          </cell>
          <cell r="E619">
            <v>0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</row>
        <row r="620">
          <cell r="A620" t="str">
            <v>Total Interest Expense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  <cell r="M620">
            <v>0</v>
          </cell>
          <cell r="N620">
            <v>0</v>
          </cell>
          <cell r="O620">
            <v>0</v>
          </cell>
          <cell r="P620">
            <v>0</v>
          </cell>
          <cell r="Q620">
            <v>0</v>
          </cell>
        </row>
        <row r="622">
          <cell r="A622" t="str">
            <v>Interest Income</v>
          </cell>
        </row>
        <row r="623">
          <cell r="A623">
            <v>80010</v>
          </cell>
          <cell r="B623" t="str">
            <v>Interest Income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  <cell r="L623">
            <v>0</v>
          </cell>
          <cell r="M623">
            <v>0</v>
          </cell>
          <cell r="N623">
            <v>0</v>
          </cell>
          <cell r="O623">
            <v>0</v>
          </cell>
          <cell r="P623">
            <v>0</v>
          </cell>
          <cell r="Q623">
            <v>0</v>
          </cell>
        </row>
        <row r="624">
          <cell r="A624" t="str">
            <v>Total Interest Income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  <cell r="L624">
            <v>0</v>
          </cell>
          <cell r="M624">
            <v>0</v>
          </cell>
          <cell r="N624">
            <v>0</v>
          </cell>
          <cell r="O624">
            <v>0</v>
          </cell>
          <cell r="P624">
            <v>0</v>
          </cell>
          <cell r="Q624">
            <v>0</v>
          </cell>
        </row>
        <row r="626">
          <cell r="A626" t="str">
            <v>Other (Income) and Expense</v>
          </cell>
        </row>
        <row r="627">
          <cell r="A627">
            <v>70901</v>
          </cell>
          <cell r="B627" t="str">
            <v>Pooling Costs</v>
          </cell>
          <cell r="E627">
            <v>0</v>
          </cell>
          <cell r="F627">
            <v>0</v>
          </cell>
          <cell r="G627">
            <v>0</v>
          </cell>
          <cell r="H627">
            <v>0</v>
          </cell>
          <cell r="I627">
            <v>0</v>
          </cell>
          <cell r="J627">
            <v>0</v>
          </cell>
          <cell r="K627">
            <v>0</v>
          </cell>
          <cell r="L627">
            <v>0</v>
          </cell>
          <cell r="M627">
            <v>0</v>
          </cell>
          <cell r="N627">
            <v>0</v>
          </cell>
          <cell r="O627">
            <v>0</v>
          </cell>
          <cell r="P627">
            <v>0</v>
          </cell>
          <cell r="Q627">
            <v>0</v>
          </cell>
        </row>
        <row r="628">
          <cell r="A628">
            <v>91000</v>
          </cell>
          <cell r="B628" t="str">
            <v>Unusual Gain/Loss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  <cell r="M628">
            <v>0</v>
          </cell>
          <cell r="N628">
            <v>0</v>
          </cell>
          <cell r="O628">
            <v>0</v>
          </cell>
          <cell r="P628">
            <v>0</v>
          </cell>
          <cell r="Q628">
            <v>0</v>
          </cell>
        </row>
        <row r="629">
          <cell r="A629">
            <v>91001</v>
          </cell>
          <cell r="B629" t="str">
            <v>Investment Distribution Income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  <cell r="L629">
            <v>0</v>
          </cell>
          <cell r="M629">
            <v>0</v>
          </cell>
          <cell r="N629">
            <v>0</v>
          </cell>
          <cell r="O629">
            <v>0</v>
          </cell>
          <cell r="P629">
            <v>0</v>
          </cell>
          <cell r="Q629">
            <v>0</v>
          </cell>
        </row>
        <row r="630">
          <cell r="A630">
            <v>91002</v>
          </cell>
          <cell r="B630" t="str">
            <v>NSF Fees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  <cell r="L630">
            <v>0</v>
          </cell>
          <cell r="M630">
            <v>0</v>
          </cell>
          <cell r="N630">
            <v>0</v>
          </cell>
          <cell r="O630">
            <v>0</v>
          </cell>
          <cell r="P630">
            <v>0</v>
          </cell>
          <cell r="Q630">
            <v>0</v>
          </cell>
        </row>
        <row r="631">
          <cell r="A631" t="str">
            <v>Total Other (Income) and Expense</v>
          </cell>
          <cell r="E631">
            <v>0</v>
          </cell>
          <cell r="F631">
            <v>0</v>
          </cell>
          <cell r="G631">
            <v>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0</v>
          </cell>
          <cell r="O631">
            <v>0</v>
          </cell>
          <cell r="P631">
            <v>0</v>
          </cell>
          <cell r="Q631">
            <v>0</v>
          </cell>
        </row>
        <row r="633">
          <cell r="A633" t="str">
            <v>Income Before Taxes and Extraordinary Items</v>
          </cell>
          <cell r="E633">
            <v>-44982.409999999909</v>
          </cell>
          <cell r="F633">
            <v>210392.18999999994</v>
          </cell>
          <cell r="G633">
            <v>12199.139999999876</v>
          </cell>
          <cell r="H633">
            <v>87764.120000000068</v>
          </cell>
          <cell r="I633">
            <v>74408.229999999749</v>
          </cell>
          <cell r="J633">
            <v>139803.31000000006</v>
          </cell>
          <cell r="K633">
            <v>28808.420000000013</v>
          </cell>
          <cell r="L633">
            <v>178292.47</v>
          </cell>
          <cell r="M633">
            <v>70700.629999999976</v>
          </cell>
          <cell r="N633">
            <v>189706.05999999991</v>
          </cell>
          <cell r="O633">
            <v>-2263.1299999998737</v>
          </cell>
          <cell r="P633">
            <v>86637.149999999878</v>
          </cell>
          <cell r="Q633">
            <v>1031466.1799999956</v>
          </cell>
        </row>
        <row r="635">
          <cell r="A635" t="str">
            <v>Extraordinary Income and Expense</v>
          </cell>
        </row>
        <row r="636">
          <cell r="A636">
            <v>92999</v>
          </cell>
          <cell r="B636" t="str">
            <v>Extraordinary Gain/Loss</v>
          </cell>
          <cell r="E636">
            <v>0</v>
          </cell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  <cell r="M636">
            <v>0</v>
          </cell>
          <cell r="N636">
            <v>0</v>
          </cell>
          <cell r="O636">
            <v>0</v>
          </cell>
          <cell r="P636">
            <v>0</v>
          </cell>
          <cell r="Q636">
            <v>0</v>
          </cell>
        </row>
        <row r="637">
          <cell r="A637" t="str">
            <v>Total Extraordinary Income and Expense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  <cell r="O637">
            <v>0</v>
          </cell>
          <cell r="P637">
            <v>0</v>
          </cell>
          <cell r="Q637">
            <v>0</v>
          </cell>
        </row>
        <row r="639">
          <cell r="A639" t="str">
            <v>Net Income Before Taxes</v>
          </cell>
          <cell r="E639">
            <v>-44982.409999999909</v>
          </cell>
          <cell r="F639">
            <v>210392.18999999994</v>
          </cell>
          <cell r="G639">
            <v>12199.139999999876</v>
          </cell>
          <cell r="H639">
            <v>87764.120000000068</v>
          </cell>
          <cell r="I639">
            <v>74408.229999999749</v>
          </cell>
          <cell r="J639">
            <v>139803.31000000006</v>
          </cell>
          <cell r="K639">
            <v>28808.420000000013</v>
          </cell>
          <cell r="L639">
            <v>178292.47</v>
          </cell>
          <cell r="M639">
            <v>70700.629999999976</v>
          </cell>
          <cell r="N639">
            <v>189706.05999999991</v>
          </cell>
          <cell r="O639">
            <v>-2263.1299999998737</v>
          </cell>
          <cell r="P639">
            <v>86637.149999999878</v>
          </cell>
          <cell r="Q639">
            <v>1031466.1799999956</v>
          </cell>
        </row>
        <row r="641">
          <cell r="A641" t="str">
            <v>Income Taxes</v>
          </cell>
        </row>
        <row r="642">
          <cell r="A642">
            <v>90000</v>
          </cell>
          <cell r="B642" t="str">
            <v>Taxes -Federal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  <cell r="O642">
            <v>0</v>
          </cell>
          <cell r="P642">
            <v>0</v>
          </cell>
          <cell r="Q642">
            <v>0</v>
          </cell>
        </row>
        <row r="643">
          <cell r="A643">
            <v>90010</v>
          </cell>
          <cell r="B643" t="str">
            <v>Taxes - State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  <cell r="O643">
            <v>0</v>
          </cell>
          <cell r="P643">
            <v>0</v>
          </cell>
          <cell r="Q643">
            <v>0</v>
          </cell>
        </row>
        <row r="644">
          <cell r="A644" t="str">
            <v>Total Income Taxes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M644">
            <v>0</v>
          </cell>
          <cell r="N644">
            <v>0</v>
          </cell>
          <cell r="O644">
            <v>0</v>
          </cell>
          <cell r="P644">
            <v>0</v>
          </cell>
          <cell r="Q644">
            <v>0</v>
          </cell>
        </row>
        <row r="646">
          <cell r="A646" t="str">
            <v>Net Income</v>
          </cell>
          <cell r="E646">
            <v>-44982.409999999909</v>
          </cell>
          <cell r="F646">
            <v>210392.18999999994</v>
          </cell>
          <cell r="G646">
            <v>12199.139999999876</v>
          </cell>
          <cell r="H646">
            <v>87764.120000000068</v>
          </cell>
          <cell r="I646">
            <v>74408.229999999749</v>
          </cell>
          <cell r="J646">
            <v>139803.31000000006</v>
          </cell>
          <cell r="K646">
            <v>28808.420000000013</v>
          </cell>
          <cell r="L646">
            <v>178292.47</v>
          </cell>
          <cell r="M646">
            <v>70700.629999999976</v>
          </cell>
          <cell r="N646">
            <v>189706.05999999991</v>
          </cell>
          <cell r="O646">
            <v>-2263.1299999998737</v>
          </cell>
          <cell r="P646">
            <v>86637.149999999878</v>
          </cell>
          <cell r="Q646">
            <v>1031466.1799999956</v>
          </cell>
        </row>
        <row r="648">
          <cell r="A648" t="str">
            <v>Noncontrolling Interests Expense</v>
          </cell>
        </row>
        <row r="649">
          <cell r="A649">
            <v>92000</v>
          </cell>
          <cell r="B649" t="str">
            <v>Noncontrolling interests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  <cell r="L649">
            <v>0</v>
          </cell>
          <cell r="M649">
            <v>0</v>
          </cell>
          <cell r="N649">
            <v>0</v>
          </cell>
          <cell r="O649">
            <v>0</v>
          </cell>
          <cell r="P649">
            <v>0</v>
          </cell>
          <cell r="Q649">
            <v>0</v>
          </cell>
        </row>
        <row r="650">
          <cell r="A650" t="str">
            <v>Total Noncontrolling Interests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  <cell r="M650">
            <v>0</v>
          </cell>
          <cell r="N650">
            <v>0</v>
          </cell>
          <cell r="O650">
            <v>0</v>
          </cell>
          <cell r="P650">
            <v>0</v>
          </cell>
          <cell r="Q650">
            <v>0</v>
          </cell>
        </row>
        <row r="652">
          <cell r="A652" t="str">
            <v>Net Income Attributable to Waste Connections</v>
          </cell>
          <cell r="E652">
            <v>-44982.409999999909</v>
          </cell>
          <cell r="F652">
            <v>210392.18999999994</v>
          </cell>
          <cell r="G652">
            <v>12199.139999999876</v>
          </cell>
          <cell r="H652">
            <v>87764.120000000068</v>
          </cell>
          <cell r="I652">
            <v>74408.229999999749</v>
          </cell>
          <cell r="J652">
            <v>139803.31000000006</v>
          </cell>
          <cell r="K652">
            <v>28808.420000000013</v>
          </cell>
          <cell r="L652">
            <v>178292.47</v>
          </cell>
          <cell r="M652">
            <v>70700.629999999976</v>
          </cell>
          <cell r="N652">
            <v>189706.05999999991</v>
          </cell>
          <cell r="O652">
            <v>-2263.1299999998737</v>
          </cell>
          <cell r="P652">
            <v>86637.149999999878</v>
          </cell>
          <cell r="Q652">
            <v>1031466.1799999956</v>
          </cell>
        </row>
        <row r="654">
          <cell r="A654" t="str">
            <v>Net Income Attributable to Waste Connections per categories</v>
          </cell>
          <cell r="E654">
            <v>-44982.41</v>
          </cell>
          <cell r="F654">
            <v>210392.19</v>
          </cell>
          <cell r="G654">
            <v>12199.14</v>
          </cell>
          <cell r="H654">
            <v>87764.12</v>
          </cell>
          <cell r="I654">
            <v>74408.23</v>
          </cell>
          <cell r="J654">
            <v>139803.31</v>
          </cell>
          <cell r="K654">
            <v>28808.42</v>
          </cell>
          <cell r="L654">
            <v>178292.47</v>
          </cell>
          <cell r="M654">
            <v>70700.63</v>
          </cell>
          <cell r="N654">
            <v>189706.06</v>
          </cell>
          <cell r="O654">
            <v>-2263.13</v>
          </cell>
          <cell r="P654">
            <v>86637.15</v>
          </cell>
        </row>
      </sheetData>
      <sheetData sheetId="5" refreshError="1">
        <row r="12">
          <cell r="A12" t="str">
            <v>Revenue</v>
          </cell>
        </row>
        <row r="13">
          <cell r="A13" t="str">
            <v>Hauling</v>
          </cell>
        </row>
        <row r="14">
          <cell r="A14">
            <v>31000</v>
          </cell>
          <cell r="B14" t="str">
            <v>Hauling Revenue - Roll Off Permanent</v>
          </cell>
          <cell r="E14">
            <v>102444.08</v>
          </cell>
          <cell r="F14">
            <v>106574.9</v>
          </cell>
          <cell r="G14">
            <v>117486.29</v>
          </cell>
          <cell r="H14">
            <v>113663.22</v>
          </cell>
          <cell r="I14">
            <v>107537.52</v>
          </cell>
          <cell r="J14">
            <v>118709.91</v>
          </cell>
          <cell r="K14">
            <v>120424.95</v>
          </cell>
          <cell r="L14">
            <v>126593.49</v>
          </cell>
          <cell r="M14">
            <v>117849.49</v>
          </cell>
          <cell r="N14">
            <v>117031.26</v>
          </cell>
          <cell r="O14">
            <v>112018.5</v>
          </cell>
          <cell r="P14">
            <v>117369.28</v>
          </cell>
          <cell r="Q14">
            <v>1377702.89</v>
          </cell>
        </row>
        <row r="15">
          <cell r="A15">
            <v>31001</v>
          </cell>
          <cell r="B15" t="str">
            <v>Hauling Revenue - Roll Off Temporary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</row>
        <row r="16">
          <cell r="A16">
            <v>31002</v>
          </cell>
          <cell r="B16" t="str">
            <v>Hauling Revenue - Roll Off Rental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</row>
        <row r="17">
          <cell r="A17">
            <v>31003</v>
          </cell>
          <cell r="B17" t="str">
            <v>Hauling Revenue - Roll Off Compactor Ren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</row>
        <row r="18">
          <cell r="A18">
            <v>31004</v>
          </cell>
          <cell r="B18" t="str">
            <v>Hauling Revenue - Roll Off Recycling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</row>
        <row r="19">
          <cell r="A19">
            <v>31005</v>
          </cell>
          <cell r="B19" t="str">
            <v>Corporate Roll Off Disposal Charge</v>
          </cell>
          <cell r="E19">
            <v>210983.37</v>
          </cell>
          <cell r="F19">
            <v>189715.35</v>
          </cell>
          <cell r="G19">
            <v>221645.6</v>
          </cell>
          <cell r="H19">
            <v>218362.54</v>
          </cell>
          <cell r="I19">
            <v>210236.77</v>
          </cell>
          <cell r="J19">
            <v>240624.92</v>
          </cell>
          <cell r="K19">
            <v>227991.29</v>
          </cell>
          <cell r="L19">
            <v>234898.35</v>
          </cell>
          <cell r="M19">
            <v>229778.1</v>
          </cell>
          <cell r="N19">
            <v>229912.49</v>
          </cell>
          <cell r="O19">
            <v>225521.76</v>
          </cell>
          <cell r="P19">
            <v>242379.21</v>
          </cell>
          <cell r="Q19">
            <v>2682049.75</v>
          </cell>
        </row>
        <row r="20">
          <cell r="A20">
            <v>31008</v>
          </cell>
          <cell r="B20" t="str">
            <v>Hauling Revenue - Roll Off Adjustments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</row>
        <row r="21">
          <cell r="A21">
            <v>31009</v>
          </cell>
          <cell r="B21" t="str">
            <v>Hauling Revenue - Roll Off Intercompany</v>
          </cell>
          <cell r="E21">
            <v>2048.52</v>
          </cell>
          <cell r="F21">
            <v>2727.36</v>
          </cell>
          <cell r="G21">
            <v>2727.36</v>
          </cell>
          <cell r="H21">
            <v>3409.2</v>
          </cell>
          <cell r="I21">
            <v>2727.36</v>
          </cell>
          <cell r="J21">
            <v>2727.36</v>
          </cell>
          <cell r="K21">
            <v>5009.2</v>
          </cell>
          <cell r="L21">
            <v>3527.36</v>
          </cell>
          <cell r="M21">
            <v>3327.36</v>
          </cell>
          <cell r="N21">
            <v>3409.2</v>
          </cell>
          <cell r="O21">
            <v>2727.36</v>
          </cell>
          <cell r="P21">
            <v>3409.2</v>
          </cell>
          <cell r="Q21">
            <v>37776.839999999997</v>
          </cell>
        </row>
        <row r="22">
          <cell r="A22">
            <v>31010</v>
          </cell>
          <cell r="B22" t="str">
            <v>Hauling Revenue - Roll Off Extras</v>
          </cell>
          <cell r="E22">
            <v>27177.39</v>
          </cell>
          <cell r="F22">
            <v>26583.03</v>
          </cell>
          <cell r="G22">
            <v>26586.07</v>
          </cell>
          <cell r="H22">
            <v>27681.49</v>
          </cell>
          <cell r="I22">
            <v>28895.1</v>
          </cell>
          <cell r="J22">
            <v>30218.400000000001</v>
          </cell>
          <cell r="K22">
            <v>29088.41</v>
          </cell>
          <cell r="L22">
            <v>30882.48</v>
          </cell>
          <cell r="M22">
            <v>30023.54</v>
          </cell>
          <cell r="N22">
            <v>28675.83</v>
          </cell>
          <cell r="O22">
            <v>27741.67</v>
          </cell>
          <cell r="P22">
            <v>26907</v>
          </cell>
          <cell r="Q22">
            <v>340460.41</v>
          </cell>
        </row>
        <row r="23">
          <cell r="A23">
            <v>31020</v>
          </cell>
          <cell r="B23" t="str">
            <v>Hauling Revenue - Roll Off Special Waste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</row>
        <row r="24">
          <cell r="A24">
            <v>31021</v>
          </cell>
          <cell r="B24" t="str">
            <v>Hauling Revenue - Roll Off Special Waste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</row>
        <row r="25">
          <cell r="A25">
            <v>31029</v>
          </cell>
          <cell r="B25" t="str">
            <v>Hauling Revenue - Roll Off Special Waste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</row>
        <row r="26">
          <cell r="A26">
            <v>32000</v>
          </cell>
          <cell r="B26" t="str">
            <v>Hauling Revenue - Residential MSW</v>
          </cell>
          <cell r="E26">
            <v>1215495.77</v>
          </cell>
          <cell r="F26">
            <v>1200770.8</v>
          </cell>
          <cell r="G26">
            <v>1215802.44</v>
          </cell>
          <cell r="H26">
            <v>1220176.8500000001</v>
          </cell>
          <cell r="I26">
            <v>1224050.48</v>
          </cell>
          <cell r="J26">
            <v>1230237.8799999999</v>
          </cell>
          <cell r="K26">
            <v>1235768.5</v>
          </cell>
          <cell r="L26">
            <v>1230565.3500000001</v>
          </cell>
          <cell r="M26">
            <v>1233092.93</v>
          </cell>
          <cell r="N26">
            <v>1227440.83</v>
          </cell>
          <cell r="O26">
            <v>1230545.96</v>
          </cell>
          <cell r="P26">
            <v>1228126.99</v>
          </cell>
          <cell r="Q26">
            <v>14692074.779999999</v>
          </cell>
        </row>
        <row r="27">
          <cell r="A27">
            <v>32001</v>
          </cell>
          <cell r="B27" t="str">
            <v>Hauling Revenue - Residential MSW Extras</v>
          </cell>
          <cell r="E27">
            <v>29897.43</v>
          </cell>
          <cell r="F27">
            <v>23606.09</v>
          </cell>
          <cell r="G27">
            <v>37252.050000000003</v>
          </cell>
          <cell r="H27">
            <v>36299.58</v>
          </cell>
          <cell r="I27">
            <v>42698.61</v>
          </cell>
          <cell r="J27">
            <v>50366.1</v>
          </cell>
          <cell r="K27">
            <v>50649.79</v>
          </cell>
          <cell r="L27">
            <v>43300.24</v>
          </cell>
          <cell r="M27">
            <v>44830.46</v>
          </cell>
          <cell r="N27">
            <v>36083.339999999997</v>
          </cell>
          <cell r="O27">
            <v>44102.97</v>
          </cell>
          <cell r="P27">
            <v>42927.11</v>
          </cell>
          <cell r="Q27">
            <v>482013.77</v>
          </cell>
        </row>
        <row r="28">
          <cell r="A28">
            <v>32002</v>
          </cell>
          <cell r="B28" t="str">
            <v>Hauling Revenue - Residential MSW Adjust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</row>
        <row r="29">
          <cell r="A29">
            <v>32003</v>
          </cell>
          <cell r="B29" t="str">
            <v>Hauling Revenue - Residential MSW Specia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</row>
        <row r="30">
          <cell r="A30">
            <v>32009</v>
          </cell>
          <cell r="B30" t="str">
            <v>Hauling Revenue - Residential MSW Interc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</row>
        <row r="31">
          <cell r="A31">
            <v>32100</v>
          </cell>
          <cell r="B31" t="str">
            <v>Hauling Revenue - Residential Recycling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</row>
        <row r="32">
          <cell r="A32">
            <v>32101</v>
          </cell>
          <cell r="B32" t="str">
            <v>Hauling Revenue - Residential Recycling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</row>
        <row r="33">
          <cell r="A33">
            <v>32102</v>
          </cell>
          <cell r="B33" t="str">
            <v>Hauling Revenue - Residential Recycling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</row>
        <row r="34">
          <cell r="A34">
            <v>32103</v>
          </cell>
          <cell r="B34" t="str">
            <v>Hauling Revenue - Residential Recycling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</row>
        <row r="35">
          <cell r="A35">
            <v>32109</v>
          </cell>
          <cell r="B35" t="str">
            <v>Hauling Revenue - Residential Recycling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</row>
        <row r="36">
          <cell r="A36">
            <v>32110</v>
          </cell>
          <cell r="B36" t="str">
            <v>Hauling Revenue - Residential Composting</v>
          </cell>
          <cell r="E36">
            <v>232014.97</v>
          </cell>
          <cell r="F36">
            <v>232365.45</v>
          </cell>
          <cell r="G36">
            <v>257766.36</v>
          </cell>
          <cell r="H36">
            <v>270150.08</v>
          </cell>
          <cell r="I36">
            <v>281923.53999999998</v>
          </cell>
          <cell r="J36">
            <v>287780.03999999998</v>
          </cell>
          <cell r="K36">
            <v>291816.17</v>
          </cell>
          <cell r="L36">
            <v>292493.43</v>
          </cell>
          <cell r="M36">
            <v>290035.87</v>
          </cell>
          <cell r="N36">
            <v>289167.18</v>
          </cell>
          <cell r="O36">
            <v>283845.96999999997</v>
          </cell>
          <cell r="P36">
            <v>275560.67</v>
          </cell>
          <cell r="Q36">
            <v>3284919.7300000004</v>
          </cell>
        </row>
        <row r="37">
          <cell r="A37">
            <v>32111</v>
          </cell>
          <cell r="B37" t="str">
            <v>Hauling Revenue - Residential Composting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</row>
        <row r="38">
          <cell r="A38">
            <v>32112</v>
          </cell>
          <cell r="B38" t="str">
            <v>Hauling Revenue - Residential Composting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</row>
        <row r="39">
          <cell r="A39">
            <v>32113</v>
          </cell>
          <cell r="B39" t="str">
            <v>Hauling Revenue - Residential Composting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</row>
        <row r="40">
          <cell r="A40">
            <v>32119</v>
          </cell>
          <cell r="B40" t="str">
            <v>Hauling Revenue - Residential Composting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</row>
        <row r="41">
          <cell r="A41">
            <v>33000</v>
          </cell>
          <cell r="B41" t="str">
            <v>Hauling Revenue - Commercial FEL</v>
          </cell>
          <cell r="E41">
            <v>785575.03</v>
          </cell>
          <cell r="F41">
            <v>787034.21</v>
          </cell>
          <cell r="G41">
            <v>790933.58</v>
          </cell>
          <cell r="H41">
            <v>778610.72</v>
          </cell>
          <cell r="I41">
            <v>780041.46</v>
          </cell>
          <cell r="J41">
            <v>778320.61</v>
          </cell>
          <cell r="K41">
            <v>768305.23</v>
          </cell>
          <cell r="L41">
            <v>774319.69</v>
          </cell>
          <cell r="M41">
            <v>801901.87</v>
          </cell>
          <cell r="N41">
            <v>774557.42</v>
          </cell>
          <cell r="O41">
            <v>791933.57</v>
          </cell>
          <cell r="P41">
            <v>766346.74</v>
          </cell>
          <cell r="Q41">
            <v>9377880.129999999</v>
          </cell>
        </row>
        <row r="42">
          <cell r="A42">
            <v>33001</v>
          </cell>
          <cell r="B42" t="str">
            <v>Hauling Revenue - Commercial FEL Extras</v>
          </cell>
          <cell r="E42">
            <v>39516.839999999997</v>
          </cell>
          <cell r="F42">
            <v>40932.36</v>
          </cell>
          <cell r="G42">
            <v>42606.080000000002</v>
          </cell>
          <cell r="H42">
            <v>42197.16</v>
          </cell>
          <cell r="I42">
            <v>43036.11</v>
          </cell>
          <cell r="J42">
            <v>44513.7</v>
          </cell>
          <cell r="K42">
            <v>47317.760000000002</v>
          </cell>
          <cell r="L42">
            <v>46590.51</v>
          </cell>
          <cell r="M42">
            <v>43401.91</v>
          </cell>
          <cell r="N42">
            <v>44637.59</v>
          </cell>
          <cell r="O42">
            <v>43797.96</v>
          </cell>
          <cell r="P42">
            <v>45382.02</v>
          </cell>
          <cell r="Q42">
            <v>523930.00000000006</v>
          </cell>
        </row>
        <row r="43">
          <cell r="A43">
            <v>33002</v>
          </cell>
          <cell r="B43" t="str">
            <v>Hauling Revenue - Commercial FEL Adjustm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</row>
        <row r="44">
          <cell r="A44">
            <v>33009</v>
          </cell>
          <cell r="B44" t="str">
            <v>Hauling Revenue - Commercial FEL Interco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</row>
        <row r="45">
          <cell r="A45">
            <v>33010</v>
          </cell>
          <cell r="B45" t="str">
            <v>Hauling Revenue - Commercial REL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</row>
        <row r="46">
          <cell r="A46">
            <v>33011</v>
          </cell>
          <cell r="B46" t="str">
            <v>Hauling Revenue - Commercial REL Extras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</row>
        <row r="47">
          <cell r="A47">
            <v>33012</v>
          </cell>
          <cell r="B47" t="str">
            <v>Hauling Revenue - Commercial REL Adjustm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</row>
        <row r="48">
          <cell r="A48">
            <v>33019</v>
          </cell>
          <cell r="B48" t="str">
            <v>Hauling Revenue - Commercial REL Interco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</row>
        <row r="49">
          <cell r="A49">
            <v>33020</v>
          </cell>
          <cell r="B49" t="str">
            <v>Hauling Revenue - Commercial Recycling F</v>
          </cell>
          <cell r="E49">
            <v>119520.55</v>
          </cell>
          <cell r="F49">
            <v>122687.61</v>
          </cell>
          <cell r="G49">
            <v>123043.3</v>
          </cell>
          <cell r="H49">
            <v>123772.17</v>
          </cell>
          <cell r="I49">
            <v>125625.36</v>
          </cell>
          <cell r="J49">
            <v>127061.96</v>
          </cell>
          <cell r="K49">
            <v>116074.3</v>
          </cell>
          <cell r="L49">
            <v>111337.44</v>
          </cell>
          <cell r="M49">
            <v>128400.61</v>
          </cell>
          <cell r="N49">
            <v>133541.20000000001</v>
          </cell>
          <cell r="O49">
            <v>129324.87</v>
          </cell>
          <cell r="P49">
            <v>130696.08</v>
          </cell>
          <cell r="Q49">
            <v>1491085.4500000002</v>
          </cell>
        </row>
        <row r="50">
          <cell r="A50">
            <v>33021</v>
          </cell>
          <cell r="B50" t="str">
            <v>Hauling Revenue - Commercial Recycling F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</row>
        <row r="51">
          <cell r="A51">
            <v>33022</v>
          </cell>
          <cell r="B51" t="str">
            <v>Hauling Revenue - Commercial Recycling F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</row>
        <row r="52">
          <cell r="A52">
            <v>33029</v>
          </cell>
          <cell r="B52" t="str">
            <v>Hauling Revenue - Commercial Recycling F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</row>
        <row r="53">
          <cell r="A53">
            <v>33030</v>
          </cell>
          <cell r="B53" t="str">
            <v>Hauling Revenue - Commercial Recycling R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</row>
        <row r="54">
          <cell r="A54">
            <v>33031</v>
          </cell>
          <cell r="B54" t="str">
            <v>Hauling Revenue - Commercial Recycling R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</row>
        <row r="55">
          <cell r="A55">
            <v>33032</v>
          </cell>
          <cell r="B55" t="str">
            <v>Hauling Revenue - Commercial Recycling R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</row>
        <row r="56">
          <cell r="A56">
            <v>33039</v>
          </cell>
          <cell r="B56" t="str">
            <v>Hauling Revenue - Commercial Recycling R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</row>
        <row r="57">
          <cell r="A57">
            <v>33500</v>
          </cell>
          <cell r="B57" t="str">
            <v>Portable Toilet Revenue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</row>
        <row r="58">
          <cell r="A58">
            <v>33501</v>
          </cell>
          <cell r="B58" t="str">
            <v>Portable Toilet Extras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</row>
        <row r="59">
          <cell r="A59">
            <v>33502</v>
          </cell>
          <cell r="B59" t="str">
            <v>Portable Toilet Adjustments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</row>
        <row r="60">
          <cell r="A60">
            <v>33509</v>
          </cell>
          <cell r="B60" t="str">
            <v>Portable Toilet Intercompany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</row>
        <row r="61">
          <cell r="A61" t="str">
            <v>Total Hauling</v>
          </cell>
          <cell r="E61">
            <v>2764673.9499999997</v>
          </cell>
          <cell r="F61">
            <v>2732997.1599999997</v>
          </cell>
          <cell r="G61">
            <v>2835849.13</v>
          </cell>
          <cell r="H61">
            <v>2834323.0100000002</v>
          </cell>
          <cell r="I61">
            <v>2846772.3099999996</v>
          </cell>
          <cell r="J61">
            <v>2910560.8800000004</v>
          </cell>
          <cell r="K61">
            <v>2892445.5999999996</v>
          </cell>
          <cell r="L61">
            <v>2894508.3399999994</v>
          </cell>
          <cell r="M61">
            <v>2922642.14</v>
          </cell>
          <cell r="N61">
            <v>2884456.3400000003</v>
          </cell>
          <cell r="O61">
            <v>2891560.59</v>
          </cell>
          <cell r="P61">
            <v>2879104.3000000003</v>
          </cell>
          <cell r="Q61">
            <v>34289893.75</v>
          </cell>
        </row>
        <row r="63">
          <cell r="A63" t="str">
            <v>Transfer</v>
          </cell>
        </row>
        <row r="64">
          <cell r="A64">
            <v>35000</v>
          </cell>
          <cell r="B64" t="str">
            <v>Transfer Station - Third Party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</row>
        <row r="65">
          <cell r="A65">
            <v>35001</v>
          </cell>
          <cell r="B65" t="str">
            <v>Transfer Station - Third Party Adjustmen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</row>
        <row r="66">
          <cell r="A66">
            <v>35009</v>
          </cell>
          <cell r="B66" t="str">
            <v>Transfer Station - Intercompany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</row>
        <row r="67">
          <cell r="A67">
            <v>35500</v>
          </cell>
          <cell r="B67" t="str">
            <v>MRF Processing Charge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</row>
        <row r="68">
          <cell r="A68">
            <v>35501</v>
          </cell>
          <cell r="B68" t="str">
            <v>MRF Processing Charge Adjustments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</row>
        <row r="69">
          <cell r="A69">
            <v>35509</v>
          </cell>
          <cell r="B69" t="str">
            <v>MRF Processing Charge Intercompany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</row>
        <row r="70">
          <cell r="A70" t="str">
            <v>Total Transfer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</row>
        <row r="72">
          <cell r="A72" t="str">
            <v>MRF</v>
          </cell>
        </row>
        <row r="73">
          <cell r="A73">
            <v>35510</v>
          </cell>
          <cell r="B73" t="str">
            <v>Proceeds - OCC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</row>
        <row r="74">
          <cell r="A74">
            <v>35511</v>
          </cell>
          <cell r="B74" t="str">
            <v>Proceeds - ONP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</row>
        <row r="75">
          <cell r="A75">
            <v>35512</v>
          </cell>
          <cell r="B75" t="str">
            <v>Proceeds - Other Paper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</row>
        <row r="76">
          <cell r="A76">
            <v>35513</v>
          </cell>
          <cell r="B76" t="str">
            <v>Proceeds - Aluminum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</row>
        <row r="77">
          <cell r="A77">
            <v>35514</v>
          </cell>
          <cell r="B77" t="str">
            <v>Proceeds - Metal</v>
          </cell>
          <cell r="E77">
            <v>745.55</v>
          </cell>
          <cell r="F77">
            <v>533.20000000000005</v>
          </cell>
          <cell r="G77">
            <v>3342.9</v>
          </cell>
          <cell r="H77">
            <v>13178.15</v>
          </cell>
          <cell r="I77">
            <v>5247</v>
          </cell>
          <cell r="J77">
            <v>16966.05</v>
          </cell>
          <cell r="K77">
            <v>7984.5</v>
          </cell>
          <cell r="L77">
            <v>1463.55</v>
          </cell>
          <cell r="M77">
            <v>-1454.1</v>
          </cell>
          <cell r="N77">
            <v>1425.6</v>
          </cell>
          <cell r="O77">
            <v>1051.75</v>
          </cell>
          <cell r="P77">
            <v>1088</v>
          </cell>
          <cell r="Q77">
            <v>51572.15</v>
          </cell>
        </row>
        <row r="78">
          <cell r="A78">
            <v>35515</v>
          </cell>
          <cell r="B78" t="str">
            <v>Proceeds - Glass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</row>
        <row r="79">
          <cell r="A79">
            <v>35516</v>
          </cell>
          <cell r="B79" t="str">
            <v>Proceeds - Plastic</v>
          </cell>
          <cell r="E79">
            <v>387</v>
          </cell>
          <cell r="F79">
            <v>318.60000000000002</v>
          </cell>
          <cell r="G79">
            <v>0</v>
          </cell>
          <cell r="H79">
            <v>331.2</v>
          </cell>
          <cell r="I79">
            <v>0</v>
          </cell>
          <cell r="J79">
            <v>412.2</v>
          </cell>
          <cell r="K79">
            <v>644.4</v>
          </cell>
          <cell r="L79">
            <v>0</v>
          </cell>
          <cell r="M79">
            <v>0</v>
          </cell>
          <cell r="N79">
            <v>-644.4</v>
          </cell>
          <cell r="O79">
            <v>652</v>
          </cell>
          <cell r="P79">
            <v>0</v>
          </cell>
          <cell r="Q79">
            <v>2101</v>
          </cell>
        </row>
        <row r="80">
          <cell r="A80">
            <v>35517</v>
          </cell>
          <cell r="B80" t="str">
            <v>Proceeds - Other Recyclables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</row>
        <row r="81">
          <cell r="A81">
            <v>35518</v>
          </cell>
          <cell r="B81" t="str">
            <v>Proceeds - Commingled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</row>
        <row r="82">
          <cell r="A82">
            <v>35519</v>
          </cell>
          <cell r="B82" t="str">
            <v>Proceeds - Intercompany Material Sales</v>
          </cell>
          <cell r="E82">
            <v>65030.879999999997</v>
          </cell>
          <cell r="F82">
            <v>76173.81</v>
          </cell>
          <cell r="G82">
            <v>70361.429999999993</v>
          </cell>
          <cell r="H82">
            <v>74831.539999999994</v>
          </cell>
          <cell r="I82">
            <v>73578.62</v>
          </cell>
          <cell r="J82">
            <v>75531.38</v>
          </cell>
          <cell r="K82">
            <v>73771.45</v>
          </cell>
          <cell r="L82">
            <v>57407.56</v>
          </cell>
          <cell r="M82">
            <v>68624.86</v>
          </cell>
          <cell r="N82">
            <v>71603.88</v>
          </cell>
          <cell r="O82">
            <v>84200.36</v>
          </cell>
          <cell r="P82">
            <v>95665.68</v>
          </cell>
          <cell r="Q82">
            <v>886781.45</v>
          </cell>
        </row>
        <row r="83">
          <cell r="A83">
            <v>35520</v>
          </cell>
          <cell r="B83" t="str">
            <v>Support - OCC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</row>
        <row r="84">
          <cell r="A84">
            <v>35521</v>
          </cell>
          <cell r="B84" t="str">
            <v>Support - ONP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</row>
        <row r="85">
          <cell r="A85">
            <v>35522</v>
          </cell>
          <cell r="B85" t="str">
            <v>Support - Other Paper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</row>
        <row r="86">
          <cell r="A86">
            <v>35523</v>
          </cell>
          <cell r="B86" t="str">
            <v>Support - Aluminum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</row>
        <row r="87">
          <cell r="A87">
            <v>35524</v>
          </cell>
          <cell r="B87" t="str">
            <v>Support - Metal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</row>
        <row r="88">
          <cell r="A88">
            <v>35525</v>
          </cell>
          <cell r="B88" t="str">
            <v>Support - Glass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</row>
        <row r="89">
          <cell r="A89">
            <v>35526</v>
          </cell>
          <cell r="B89" t="str">
            <v>Support - Plastic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</row>
        <row r="90">
          <cell r="A90">
            <v>35527</v>
          </cell>
          <cell r="B90" t="str">
            <v>Support - Other Recyclables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</row>
        <row r="91">
          <cell r="A91">
            <v>35529</v>
          </cell>
          <cell r="B91" t="str">
            <v>Support - Intercompany Material Sales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</row>
        <row r="92">
          <cell r="A92">
            <v>35551</v>
          </cell>
          <cell r="B92" t="str">
            <v>Proceeds - Compost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</row>
        <row r="93">
          <cell r="A93">
            <v>35552</v>
          </cell>
          <cell r="B93" t="str">
            <v>Proceeds - Fuel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</row>
        <row r="94">
          <cell r="A94">
            <v>35553</v>
          </cell>
          <cell r="B94" t="str">
            <v>Proceeds - Landscape Materials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</row>
        <row r="95">
          <cell r="A95" t="str">
            <v>Total MRF</v>
          </cell>
          <cell r="E95">
            <v>66163.429999999993</v>
          </cell>
          <cell r="F95">
            <v>77025.61</v>
          </cell>
          <cell r="G95">
            <v>73704.329999999987</v>
          </cell>
          <cell r="H95">
            <v>88340.89</v>
          </cell>
          <cell r="I95">
            <v>78825.62</v>
          </cell>
          <cell r="J95">
            <v>92909.63</v>
          </cell>
          <cell r="K95">
            <v>82400.349999999991</v>
          </cell>
          <cell r="L95">
            <v>58871.11</v>
          </cell>
          <cell r="M95">
            <v>67170.759999999995</v>
          </cell>
          <cell r="N95">
            <v>72385.08</v>
          </cell>
          <cell r="O95">
            <v>85904.11</v>
          </cell>
          <cell r="P95">
            <v>96753.68</v>
          </cell>
          <cell r="Q95">
            <v>940454.6</v>
          </cell>
        </row>
        <row r="97">
          <cell r="A97" t="str">
            <v>Landfill</v>
          </cell>
        </row>
        <row r="98">
          <cell r="A98">
            <v>36000</v>
          </cell>
          <cell r="B98" t="str">
            <v>Landfill Revenue - MSW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</row>
        <row r="99">
          <cell r="A99">
            <v>36001</v>
          </cell>
          <cell r="B99" t="str">
            <v>Landfill Revenue - MSW Adjustments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</row>
        <row r="100">
          <cell r="A100">
            <v>36002</v>
          </cell>
          <cell r="B100" t="str">
            <v>Landfill Revenue - Extras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</row>
        <row r="101">
          <cell r="A101">
            <v>36009</v>
          </cell>
          <cell r="B101" t="str">
            <v>Landfill Revenue - MSW Intercompany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</row>
        <row r="102">
          <cell r="A102">
            <v>36010</v>
          </cell>
          <cell r="B102" t="str">
            <v>Landfill Revenue - C&amp;D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</row>
        <row r="103">
          <cell r="A103">
            <v>36011</v>
          </cell>
          <cell r="B103" t="str">
            <v>Landfill Revenue - C&amp;D Adjustments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</row>
        <row r="104">
          <cell r="A104">
            <v>36019</v>
          </cell>
          <cell r="B104" t="str">
            <v>Landfill Revenue - C&amp;D Intercompany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</row>
        <row r="105">
          <cell r="A105">
            <v>36020</v>
          </cell>
          <cell r="B105" t="str">
            <v>Landfill Revenue - Special Waste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</row>
        <row r="106">
          <cell r="A106">
            <v>36021</v>
          </cell>
          <cell r="B106" t="str">
            <v>Landfill Revenue - Special Waste Adjustm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</row>
        <row r="107">
          <cell r="A107">
            <v>36029</v>
          </cell>
          <cell r="B107" t="str">
            <v>Landfill Revenue - Special Waste Interco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</row>
        <row r="108">
          <cell r="A108">
            <v>36030</v>
          </cell>
          <cell r="B108" t="str">
            <v>Landfill Revenue - Asbestos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</row>
        <row r="109">
          <cell r="A109">
            <v>36031</v>
          </cell>
          <cell r="B109" t="str">
            <v>Landfill Revenue - Asbestos Adjustments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</row>
        <row r="110">
          <cell r="A110">
            <v>36039</v>
          </cell>
          <cell r="B110" t="str">
            <v>Landfill Revenue - Asbestos Intercompany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</row>
        <row r="111">
          <cell r="A111">
            <v>36040</v>
          </cell>
          <cell r="B111" t="str">
            <v>Landfill Revenue - Contaminated Soil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</row>
        <row r="112">
          <cell r="A112">
            <v>36041</v>
          </cell>
          <cell r="B112" t="str">
            <v>Landfill Revenue - Contaminated Soil Adj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</row>
        <row r="113">
          <cell r="A113">
            <v>36049</v>
          </cell>
          <cell r="B113" t="str">
            <v>Landfill Revenue - Contaminated Soil Int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</row>
        <row r="114">
          <cell r="A114">
            <v>36050</v>
          </cell>
          <cell r="B114" t="str">
            <v>Landfill Revenue - Yard Waste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</row>
        <row r="115">
          <cell r="A115">
            <v>36051</v>
          </cell>
          <cell r="B115" t="str">
            <v>Landfill Revenue - Yard Waste Adjustment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</row>
        <row r="116">
          <cell r="A116">
            <v>36059</v>
          </cell>
          <cell r="B116" t="str">
            <v>Landfill Revenue - Yard Waste Intercompa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</row>
        <row r="117">
          <cell r="A117">
            <v>36090</v>
          </cell>
          <cell r="B117" t="str">
            <v>Landfill Pass Through Revenue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</row>
        <row r="118">
          <cell r="A118">
            <v>36099</v>
          </cell>
          <cell r="B118" t="str">
            <v>Landfill Pass Through Revenue Intercompany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</row>
        <row r="119">
          <cell r="A119">
            <v>36301</v>
          </cell>
          <cell r="B119" t="str">
            <v>E&amp;P Liquids - Non Count Waste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</row>
        <row r="120">
          <cell r="A120">
            <v>36309</v>
          </cell>
          <cell r="B120" t="str">
            <v>E&amp;P Liquids - Non Count Waste Intercompany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</row>
        <row r="121">
          <cell r="A121">
            <v>36311</v>
          </cell>
          <cell r="B121" t="str">
            <v>E&amp;P Liquids - Count Waste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</row>
        <row r="122">
          <cell r="A122">
            <v>36319</v>
          </cell>
          <cell r="B122" t="str">
            <v>E&amp;P Liquids - Count Waste Intercompany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</row>
        <row r="123">
          <cell r="A123">
            <v>36321</v>
          </cell>
          <cell r="B123" t="str">
            <v>Other Liquids - Non E&amp;P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</row>
        <row r="124">
          <cell r="A124">
            <v>36329</v>
          </cell>
          <cell r="B124" t="str">
            <v>Other Liquids - Non E&amp;P Intercompany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</row>
        <row r="125">
          <cell r="A125">
            <v>36331</v>
          </cell>
          <cell r="B125" t="str">
            <v>E&amp;P Solids - Count Waste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</row>
        <row r="126">
          <cell r="A126">
            <v>36339</v>
          </cell>
          <cell r="B126" t="str">
            <v>E&amp;P Solids - Count Waste Intercompany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</row>
        <row r="127">
          <cell r="A127" t="str">
            <v>Total Landfill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</row>
        <row r="129">
          <cell r="A129" t="str">
            <v>Intermodal</v>
          </cell>
        </row>
        <row r="130">
          <cell r="A130">
            <v>36101</v>
          </cell>
          <cell r="B130" t="str">
            <v>Rail Drayage Revenue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</row>
        <row r="131">
          <cell r="A131">
            <v>36109</v>
          </cell>
          <cell r="B131" t="str">
            <v>Rail Drayage Revenue - Intercompany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</row>
        <row r="132">
          <cell r="A132">
            <v>36111</v>
          </cell>
          <cell r="B132" t="str">
            <v>Truck Drayage Revenue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</row>
        <row r="133">
          <cell r="A133">
            <v>36119</v>
          </cell>
          <cell r="B133" t="str">
            <v>Truck Drayage Revenue - Intercompany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</row>
        <row r="134">
          <cell r="A134">
            <v>36121</v>
          </cell>
          <cell r="B134" t="str">
            <v>Barge Drayage Revenue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</row>
        <row r="135">
          <cell r="A135">
            <v>36131</v>
          </cell>
          <cell r="B135" t="str">
            <v>Service Labor Revenue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</row>
        <row r="136">
          <cell r="A136">
            <v>36141</v>
          </cell>
          <cell r="B136" t="str">
            <v>Refrigeration Labor Revenue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</row>
        <row r="137">
          <cell r="A137">
            <v>36145</v>
          </cell>
          <cell r="B137" t="str">
            <v>Parts Revenue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</row>
        <row r="138">
          <cell r="A138">
            <v>36151</v>
          </cell>
          <cell r="B138" t="str">
            <v>Container Sales Revenue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</row>
        <row r="139">
          <cell r="A139">
            <v>36161</v>
          </cell>
          <cell r="B139" t="str">
            <v>Container Rental Revenue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</row>
        <row r="140">
          <cell r="A140">
            <v>36171</v>
          </cell>
          <cell r="B140" t="str">
            <v>Intermodal Revenue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</row>
        <row r="141">
          <cell r="A141">
            <v>36181</v>
          </cell>
          <cell r="B141" t="str">
            <v>Chassis Lease Revenue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</row>
        <row r="142">
          <cell r="A142">
            <v>36191</v>
          </cell>
          <cell r="B142" t="str">
            <v>Interchanges Revenue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</row>
        <row r="143">
          <cell r="A143">
            <v>36201</v>
          </cell>
          <cell r="B143" t="str">
            <v>Storage Revenue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</row>
        <row r="144">
          <cell r="A144">
            <v>36211</v>
          </cell>
          <cell r="B144" t="str">
            <v>Empty Lifts Revenue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</row>
        <row r="145">
          <cell r="A145">
            <v>36221</v>
          </cell>
          <cell r="B145" t="str">
            <v>Load Lifts Revenue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</row>
        <row r="146">
          <cell r="A146" t="str">
            <v>Total Intermodal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</row>
        <row r="148">
          <cell r="A148" t="str">
            <v>Other Revenue</v>
          </cell>
        </row>
        <row r="149">
          <cell r="A149">
            <v>37001</v>
          </cell>
          <cell r="B149" t="str">
            <v>Sale of Equipment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</row>
        <row r="150">
          <cell r="A150">
            <v>37010</v>
          </cell>
          <cell r="B150" t="str">
            <v>Tire Processing Revenue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</row>
        <row r="151">
          <cell r="A151">
            <v>37019</v>
          </cell>
          <cell r="B151" t="str">
            <v>Tire Processing Revenue - Intercompany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</row>
        <row r="152">
          <cell r="A152">
            <v>38000</v>
          </cell>
          <cell r="B152" t="str">
            <v>Corporate Other Revenue</v>
          </cell>
          <cell r="E152">
            <v>8589.2099999999991</v>
          </cell>
          <cell r="F152">
            <v>1694.09</v>
          </cell>
          <cell r="G152">
            <v>4218.3599999999997</v>
          </cell>
          <cell r="H152">
            <v>1373.97</v>
          </cell>
          <cell r="I152">
            <v>5262.72</v>
          </cell>
          <cell r="J152">
            <v>1769.91</v>
          </cell>
          <cell r="K152">
            <v>5502.45</v>
          </cell>
          <cell r="L152">
            <v>1702.72</v>
          </cell>
          <cell r="M152">
            <v>5805.85</v>
          </cell>
          <cell r="N152">
            <v>2208.19</v>
          </cell>
          <cell r="O152">
            <v>5752.25</v>
          </cell>
          <cell r="P152">
            <v>3433.24</v>
          </cell>
          <cell r="Q152">
            <v>47312.959999999999</v>
          </cell>
        </row>
        <row r="153">
          <cell r="A153">
            <v>38001</v>
          </cell>
          <cell r="B153" t="str">
            <v>P-Card Rebate Revenue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</row>
        <row r="154">
          <cell r="A154" t="str">
            <v>Total Other Revenue</v>
          </cell>
          <cell r="E154">
            <v>8589.2099999999991</v>
          </cell>
          <cell r="F154">
            <v>1694.09</v>
          </cell>
          <cell r="G154">
            <v>4218.3599999999997</v>
          </cell>
          <cell r="H154">
            <v>1373.97</v>
          </cell>
          <cell r="I154">
            <v>5262.72</v>
          </cell>
          <cell r="J154">
            <v>1769.91</v>
          </cell>
          <cell r="K154">
            <v>5502.45</v>
          </cell>
          <cell r="L154">
            <v>1702.72</v>
          </cell>
          <cell r="M154">
            <v>5805.85</v>
          </cell>
          <cell r="N154">
            <v>2208.19</v>
          </cell>
          <cell r="O154">
            <v>5752.25</v>
          </cell>
          <cell r="P154">
            <v>3433.24</v>
          </cell>
          <cell r="Q154">
            <v>47312.959999999999</v>
          </cell>
        </row>
        <row r="156">
          <cell r="A156" t="str">
            <v>Total Revenue</v>
          </cell>
          <cell r="E156">
            <v>2839426.59</v>
          </cell>
          <cell r="F156">
            <v>2811716.86</v>
          </cell>
          <cell r="G156">
            <v>2913771.82</v>
          </cell>
          <cell r="H156">
            <v>2924037.87</v>
          </cell>
          <cell r="I156">
            <v>2930860.6499999994</v>
          </cell>
          <cell r="J156">
            <v>3005240.4200000004</v>
          </cell>
          <cell r="K156">
            <v>2980348.3999999994</v>
          </cell>
          <cell r="L156">
            <v>2955082.1699999995</v>
          </cell>
          <cell r="M156">
            <v>2995618.75</v>
          </cell>
          <cell r="N156">
            <v>2959049.6100000003</v>
          </cell>
          <cell r="O156">
            <v>2983216.9499999997</v>
          </cell>
          <cell r="P156">
            <v>2979291.22</v>
          </cell>
          <cell r="Q156">
            <v>35277661.310000002</v>
          </cell>
        </row>
        <row r="158">
          <cell r="A158" t="str">
            <v>Revenue Reductions</v>
          </cell>
        </row>
        <row r="159">
          <cell r="A159" t="str">
            <v>Disposal</v>
          </cell>
        </row>
        <row r="160">
          <cell r="A160">
            <v>40101</v>
          </cell>
          <cell r="B160" t="str">
            <v>Disposal Landfill</v>
          </cell>
          <cell r="E160">
            <v>23350.03</v>
          </cell>
          <cell r="F160">
            <v>26834.720000000001</v>
          </cell>
          <cell r="G160">
            <v>42381.84</v>
          </cell>
          <cell r="H160">
            <v>36707.01</v>
          </cell>
          <cell r="I160">
            <v>39327.86</v>
          </cell>
          <cell r="J160">
            <v>44813.91</v>
          </cell>
          <cell r="K160">
            <v>45601.91</v>
          </cell>
          <cell r="L160">
            <v>42594.05</v>
          </cell>
          <cell r="M160">
            <v>39719.949999999997</v>
          </cell>
          <cell r="N160">
            <v>37160.81</v>
          </cell>
          <cell r="O160">
            <v>33518.03</v>
          </cell>
          <cell r="P160">
            <v>28405.79</v>
          </cell>
          <cell r="Q160">
            <v>440415.91</v>
          </cell>
        </row>
        <row r="161">
          <cell r="A161">
            <v>40109</v>
          </cell>
          <cell r="B161" t="str">
            <v>Disposal Landfill Intercompany</v>
          </cell>
          <cell r="E161">
            <v>194.6</v>
          </cell>
          <cell r="F161">
            <v>327.96</v>
          </cell>
          <cell r="G161">
            <v>99.4</v>
          </cell>
          <cell r="H161">
            <v>8930.7999999999993</v>
          </cell>
          <cell r="I161">
            <v>8418</v>
          </cell>
          <cell r="J161">
            <v>10225</v>
          </cell>
          <cell r="K161">
            <v>9550</v>
          </cell>
          <cell r="L161">
            <v>8953</v>
          </cell>
          <cell r="M161">
            <v>8660</v>
          </cell>
          <cell r="N161">
            <v>8485</v>
          </cell>
          <cell r="O161">
            <v>8205</v>
          </cell>
          <cell r="P161">
            <v>8111.2</v>
          </cell>
          <cell r="Q161">
            <v>80159.959999999992</v>
          </cell>
        </row>
        <row r="162">
          <cell r="A162">
            <v>40121</v>
          </cell>
          <cell r="B162" t="str">
            <v>Disposal Incineration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</row>
        <row r="163">
          <cell r="A163">
            <v>40122</v>
          </cell>
          <cell r="B163" t="str">
            <v>Disposal Other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</row>
        <row r="164">
          <cell r="A164">
            <v>40129</v>
          </cell>
          <cell r="B164" t="str">
            <v>Disposal Other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</row>
        <row r="165">
          <cell r="A165">
            <v>40131</v>
          </cell>
          <cell r="B165" t="str">
            <v>Disposal Transfer</v>
          </cell>
          <cell r="E165">
            <v>4652.22</v>
          </cell>
          <cell r="F165">
            <v>5422.23</v>
          </cell>
          <cell r="G165">
            <v>6556.26</v>
          </cell>
          <cell r="H165">
            <v>5248.01</v>
          </cell>
          <cell r="I165">
            <v>6285.68</v>
          </cell>
          <cell r="J165">
            <v>5271.25</v>
          </cell>
          <cell r="K165">
            <v>2375.48</v>
          </cell>
          <cell r="L165">
            <v>2345.9499999999998</v>
          </cell>
          <cell r="M165">
            <v>4253.9399999999996</v>
          </cell>
          <cell r="N165">
            <v>5654.19</v>
          </cell>
          <cell r="O165">
            <v>5131.53</v>
          </cell>
          <cell r="P165">
            <v>5010.78</v>
          </cell>
          <cell r="Q165">
            <v>58207.520000000004</v>
          </cell>
        </row>
        <row r="166">
          <cell r="A166">
            <v>40139</v>
          </cell>
          <cell r="B166" t="str">
            <v>Disposal Transfer Intercompany</v>
          </cell>
          <cell r="E166">
            <v>593825.03</v>
          </cell>
          <cell r="F166">
            <v>547142.99</v>
          </cell>
          <cell r="G166">
            <v>630810.36</v>
          </cell>
          <cell r="H166">
            <v>605643.42000000004</v>
          </cell>
          <cell r="I166">
            <v>594549.89</v>
          </cell>
          <cell r="J166">
            <v>658860.29</v>
          </cell>
          <cell r="K166">
            <v>621190.5</v>
          </cell>
          <cell r="L166">
            <v>619548.27</v>
          </cell>
          <cell r="M166">
            <v>634021.85</v>
          </cell>
          <cell r="N166">
            <v>591478.38</v>
          </cell>
          <cell r="O166">
            <v>635582.61</v>
          </cell>
          <cell r="P166">
            <v>652795.86</v>
          </cell>
          <cell r="Q166">
            <v>7385449.4500000002</v>
          </cell>
        </row>
        <row r="167">
          <cell r="A167" t="str">
            <v>Total Disposal</v>
          </cell>
          <cell r="E167">
            <v>622021.88</v>
          </cell>
          <cell r="F167">
            <v>579727.9</v>
          </cell>
          <cell r="G167">
            <v>679847.86</v>
          </cell>
          <cell r="H167">
            <v>656529.24</v>
          </cell>
          <cell r="I167">
            <v>648581.43000000005</v>
          </cell>
          <cell r="J167">
            <v>719170.45000000007</v>
          </cell>
          <cell r="K167">
            <v>678717.89</v>
          </cell>
          <cell r="L167">
            <v>673441.27</v>
          </cell>
          <cell r="M167">
            <v>686655.74</v>
          </cell>
          <cell r="N167">
            <v>642778.38</v>
          </cell>
          <cell r="O167">
            <v>682437.16999999993</v>
          </cell>
          <cell r="P167">
            <v>694323.63</v>
          </cell>
          <cell r="Q167">
            <v>7964232.8399999999</v>
          </cell>
        </row>
        <row r="169">
          <cell r="A169" t="str">
            <v>MRF Processing</v>
          </cell>
        </row>
        <row r="170">
          <cell r="A170">
            <v>40861</v>
          </cell>
          <cell r="B170" t="str">
            <v>Processing Fees MRF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</row>
        <row r="171">
          <cell r="A171">
            <v>40869</v>
          </cell>
          <cell r="B171" t="str">
            <v>Processing Fees MRF Intercompany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</row>
        <row r="172">
          <cell r="A172" t="str">
            <v>Total MRF Processing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</row>
        <row r="174">
          <cell r="A174" t="str">
            <v>Brokerage, Rebates and Taxes</v>
          </cell>
        </row>
        <row r="175">
          <cell r="A175">
            <v>41121</v>
          </cell>
          <cell r="B175" t="str">
            <v>Brokerage Cost</v>
          </cell>
          <cell r="E175">
            <v>0</v>
          </cell>
          <cell r="F175">
            <v>0</v>
          </cell>
          <cell r="G175">
            <v>0</v>
          </cell>
          <cell r="H175">
            <v>178.39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178.39</v>
          </cell>
        </row>
        <row r="176">
          <cell r="A176">
            <v>41129</v>
          </cell>
          <cell r="B176" t="str">
            <v>Brokerage Cost Intercompany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</row>
        <row r="177">
          <cell r="A177">
            <v>41131</v>
          </cell>
          <cell r="B177" t="str">
            <v>Rail Drayage Expenses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</row>
        <row r="178">
          <cell r="A178">
            <v>41135</v>
          </cell>
          <cell r="B178" t="str">
            <v>Resale Parts - Cost of Goods Sold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</row>
        <row r="179">
          <cell r="A179">
            <v>41139</v>
          </cell>
          <cell r="B179" t="str">
            <v>Rail Drayage Expenses - Intercompany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</row>
        <row r="180">
          <cell r="A180">
            <v>41141</v>
          </cell>
          <cell r="B180" t="str">
            <v>Truck Drayage Expenses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</row>
        <row r="181">
          <cell r="A181">
            <v>41149</v>
          </cell>
          <cell r="B181" t="str">
            <v>Truck Drayage Expenses - Intercompany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</row>
        <row r="182">
          <cell r="A182">
            <v>41151</v>
          </cell>
          <cell r="B182" t="str">
            <v>Intermodal Expenses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</row>
        <row r="183">
          <cell r="A183">
            <v>41201</v>
          </cell>
          <cell r="B183" t="str">
            <v>Rebates and Revenue Sharing</v>
          </cell>
          <cell r="E183">
            <v>521936.87</v>
          </cell>
          <cell r="F183">
            <v>516837.5</v>
          </cell>
          <cell r="G183">
            <v>526589.43999999994</v>
          </cell>
          <cell r="H183">
            <v>507133.7</v>
          </cell>
          <cell r="I183">
            <v>514778.73</v>
          </cell>
          <cell r="J183">
            <v>520529.95</v>
          </cell>
          <cell r="K183">
            <v>523325.23</v>
          </cell>
          <cell r="L183">
            <v>525169.91</v>
          </cell>
          <cell r="M183">
            <v>526242.24</v>
          </cell>
          <cell r="N183">
            <v>522492.7</v>
          </cell>
          <cell r="O183">
            <v>519798.37</v>
          </cell>
          <cell r="P183">
            <v>519523.19</v>
          </cell>
          <cell r="Q183">
            <v>6244357.830000001</v>
          </cell>
        </row>
        <row r="184">
          <cell r="A184">
            <v>43001</v>
          </cell>
          <cell r="B184" t="str">
            <v>Taxes and Pass Thru Fees</v>
          </cell>
          <cell r="E184">
            <v>41543.1</v>
          </cell>
          <cell r="F184">
            <v>40952.97</v>
          </cell>
          <cell r="G184">
            <v>42462.54</v>
          </cell>
          <cell r="H184">
            <v>45489.33</v>
          </cell>
          <cell r="I184">
            <v>48581.71</v>
          </cell>
          <cell r="J184">
            <v>53321.59</v>
          </cell>
          <cell r="K184">
            <v>51875.89</v>
          </cell>
          <cell r="L184">
            <v>52096.88</v>
          </cell>
          <cell r="M184">
            <v>52109.83</v>
          </cell>
          <cell r="N184">
            <v>51665.29</v>
          </cell>
          <cell r="O184">
            <v>51559.19</v>
          </cell>
          <cell r="P184">
            <v>51703.040000000001</v>
          </cell>
          <cell r="Q184">
            <v>583361.3600000001</v>
          </cell>
        </row>
        <row r="185">
          <cell r="A185">
            <v>43002</v>
          </cell>
          <cell r="B185" t="str">
            <v>WUTC Taxes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</row>
        <row r="186">
          <cell r="A186">
            <v>43090</v>
          </cell>
          <cell r="B186" t="str">
            <v>Pass Through Expenses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</row>
        <row r="187">
          <cell r="A187">
            <v>43099</v>
          </cell>
          <cell r="B187" t="str">
            <v>Pass Through Expenses Intercompany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</row>
        <row r="188">
          <cell r="A188" t="str">
            <v>Total Brokerage, Rebates and Taxes</v>
          </cell>
          <cell r="E188">
            <v>563479.97</v>
          </cell>
          <cell r="F188">
            <v>557790.47</v>
          </cell>
          <cell r="G188">
            <v>569051.98</v>
          </cell>
          <cell r="H188">
            <v>552801.42000000004</v>
          </cell>
          <cell r="I188">
            <v>563360.43999999994</v>
          </cell>
          <cell r="J188">
            <v>573851.54</v>
          </cell>
          <cell r="K188">
            <v>575201.12</v>
          </cell>
          <cell r="L188">
            <v>577266.79</v>
          </cell>
          <cell r="M188">
            <v>578352.06999999995</v>
          </cell>
          <cell r="N188">
            <v>574157.99</v>
          </cell>
          <cell r="O188">
            <v>571357.56000000006</v>
          </cell>
          <cell r="P188">
            <v>571226.23</v>
          </cell>
          <cell r="Q188">
            <v>6827897.580000001</v>
          </cell>
        </row>
        <row r="190">
          <cell r="A190" t="str">
            <v>Recycling Materials Expense</v>
          </cell>
        </row>
        <row r="191">
          <cell r="A191">
            <v>44161</v>
          </cell>
          <cell r="B191" t="str">
            <v>Cost of Materials - OCC</v>
          </cell>
          <cell r="E191">
            <v>2426.64</v>
          </cell>
          <cell r="F191">
            <v>2389.0700000000002</v>
          </cell>
          <cell r="G191">
            <v>2400.6</v>
          </cell>
          <cell r="H191">
            <v>2445.6799999999998</v>
          </cell>
          <cell r="I191">
            <v>2403.29</v>
          </cell>
          <cell r="J191">
            <v>2402.11</v>
          </cell>
          <cell r="K191">
            <v>437.67</v>
          </cell>
          <cell r="L191">
            <v>1356.93</v>
          </cell>
          <cell r="M191">
            <v>2409.56</v>
          </cell>
          <cell r="N191">
            <v>2530.52</v>
          </cell>
          <cell r="O191">
            <v>2633.11</v>
          </cell>
          <cell r="P191">
            <v>2651.26</v>
          </cell>
          <cell r="Q191">
            <v>26486.440000000002</v>
          </cell>
        </row>
        <row r="192">
          <cell r="A192">
            <v>44162</v>
          </cell>
          <cell r="B192" t="str">
            <v>Cost of Materials - ONP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</row>
        <row r="193">
          <cell r="A193">
            <v>44163</v>
          </cell>
          <cell r="B193" t="str">
            <v>Cost of Materials - Other Paper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</row>
        <row r="194">
          <cell r="A194">
            <v>44164</v>
          </cell>
          <cell r="B194" t="str">
            <v>Cost of Materials - Aluminum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</row>
        <row r="195">
          <cell r="A195">
            <v>44165</v>
          </cell>
          <cell r="B195" t="str">
            <v>Cost of Materials - Metal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</row>
        <row r="196">
          <cell r="A196">
            <v>44166</v>
          </cell>
          <cell r="B196" t="str">
            <v>Cost of Materials - Glass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</row>
        <row r="197">
          <cell r="A197">
            <v>44167</v>
          </cell>
          <cell r="B197" t="str">
            <v>Cost of Materials - Plastic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</row>
        <row r="198">
          <cell r="A198">
            <v>44168</v>
          </cell>
          <cell r="B198" t="str">
            <v>Cost of Materials - Other Recyclables</v>
          </cell>
          <cell r="E198">
            <v>0</v>
          </cell>
          <cell r="F198">
            <v>8</v>
          </cell>
          <cell r="G198">
            <v>8</v>
          </cell>
          <cell r="H198">
            <v>0</v>
          </cell>
          <cell r="I198">
            <v>8</v>
          </cell>
          <cell r="J198">
            <v>0</v>
          </cell>
          <cell r="K198">
            <v>8</v>
          </cell>
          <cell r="L198">
            <v>7</v>
          </cell>
          <cell r="M198">
            <v>0</v>
          </cell>
          <cell r="N198">
            <v>7</v>
          </cell>
          <cell r="O198">
            <v>15</v>
          </cell>
          <cell r="P198">
            <v>8</v>
          </cell>
          <cell r="Q198">
            <v>69</v>
          </cell>
        </row>
        <row r="199">
          <cell r="A199">
            <v>44169</v>
          </cell>
          <cell r="B199" t="str">
            <v>Cost of Materials - Intercompany</v>
          </cell>
          <cell r="E199">
            <v>1793.25</v>
          </cell>
          <cell r="F199">
            <v>1711</v>
          </cell>
          <cell r="G199">
            <v>2209.37</v>
          </cell>
          <cell r="H199">
            <v>2644.25</v>
          </cell>
          <cell r="I199">
            <v>3170</v>
          </cell>
          <cell r="J199">
            <v>2275.25</v>
          </cell>
          <cell r="K199">
            <v>1660.5</v>
          </cell>
          <cell r="L199">
            <v>2033.7</v>
          </cell>
          <cell r="M199">
            <v>1648</v>
          </cell>
          <cell r="N199">
            <v>2091.5500000000002</v>
          </cell>
          <cell r="O199">
            <v>2223.8000000000002</v>
          </cell>
          <cell r="P199">
            <v>2182.25</v>
          </cell>
          <cell r="Q199">
            <v>25642.92</v>
          </cell>
        </row>
        <row r="200">
          <cell r="A200">
            <v>44261</v>
          </cell>
          <cell r="B200" t="str">
            <v>Cost of Materials - Organics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</row>
        <row r="201">
          <cell r="A201">
            <v>44262</v>
          </cell>
          <cell r="B201" t="str">
            <v>Cost of Materials - Clean Wood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</row>
        <row r="202">
          <cell r="A202">
            <v>44263</v>
          </cell>
          <cell r="B202" t="str">
            <v>Cost of Materials - Landscaping Materials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</row>
        <row r="203">
          <cell r="A203" t="str">
            <v>Total Recycling Materials Expense</v>
          </cell>
          <cell r="E203">
            <v>4219.8899999999994</v>
          </cell>
          <cell r="F203">
            <v>4108.07</v>
          </cell>
          <cell r="G203">
            <v>4617.9699999999993</v>
          </cell>
          <cell r="H203">
            <v>5089.93</v>
          </cell>
          <cell r="I203">
            <v>5581.29</v>
          </cell>
          <cell r="J203">
            <v>4677.3600000000006</v>
          </cell>
          <cell r="K203">
            <v>2106.17</v>
          </cell>
          <cell r="L203">
            <v>3397.63</v>
          </cell>
          <cell r="M203">
            <v>4057.56</v>
          </cell>
          <cell r="N203">
            <v>4629.07</v>
          </cell>
          <cell r="O203">
            <v>4871.91</v>
          </cell>
          <cell r="P203">
            <v>4841.51</v>
          </cell>
          <cell r="Q203">
            <v>52198.36</v>
          </cell>
        </row>
        <row r="205">
          <cell r="A205" t="str">
            <v>Other Expense</v>
          </cell>
        </row>
        <row r="206">
          <cell r="A206">
            <v>47000</v>
          </cell>
          <cell r="B206" t="str">
            <v>Cost of Containers Sold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</row>
        <row r="207">
          <cell r="A207">
            <v>47001</v>
          </cell>
          <cell r="B207" t="str">
            <v>Cost of Equipment Sold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</row>
        <row r="208">
          <cell r="A208">
            <v>47010</v>
          </cell>
          <cell r="B208" t="str">
            <v>Tire Processing Expenses</v>
          </cell>
          <cell r="E208">
            <v>0</v>
          </cell>
          <cell r="F208">
            <v>0</v>
          </cell>
          <cell r="G208">
            <v>0</v>
          </cell>
          <cell r="H208">
            <v>205.8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205.8</v>
          </cell>
        </row>
        <row r="209">
          <cell r="A209">
            <v>47019</v>
          </cell>
          <cell r="B209" t="str">
            <v>Tire Processing Expenses - Intercompany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</row>
        <row r="210">
          <cell r="A210" t="str">
            <v>Total Other Expense</v>
          </cell>
          <cell r="E210">
            <v>0</v>
          </cell>
          <cell r="F210">
            <v>0</v>
          </cell>
          <cell r="G210">
            <v>0</v>
          </cell>
          <cell r="H210">
            <v>205.8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205.8</v>
          </cell>
        </row>
        <row r="212">
          <cell r="A212" t="str">
            <v>Total Revenue Reductions</v>
          </cell>
          <cell r="E212">
            <v>1189721.74</v>
          </cell>
          <cell r="F212">
            <v>1141626.44</v>
          </cell>
          <cell r="G212">
            <v>1253517.81</v>
          </cell>
          <cell r="H212">
            <v>1214626.3900000001</v>
          </cell>
          <cell r="I212">
            <v>1217523.1600000001</v>
          </cell>
          <cell r="J212">
            <v>1297699.3500000001</v>
          </cell>
          <cell r="K212">
            <v>1256025.1800000002</v>
          </cell>
          <cell r="L212">
            <v>1254105.69</v>
          </cell>
          <cell r="M212">
            <v>1269065.3700000001</v>
          </cell>
          <cell r="N212">
            <v>1221565.4399999999</v>
          </cell>
          <cell r="O212">
            <v>1258666.6400000001</v>
          </cell>
          <cell r="P212">
            <v>1270391.3700000001</v>
          </cell>
          <cell r="Q212">
            <v>14844534.580000002</v>
          </cell>
        </row>
        <row r="214">
          <cell r="A214" t="str">
            <v>Net Revenue</v>
          </cell>
          <cell r="E214">
            <v>1649704.8499999999</v>
          </cell>
          <cell r="F214">
            <v>1670090.42</v>
          </cell>
          <cell r="G214">
            <v>1660254.0099999998</v>
          </cell>
          <cell r="H214">
            <v>1709411.48</v>
          </cell>
          <cell r="I214">
            <v>1713337.4899999993</v>
          </cell>
          <cell r="J214">
            <v>1707541.0700000003</v>
          </cell>
          <cell r="K214">
            <v>1724323.2199999993</v>
          </cell>
          <cell r="L214">
            <v>1700976.4799999995</v>
          </cell>
          <cell r="M214">
            <v>1726553.38</v>
          </cell>
          <cell r="N214">
            <v>1737484.1700000004</v>
          </cell>
          <cell r="O214">
            <v>1724550.3099999996</v>
          </cell>
          <cell r="P214">
            <v>1708899.85</v>
          </cell>
          <cell r="Q214">
            <v>20433126.73</v>
          </cell>
        </row>
        <row r="216">
          <cell r="A216" t="str">
            <v>Cost of Operations</v>
          </cell>
        </row>
        <row r="217">
          <cell r="A217" t="str">
            <v>Labor</v>
          </cell>
        </row>
        <row r="218">
          <cell r="A218">
            <v>50010</v>
          </cell>
          <cell r="B218" t="str">
            <v>Salaries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</row>
        <row r="219">
          <cell r="A219">
            <v>50020</v>
          </cell>
          <cell r="B219" t="str">
            <v>Wages Regular</v>
          </cell>
          <cell r="E219">
            <v>164883.42000000001</v>
          </cell>
          <cell r="F219">
            <v>163593.57</v>
          </cell>
          <cell r="G219">
            <v>188109.33</v>
          </cell>
          <cell r="H219">
            <v>179849.71</v>
          </cell>
          <cell r="I219">
            <v>172347.9</v>
          </cell>
          <cell r="J219">
            <v>187859.47</v>
          </cell>
          <cell r="K219">
            <v>178348.24</v>
          </cell>
          <cell r="L219">
            <v>182091.36</v>
          </cell>
          <cell r="M219">
            <v>176392.37000000002</v>
          </cell>
          <cell r="N219">
            <v>178231.65999999997</v>
          </cell>
          <cell r="O219">
            <v>171402.89</v>
          </cell>
          <cell r="P219">
            <v>200565.78999999998</v>
          </cell>
          <cell r="Q219">
            <v>2143675.71</v>
          </cell>
        </row>
        <row r="220">
          <cell r="A220">
            <v>50025</v>
          </cell>
          <cell r="B220" t="str">
            <v>Wages O.T.</v>
          </cell>
          <cell r="E220">
            <v>32984.839999999997</v>
          </cell>
          <cell r="F220">
            <v>9544.4</v>
          </cell>
          <cell r="G220">
            <v>22471.78</v>
          </cell>
          <cell r="H220">
            <v>31363.030000000002</v>
          </cell>
          <cell r="I220">
            <v>49805.09</v>
          </cell>
          <cell r="J220">
            <v>35207.21</v>
          </cell>
          <cell r="K220">
            <v>36825.21</v>
          </cell>
          <cell r="L220">
            <v>33200.26</v>
          </cell>
          <cell r="M220">
            <v>40758.67</v>
          </cell>
          <cell r="N220">
            <v>31022.81</v>
          </cell>
          <cell r="O220">
            <v>51285.26</v>
          </cell>
          <cell r="P220">
            <v>33854.409999999996</v>
          </cell>
          <cell r="Q220">
            <v>408322.97</v>
          </cell>
        </row>
        <row r="221">
          <cell r="A221">
            <v>50035</v>
          </cell>
          <cell r="B221" t="str">
            <v>Safety Bonuses</v>
          </cell>
          <cell r="E221">
            <v>4800</v>
          </cell>
          <cell r="F221">
            <v>4800</v>
          </cell>
          <cell r="G221">
            <v>4800</v>
          </cell>
          <cell r="H221">
            <v>4800</v>
          </cell>
          <cell r="I221">
            <v>5550</v>
          </cell>
          <cell r="J221">
            <v>5550</v>
          </cell>
          <cell r="K221">
            <v>5550</v>
          </cell>
          <cell r="L221">
            <v>5550</v>
          </cell>
          <cell r="M221">
            <v>3500</v>
          </cell>
          <cell r="N221">
            <v>3500</v>
          </cell>
          <cell r="O221">
            <v>4800</v>
          </cell>
          <cell r="P221">
            <v>-8000</v>
          </cell>
          <cell r="Q221">
            <v>45200</v>
          </cell>
        </row>
        <row r="222">
          <cell r="A222">
            <v>50036</v>
          </cell>
          <cell r="B222" t="str">
            <v>Other Bonus/Commission - Non-Safety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</row>
        <row r="223">
          <cell r="A223">
            <v>50045</v>
          </cell>
          <cell r="B223" t="str">
            <v>Contract Labor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4788.33</v>
          </cell>
          <cell r="L223">
            <v>3663.38</v>
          </cell>
          <cell r="M223">
            <v>2786.12</v>
          </cell>
          <cell r="N223">
            <v>7835.02</v>
          </cell>
          <cell r="O223">
            <v>2360.66</v>
          </cell>
          <cell r="P223">
            <v>120.48</v>
          </cell>
          <cell r="Q223">
            <v>21553.989999999998</v>
          </cell>
        </row>
        <row r="224">
          <cell r="A224">
            <v>50050</v>
          </cell>
          <cell r="B224" t="str">
            <v>Payroll Taxes</v>
          </cell>
          <cell r="E224">
            <v>25189.960000000003</v>
          </cell>
          <cell r="F224">
            <v>18251.73</v>
          </cell>
          <cell r="G224">
            <v>20679.02</v>
          </cell>
          <cell r="H224">
            <v>21039.350000000002</v>
          </cell>
          <cell r="I224">
            <v>21060.63</v>
          </cell>
          <cell r="J224">
            <v>22770.019999999997</v>
          </cell>
          <cell r="K224">
            <v>23082.989999999998</v>
          </cell>
          <cell r="L224">
            <v>21413.860000000004</v>
          </cell>
          <cell r="M224">
            <v>22297.15</v>
          </cell>
          <cell r="N224">
            <v>19721.989999999998</v>
          </cell>
          <cell r="O224">
            <v>24041.16</v>
          </cell>
          <cell r="P224">
            <v>17044.59</v>
          </cell>
          <cell r="Q224">
            <v>256592.45</v>
          </cell>
        </row>
        <row r="225">
          <cell r="A225">
            <v>50060</v>
          </cell>
          <cell r="B225" t="str">
            <v>Group Insurance</v>
          </cell>
          <cell r="E225">
            <v>-52</v>
          </cell>
          <cell r="F225">
            <v>52</v>
          </cell>
          <cell r="G225">
            <v>400</v>
          </cell>
          <cell r="H225">
            <v>400</v>
          </cell>
          <cell r="I225">
            <v>400</v>
          </cell>
          <cell r="J225">
            <v>400</v>
          </cell>
          <cell r="K225">
            <v>400.77</v>
          </cell>
          <cell r="L225">
            <v>348</v>
          </cell>
          <cell r="M225">
            <v>400</v>
          </cell>
          <cell r="N225">
            <v>400</v>
          </cell>
          <cell r="O225">
            <v>1.54</v>
          </cell>
          <cell r="P225">
            <v>-913.13</v>
          </cell>
          <cell r="Q225">
            <v>2237.1799999999998</v>
          </cell>
        </row>
        <row r="226">
          <cell r="A226">
            <v>50065</v>
          </cell>
          <cell r="B226" t="str">
            <v>Vacation Pay</v>
          </cell>
          <cell r="E226">
            <v>19746.13</v>
          </cell>
          <cell r="F226">
            <v>10715.919999999998</v>
          </cell>
          <cell r="G226">
            <v>10164.220000000001</v>
          </cell>
          <cell r="H226">
            <v>13775.17</v>
          </cell>
          <cell r="I226">
            <v>12214.41</v>
          </cell>
          <cell r="J226">
            <v>9839.7799999999988</v>
          </cell>
          <cell r="K226">
            <v>16829.84</v>
          </cell>
          <cell r="L226">
            <v>10619.08</v>
          </cell>
          <cell r="M226">
            <v>20174.8</v>
          </cell>
          <cell r="N226">
            <v>7964.8900000000012</v>
          </cell>
          <cell r="O226">
            <v>28346.93</v>
          </cell>
          <cell r="P226">
            <v>21322.129999999997</v>
          </cell>
          <cell r="Q226">
            <v>181713.30000000002</v>
          </cell>
        </row>
        <row r="227">
          <cell r="A227">
            <v>50070</v>
          </cell>
          <cell r="B227" t="str">
            <v>Sick Pay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</row>
        <row r="228">
          <cell r="A228">
            <v>50086</v>
          </cell>
          <cell r="B228" t="str">
            <v>Safety and Training</v>
          </cell>
          <cell r="E228">
            <v>157.5</v>
          </cell>
          <cell r="F228">
            <v>172.5</v>
          </cell>
          <cell r="G228">
            <v>808.28</v>
          </cell>
          <cell r="H228">
            <v>-442.5</v>
          </cell>
          <cell r="I228">
            <v>965.32</v>
          </cell>
          <cell r="J228">
            <v>0</v>
          </cell>
          <cell r="K228">
            <v>0</v>
          </cell>
          <cell r="L228">
            <v>0</v>
          </cell>
          <cell r="M228">
            <v>25</v>
          </cell>
          <cell r="N228">
            <v>675</v>
          </cell>
          <cell r="O228">
            <v>0</v>
          </cell>
          <cell r="P228">
            <v>0</v>
          </cell>
          <cell r="Q228">
            <v>2361.1</v>
          </cell>
        </row>
        <row r="229">
          <cell r="A229">
            <v>50087</v>
          </cell>
          <cell r="B229" t="str">
            <v>Drug Testing</v>
          </cell>
          <cell r="E229">
            <v>60</v>
          </cell>
          <cell r="F229">
            <v>294</v>
          </cell>
          <cell r="G229">
            <v>180</v>
          </cell>
          <cell r="H229">
            <v>60</v>
          </cell>
          <cell r="I229">
            <v>180</v>
          </cell>
          <cell r="J229">
            <v>0</v>
          </cell>
          <cell r="K229">
            <v>660</v>
          </cell>
          <cell r="L229">
            <v>180</v>
          </cell>
          <cell r="M229">
            <v>480</v>
          </cell>
          <cell r="N229">
            <v>360</v>
          </cell>
          <cell r="O229">
            <v>180</v>
          </cell>
          <cell r="P229">
            <v>120</v>
          </cell>
          <cell r="Q229">
            <v>2754</v>
          </cell>
        </row>
        <row r="230">
          <cell r="A230">
            <v>50090</v>
          </cell>
          <cell r="B230" t="str">
            <v>Uniforms</v>
          </cell>
          <cell r="E230">
            <v>4074.6600000000003</v>
          </cell>
          <cell r="F230">
            <v>3623.04</v>
          </cell>
          <cell r="G230">
            <v>5198.9500000000007</v>
          </cell>
          <cell r="H230">
            <v>3689.49</v>
          </cell>
          <cell r="I230">
            <v>10448.56</v>
          </cell>
          <cell r="J230">
            <v>4504.9699999999993</v>
          </cell>
          <cell r="K230">
            <v>4758.2000000000007</v>
          </cell>
          <cell r="L230">
            <v>10818.759999999998</v>
          </cell>
          <cell r="M230">
            <v>4750.04</v>
          </cell>
          <cell r="N230">
            <v>7936.8100000000013</v>
          </cell>
          <cell r="O230">
            <v>4016.29</v>
          </cell>
          <cell r="P230">
            <v>3616.1000000000004</v>
          </cell>
          <cell r="Q230">
            <v>67435.87</v>
          </cell>
        </row>
        <row r="231">
          <cell r="A231">
            <v>50115</v>
          </cell>
          <cell r="B231" t="str">
            <v>Pension and Profit Sharing</v>
          </cell>
          <cell r="E231">
            <v>28983.06</v>
          </cell>
          <cell r="F231">
            <v>25738.78</v>
          </cell>
          <cell r="G231">
            <v>27512.51</v>
          </cell>
          <cell r="H231">
            <v>29149.510000000002</v>
          </cell>
          <cell r="I231">
            <v>28747.71</v>
          </cell>
          <cell r="J231">
            <v>30320.410000000003</v>
          </cell>
          <cell r="K231">
            <v>30592.95</v>
          </cell>
          <cell r="L231">
            <v>30361.019999999997</v>
          </cell>
          <cell r="M231">
            <v>30798.07</v>
          </cell>
          <cell r="N231">
            <v>28965.410000000003</v>
          </cell>
          <cell r="O231">
            <v>29195.13</v>
          </cell>
          <cell r="P231">
            <v>27681.32</v>
          </cell>
          <cell r="Q231">
            <v>348045.87999999995</v>
          </cell>
        </row>
        <row r="232">
          <cell r="A232">
            <v>50116</v>
          </cell>
          <cell r="B232" t="str">
            <v>Union Benefit Expense</v>
          </cell>
          <cell r="E232">
            <v>75002.37000000001</v>
          </cell>
          <cell r="F232">
            <v>76004.59</v>
          </cell>
          <cell r="G232">
            <v>72736.17</v>
          </cell>
          <cell r="H232">
            <v>70560.600000000006</v>
          </cell>
          <cell r="I232">
            <v>73715.539999999994</v>
          </cell>
          <cell r="J232">
            <v>76036.11</v>
          </cell>
          <cell r="K232">
            <v>76033.8</v>
          </cell>
          <cell r="L232">
            <v>76047.17</v>
          </cell>
          <cell r="M232">
            <v>75995.589999999982</v>
          </cell>
          <cell r="N232">
            <v>77106.5</v>
          </cell>
          <cell r="O232">
            <v>74405.170000000013</v>
          </cell>
          <cell r="P232">
            <v>74519.92</v>
          </cell>
          <cell r="Q232">
            <v>898163.53</v>
          </cell>
        </row>
        <row r="233">
          <cell r="A233">
            <v>50117</v>
          </cell>
          <cell r="B233" t="str">
            <v>Union Pension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</row>
        <row r="234">
          <cell r="A234">
            <v>50148</v>
          </cell>
          <cell r="B234" t="str">
            <v>Allocated Exp In - District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</row>
        <row r="235">
          <cell r="A235">
            <v>50149</v>
          </cell>
          <cell r="B235" t="str">
            <v>Allocated Exp In Out - District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</row>
        <row r="236">
          <cell r="A236">
            <v>50335</v>
          </cell>
          <cell r="B236" t="str">
            <v>Miscellaneous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</row>
        <row r="237">
          <cell r="A237">
            <v>50900</v>
          </cell>
          <cell r="B237" t="str">
            <v>Capitalized Costs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</row>
        <row r="238">
          <cell r="A238">
            <v>50998</v>
          </cell>
          <cell r="B238" t="str">
            <v>Allocation Out - District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</row>
        <row r="239">
          <cell r="A239">
            <v>50999</v>
          </cell>
          <cell r="B239" t="str">
            <v>Allocation Out - Out District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</row>
        <row r="240">
          <cell r="A240" t="str">
            <v>Total Labor</v>
          </cell>
          <cell r="E240">
            <v>355829.94</v>
          </cell>
          <cell r="F240">
            <v>312790.53000000003</v>
          </cell>
          <cell r="G240">
            <v>353060.25999999995</v>
          </cell>
          <cell r="H240">
            <v>354244.36</v>
          </cell>
          <cell r="I240">
            <v>375435.16</v>
          </cell>
          <cell r="J240">
            <v>372487.97</v>
          </cell>
          <cell r="K240">
            <v>377870.32999999996</v>
          </cell>
          <cell r="L240">
            <v>374292.89</v>
          </cell>
          <cell r="M240">
            <v>378357.81</v>
          </cell>
          <cell r="N240">
            <v>363720.08999999997</v>
          </cell>
          <cell r="O240">
            <v>390035.03</v>
          </cell>
          <cell r="P240">
            <v>369931.60999999993</v>
          </cell>
          <cell r="Q240">
            <v>4378055.9800000004</v>
          </cell>
        </row>
        <row r="242">
          <cell r="A242" t="str">
            <v>Truck Fixed Expenses</v>
          </cell>
        </row>
        <row r="243">
          <cell r="A243">
            <v>51148</v>
          </cell>
          <cell r="B243" t="str">
            <v>Allocation In - District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</row>
        <row r="244">
          <cell r="A244">
            <v>51149</v>
          </cell>
          <cell r="B244" t="str">
            <v>Allocation In - Out District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</row>
        <row r="245">
          <cell r="A245">
            <v>51175</v>
          </cell>
          <cell r="B245" t="str">
            <v>Equipment/Vehicle Rental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</row>
        <row r="246">
          <cell r="A246">
            <v>51275</v>
          </cell>
          <cell r="B246" t="str">
            <v>Property Taxes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</row>
        <row r="247">
          <cell r="A247">
            <v>51295</v>
          </cell>
          <cell r="B247" t="str">
            <v>Licenses</v>
          </cell>
          <cell r="E247">
            <v>7094.03</v>
          </cell>
          <cell r="F247">
            <v>5283.39</v>
          </cell>
          <cell r="G247">
            <v>6038.79</v>
          </cell>
          <cell r="H247">
            <v>6260.76</v>
          </cell>
          <cell r="I247">
            <v>7130.37</v>
          </cell>
          <cell r="J247">
            <v>6495.12</v>
          </cell>
          <cell r="K247">
            <v>7155.12</v>
          </cell>
          <cell r="L247">
            <v>8517.26</v>
          </cell>
          <cell r="M247">
            <v>6025.42</v>
          </cell>
          <cell r="N247">
            <v>6730.71</v>
          </cell>
          <cell r="O247">
            <v>6040.84</v>
          </cell>
          <cell r="P247">
            <v>7017.82</v>
          </cell>
          <cell r="Q247">
            <v>79789.63</v>
          </cell>
        </row>
        <row r="248">
          <cell r="A248">
            <v>51335</v>
          </cell>
          <cell r="B248" t="str">
            <v>Miscellaneous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</row>
        <row r="249">
          <cell r="A249">
            <v>51998</v>
          </cell>
          <cell r="B249" t="str">
            <v>Allocation Out - District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</row>
        <row r="250">
          <cell r="A250">
            <v>51999</v>
          </cell>
          <cell r="B250" t="str">
            <v>Allocation Out - Out District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</row>
        <row r="251">
          <cell r="A251" t="str">
            <v>Total Truck Fixed Expenses</v>
          </cell>
          <cell r="E251">
            <v>7094.03</v>
          </cell>
          <cell r="F251">
            <v>5283.39</v>
          </cell>
          <cell r="G251">
            <v>6038.79</v>
          </cell>
          <cell r="H251">
            <v>6260.76</v>
          </cell>
          <cell r="I251">
            <v>7130.37</v>
          </cell>
          <cell r="J251">
            <v>6495.12</v>
          </cell>
          <cell r="K251">
            <v>7155.12</v>
          </cell>
          <cell r="L251">
            <v>8517.26</v>
          </cell>
          <cell r="M251">
            <v>6025.42</v>
          </cell>
          <cell r="N251">
            <v>6730.71</v>
          </cell>
          <cell r="O251">
            <v>6040.84</v>
          </cell>
          <cell r="P251">
            <v>7017.82</v>
          </cell>
          <cell r="Q251">
            <v>79789.63</v>
          </cell>
        </row>
        <row r="253">
          <cell r="A253" t="str">
            <v>Truck Variable Expenses</v>
          </cell>
        </row>
        <row r="254">
          <cell r="A254">
            <v>52010</v>
          </cell>
          <cell r="B254" t="str">
            <v>Salaries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</row>
        <row r="255">
          <cell r="A255">
            <v>52020</v>
          </cell>
          <cell r="B255" t="str">
            <v>Wages Regular</v>
          </cell>
          <cell r="E255">
            <v>41831.43</v>
          </cell>
          <cell r="F255">
            <v>31547.360000000001</v>
          </cell>
          <cell r="G255">
            <v>41785.230000000003</v>
          </cell>
          <cell r="H255">
            <v>41270.26</v>
          </cell>
          <cell r="I255">
            <v>32339.71</v>
          </cell>
          <cell r="J255">
            <v>31241.200000000001</v>
          </cell>
          <cell r="K255">
            <v>37276.75</v>
          </cell>
          <cell r="L255">
            <v>38079.120000000003</v>
          </cell>
          <cell r="M255">
            <v>35899.410000000003</v>
          </cell>
          <cell r="N255">
            <v>39332.589999999997</v>
          </cell>
          <cell r="O255">
            <v>37890.239999999998</v>
          </cell>
          <cell r="P255">
            <v>44055.94</v>
          </cell>
          <cell r="Q255">
            <v>452549.24000000005</v>
          </cell>
        </row>
        <row r="256">
          <cell r="A256">
            <v>52025</v>
          </cell>
          <cell r="B256" t="str">
            <v>Wages O.T.</v>
          </cell>
          <cell r="E256">
            <v>7524.35</v>
          </cell>
          <cell r="F256">
            <v>4047.27</v>
          </cell>
          <cell r="G256">
            <v>4760.2299999999996</v>
          </cell>
          <cell r="H256">
            <v>4152.5200000000004</v>
          </cell>
          <cell r="I256">
            <v>5808.01</v>
          </cell>
          <cell r="J256">
            <v>4035.92</v>
          </cell>
          <cell r="K256">
            <v>11119.38</v>
          </cell>
          <cell r="L256">
            <v>2971.58</v>
          </cell>
          <cell r="M256">
            <v>6964.42</v>
          </cell>
          <cell r="N256">
            <v>4824.8500000000004</v>
          </cell>
          <cell r="O256">
            <v>7793.34</v>
          </cell>
          <cell r="P256">
            <v>5555.18</v>
          </cell>
          <cell r="Q256">
            <v>69557.049999999988</v>
          </cell>
        </row>
        <row r="257">
          <cell r="A257">
            <v>52035</v>
          </cell>
          <cell r="B257" t="str">
            <v>Safety Bonuses</v>
          </cell>
          <cell r="E257">
            <v>1250</v>
          </cell>
          <cell r="F257">
            <v>1250</v>
          </cell>
          <cell r="G257">
            <v>1250</v>
          </cell>
          <cell r="H257">
            <v>1250</v>
          </cell>
          <cell r="I257">
            <v>2000</v>
          </cell>
          <cell r="J257">
            <v>2000</v>
          </cell>
          <cell r="K257">
            <v>2000</v>
          </cell>
          <cell r="L257">
            <v>2000</v>
          </cell>
          <cell r="M257">
            <v>1000</v>
          </cell>
          <cell r="N257">
            <v>1000</v>
          </cell>
          <cell r="O257">
            <v>1200</v>
          </cell>
          <cell r="P257">
            <v>-2000</v>
          </cell>
          <cell r="Q257">
            <v>14200</v>
          </cell>
        </row>
        <row r="258">
          <cell r="A258">
            <v>52036</v>
          </cell>
          <cell r="B258" t="str">
            <v>Other Bonus/Commission - Non-Safety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</row>
        <row r="259">
          <cell r="A259">
            <v>52045</v>
          </cell>
          <cell r="B259" t="str">
            <v>Contract Labor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</row>
        <row r="260">
          <cell r="A260">
            <v>52050</v>
          </cell>
          <cell r="B260" t="str">
            <v>Payroll Taxes</v>
          </cell>
          <cell r="E260">
            <v>5936.87</v>
          </cell>
          <cell r="F260">
            <v>3515.19</v>
          </cell>
          <cell r="G260">
            <v>4535.6499999999996</v>
          </cell>
          <cell r="H260">
            <v>4653.75</v>
          </cell>
          <cell r="I260">
            <v>4561.24</v>
          </cell>
          <cell r="J260">
            <v>5119.2299999999996</v>
          </cell>
          <cell r="K260">
            <v>5503.32</v>
          </cell>
          <cell r="L260">
            <v>4465.1099999999997</v>
          </cell>
          <cell r="M260">
            <v>4260.3100000000004</v>
          </cell>
          <cell r="N260">
            <v>4002.25</v>
          </cell>
          <cell r="O260">
            <v>5640.4</v>
          </cell>
          <cell r="P260">
            <v>3070</v>
          </cell>
          <cell r="Q260">
            <v>55263.32</v>
          </cell>
        </row>
        <row r="261">
          <cell r="A261">
            <v>52060</v>
          </cell>
          <cell r="B261" t="str">
            <v>Group Insurance</v>
          </cell>
          <cell r="E261">
            <v>-159</v>
          </cell>
          <cell r="F261">
            <v>-159</v>
          </cell>
          <cell r="G261">
            <v>561.5</v>
          </cell>
          <cell r="H261">
            <v>720.5</v>
          </cell>
          <cell r="I261">
            <v>641</v>
          </cell>
          <cell r="J261">
            <v>641</v>
          </cell>
          <cell r="K261">
            <v>641</v>
          </cell>
          <cell r="L261">
            <v>641</v>
          </cell>
          <cell r="M261">
            <v>561.5</v>
          </cell>
          <cell r="N261">
            <v>720.5</v>
          </cell>
          <cell r="O261">
            <v>641</v>
          </cell>
          <cell r="P261">
            <v>511.58</v>
          </cell>
          <cell r="Q261">
            <v>5962.58</v>
          </cell>
        </row>
        <row r="262">
          <cell r="A262">
            <v>52065</v>
          </cell>
          <cell r="B262" t="str">
            <v>Vacation Pay</v>
          </cell>
          <cell r="E262">
            <v>5737.5</v>
          </cell>
          <cell r="F262">
            <v>2090.71</v>
          </cell>
          <cell r="G262">
            <v>1979.73</v>
          </cell>
          <cell r="H262">
            <v>3044.17</v>
          </cell>
          <cell r="I262">
            <v>1571.02</v>
          </cell>
          <cell r="J262">
            <v>4642.26</v>
          </cell>
          <cell r="K262">
            <v>3319.05</v>
          </cell>
          <cell r="L262">
            <v>1557.75</v>
          </cell>
          <cell r="M262">
            <v>5888.63</v>
          </cell>
          <cell r="N262">
            <v>2065.0500000000002</v>
          </cell>
          <cell r="O262">
            <v>3190.34</v>
          </cell>
          <cell r="P262">
            <v>2387</v>
          </cell>
          <cell r="Q262">
            <v>37473.21</v>
          </cell>
        </row>
        <row r="263">
          <cell r="A263">
            <v>52070</v>
          </cell>
          <cell r="B263" t="str">
            <v>Sick Pay</v>
          </cell>
          <cell r="E263">
            <v>0</v>
          </cell>
          <cell r="F263">
            <v>0</v>
          </cell>
          <cell r="G263">
            <v>111.2</v>
          </cell>
          <cell r="H263">
            <v>903.6</v>
          </cell>
          <cell r="I263">
            <v>-301.2</v>
          </cell>
          <cell r="J263">
            <v>114.8</v>
          </cell>
          <cell r="K263">
            <v>229.6</v>
          </cell>
          <cell r="L263">
            <v>-114.8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943.2</v>
          </cell>
        </row>
        <row r="264">
          <cell r="A264">
            <v>52086</v>
          </cell>
          <cell r="B264" t="str">
            <v>Safety and Training</v>
          </cell>
          <cell r="E264">
            <v>313.67</v>
          </cell>
          <cell r="F264">
            <v>337.9</v>
          </cell>
          <cell r="G264">
            <v>464.12</v>
          </cell>
          <cell r="H264">
            <v>898.81</v>
          </cell>
          <cell r="I264">
            <v>1000.19</v>
          </cell>
          <cell r="J264">
            <v>951.13</v>
          </cell>
          <cell r="K264">
            <v>348.03</v>
          </cell>
          <cell r="L264">
            <v>1085.5</v>
          </cell>
          <cell r="M264">
            <v>0</v>
          </cell>
          <cell r="N264">
            <v>252.45</v>
          </cell>
          <cell r="O264">
            <v>0</v>
          </cell>
          <cell r="P264">
            <v>1352.06</v>
          </cell>
          <cell r="Q264">
            <v>7003.8600000000006</v>
          </cell>
        </row>
        <row r="265">
          <cell r="A265">
            <v>52087</v>
          </cell>
          <cell r="B265" t="str">
            <v>Drug Screening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</row>
        <row r="266">
          <cell r="A266">
            <v>52090</v>
          </cell>
          <cell r="B266" t="str">
            <v>Uniforms</v>
          </cell>
          <cell r="E266">
            <v>300.83</v>
          </cell>
          <cell r="F266">
            <v>353.71</v>
          </cell>
          <cell r="G266">
            <v>389.7</v>
          </cell>
          <cell r="H266">
            <v>320.22000000000003</v>
          </cell>
          <cell r="I266">
            <v>296.99</v>
          </cell>
          <cell r="J266">
            <v>450.43</v>
          </cell>
          <cell r="K266">
            <v>428.66</v>
          </cell>
          <cell r="L266">
            <v>1034.03</v>
          </cell>
          <cell r="M266">
            <v>250.15</v>
          </cell>
          <cell r="N266">
            <v>3123.18</v>
          </cell>
          <cell r="O266">
            <v>276.32</v>
          </cell>
          <cell r="P266">
            <v>308.07</v>
          </cell>
          <cell r="Q266">
            <v>7532.2899999999991</v>
          </cell>
        </row>
        <row r="267">
          <cell r="A267">
            <v>52115</v>
          </cell>
          <cell r="B267" t="str">
            <v>Pension and Profit Sharing</v>
          </cell>
          <cell r="E267">
            <v>4010.46</v>
          </cell>
          <cell r="F267">
            <v>3565.56</v>
          </cell>
          <cell r="G267">
            <v>3834.74</v>
          </cell>
          <cell r="H267">
            <v>3873.02</v>
          </cell>
          <cell r="I267">
            <v>3977.37</v>
          </cell>
          <cell r="J267">
            <v>4220.3500000000004</v>
          </cell>
          <cell r="K267">
            <v>4228.8599999999997</v>
          </cell>
          <cell r="L267">
            <v>4197.5600000000004</v>
          </cell>
          <cell r="M267">
            <v>4257.6400000000003</v>
          </cell>
          <cell r="N267">
            <v>4035.58</v>
          </cell>
          <cell r="O267">
            <v>4052.24</v>
          </cell>
          <cell r="P267">
            <v>3832.52</v>
          </cell>
          <cell r="Q267">
            <v>48085.9</v>
          </cell>
        </row>
        <row r="268">
          <cell r="A268">
            <v>52116</v>
          </cell>
          <cell r="B268" t="str">
            <v>Union Benefit Expense</v>
          </cell>
          <cell r="E268">
            <v>11221.99</v>
          </cell>
          <cell r="F268">
            <v>11221.61</v>
          </cell>
          <cell r="G268">
            <v>8963.65</v>
          </cell>
          <cell r="H268">
            <v>10117.1</v>
          </cell>
          <cell r="I268">
            <v>10108.799999999999</v>
          </cell>
          <cell r="J268">
            <v>10108.799999999999</v>
          </cell>
          <cell r="K268">
            <v>10108.799999999999</v>
          </cell>
          <cell r="L268">
            <v>10108.799999999999</v>
          </cell>
          <cell r="M268">
            <v>10102.129999999999</v>
          </cell>
          <cell r="N268">
            <v>10118.73</v>
          </cell>
          <cell r="O268">
            <v>8978.93</v>
          </cell>
          <cell r="P268">
            <v>9916.0499999999993</v>
          </cell>
          <cell r="Q268">
            <v>121075.39</v>
          </cell>
        </row>
        <row r="269">
          <cell r="A269">
            <v>52117</v>
          </cell>
          <cell r="B269" t="str">
            <v>Union Pension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</row>
        <row r="270">
          <cell r="A270">
            <v>52120</v>
          </cell>
          <cell r="B270" t="str">
            <v>Parts and Materials</v>
          </cell>
          <cell r="E270">
            <v>41193.56</v>
          </cell>
          <cell r="F270">
            <v>42024.94</v>
          </cell>
          <cell r="G270">
            <v>38734.660000000003</v>
          </cell>
          <cell r="H270">
            <v>21757.73</v>
          </cell>
          <cell r="I270">
            <v>38676.519999999997</v>
          </cell>
          <cell r="J270">
            <v>21919.95</v>
          </cell>
          <cell r="K270">
            <v>34237.410000000003</v>
          </cell>
          <cell r="L270">
            <v>36723.200000000004</v>
          </cell>
          <cell r="M270">
            <v>30874.03</v>
          </cell>
          <cell r="N270">
            <v>23554.1</v>
          </cell>
          <cell r="O270">
            <v>38660.959999999999</v>
          </cell>
          <cell r="P270">
            <v>71007.829999999987</v>
          </cell>
          <cell r="Q270">
            <v>439364.89</v>
          </cell>
        </row>
        <row r="271">
          <cell r="A271">
            <v>52125</v>
          </cell>
          <cell r="B271" t="str">
            <v>Operating Supplies</v>
          </cell>
          <cell r="E271">
            <v>450.54</v>
          </cell>
          <cell r="F271">
            <v>864.08</v>
          </cell>
          <cell r="G271">
            <v>1556.99</v>
          </cell>
          <cell r="H271">
            <v>537.54</v>
          </cell>
          <cell r="I271">
            <v>1099.93</v>
          </cell>
          <cell r="J271">
            <v>712.27</v>
          </cell>
          <cell r="K271">
            <v>5197.97</v>
          </cell>
          <cell r="L271">
            <v>-137.46</v>
          </cell>
          <cell r="M271">
            <v>1851.48</v>
          </cell>
          <cell r="N271">
            <v>2157.91</v>
          </cell>
          <cell r="O271">
            <v>2427.54</v>
          </cell>
          <cell r="P271">
            <v>1259.3</v>
          </cell>
          <cell r="Q271">
            <v>17978.09</v>
          </cell>
        </row>
        <row r="272">
          <cell r="A272">
            <v>52135</v>
          </cell>
          <cell r="B272" t="str">
            <v>Equipment and Maint Repair</v>
          </cell>
          <cell r="E272">
            <v>1311.54</v>
          </cell>
          <cell r="F272">
            <v>0</v>
          </cell>
          <cell r="G272">
            <v>1331.95</v>
          </cell>
          <cell r="H272">
            <v>2045.95</v>
          </cell>
          <cell r="I272">
            <v>0</v>
          </cell>
          <cell r="J272">
            <v>829.81</v>
          </cell>
          <cell r="K272">
            <v>0</v>
          </cell>
          <cell r="L272">
            <v>606.65</v>
          </cell>
          <cell r="M272">
            <v>0</v>
          </cell>
          <cell r="N272">
            <v>19.89</v>
          </cell>
          <cell r="O272">
            <v>0</v>
          </cell>
          <cell r="P272">
            <v>4997.33</v>
          </cell>
          <cell r="Q272">
            <v>11143.119999999999</v>
          </cell>
        </row>
        <row r="273">
          <cell r="A273">
            <v>52140</v>
          </cell>
          <cell r="B273" t="str">
            <v>Tires</v>
          </cell>
          <cell r="E273">
            <v>10747.01</v>
          </cell>
          <cell r="F273">
            <v>20260.900000000001</v>
          </cell>
          <cell r="G273">
            <v>12967.76</v>
          </cell>
          <cell r="H273">
            <v>15725.04</v>
          </cell>
          <cell r="I273">
            <v>18198.22</v>
          </cell>
          <cell r="J273">
            <v>22108.07</v>
          </cell>
          <cell r="K273">
            <v>15799.4</v>
          </cell>
          <cell r="L273">
            <v>23775.3</v>
          </cell>
          <cell r="M273">
            <v>38329.33</v>
          </cell>
          <cell r="N273">
            <v>6596.26</v>
          </cell>
          <cell r="O273">
            <v>14714.42</v>
          </cell>
          <cell r="P273">
            <v>23906.22</v>
          </cell>
          <cell r="Q273">
            <v>223127.93</v>
          </cell>
        </row>
        <row r="274">
          <cell r="A274">
            <v>52142</v>
          </cell>
          <cell r="B274" t="str">
            <v>Fuel Expense</v>
          </cell>
          <cell r="E274">
            <v>90672.87</v>
          </cell>
          <cell r="F274">
            <v>84188.88</v>
          </cell>
          <cell r="G274">
            <v>96017.58</v>
          </cell>
          <cell r="H274">
            <v>104369.3</v>
          </cell>
          <cell r="I274">
            <v>97844</v>
          </cell>
          <cell r="J274">
            <v>100692.82</v>
          </cell>
          <cell r="K274">
            <v>101529.68</v>
          </cell>
          <cell r="L274">
            <v>100169.49</v>
          </cell>
          <cell r="M274">
            <v>104198.62999999999</v>
          </cell>
          <cell r="N274">
            <v>102536.13</v>
          </cell>
          <cell r="O274">
            <v>101351.78</v>
          </cell>
          <cell r="P274">
            <v>108470.82</v>
          </cell>
          <cell r="Q274">
            <v>1192041.98</v>
          </cell>
        </row>
        <row r="275">
          <cell r="A275">
            <v>52143</v>
          </cell>
          <cell r="B275" t="str">
            <v>Transmontagne Fuel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</row>
        <row r="276">
          <cell r="A276">
            <v>52144</v>
          </cell>
          <cell r="B276" t="str">
            <v>Urea Expense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</row>
        <row r="277">
          <cell r="A277">
            <v>52146</v>
          </cell>
          <cell r="B277" t="str">
            <v>Oil and Grease</v>
          </cell>
          <cell r="E277">
            <v>1875.42</v>
          </cell>
          <cell r="F277">
            <v>3140.6</v>
          </cell>
          <cell r="G277">
            <v>5599.47</v>
          </cell>
          <cell r="H277">
            <v>2698.4</v>
          </cell>
          <cell r="I277">
            <v>3948.29</v>
          </cell>
          <cell r="J277">
            <v>2749.6</v>
          </cell>
          <cell r="K277">
            <v>7146.81</v>
          </cell>
          <cell r="L277">
            <v>2889.82</v>
          </cell>
          <cell r="M277">
            <v>9639.18</v>
          </cell>
          <cell r="N277">
            <v>6672.23</v>
          </cell>
          <cell r="O277">
            <v>11463.27</v>
          </cell>
          <cell r="P277">
            <v>-1288.0899999999999</v>
          </cell>
          <cell r="Q277">
            <v>56535</v>
          </cell>
        </row>
        <row r="278">
          <cell r="A278">
            <v>52147</v>
          </cell>
          <cell r="B278" t="str">
            <v>Outside Repairs</v>
          </cell>
          <cell r="E278">
            <v>8076.3899999999994</v>
          </cell>
          <cell r="F278">
            <v>4057.67</v>
          </cell>
          <cell r="G278">
            <v>2887.37</v>
          </cell>
          <cell r="H278">
            <v>4718.95</v>
          </cell>
          <cell r="I278">
            <v>7256.5</v>
          </cell>
          <cell r="J278">
            <v>4191.84</v>
          </cell>
          <cell r="K278">
            <v>8112.14</v>
          </cell>
          <cell r="L278">
            <v>5106.9299999999994</v>
          </cell>
          <cell r="M278">
            <v>11697.4</v>
          </cell>
          <cell r="N278">
            <v>2871.95</v>
          </cell>
          <cell r="O278">
            <v>2463.9499999999998</v>
          </cell>
          <cell r="P278">
            <v>2818.3500000000004</v>
          </cell>
          <cell r="Q278">
            <v>64259.439999999995</v>
          </cell>
        </row>
        <row r="279">
          <cell r="A279">
            <v>52148</v>
          </cell>
          <cell r="B279" t="str">
            <v>Allocated Exp In - District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</row>
        <row r="280">
          <cell r="A280">
            <v>52149</v>
          </cell>
          <cell r="B280" t="str">
            <v>Allocated Exp In Out - District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</row>
        <row r="281">
          <cell r="A281">
            <v>52150</v>
          </cell>
          <cell r="B281" t="str">
            <v>Utilities</v>
          </cell>
          <cell r="E281">
            <v>3181.16</v>
          </cell>
          <cell r="F281">
            <v>2292.6799999999998</v>
          </cell>
          <cell r="G281">
            <v>2139.2399999999998</v>
          </cell>
          <cell r="H281">
            <v>1852.79</v>
          </cell>
          <cell r="I281">
            <v>1236.6600000000001</v>
          </cell>
          <cell r="J281">
            <v>1066.23</v>
          </cell>
          <cell r="K281">
            <v>890.6</v>
          </cell>
          <cell r="L281">
            <v>864.21</v>
          </cell>
          <cell r="M281">
            <v>875.77</v>
          </cell>
          <cell r="N281">
            <v>889.61</v>
          </cell>
          <cell r="O281">
            <v>1635.02</v>
          </cell>
          <cell r="P281">
            <v>2991.91</v>
          </cell>
          <cell r="Q281">
            <v>19915.88</v>
          </cell>
        </row>
        <row r="282">
          <cell r="A282">
            <v>52165</v>
          </cell>
          <cell r="B282" t="str">
            <v>Communications</v>
          </cell>
          <cell r="E282">
            <v>1324.81</v>
          </cell>
          <cell r="F282">
            <v>1312.75</v>
          </cell>
          <cell r="G282">
            <v>1300.6099999999999</v>
          </cell>
          <cell r="H282">
            <v>1324.91</v>
          </cell>
          <cell r="I282">
            <v>1652.06</v>
          </cell>
          <cell r="J282">
            <v>1336.3</v>
          </cell>
          <cell r="K282">
            <v>1291.19</v>
          </cell>
          <cell r="L282">
            <v>1252.44</v>
          </cell>
          <cell r="M282">
            <v>1871.82</v>
          </cell>
          <cell r="N282">
            <v>1105.6099999999999</v>
          </cell>
          <cell r="O282">
            <v>1351.41</v>
          </cell>
          <cell r="P282">
            <v>1424.14</v>
          </cell>
          <cell r="Q282">
            <v>16548.05</v>
          </cell>
        </row>
        <row r="283">
          <cell r="A283">
            <v>52170</v>
          </cell>
          <cell r="B283" t="str">
            <v>Real Estate Rentals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</row>
        <row r="284">
          <cell r="A284">
            <v>52172</v>
          </cell>
          <cell r="B284" t="str">
            <v>Chassis Lease Expense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</row>
        <row r="285">
          <cell r="A285">
            <v>52175</v>
          </cell>
          <cell r="B285" t="str">
            <v>Equip/Vehicle Rental</v>
          </cell>
          <cell r="E285">
            <v>230.74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230.74</v>
          </cell>
        </row>
        <row r="286">
          <cell r="A286">
            <v>52181</v>
          </cell>
          <cell r="B286" t="str">
            <v>Freight</v>
          </cell>
          <cell r="E286">
            <v>0</v>
          </cell>
          <cell r="F286">
            <v>0</v>
          </cell>
          <cell r="G286">
            <v>0</v>
          </cell>
          <cell r="H286">
            <v>16.23</v>
          </cell>
          <cell r="I286">
            <v>369.59000000000003</v>
          </cell>
          <cell r="J286">
            <v>0</v>
          </cell>
          <cell r="K286">
            <v>0</v>
          </cell>
          <cell r="L286">
            <v>95.38</v>
          </cell>
          <cell r="M286">
            <v>0</v>
          </cell>
          <cell r="N286">
            <v>0</v>
          </cell>
          <cell r="O286">
            <v>0</v>
          </cell>
          <cell r="P286">
            <v>103.97</v>
          </cell>
          <cell r="Q286">
            <v>585.17000000000007</v>
          </cell>
        </row>
        <row r="287">
          <cell r="A287">
            <v>52182</v>
          </cell>
          <cell r="B287" t="str">
            <v>Towing Expense</v>
          </cell>
          <cell r="E287">
            <v>455.28</v>
          </cell>
          <cell r="F287">
            <v>428.18</v>
          </cell>
          <cell r="G287">
            <v>195.12</v>
          </cell>
          <cell r="H287">
            <v>627.72</v>
          </cell>
          <cell r="I287">
            <v>1626</v>
          </cell>
          <cell r="J287">
            <v>0</v>
          </cell>
          <cell r="K287">
            <v>569.1</v>
          </cell>
          <cell r="L287">
            <v>0</v>
          </cell>
          <cell r="M287">
            <v>238.48</v>
          </cell>
          <cell r="N287">
            <v>0</v>
          </cell>
          <cell r="O287">
            <v>661.24</v>
          </cell>
          <cell r="P287">
            <v>514.9</v>
          </cell>
          <cell r="Q287">
            <v>5316.0199999999995</v>
          </cell>
        </row>
        <row r="288">
          <cell r="A288">
            <v>52185</v>
          </cell>
          <cell r="B288" t="str">
            <v>Travel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</row>
        <row r="289">
          <cell r="A289">
            <v>52200</v>
          </cell>
          <cell r="B289" t="str">
            <v>Office Supply and Equip</v>
          </cell>
          <cell r="E289">
            <v>302.27999999999997</v>
          </cell>
          <cell r="F289">
            <v>504.92</v>
          </cell>
          <cell r="G289">
            <v>245.31</v>
          </cell>
          <cell r="H289">
            <v>1615.6</v>
          </cell>
          <cell r="I289">
            <v>152.86000000000001</v>
          </cell>
          <cell r="J289">
            <v>155.44</v>
          </cell>
          <cell r="K289">
            <v>66.27</v>
          </cell>
          <cell r="L289">
            <v>678.01</v>
          </cell>
          <cell r="M289">
            <v>154.47999999999999</v>
          </cell>
          <cell r="N289">
            <v>1193.94</v>
          </cell>
          <cell r="O289">
            <v>147.13</v>
          </cell>
          <cell r="P289">
            <v>809.46</v>
          </cell>
          <cell r="Q289">
            <v>6025.7</v>
          </cell>
        </row>
        <row r="290">
          <cell r="A290">
            <v>52275</v>
          </cell>
          <cell r="B290" t="str">
            <v>Property Taxes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</row>
        <row r="291">
          <cell r="A291">
            <v>52335</v>
          </cell>
          <cell r="B291" t="str">
            <v>Miscellaneous</v>
          </cell>
          <cell r="E291">
            <v>27</v>
          </cell>
          <cell r="F291">
            <v>0</v>
          </cell>
          <cell r="G291">
            <v>13.5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40.5</v>
          </cell>
        </row>
        <row r="292">
          <cell r="A292">
            <v>52900</v>
          </cell>
          <cell r="B292" t="str">
            <v>Capitalized Costs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</row>
        <row r="293">
          <cell r="A293">
            <v>52901</v>
          </cell>
          <cell r="B293" t="str">
            <v>Costs Awaiting Capitilization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</row>
        <row r="294">
          <cell r="A294">
            <v>52998</v>
          </cell>
          <cell r="B294" t="str">
            <v>Allocation Out - District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</row>
        <row r="295">
          <cell r="A295">
            <v>52999</v>
          </cell>
          <cell r="B295" t="str">
            <v>Allocation Out - Out District</v>
          </cell>
          <cell r="E295">
            <v>-8839.42</v>
          </cell>
          <cell r="F295">
            <v>-11223.85</v>
          </cell>
          <cell r="G295">
            <v>-12345.57</v>
          </cell>
          <cell r="H295">
            <v>-17818.71</v>
          </cell>
          <cell r="I295">
            <v>-8260.7000000000007</v>
          </cell>
          <cell r="J295">
            <v>-18104.939999999999</v>
          </cell>
          <cell r="K295">
            <v>-8429.56</v>
          </cell>
          <cell r="L295">
            <v>-12829.3</v>
          </cell>
          <cell r="M295">
            <v>-6149.56</v>
          </cell>
          <cell r="N295">
            <v>-5808.26</v>
          </cell>
          <cell r="O295">
            <v>-5947.92</v>
          </cell>
          <cell r="P295">
            <v>-45343.87</v>
          </cell>
          <cell r="Q295">
            <v>-161101.66</v>
          </cell>
        </row>
        <row r="296">
          <cell r="A296" t="str">
            <v>Total Truck Variable</v>
          </cell>
          <cell r="E296">
            <v>228977.27999999997</v>
          </cell>
          <cell r="F296">
            <v>205622.06000000003</v>
          </cell>
          <cell r="G296">
            <v>219279.73999999996</v>
          </cell>
          <cell r="H296">
            <v>210675.40000000005</v>
          </cell>
          <cell r="I296">
            <v>225803.05999999997</v>
          </cell>
          <cell r="J296">
            <v>201182.51</v>
          </cell>
          <cell r="K296">
            <v>241614.46</v>
          </cell>
          <cell r="L296">
            <v>225220.32000000004</v>
          </cell>
          <cell r="M296">
            <v>262765.23</v>
          </cell>
          <cell r="N296">
            <v>211264.55</v>
          </cell>
          <cell r="O296">
            <v>238591.60999999996</v>
          </cell>
          <cell r="P296">
            <v>240660.66999999993</v>
          </cell>
          <cell r="Q296">
            <v>2711656.8899999997</v>
          </cell>
        </row>
        <row r="298">
          <cell r="A298" t="str">
            <v>Container</v>
          </cell>
        </row>
        <row r="299">
          <cell r="A299">
            <v>54148</v>
          </cell>
          <cell r="B299" t="str">
            <v>Allocation In - District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</row>
        <row r="300">
          <cell r="A300">
            <v>54149</v>
          </cell>
          <cell r="B300" t="str">
            <v>Allocation In - Out District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</row>
        <row r="301">
          <cell r="A301">
            <v>54175</v>
          </cell>
          <cell r="B301" t="str">
            <v>Equipment/Vehicle Rental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</row>
        <row r="302">
          <cell r="A302">
            <v>54275</v>
          </cell>
          <cell r="B302" t="str">
            <v>Property Taxes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</row>
        <row r="303">
          <cell r="A303">
            <v>54335</v>
          </cell>
          <cell r="B303" t="str">
            <v>Miscellaneous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</row>
        <row r="304">
          <cell r="A304">
            <v>54998</v>
          </cell>
          <cell r="B304" t="str">
            <v>Allocation Out - District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</row>
        <row r="305">
          <cell r="A305">
            <v>54999</v>
          </cell>
          <cell r="B305" t="str">
            <v>Allocation Out - Out District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</row>
        <row r="306">
          <cell r="A306">
            <v>55010</v>
          </cell>
          <cell r="B306" t="str">
            <v>Salaries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</row>
        <row r="307">
          <cell r="A307">
            <v>55020</v>
          </cell>
          <cell r="B307" t="str">
            <v>Wages Regular</v>
          </cell>
          <cell r="E307">
            <v>4237.87</v>
          </cell>
          <cell r="F307">
            <v>3645.1</v>
          </cell>
          <cell r="G307">
            <v>5053.71</v>
          </cell>
          <cell r="H307">
            <v>3782.98</v>
          </cell>
          <cell r="I307">
            <v>4116.55</v>
          </cell>
          <cell r="J307">
            <v>4866.5600000000004</v>
          </cell>
          <cell r="K307">
            <v>3450.41</v>
          </cell>
          <cell r="L307">
            <v>-895.79</v>
          </cell>
          <cell r="M307">
            <v>2790.36</v>
          </cell>
          <cell r="N307">
            <v>2211.17</v>
          </cell>
          <cell r="O307">
            <v>1382.48</v>
          </cell>
          <cell r="P307">
            <v>2606.41</v>
          </cell>
          <cell r="Q307">
            <v>37247.81</v>
          </cell>
        </row>
        <row r="308">
          <cell r="A308">
            <v>55025</v>
          </cell>
          <cell r="B308" t="str">
            <v>Wages O.T.</v>
          </cell>
          <cell r="E308">
            <v>207.52</v>
          </cell>
          <cell r="F308">
            <v>12.82</v>
          </cell>
          <cell r="G308">
            <v>38.619999999999997</v>
          </cell>
          <cell r="H308">
            <v>37.99</v>
          </cell>
          <cell r="I308">
            <v>485</v>
          </cell>
          <cell r="J308">
            <v>319.70999999999998</v>
          </cell>
          <cell r="K308">
            <v>215.61</v>
          </cell>
          <cell r="L308">
            <v>-99.64</v>
          </cell>
          <cell r="M308">
            <v>16.27</v>
          </cell>
          <cell r="N308">
            <v>59.9</v>
          </cell>
          <cell r="O308">
            <v>192.29</v>
          </cell>
          <cell r="P308">
            <v>-41.94</v>
          </cell>
          <cell r="Q308">
            <v>1444.1499999999999</v>
          </cell>
        </row>
        <row r="309">
          <cell r="A309">
            <v>55035</v>
          </cell>
          <cell r="B309" t="str">
            <v>Safety Bonuses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</row>
        <row r="310">
          <cell r="A310">
            <v>55036</v>
          </cell>
          <cell r="B310" t="str">
            <v>Other Bonus/Commission - Non-Safety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</row>
        <row r="311">
          <cell r="A311">
            <v>55045</v>
          </cell>
          <cell r="B311" t="str">
            <v>Contract Labor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</row>
        <row r="312">
          <cell r="A312">
            <v>55050</v>
          </cell>
          <cell r="B312" t="str">
            <v>Payroll Taxes</v>
          </cell>
          <cell r="E312">
            <v>526.11</v>
          </cell>
          <cell r="F312">
            <v>376.89</v>
          </cell>
          <cell r="G312">
            <v>487.16</v>
          </cell>
          <cell r="H312">
            <v>433.36</v>
          </cell>
          <cell r="I312">
            <v>441.95</v>
          </cell>
          <cell r="J312">
            <v>479.57</v>
          </cell>
          <cell r="K312">
            <v>386.21</v>
          </cell>
          <cell r="L312">
            <v>296.14999999999998</v>
          </cell>
          <cell r="M312">
            <v>200.44</v>
          </cell>
          <cell r="N312">
            <v>209.02</v>
          </cell>
          <cell r="O312">
            <v>287.25</v>
          </cell>
          <cell r="P312">
            <v>160.52000000000001</v>
          </cell>
          <cell r="Q312">
            <v>4284.630000000001</v>
          </cell>
        </row>
        <row r="313">
          <cell r="A313">
            <v>55060</v>
          </cell>
          <cell r="B313" t="str">
            <v>Group Insurance</v>
          </cell>
          <cell r="E313">
            <v>592</v>
          </cell>
          <cell r="F313">
            <v>592</v>
          </cell>
          <cell r="G313">
            <v>488</v>
          </cell>
          <cell r="H313">
            <v>696</v>
          </cell>
          <cell r="I313">
            <v>592</v>
          </cell>
          <cell r="J313">
            <v>592</v>
          </cell>
          <cell r="K313">
            <v>592</v>
          </cell>
          <cell r="L313">
            <v>592</v>
          </cell>
          <cell r="M313">
            <v>589</v>
          </cell>
          <cell r="N313">
            <v>693</v>
          </cell>
          <cell r="O313">
            <v>641</v>
          </cell>
          <cell r="P313">
            <v>641</v>
          </cell>
          <cell r="Q313">
            <v>7300</v>
          </cell>
        </row>
        <row r="314">
          <cell r="A314">
            <v>55065</v>
          </cell>
          <cell r="B314" t="str">
            <v>Vacation Pay</v>
          </cell>
          <cell r="E314">
            <v>1530.51</v>
          </cell>
          <cell r="F314">
            <v>299.68</v>
          </cell>
          <cell r="G314">
            <v>-333.52</v>
          </cell>
          <cell r="H314">
            <v>791.16</v>
          </cell>
          <cell r="I314">
            <v>342.62</v>
          </cell>
          <cell r="J314">
            <v>95.96</v>
          </cell>
          <cell r="K314">
            <v>412.42</v>
          </cell>
          <cell r="L314">
            <v>663.21</v>
          </cell>
          <cell r="M314">
            <v>-476.38</v>
          </cell>
          <cell r="N314">
            <v>100.96</v>
          </cell>
          <cell r="O314">
            <v>-21.16</v>
          </cell>
          <cell r="P314">
            <v>202.89</v>
          </cell>
          <cell r="Q314">
            <v>3608.35</v>
          </cell>
        </row>
        <row r="315">
          <cell r="A315">
            <v>55070</v>
          </cell>
          <cell r="B315" t="str">
            <v>Sick Pay</v>
          </cell>
          <cell r="E315">
            <v>0</v>
          </cell>
          <cell r="F315">
            <v>106.8</v>
          </cell>
          <cell r="G315">
            <v>0</v>
          </cell>
          <cell r="H315">
            <v>207</v>
          </cell>
          <cell r="I315">
            <v>107.64</v>
          </cell>
          <cell r="J315">
            <v>-66.239999999999995</v>
          </cell>
          <cell r="K315">
            <v>386.4</v>
          </cell>
          <cell r="L315">
            <v>0</v>
          </cell>
          <cell r="M315">
            <v>0</v>
          </cell>
          <cell r="N315">
            <v>0</v>
          </cell>
          <cell r="O315">
            <v>1048.8</v>
          </cell>
          <cell r="P315">
            <v>-386.4</v>
          </cell>
          <cell r="Q315">
            <v>1404</v>
          </cell>
        </row>
        <row r="316">
          <cell r="A316">
            <v>55086</v>
          </cell>
          <cell r="B316" t="str">
            <v>Safety and Training</v>
          </cell>
          <cell r="E316">
            <v>0</v>
          </cell>
          <cell r="F316">
            <v>0</v>
          </cell>
          <cell r="G316">
            <v>0</v>
          </cell>
          <cell r="H316">
            <v>102.92</v>
          </cell>
          <cell r="I316">
            <v>87.01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25</v>
          </cell>
          <cell r="O316">
            <v>0</v>
          </cell>
          <cell r="P316">
            <v>0</v>
          </cell>
          <cell r="Q316">
            <v>214.93</v>
          </cell>
        </row>
        <row r="317">
          <cell r="A317">
            <v>55090</v>
          </cell>
          <cell r="B317" t="str">
            <v>Uniforms</v>
          </cell>
          <cell r="E317">
            <v>150.38</v>
          </cell>
          <cell r="F317">
            <v>176.83</v>
          </cell>
          <cell r="G317">
            <v>194.81</v>
          </cell>
          <cell r="H317">
            <v>160.08000000000001</v>
          </cell>
          <cell r="I317">
            <v>148.47</v>
          </cell>
          <cell r="J317">
            <v>225.16</v>
          </cell>
          <cell r="K317">
            <v>214.31</v>
          </cell>
          <cell r="L317">
            <v>616.44000000000005</v>
          </cell>
          <cell r="M317">
            <v>125.04</v>
          </cell>
          <cell r="N317">
            <v>178.98</v>
          </cell>
          <cell r="O317">
            <v>138.13999999999999</v>
          </cell>
          <cell r="P317">
            <v>154.04</v>
          </cell>
          <cell r="Q317">
            <v>2482.6799999999998</v>
          </cell>
        </row>
        <row r="318">
          <cell r="A318">
            <v>55115</v>
          </cell>
          <cell r="B318" t="str">
            <v>Pension and Profit Sharing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</row>
        <row r="319">
          <cell r="A319">
            <v>55116</v>
          </cell>
          <cell r="B319" t="str">
            <v>Union Benefit Expense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</row>
        <row r="320">
          <cell r="A320">
            <v>55117</v>
          </cell>
          <cell r="B320" t="str">
            <v>Union Pension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</row>
        <row r="321">
          <cell r="A321">
            <v>55120</v>
          </cell>
          <cell r="B321" t="str">
            <v>Parts and Materials</v>
          </cell>
          <cell r="E321">
            <v>8487.7999999999993</v>
          </cell>
          <cell r="F321">
            <v>7446.84</v>
          </cell>
          <cell r="G321">
            <v>15850.27</v>
          </cell>
          <cell r="H321">
            <v>18201.75</v>
          </cell>
          <cell r="I321">
            <v>9184.14</v>
          </cell>
          <cell r="J321">
            <v>13165.81</v>
          </cell>
          <cell r="K321">
            <v>11588.02</v>
          </cell>
          <cell r="L321">
            <v>15366.43</v>
          </cell>
          <cell r="M321">
            <v>-29929.23</v>
          </cell>
          <cell r="N321">
            <v>8572.4699999999993</v>
          </cell>
          <cell r="O321">
            <v>2939.21</v>
          </cell>
          <cell r="P321">
            <v>7744.74</v>
          </cell>
          <cell r="Q321">
            <v>88618.250000000015</v>
          </cell>
        </row>
        <row r="322">
          <cell r="A322">
            <v>55125</v>
          </cell>
          <cell r="B322" t="str">
            <v>Operating Supplies</v>
          </cell>
          <cell r="E322">
            <v>625.29999999999995</v>
          </cell>
          <cell r="F322">
            <v>287.99</v>
          </cell>
          <cell r="G322">
            <v>0</v>
          </cell>
          <cell r="H322">
            <v>809.74</v>
          </cell>
          <cell r="I322">
            <v>404.7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64.819999999999993</v>
          </cell>
          <cell r="P322">
            <v>0</v>
          </cell>
          <cell r="Q322">
            <v>2192.5500000000002</v>
          </cell>
        </row>
        <row r="323">
          <cell r="A323">
            <v>55135</v>
          </cell>
          <cell r="B323" t="str">
            <v>Equipment and Maint Repair</v>
          </cell>
          <cell r="E323">
            <v>0</v>
          </cell>
          <cell r="F323">
            <v>321.35000000000002</v>
          </cell>
          <cell r="G323">
            <v>309.18</v>
          </cell>
          <cell r="H323">
            <v>826.48</v>
          </cell>
          <cell r="I323">
            <v>87.89</v>
          </cell>
          <cell r="J323">
            <v>0</v>
          </cell>
          <cell r="K323">
            <v>0</v>
          </cell>
          <cell r="L323">
            <v>0</v>
          </cell>
          <cell r="M323">
            <v>531.54999999999995</v>
          </cell>
          <cell r="N323">
            <v>172.24</v>
          </cell>
          <cell r="O323">
            <v>0</v>
          </cell>
          <cell r="P323">
            <v>250.34</v>
          </cell>
          <cell r="Q323">
            <v>2499.0299999999997</v>
          </cell>
        </row>
        <row r="324">
          <cell r="A324">
            <v>55140</v>
          </cell>
          <cell r="B324" t="str">
            <v>Tires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</row>
        <row r="325">
          <cell r="A325">
            <v>55142</v>
          </cell>
          <cell r="B325" t="str">
            <v>Fuel Expense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</row>
        <row r="326">
          <cell r="A326">
            <v>55143</v>
          </cell>
          <cell r="B326" t="str">
            <v>Corporate Medical Waste Supplies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</row>
        <row r="327">
          <cell r="A327">
            <v>55146</v>
          </cell>
          <cell r="B327" t="str">
            <v>Oil and Grease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</row>
        <row r="328">
          <cell r="A328">
            <v>55147</v>
          </cell>
          <cell r="B328" t="str">
            <v>Outside Repairs</v>
          </cell>
          <cell r="E328">
            <v>0</v>
          </cell>
          <cell r="F328">
            <v>292.57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292.57</v>
          </cell>
        </row>
        <row r="329">
          <cell r="A329">
            <v>55148</v>
          </cell>
          <cell r="B329" t="str">
            <v>Allocated Exp In - District</v>
          </cell>
          <cell r="E329">
            <v>0</v>
          </cell>
          <cell r="F329">
            <v>116.52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116.52</v>
          </cell>
        </row>
        <row r="330">
          <cell r="A330">
            <v>55149</v>
          </cell>
          <cell r="B330" t="str">
            <v>Allocated Exp In Out - District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</row>
        <row r="331">
          <cell r="A331">
            <v>55150</v>
          </cell>
          <cell r="B331" t="str">
            <v>Utilities</v>
          </cell>
          <cell r="E331">
            <v>437.73</v>
          </cell>
          <cell r="F331">
            <v>510</v>
          </cell>
          <cell r="G331">
            <v>480.44</v>
          </cell>
          <cell r="H331">
            <v>460.73</v>
          </cell>
          <cell r="I331">
            <v>398.31</v>
          </cell>
          <cell r="J331">
            <v>372.03</v>
          </cell>
          <cell r="K331">
            <v>329.33</v>
          </cell>
          <cell r="L331">
            <v>0</v>
          </cell>
          <cell r="M331">
            <v>370.51</v>
          </cell>
          <cell r="N331">
            <v>344.08</v>
          </cell>
          <cell r="O331">
            <v>368.05</v>
          </cell>
          <cell r="P331">
            <v>368.05</v>
          </cell>
          <cell r="Q331">
            <v>4439.26</v>
          </cell>
        </row>
        <row r="332">
          <cell r="A332">
            <v>55181</v>
          </cell>
          <cell r="B332" t="str">
            <v>Freight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</row>
        <row r="333">
          <cell r="A333">
            <v>55335</v>
          </cell>
          <cell r="B333" t="str">
            <v>Miscellaneous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</row>
        <row r="334">
          <cell r="A334">
            <v>55900</v>
          </cell>
          <cell r="B334" t="str">
            <v>Capitalized Costs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</row>
        <row r="335">
          <cell r="A335">
            <v>55998</v>
          </cell>
          <cell r="B335" t="str">
            <v>Allocation Out - District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</row>
        <row r="336">
          <cell r="A336">
            <v>55999</v>
          </cell>
          <cell r="B336" t="str">
            <v>Allocation Out - Out District</v>
          </cell>
          <cell r="E336">
            <v>-3211.72</v>
          </cell>
          <cell r="F336">
            <v>-1377.44</v>
          </cell>
          <cell r="G336">
            <v>-15514.36</v>
          </cell>
          <cell r="H336">
            <v>-20245.62</v>
          </cell>
          <cell r="I336">
            <v>-8044.68</v>
          </cell>
          <cell r="J336">
            <v>-1309.6400000000001</v>
          </cell>
          <cell r="K336">
            <v>-416.83</v>
          </cell>
          <cell r="L336">
            <v>-3864.87</v>
          </cell>
          <cell r="M336">
            <v>-3105</v>
          </cell>
          <cell r="N336">
            <v>-3070</v>
          </cell>
          <cell r="O336">
            <v>-7561.32</v>
          </cell>
          <cell r="P336">
            <v>-4472.33</v>
          </cell>
          <cell r="Q336">
            <v>-72193.810000000012</v>
          </cell>
        </row>
        <row r="337">
          <cell r="A337" t="str">
            <v>Total Container</v>
          </cell>
          <cell r="E337">
            <v>13583.499999999998</v>
          </cell>
          <cell r="F337">
            <v>12807.949999999999</v>
          </cell>
          <cell r="G337">
            <v>7054.3099999999977</v>
          </cell>
          <cell r="H337">
            <v>6264.57</v>
          </cell>
          <cell r="I337">
            <v>8351.6000000000022</v>
          </cell>
          <cell r="J337">
            <v>18740.919999999998</v>
          </cell>
          <cell r="K337">
            <v>17157.88</v>
          </cell>
          <cell r="L337">
            <v>12673.93</v>
          </cell>
          <cell r="M337">
            <v>-28887.440000000002</v>
          </cell>
          <cell r="N337">
            <v>9496.82</v>
          </cell>
          <cell r="O337">
            <v>-520.4399999999996</v>
          </cell>
          <cell r="P337">
            <v>7227.3199999999979</v>
          </cell>
          <cell r="Q337">
            <v>83950.92</v>
          </cell>
        </row>
        <row r="339">
          <cell r="A339" t="str">
            <v>Supervisor</v>
          </cell>
        </row>
        <row r="340">
          <cell r="A340">
            <v>56010</v>
          </cell>
          <cell r="B340" t="str">
            <v>Salaries</v>
          </cell>
          <cell r="E340">
            <v>8076.93</v>
          </cell>
          <cell r="F340">
            <v>7692.32</v>
          </cell>
          <cell r="G340">
            <v>8846.17</v>
          </cell>
          <cell r="H340">
            <v>8461.56</v>
          </cell>
          <cell r="I340">
            <v>8176.05</v>
          </cell>
          <cell r="J340">
            <v>8565.3799999999992</v>
          </cell>
          <cell r="K340">
            <v>8565.39</v>
          </cell>
          <cell r="L340">
            <v>8565.39</v>
          </cell>
          <cell r="M340">
            <v>8565.39</v>
          </cell>
          <cell r="N340">
            <v>8176.07</v>
          </cell>
          <cell r="O340">
            <v>8565.39</v>
          </cell>
          <cell r="P340">
            <v>8954.7199999999993</v>
          </cell>
          <cell r="Q340">
            <v>101210.76</v>
          </cell>
        </row>
        <row r="341">
          <cell r="A341">
            <v>56020</v>
          </cell>
          <cell r="B341" t="str">
            <v>Wages Regular</v>
          </cell>
          <cell r="E341">
            <v>2832.84</v>
          </cell>
          <cell r="F341">
            <v>5053.68</v>
          </cell>
          <cell r="G341">
            <v>4774.8999999999996</v>
          </cell>
          <cell r="H341">
            <v>4762.42</v>
          </cell>
          <cell r="I341">
            <v>2680.17</v>
          </cell>
          <cell r="J341">
            <v>3378.56</v>
          </cell>
          <cell r="K341">
            <v>5325.53</v>
          </cell>
          <cell r="L341">
            <v>3835.06</v>
          </cell>
          <cell r="M341">
            <v>4435.92</v>
          </cell>
          <cell r="N341">
            <v>4522.72</v>
          </cell>
          <cell r="O341">
            <v>4731.6499999999996</v>
          </cell>
          <cell r="P341">
            <v>4844.54</v>
          </cell>
          <cell r="Q341">
            <v>51177.990000000005</v>
          </cell>
        </row>
        <row r="342">
          <cell r="A342">
            <v>56025</v>
          </cell>
          <cell r="B342" t="str">
            <v>Wages O.T.</v>
          </cell>
          <cell r="E342">
            <v>274.88</v>
          </cell>
          <cell r="F342">
            <v>259.24</v>
          </cell>
          <cell r="G342">
            <v>649.44000000000005</v>
          </cell>
          <cell r="H342">
            <v>504.21</v>
          </cell>
          <cell r="I342">
            <v>341.07</v>
          </cell>
          <cell r="J342">
            <v>196.68</v>
          </cell>
          <cell r="K342">
            <v>716.35</v>
          </cell>
          <cell r="L342">
            <v>71.97</v>
          </cell>
          <cell r="M342">
            <v>716.15</v>
          </cell>
          <cell r="N342">
            <v>388.74</v>
          </cell>
          <cell r="O342">
            <v>560.69000000000005</v>
          </cell>
          <cell r="P342">
            <v>692.62</v>
          </cell>
          <cell r="Q342">
            <v>5372.04</v>
          </cell>
        </row>
        <row r="343">
          <cell r="A343">
            <v>56035</v>
          </cell>
          <cell r="B343" t="str">
            <v>Safety Bonuses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</row>
        <row r="344">
          <cell r="A344">
            <v>56036</v>
          </cell>
          <cell r="B344" t="str">
            <v>Other Bonus/Commission - Non-Safety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</row>
        <row r="345">
          <cell r="A345">
            <v>56037</v>
          </cell>
          <cell r="B345" t="str">
            <v>Termination Pay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</row>
        <row r="346">
          <cell r="A346">
            <v>56045</v>
          </cell>
          <cell r="B346" t="str">
            <v>Contract Labor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2127.6</v>
          </cell>
          <cell r="J346">
            <v>283.68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2411.2799999999997</v>
          </cell>
        </row>
        <row r="347">
          <cell r="A347">
            <v>56050</v>
          </cell>
          <cell r="B347" t="str">
            <v>Payroll Taxes</v>
          </cell>
          <cell r="E347">
            <v>1457.13</v>
          </cell>
          <cell r="F347">
            <v>1086.04</v>
          </cell>
          <cell r="G347">
            <v>1432.76</v>
          </cell>
          <cell r="H347">
            <v>1237.58</v>
          </cell>
          <cell r="I347">
            <v>1015.69</v>
          </cell>
          <cell r="J347">
            <v>1252.47</v>
          </cell>
          <cell r="K347">
            <v>1534.22</v>
          </cell>
          <cell r="L347">
            <v>1138.26</v>
          </cell>
          <cell r="M347">
            <v>1122.4100000000001</v>
          </cell>
          <cell r="N347">
            <v>1083.83</v>
          </cell>
          <cell r="O347">
            <v>1262.81</v>
          </cell>
          <cell r="P347">
            <v>1237.03</v>
          </cell>
          <cell r="Q347">
            <v>14860.230000000001</v>
          </cell>
        </row>
        <row r="348">
          <cell r="A348">
            <v>56060</v>
          </cell>
          <cell r="B348" t="str">
            <v>Group Insurance</v>
          </cell>
          <cell r="E348">
            <v>2260</v>
          </cell>
          <cell r="F348">
            <v>2260</v>
          </cell>
          <cell r="G348">
            <v>2015</v>
          </cell>
          <cell r="H348">
            <v>2505</v>
          </cell>
          <cell r="I348">
            <v>2286.75</v>
          </cell>
          <cell r="J348">
            <v>2260</v>
          </cell>
          <cell r="K348">
            <v>2233.2399999999998</v>
          </cell>
          <cell r="L348">
            <v>2260</v>
          </cell>
          <cell r="M348">
            <v>2015</v>
          </cell>
          <cell r="N348">
            <v>2505</v>
          </cell>
          <cell r="O348">
            <v>2260</v>
          </cell>
          <cell r="P348">
            <v>2260</v>
          </cell>
          <cell r="Q348">
            <v>27119.989999999998</v>
          </cell>
        </row>
        <row r="349">
          <cell r="A349">
            <v>56065</v>
          </cell>
          <cell r="B349" t="str">
            <v>Vacation Pay</v>
          </cell>
          <cell r="E349">
            <v>1525.21</v>
          </cell>
          <cell r="F349">
            <v>-107.25</v>
          </cell>
          <cell r="G349">
            <v>686</v>
          </cell>
          <cell r="H349">
            <v>651.78</v>
          </cell>
          <cell r="I349">
            <v>5006.99</v>
          </cell>
          <cell r="J349">
            <v>-77.53</v>
          </cell>
          <cell r="K349">
            <v>1031.8800000000001</v>
          </cell>
          <cell r="L349">
            <v>1229.18</v>
          </cell>
          <cell r="M349">
            <v>-193.57</v>
          </cell>
          <cell r="N349">
            <v>1097.0899999999999</v>
          </cell>
          <cell r="O349">
            <v>647.59</v>
          </cell>
          <cell r="P349">
            <v>92.16</v>
          </cell>
          <cell r="Q349">
            <v>11589.53</v>
          </cell>
        </row>
        <row r="350">
          <cell r="A350">
            <v>56070</v>
          </cell>
          <cell r="B350" t="str">
            <v>Sick Pay</v>
          </cell>
          <cell r="E350">
            <v>197.6</v>
          </cell>
          <cell r="F350">
            <v>-54.84</v>
          </cell>
          <cell r="G350">
            <v>58.3</v>
          </cell>
          <cell r="H350">
            <v>30.87</v>
          </cell>
          <cell r="I350">
            <v>0</v>
          </cell>
          <cell r="J350">
            <v>421.35</v>
          </cell>
          <cell r="K350">
            <v>0</v>
          </cell>
          <cell r="L350">
            <v>0</v>
          </cell>
          <cell r="M350">
            <v>371.67</v>
          </cell>
          <cell r="N350">
            <v>-106.19</v>
          </cell>
          <cell r="O350">
            <v>333.34</v>
          </cell>
          <cell r="P350">
            <v>-137.26</v>
          </cell>
          <cell r="Q350">
            <v>1114.8399999999999</v>
          </cell>
        </row>
        <row r="351">
          <cell r="A351">
            <v>56086</v>
          </cell>
          <cell r="B351" t="str">
            <v>Safety and Training</v>
          </cell>
          <cell r="E351">
            <v>259.02</v>
          </cell>
          <cell r="F351">
            <v>48.7</v>
          </cell>
          <cell r="G351">
            <v>93.68</v>
          </cell>
          <cell r="H351">
            <v>64.45</v>
          </cell>
          <cell r="I351">
            <v>0</v>
          </cell>
          <cell r="J351">
            <v>194.76</v>
          </cell>
          <cell r="K351">
            <v>1077.77</v>
          </cell>
          <cell r="L351">
            <v>241.93</v>
          </cell>
          <cell r="M351">
            <v>798.35</v>
          </cell>
          <cell r="N351">
            <v>821.91</v>
          </cell>
          <cell r="O351">
            <v>200.16</v>
          </cell>
          <cell r="P351">
            <v>135.97999999999999</v>
          </cell>
          <cell r="Q351">
            <v>3936.7099999999996</v>
          </cell>
        </row>
        <row r="352">
          <cell r="A352">
            <v>56090</v>
          </cell>
          <cell r="B352" t="str">
            <v>Uniforms</v>
          </cell>
          <cell r="E352">
            <v>1795.66</v>
          </cell>
          <cell r="F352">
            <v>143.75</v>
          </cell>
          <cell r="G352">
            <v>1117.68</v>
          </cell>
          <cell r="H352">
            <v>663</v>
          </cell>
          <cell r="I352">
            <v>503.29</v>
          </cell>
          <cell r="J352">
            <v>889.18</v>
          </cell>
          <cell r="K352">
            <v>1081.28</v>
          </cell>
          <cell r="L352">
            <v>680.36</v>
          </cell>
          <cell r="M352">
            <v>906.86</v>
          </cell>
          <cell r="N352">
            <v>144.98000000000002</v>
          </cell>
          <cell r="O352">
            <v>1093.78</v>
          </cell>
          <cell r="P352">
            <v>477.8</v>
          </cell>
          <cell r="Q352">
            <v>9497.619999999999</v>
          </cell>
        </row>
        <row r="353">
          <cell r="A353">
            <v>56095</v>
          </cell>
          <cell r="B353" t="str">
            <v>Empl &amp; Commun Activ</v>
          </cell>
          <cell r="E353">
            <v>727.54</v>
          </cell>
          <cell r="F353">
            <v>-266.95</v>
          </cell>
          <cell r="G353">
            <v>0</v>
          </cell>
          <cell r="H353">
            <v>92.48</v>
          </cell>
          <cell r="I353">
            <v>485.76</v>
          </cell>
          <cell r="J353">
            <v>463.36</v>
          </cell>
          <cell r="K353">
            <v>0</v>
          </cell>
          <cell r="L353">
            <v>0</v>
          </cell>
          <cell r="M353">
            <v>293.06</v>
          </cell>
          <cell r="N353">
            <v>28.73</v>
          </cell>
          <cell r="O353">
            <v>-181.04</v>
          </cell>
          <cell r="P353">
            <v>0</v>
          </cell>
          <cell r="Q353">
            <v>1642.94</v>
          </cell>
        </row>
        <row r="354">
          <cell r="A354">
            <v>56105</v>
          </cell>
          <cell r="B354" t="str">
            <v>Employee Relocation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</row>
        <row r="355">
          <cell r="A355">
            <v>56108</v>
          </cell>
          <cell r="B355" t="str">
            <v>School Tuition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</row>
        <row r="356">
          <cell r="A356">
            <v>56115</v>
          </cell>
          <cell r="B356" t="str">
            <v>Pension and Profit Sharing</v>
          </cell>
          <cell r="E356">
            <v>226.28</v>
          </cell>
          <cell r="F356">
            <v>217.62</v>
          </cell>
          <cell r="G356">
            <v>333.09</v>
          </cell>
          <cell r="H356">
            <v>220.44</v>
          </cell>
          <cell r="I356">
            <v>189.47</v>
          </cell>
          <cell r="J356">
            <v>211.84</v>
          </cell>
          <cell r="K356">
            <v>270.73</v>
          </cell>
          <cell r="L356">
            <v>224.38</v>
          </cell>
          <cell r="M356">
            <v>228.09</v>
          </cell>
          <cell r="N356">
            <v>329.68</v>
          </cell>
          <cell r="O356">
            <v>224.86</v>
          </cell>
          <cell r="P356">
            <v>246.21</v>
          </cell>
          <cell r="Q356">
            <v>2922.69</v>
          </cell>
        </row>
        <row r="357">
          <cell r="A357">
            <v>56116</v>
          </cell>
          <cell r="B357" t="str">
            <v>Union Benefit Expense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</row>
        <row r="358">
          <cell r="A358">
            <v>56117</v>
          </cell>
          <cell r="B358" t="str">
            <v>Union Pension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</row>
        <row r="359">
          <cell r="A359">
            <v>56125</v>
          </cell>
          <cell r="B359" t="str">
            <v>Operating Supplies</v>
          </cell>
          <cell r="E359">
            <v>1415.21</v>
          </cell>
          <cell r="F359">
            <v>1483.02</v>
          </cell>
          <cell r="G359">
            <v>1740.94</v>
          </cell>
          <cell r="H359">
            <v>445.37</v>
          </cell>
          <cell r="I359">
            <v>804.72</v>
          </cell>
          <cell r="J359">
            <v>164.82</v>
          </cell>
          <cell r="K359">
            <v>658.52</v>
          </cell>
          <cell r="L359">
            <v>1100.71</v>
          </cell>
          <cell r="M359">
            <v>1250.03</v>
          </cell>
          <cell r="N359">
            <v>1674.36</v>
          </cell>
          <cell r="O359">
            <v>765.8</v>
          </cell>
          <cell r="P359">
            <v>382.82</v>
          </cell>
          <cell r="Q359">
            <v>11886.32</v>
          </cell>
        </row>
        <row r="360">
          <cell r="A360">
            <v>56140</v>
          </cell>
          <cell r="B360" t="str">
            <v>Tires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</row>
        <row r="361">
          <cell r="A361">
            <v>56142</v>
          </cell>
          <cell r="B361" t="str">
            <v>Fuel Expense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20</v>
          </cell>
          <cell r="Q361">
            <v>20</v>
          </cell>
        </row>
        <row r="362">
          <cell r="A362">
            <v>56148</v>
          </cell>
          <cell r="B362" t="str">
            <v>Allocated Exp In - District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</row>
        <row r="363">
          <cell r="A363">
            <v>56149</v>
          </cell>
          <cell r="B363" t="str">
            <v>Allocated Exp In Out - District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</row>
        <row r="364">
          <cell r="A364">
            <v>56165</v>
          </cell>
          <cell r="B364" t="str">
            <v>Communications</v>
          </cell>
          <cell r="E364">
            <v>4606.6000000000004</v>
          </cell>
          <cell r="F364">
            <v>4350.2299999999996</v>
          </cell>
          <cell r="G364">
            <v>4615.41</v>
          </cell>
          <cell r="H364">
            <v>1003.34</v>
          </cell>
          <cell r="I364">
            <v>7555.03</v>
          </cell>
          <cell r="J364">
            <v>4491</v>
          </cell>
          <cell r="K364">
            <v>4590.99</v>
          </cell>
          <cell r="L364">
            <v>470.11</v>
          </cell>
          <cell r="M364">
            <v>4254.96</v>
          </cell>
          <cell r="N364">
            <v>4208.18</v>
          </cell>
          <cell r="O364">
            <v>512.84</v>
          </cell>
          <cell r="P364">
            <v>4070.45</v>
          </cell>
          <cell r="Q364">
            <v>44729.139999999992</v>
          </cell>
        </row>
        <row r="365">
          <cell r="A365">
            <v>56200</v>
          </cell>
          <cell r="B365" t="str">
            <v>Travel</v>
          </cell>
          <cell r="E365">
            <v>0</v>
          </cell>
          <cell r="F365">
            <v>69</v>
          </cell>
          <cell r="G365">
            <v>98.25</v>
          </cell>
          <cell r="H365">
            <v>52.88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5.62</v>
          </cell>
          <cell r="O365">
            <v>0</v>
          </cell>
          <cell r="P365">
            <v>0</v>
          </cell>
          <cell r="Q365">
            <v>225.75</v>
          </cell>
        </row>
        <row r="366">
          <cell r="A366">
            <v>56201</v>
          </cell>
          <cell r="B366" t="str">
            <v>Meal and Entertainment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103.1</v>
          </cell>
          <cell r="K366">
            <v>0</v>
          </cell>
          <cell r="L366">
            <v>0</v>
          </cell>
          <cell r="M366">
            <v>0</v>
          </cell>
          <cell r="N366">
            <v>44.52</v>
          </cell>
          <cell r="O366">
            <v>90.55</v>
          </cell>
          <cell r="P366">
            <v>110.62</v>
          </cell>
          <cell r="Q366">
            <v>348.79</v>
          </cell>
        </row>
        <row r="367">
          <cell r="A367">
            <v>56210</v>
          </cell>
          <cell r="B367" t="str">
            <v>Office Supply and Equip</v>
          </cell>
          <cell r="E367">
            <v>907.9</v>
          </cell>
          <cell r="F367">
            <v>1266.8599999999999</v>
          </cell>
          <cell r="G367">
            <v>1175.05</v>
          </cell>
          <cell r="H367">
            <v>2018.74</v>
          </cell>
          <cell r="I367">
            <v>1340.75</v>
          </cell>
          <cell r="J367">
            <v>1056.72</v>
          </cell>
          <cell r="K367">
            <v>1348.09</v>
          </cell>
          <cell r="L367">
            <v>2224.39</v>
          </cell>
          <cell r="M367">
            <v>1094.46</v>
          </cell>
          <cell r="N367">
            <v>1045.8699999999999</v>
          </cell>
          <cell r="O367">
            <v>1613.32</v>
          </cell>
          <cell r="P367">
            <v>1365.17</v>
          </cell>
          <cell r="Q367">
            <v>16457.32</v>
          </cell>
        </row>
        <row r="368">
          <cell r="A368">
            <v>56335</v>
          </cell>
          <cell r="B368" t="str">
            <v>Miscellaneous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</row>
        <row r="369">
          <cell r="A369">
            <v>56998</v>
          </cell>
          <cell r="B369" t="str">
            <v>Allocation Out - District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</row>
        <row r="370">
          <cell r="A370">
            <v>56999</v>
          </cell>
          <cell r="B370" t="str">
            <v>Allocation Out - Out District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</row>
        <row r="371">
          <cell r="A371" t="str">
            <v>Total Supervisor</v>
          </cell>
          <cell r="E371">
            <v>26562.799999999996</v>
          </cell>
          <cell r="F371">
            <v>23501.42</v>
          </cell>
          <cell r="G371">
            <v>27636.67</v>
          </cell>
          <cell r="H371">
            <v>22714.119999999995</v>
          </cell>
          <cell r="I371">
            <v>32513.34</v>
          </cell>
          <cell r="J371">
            <v>23855.37</v>
          </cell>
          <cell r="K371">
            <v>28433.989999999994</v>
          </cell>
          <cell r="L371">
            <v>22041.739999999998</v>
          </cell>
          <cell r="M371">
            <v>25858.779999999995</v>
          </cell>
          <cell r="N371">
            <v>25971.11</v>
          </cell>
          <cell r="O371">
            <v>22681.739999999998</v>
          </cell>
          <cell r="P371">
            <v>24752.86</v>
          </cell>
          <cell r="Q371">
            <v>306523.94</v>
          </cell>
        </row>
        <row r="373">
          <cell r="A373" t="str">
            <v>Other Operating Expense</v>
          </cell>
        </row>
        <row r="374">
          <cell r="A374">
            <v>46020</v>
          </cell>
          <cell r="B374" t="str">
            <v>Post Closure Amortization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</row>
        <row r="375">
          <cell r="A375">
            <v>57051</v>
          </cell>
          <cell r="B375" t="str">
            <v>AA Premiums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</row>
        <row r="376">
          <cell r="A376">
            <v>57125</v>
          </cell>
          <cell r="B376" t="str">
            <v>Operating Supplies</v>
          </cell>
          <cell r="E376">
            <v>0</v>
          </cell>
          <cell r="F376">
            <v>0</v>
          </cell>
          <cell r="G376">
            <v>0</v>
          </cell>
          <cell r="H376">
            <v>427.66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224.45</v>
          </cell>
          <cell r="O376">
            <v>3002.92</v>
          </cell>
          <cell r="P376">
            <v>0</v>
          </cell>
          <cell r="Q376">
            <v>3655.03</v>
          </cell>
        </row>
        <row r="377">
          <cell r="A377">
            <v>57147</v>
          </cell>
          <cell r="B377" t="str">
            <v>Bldg &amp; Property</v>
          </cell>
          <cell r="E377">
            <v>8063.84</v>
          </cell>
          <cell r="F377">
            <v>8169.88</v>
          </cell>
          <cell r="G377">
            <v>6041.82</v>
          </cell>
          <cell r="H377">
            <v>6588.54</v>
          </cell>
          <cell r="I377">
            <v>4365.71</v>
          </cell>
          <cell r="J377">
            <v>4713.99</v>
          </cell>
          <cell r="K377">
            <v>10806.84</v>
          </cell>
          <cell r="L377">
            <v>9251.0400000000009</v>
          </cell>
          <cell r="M377">
            <v>6193.48</v>
          </cell>
          <cell r="N377">
            <v>8759.64</v>
          </cell>
          <cell r="O377">
            <v>5195.24</v>
          </cell>
          <cell r="P377">
            <v>16632.82</v>
          </cell>
          <cell r="Q377">
            <v>94782.84</v>
          </cell>
        </row>
        <row r="378">
          <cell r="A378">
            <v>57148</v>
          </cell>
          <cell r="B378" t="str">
            <v>Allocated In - District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  <cell r="P378">
            <v>0</v>
          </cell>
          <cell r="Q378">
            <v>0</v>
          </cell>
        </row>
        <row r="379">
          <cell r="A379">
            <v>57149</v>
          </cell>
          <cell r="B379" t="str">
            <v>Allocated In - Out District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</row>
        <row r="380">
          <cell r="A380">
            <v>57150</v>
          </cell>
          <cell r="B380" t="str">
            <v>Utilities</v>
          </cell>
          <cell r="E380">
            <v>1384.3</v>
          </cell>
          <cell r="F380">
            <v>289.72000000000003</v>
          </cell>
          <cell r="G380">
            <v>352.8</v>
          </cell>
          <cell r="H380">
            <v>250.3</v>
          </cell>
          <cell r="I380">
            <v>272.69</v>
          </cell>
          <cell r="J380">
            <v>171.46</v>
          </cell>
          <cell r="K380">
            <v>268.27</v>
          </cell>
          <cell r="L380">
            <v>157.77000000000001</v>
          </cell>
          <cell r="M380">
            <v>921.26</v>
          </cell>
          <cell r="N380">
            <v>178.68</v>
          </cell>
          <cell r="O380">
            <v>1625.08</v>
          </cell>
          <cell r="P380">
            <v>312.62</v>
          </cell>
          <cell r="Q380">
            <v>6184.95</v>
          </cell>
        </row>
        <row r="381">
          <cell r="A381">
            <v>57165</v>
          </cell>
          <cell r="B381" t="str">
            <v>Communications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</row>
        <row r="382">
          <cell r="A382">
            <v>57166</v>
          </cell>
          <cell r="B382" t="str">
            <v>Leachate Treatment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</row>
        <row r="383">
          <cell r="A383">
            <v>57170</v>
          </cell>
          <cell r="B383" t="str">
            <v>Real Estate Rentals</v>
          </cell>
          <cell r="E383">
            <v>17643.07</v>
          </cell>
          <cell r="F383">
            <v>17035.48</v>
          </cell>
          <cell r="G383">
            <v>17673.07</v>
          </cell>
          <cell r="H383">
            <v>17402.849999999999</v>
          </cell>
          <cell r="I383">
            <v>17402.849999999999</v>
          </cell>
          <cell r="J383">
            <v>17402.849999999999</v>
          </cell>
          <cell r="K383">
            <v>17402.849999999999</v>
          </cell>
          <cell r="L383">
            <v>17402.849999999999</v>
          </cell>
          <cell r="M383">
            <v>18791.8</v>
          </cell>
          <cell r="N383">
            <v>17402.849999999999</v>
          </cell>
          <cell r="O383">
            <v>18791.8</v>
          </cell>
          <cell r="P383">
            <v>2852.62</v>
          </cell>
          <cell r="Q383">
            <v>197204.94</v>
          </cell>
        </row>
        <row r="384">
          <cell r="A384">
            <v>57175</v>
          </cell>
          <cell r="B384" t="str">
            <v>Equipment Vehicle Rental</v>
          </cell>
          <cell r="E384">
            <v>328.66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2091.2399999999998</v>
          </cell>
          <cell r="P384">
            <v>397.36</v>
          </cell>
          <cell r="Q384">
            <v>2817.2599999999998</v>
          </cell>
        </row>
        <row r="385">
          <cell r="A385">
            <v>57185</v>
          </cell>
          <cell r="B385" t="str">
            <v>Postage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</row>
        <row r="386">
          <cell r="A386">
            <v>57252</v>
          </cell>
          <cell r="B386" t="str">
            <v>Subcontract Expense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</row>
        <row r="387">
          <cell r="A387">
            <v>57254</v>
          </cell>
          <cell r="B387" t="str">
            <v>Drive Cam Fees</v>
          </cell>
          <cell r="E387">
            <v>5737.5</v>
          </cell>
          <cell r="F387">
            <v>5737.5</v>
          </cell>
          <cell r="G387">
            <v>5737.5</v>
          </cell>
          <cell r="H387">
            <v>5737.5</v>
          </cell>
          <cell r="I387">
            <v>3780</v>
          </cell>
          <cell r="J387">
            <v>3780</v>
          </cell>
          <cell r="K387">
            <v>3780</v>
          </cell>
          <cell r="L387">
            <v>3780</v>
          </cell>
          <cell r="M387">
            <v>3780</v>
          </cell>
          <cell r="N387">
            <v>3780</v>
          </cell>
          <cell r="O387">
            <v>3780</v>
          </cell>
          <cell r="P387">
            <v>3780</v>
          </cell>
          <cell r="Q387">
            <v>53190</v>
          </cell>
        </row>
        <row r="388">
          <cell r="A388">
            <v>57255</v>
          </cell>
          <cell r="B388" t="str">
            <v>Other Prof Fees</v>
          </cell>
          <cell r="E388">
            <v>0</v>
          </cell>
          <cell r="F388">
            <v>0</v>
          </cell>
          <cell r="G388">
            <v>13.5</v>
          </cell>
          <cell r="H388">
            <v>13.5</v>
          </cell>
          <cell r="I388">
            <v>13.5</v>
          </cell>
          <cell r="J388">
            <v>13.5</v>
          </cell>
          <cell r="K388">
            <v>0</v>
          </cell>
          <cell r="L388">
            <v>13.5</v>
          </cell>
          <cell r="M388">
            <v>13.5</v>
          </cell>
          <cell r="N388">
            <v>13.5</v>
          </cell>
          <cell r="O388">
            <v>13.5</v>
          </cell>
          <cell r="P388">
            <v>0</v>
          </cell>
          <cell r="Q388">
            <v>108</v>
          </cell>
        </row>
        <row r="389">
          <cell r="A389">
            <v>57256</v>
          </cell>
          <cell r="B389" t="str">
            <v>Laboratory Fees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</row>
        <row r="390">
          <cell r="A390">
            <v>57257</v>
          </cell>
          <cell r="B390" t="str">
            <v>Engineering Fees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54300.08</v>
          </cell>
          <cell r="K390">
            <v>3763.13</v>
          </cell>
          <cell r="L390">
            <v>4344.38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62407.59</v>
          </cell>
        </row>
        <row r="391">
          <cell r="A391">
            <v>57275</v>
          </cell>
          <cell r="B391" t="str">
            <v>Property Taxes</v>
          </cell>
          <cell r="E391">
            <v>648.66999999999996</v>
          </cell>
          <cell r="F391">
            <v>748.26</v>
          </cell>
          <cell r="G391">
            <v>748.26</v>
          </cell>
          <cell r="H391">
            <v>931.59</v>
          </cell>
          <cell r="I391">
            <v>931.59</v>
          </cell>
          <cell r="J391">
            <v>931.61</v>
          </cell>
          <cell r="K391">
            <v>676.33</v>
          </cell>
          <cell r="L391">
            <v>676.33</v>
          </cell>
          <cell r="M391">
            <v>676.33</v>
          </cell>
          <cell r="N391">
            <v>676.33</v>
          </cell>
          <cell r="O391">
            <v>676.33</v>
          </cell>
          <cell r="P391">
            <v>676.33</v>
          </cell>
          <cell r="Q391">
            <v>8997.9599999999991</v>
          </cell>
        </row>
        <row r="392">
          <cell r="A392">
            <v>57280</v>
          </cell>
          <cell r="B392" t="str">
            <v>Other Taxes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</row>
        <row r="393">
          <cell r="A393">
            <v>57324</v>
          </cell>
          <cell r="B393" t="str">
            <v>Penalties and Violations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266.95</v>
          </cell>
          <cell r="O393">
            <v>266.95</v>
          </cell>
          <cell r="P393">
            <v>0</v>
          </cell>
          <cell r="Q393">
            <v>533.9</v>
          </cell>
        </row>
        <row r="394">
          <cell r="A394">
            <v>57335</v>
          </cell>
          <cell r="B394" t="str">
            <v>Miscellaneous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-33322.47</v>
          </cell>
          <cell r="K394">
            <v>33322.47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</row>
        <row r="395">
          <cell r="A395">
            <v>57345</v>
          </cell>
          <cell r="B395" t="str">
            <v>Secruity Services</v>
          </cell>
          <cell r="E395">
            <v>187.5</v>
          </cell>
          <cell r="F395">
            <v>187.5</v>
          </cell>
          <cell r="G395">
            <v>187.5</v>
          </cell>
          <cell r="H395">
            <v>187.5</v>
          </cell>
          <cell r="I395">
            <v>187.5</v>
          </cell>
          <cell r="J395">
            <v>187.5</v>
          </cell>
          <cell r="K395">
            <v>187.5</v>
          </cell>
          <cell r="L395">
            <v>187.5</v>
          </cell>
          <cell r="M395">
            <v>187.5</v>
          </cell>
          <cell r="N395">
            <v>187.5</v>
          </cell>
          <cell r="O395">
            <v>187.5</v>
          </cell>
          <cell r="P395">
            <v>250</v>
          </cell>
          <cell r="Q395">
            <v>2312.5</v>
          </cell>
        </row>
        <row r="396">
          <cell r="A396">
            <v>57353</v>
          </cell>
          <cell r="B396" t="str">
            <v>Monitoring and Maint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</row>
        <row r="397">
          <cell r="A397">
            <v>57356</v>
          </cell>
          <cell r="B397" t="str">
            <v>Cover Cost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</row>
        <row r="398">
          <cell r="A398">
            <v>57357</v>
          </cell>
          <cell r="B398" t="str">
            <v>Permits</v>
          </cell>
          <cell r="E398">
            <v>65</v>
          </cell>
          <cell r="F398">
            <v>0</v>
          </cell>
          <cell r="G398">
            <v>132.5</v>
          </cell>
          <cell r="H398">
            <v>0</v>
          </cell>
          <cell r="I398">
            <v>0</v>
          </cell>
          <cell r="J398">
            <v>132.5</v>
          </cell>
          <cell r="K398">
            <v>0</v>
          </cell>
          <cell r="L398">
            <v>0</v>
          </cell>
          <cell r="M398">
            <v>132.5</v>
          </cell>
          <cell r="N398">
            <v>1975</v>
          </cell>
          <cell r="O398">
            <v>0</v>
          </cell>
          <cell r="P398">
            <v>132.5</v>
          </cell>
          <cell r="Q398">
            <v>2570</v>
          </cell>
        </row>
        <row r="399">
          <cell r="A399">
            <v>57360</v>
          </cell>
          <cell r="B399" t="str">
            <v>Royalties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</row>
        <row r="400">
          <cell r="A400">
            <v>57370</v>
          </cell>
          <cell r="B400" t="str">
            <v>Bonds Expense</v>
          </cell>
          <cell r="E400">
            <v>4619.28</v>
          </cell>
          <cell r="F400">
            <v>6292.28</v>
          </cell>
          <cell r="G400">
            <v>6547.28</v>
          </cell>
          <cell r="H400">
            <v>5761.53</v>
          </cell>
          <cell r="I400">
            <v>5761.53</v>
          </cell>
          <cell r="J400">
            <v>5761.53</v>
          </cell>
          <cell r="K400">
            <v>5761.49</v>
          </cell>
          <cell r="L400">
            <v>5761.53</v>
          </cell>
          <cell r="M400">
            <v>5761.53</v>
          </cell>
          <cell r="N400">
            <v>5761.53</v>
          </cell>
          <cell r="O400">
            <v>6186.53</v>
          </cell>
          <cell r="P400">
            <v>4741.53</v>
          </cell>
          <cell r="Q400">
            <v>68717.569999999992</v>
          </cell>
        </row>
        <row r="401">
          <cell r="A401">
            <v>57900</v>
          </cell>
          <cell r="B401" t="str">
            <v>Capitalized Costs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</row>
        <row r="402">
          <cell r="A402">
            <v>57998</v>
          </cell>
          <cell r="B402" t="str">
            <v>Allocation Out - District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0</v>
          </cell>
        </row>
        <row r="403">
          <cell r="A403">
            <v>57999</v>
          </cell>
          <cell r="B403" t="str">
            <v>Allocation Out - Out District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</row>
        <row r="404">
          <cell r="A404">
            <v>70265</v>
          </cell>
          <cell r="B404" t="str">
            <v>Amortization of Long Term Contracts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  <cell r="P404">
            <v>0</v>
          </cell>
          <cell r="Q404">
            <v>0</v>
          </cell>
        </row>
        <row r="405">
          <cell r="A405">
            <v>80050</v>
          </cell>
          <cell r="B405" t="str">
            <v>Interest Expense Closure/Post Closure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  <cell r="Q405">
            <v>0</v>
          </cell>
        </row>
        <row r="406">
          <cell r="A406" t="str">
            <v>Total Other Operating Expense</v>
          </cell>
          <cell r="E406">
            <v>38677.819999999992</v>
          </cell>
          <cell r="F406">
            <v>38460.620000000003</v>
          </cell>
          <cell r="G406">
            <v>37434.229999999996</v>
          </cell>
          <cell r="H406">
            <v>37300.97</v>
          </cell>
          <cell r="I406">
            <v>32715.37</v>
          </cell>
          <cell r="J406">
            <v>54072.55</v>
          </cell>
          <cell r="K406">
            <v>75968.88</v>
          </cell>
          <cell r="L406">
            <v>41574.9</v>
          </cell>
          <cell r="M406">
            <v>36457.9</v>
          </cell>
          <cell r="N406">
            <v>39226.43</v>
          </cell>
          <cell r="O406">
            <v>41817.089999999997</v>
          </cell>
          <cell r="P406">
            <v>29775.78</v>
          </cell>
          <cell r="Q406">
            <v>503482.54000000004</v>
          </cell>
        </row>
        <row r="408">
          <cell r="A408" t="str">
            <v>Insurance</v>
          </cell>
        </row>
        <row r="409">
          <cell r="A409">
            <v>59148</v>
          </cell>
          <cell r="B409" t="str">
            <v>Allocation In - District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</row>
        <row r="410">
          <cell r="A410">
            <v>59149</v>
          </cell>
          <cell r="B410" t="str">
            <v>Allocation In - Out District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</row>
        <row r="411">
          <cell r="A411">
            <v>59271</v>
          </cell>
          <cell r="B411" t="str">
            <v>Property and Liability Insurance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</row>
        <row r="412">
          <cell r="A412">
            <v>59326</v>
          </cell>
          <cell r="B412" t="str">
            <v>Deductible - Current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  <cell r="P412">
            <v>0</v>
          </cell>
          <cell r="Q412">
            <v>0</v>
          </cell>
        </row>
        <row r="413">
          <cell r="A413">
            <v>59327</v>
          </cell>
          <cell r="B413" t="str">
            <v>Deductible - Damage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0</v>
          </cell>
          <cell r="Q413">
            <v>0</v>
          </cell>
        </row>
        <row r="414">
          <cell r="A414">
            <v>59328</v>
          </cell>
          <cell r="B414" t="str">
            <v>Claim Recoveries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0</v>
          </cell>
        </row>
        <row r="415">
          <cell r="A415">
            <v>59330</v>
          </cell>
          <cell r="B415" t="str">
            <v>Deduct - Prior Year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</row>
        <row r="416">
          <cell r="A416">
            <v>59331</v>
          </cell>
          <cell r="B416" t="str">
            <v>RM Fixed Costs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</row>
        <row r="417">
          <cell r="A417">
            <v>59340</v>
          </cell>
          <cell r="B417" t="str">
            <v>Self Insurance Premium</v>
          </cell>
          <cell r="E417">
            <v>10091.379999999999</v>
          </cell>
          <cell r="F417">
            <v>10091.379999999999</v>
          </cell>
          <cell r="G417">
            <v>10091.379999999999</v>
          </cell>
          <cell r="H417">
            <v>10091.379999999999</v>
          </cell>
          <cell r="I417">
            <v>10091.379999999999</v>
          </cell>
          <cell r="J417">
            <v>10091.379999999999</v>
          </cell>
          <cell r="K417">
            <v>10091.379999999999</v>
          </cell>
          <cell r="L417">
            <v>10091.379999999999</v>
          </cell>
          <cell r="M417">
            <v>10091.379999999999</v>
          </cell>
          <cell r="N417">
            <v>10091.379999999999</v>
          </cell>
          <cell r="O417">
            <v>10091.379999999999</v>
          </cell>
          <cell r="P417">
            <v>10091.379999999999</v>
          </cell>
          <cell r="Q417">
            <v>121096.56000000001</v>
          </cell>
        </row>
        <row r="418">
          <cell r="A418">
            <v>59341</v>
          </cell>
          <cell r="B418" t="str">
            <v>A&amp;L - Current Year Claims</v>
          </cell>
          <cell r="E418">
            <v>-6142.07</v>
          </cell>
          <cell r="F418">
            <v>-2400</v>
          </cell>
          <cell r="G418">
            <v>400</v>
          </cell>
          <cell r="H418">
            <v>9853.9</v>
          </cell>
          <cell r="I418">
            <v>0</v>
          </cell>
          <cell r="J418">
            <v>0</v>
          </cell>
          <cell r="K418">
            <v>0</v>
          </cell>
          <cell r="L418">
            <v>4250</v>
          </cell>
          <cell r="M418">
            <v>8924.2000000000007</v>
          </cell>
          <cell r="N418">
            <v>751</v>
          </cell>
          <cell r="O418">
            <v>2071.27</v>
          </cell>
          <cell r="P418">
            <v>24430</v>
          </cell>
          <cell r="Q418">
            <v>42138.3</v>
          </cell>
        </row>
        <row r="419">
          <cell r="A419">
            <v>59342</v>
          </cell>
          <cell r="B419" t="str">
            <v>A&amp;L - Prior Year Claims</v>
          </cell>
          <cell r="E419">
            <v>0</v>
          </cell>
          <cell r="F419">
            <v>0</v>
          </cell>
          <cell r="G419">
            <v>0</v>
          </cell>
          <cell r="H419">
            <v>-10802.07</v>
          </cell>
          <cell r="I419">
            <v>-2004.25</v>
          </cell>
          <cell r="J419">
            <v>1249.05</v>
          </cell>
          <cell r="K419">
            <v>6999.75</v>
          </cell>
          <cell r="L419">
            <v>0</v>
          </cell>
          <cell r="M419">
            <v>0</v>
          </cell>
          <cell r="N419">
            <v>2499.5</v>
          </cell>
          <cell r="O419">
            <v>0</v>
          </cell>
          <cell r="P419">
            <v>0</v>
          </cell>
          <cell r="Q419">
            <v>-2058.0200000000004</v>
          </cell>
        </row>
        <row r="420">
          <cell r="A420">
            <v>59343</v>
          </cell>
          <cell r="B420" t="str">
            <v>WC - Current Year Claims</v>
          </cell>
          <cell r="E420">
            <v>7290.88</v>
          </cell>
          <cell r="F420">
            <v>-17465.98</v>
          </cell>
          <cell r="G420">
            <v>13819.28</v>
          </cell>
          <cell r="H420">
            <v>8553.6</v>
          </cell>
          <cell r="I420">
            <v>5696</v>
          </cell>
          <cell r="J420">
            <v>3275.7</v>
          </cell>
          <cell r="K420">
            <v>6448.16</v>
          </cell>
          <cell r="L420">
            <v>2722</v>
          </cell>
          <cell r="M420">
            <v>820</v>
          </cell>
          <cell r="N420">
            <v>-18388.02</v>
          </cell>
          <cell r="O420">
            <v>-1818.92</v>
          </cell>
          <cell r="P420">
            <v>2266.29</v>
          </cell>
          <cell r="Q420">
            <v>13218.990000000002</v>
          </cell>
        </row>
        <row r="421">
          <cell r="A421">
            <v>59344</v>
          </cell>
          <cell r="B421" t="str">
            <v>WC - Prior Year Claims</v>
          </cell>
          <cell r="E421">
            <v>0</v>
          </cell>
          <cell r="F421">
            <v>0</v>
          </cell>
          <cell r="G421">
            <v>0</v>
          </cell>
          <cell r="H421">
            <v>-9078.02</v>
          </cell>
          <cell r="I421">
            <v>16579.04</v>
          </cell>
          <cell r="J421">
            <v>98644.06</v>
          </cell>
          <cell r="K421">
            <v>-15344.09</v>
          </cell>
          <cell r="L421">
            <v>-28729.19</v>
          </cell>
          <cell r="M421">
            <v>17918.650000000001</v>
          </cell>
          <cell r="N421">
            <v>-103.64</v>
          </cell>
          <cell r="O421">
            <v>1197.08</v>
          </cell>
          <cell r="P421">
            <v>-19684.740000000002</v>
          </cell>
          <cell r="Q421">
            <v>61399.150000000009</v>
          </cell>
        </row>
        <row r="422">
          <cell r="A422">
            <v>59350</v>
          </cell>
          <cell r="B422" t="str">
            <v>Self Isurance IBNR Estimates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</row>
        <row r="423">
          <cell r="A423">
            <v>59400</v>
          </cell>
          <cell r="B423" t="str">
            <v>Damages paid by District</v>
          </cell>
          <cell r="E423">
            <v>5142.99</v>
          </cell>
          <cell r="F423">
            <v>1000</v>
          </cell>
          <cell r="G423">
            <v>2757.56</v>
          </cell>
          <cell r="H423">
            <v>0</v>
          </cell>
          <cell r="I423">
            <v>1701.74</v>
          </cell>
          <cell r="J423">
            <v>6490.95</v>
          </cell>
          <cell r="K423">
            <v>104.97</v>
          </cell>
          <cell r="L423">
            <v>48.7</v>
          </cell>
          <cell r="M423">
            <v>0</v>
          </cell>
          <cell r="N423">
            <v>11054.22</v>
          </cell>
          <cell r="O423">
            <v>655.83</v>
          </cell>
          <cell r="P423">
            <v>11383.6</v>
          </cell>
          <cell r="Q423">
            <v>40340.559999999998</v>
          </cell>
        </row>
        <row r="424">
          <cell r="A424">
            <v>59401</v>
          </cell>
          <cell r="B424" t="str">
            <v>Insurance claim repairs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10000</v>
          </cell>
          <cell r="O424">
            <v>31.43</v>
          </cell>
          <cell r="P424">
            <v>-10904.79</v>
          </cell>
          <cell r="Q424">
            <v>-873.36000000000058</v>
          </cell>
        </row>
        <row r="425">
          <cell r="A425">
            <v>59500</v>
          </cell>
          <cell r="B425" t="str">
            <v>Workers Comp Prem</v>
          </cell>
          <cell r="E425">
            <v>4000</v>
          </cell>
          <cell r="F425">
            <v>2000</v>
          </cell>
          <cell r="G425">
            <v>2000</v>
          </cell>
          <cell r="H425">
            <v>2000</v>
          </cell>
          <cell r="I425">
            <v>1000</v>
          </cell>
          <cell r="J425">
            <v>2000</v>
          </cell>
          <cell r="K425">
            <v>2000</v>
          </cell>
          <cell r="L425">
            <v>2000</v>
          </cell>
          <cell r="M425">
            <v>3000</v>
          </cell>
          <cell r="N425">
            <v>3000</v>
          </cell>
          <cell r="O425">
            <v>3000</v>
          </cell>
          <cell r="P425">
            <v>0</v>
          </cell>
          <cell r="Q425">
            <v>26000</v>
          </cell>
        </row>
        <row r="426">
          <cell r="A426">
            <v>59998</v>
          </cell>
          <cell r="B426" t="str">
            <v>Allocation Out - District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0</v>
          </cell>
          <cell r="P426">
            <v>0</v>
          </cell>
          <cell r="Q426">
            <v>0</v>
          </cell>
        </row>
        <row r="427">
          <cell r="A427">
            <v>59999</v>
          </cell>
          <cell r="B427" t="str">
            <v>Allocation Out - Out District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0</v>
          </cell>
        </row>
        <row r="428">
          <cell r="A428" t="str">
            <v>Total Insurance</v>
          </cell>
          <cell r="E428">
            <v>20383.18</v>
          </cell>
          <cell r="F428">
            <v>-6774.6</v>
          </cell>
          <cell r="G428">
            <v>29068.22</v>
          </cell>
          <cell r="H428">
            <v>10618.789999999997</v>
          </cell>
          <cell r="I428">
            <v>33063.910000000003</v>
          </cell>
          <cell r="J428">
            <v>121751.14</v>
          </cell>
          <cell r="K428">
            <v>10300.169999999996</v>
          </cell>
          <cell r="L428">
            <v>-9617.11</v>
          </cell>
          <cell r="M428">
            <v>40754.230000000003</v>
          </cell>
          <cell r="N428">
            <v>18904.439999999999</v>
          </cell>
          <cell r="O428">
            <v>15228.07</v>
          </cell>
          <cell r="P428">
            <v>17581.739999999998</v>
          </cell>
          <cell r="Q428">
            <v>301262.18000000005</v>
          </cell>
        </row>
        <row r="430">
          <cell r="A430" t="str">
            <v>Disposal of Assets and Operations</v>
          </cell>
        </row>
        <row r="431">
          <cell r="A431">
            <v>72000</v>
          </cell>
          <cell r="B431" t="str">
            <v>Gain/Loss on Disposal of Operations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0</v>
          </cell>
        </row>
        <row r="432">
          <cell r="A432">
            <v>91010</v>
          </cell>
          <cell r="B432" t="str">
            <v>Gain/Loss on Sale of Asset</v>
          </cell>
          <cell r="E432">
            <v>0</v>
          </cell>
          <cell r="F432">
            <v>0</v>
          </cell>
          <cell r="G432">
            <v>0</v>
          </cell>
          <cell r="H432">
            <v>1319.45</v>
          </cell>
          <cell r="I432">
            <v>0</v>
          </cell>
          <cell r="J432">
            <v>24949.35</v>
          </cell>
          <cell r="K432">
            <v>-33354.22</v>
          </cell>
          <cell r="L432">
            <v>-3080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-10165.420000000002</v>
          </cell>
        </row>
        <row r="433">
          <cell r="A433" t="str">
            <v>Total Disposal of Assets and Operations</v>
          </cell>
          <cell r="E433">
            <v>0</v>
          </cell>
          <cell r="F433">
            <v>0</v>
          </cell>
          <cell r="G433">
            <v>0</v>
          </cell>
          <cell r="H433">
            <v>1319.45</v>
          </cell>
          <cell r="I433">
            <v>0</v>
          </cell>
          <cell r="J433">
            <v>24949.35</v>
          </cell>
          <cell r="K433">
            <v>-33354.22</v>
          </cell>
          <cell r="L433">
            <v>-3080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-10165.420000000002</v>
          </cell>
        </row>
        <row r="435">
          <cell r="A435" t="str">
            <v>Total Operating Costs</v>
          </cell>
          <cell r="E435">
            <v>691108.55</v>
          </cell>
          <cell r="F435">
            <v>591691.37000000011</v>
          </cell>
          <cell r="G435">
            <v>679572.21999999986</v>
          </cell>
          <cell r="H435">
            <v>649398.42000000004</v>
          </cell>
          <cell r="I435">
            <v>715012.80999999994</v>
          </cell>
          <cell r="J435">
            <v>823534.92999999993</v>
          </cell>
          <cell r="K435">
            <v>725146.60999999987</v>
          </cell>
          <cell r="L435">
            <v>671623.93</v>
          </cell>
          <cell r="M435">
            <v>721331.92999999993</v>
          </cell>
          <cell r="N435">
            <v>675314.14999999991</v>
          </cell>
          <cell r="O435">
            <v>713873.94</v>
          </cell>
          <cell r="P435">
            <v>696947.79999999981</v>
          </cell>
          <cell r="Q435">
            <v>8354556.6600000001</v>
          </cell>
        </row>
        <row r="437">
          <cell r="A437" t="str">
            <v>Gross Profit</v>
          </cell>
          <cell r="E437">
            <v>958596.29999999981</v>
          </cell>
          <cell r="F437">
            <v>1078399.0499999998</v>
          </cell>
          <cell r="G437">
            <v>980681.78999999992</v>
          </cell>
          <cell r="H437">
            <v>1060013.06</v>
          </cell>
          <cell r="I437">
            <v>998324.67999999935</v>
          </cell>
          <cell r="J437">
            <v>884006.14000000036</v>
          </cell>
          <cell r="K437">
            <v>999176.6099999994</v>
          </cell>
          <cell r="L437">
            <v>1029352.5499999995</v>
          </cell>
          <cell r="M437">
            <v>1005221.45</v>
          </cell>
          <cell r="N437">
            <v>1062170.0200000005</v>
          </cell>
          <cell r="O437">
            <v>1010676.3699999996</v>
          </cell>
          <cell r="P437">
            <v>1011952.0500000003</v>
          </cell>
          <cell r="Q437">
            <v>12078570.07</v>
          </cell>
        </row>
        <row r="439">
          <cell r="A439" t="str">
            <v>SG&amp;A</v>
          </cell>
        </row>
        <row r="440">
          <cell r="A440" t="str">
            <v>Sales</v>
          </cell>
        </row>
        <row r="441">
          <cell r="A441">
            <v>60010</v>
          </cell>
          <cell r="B441" t="str">
            <v>Salaries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  <cell r="Q441">
            <v>0</v>
          </cell>
        </row>
        <row r="442">
          <cell r="A442">
            <v>60020</v>
          </cell>
          <cell r="B442" t="str">
            <v>Wages Regular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>
            <v>0</v>
          </cell>
          <cell r="N442">
            <v>0</v>
          </cell>
          <cell r="O442">
            <v>0</v>
          </cell>
          <cell r="P442">
            <v>0</v>
          </cell>
          <cell r="Q442">
            <v>0</v>
          </cell>
        </row>
        <row r="443">
          <cell r="A443">
            <v>60025</v>
          </cell>
          <cell r="B443" t="str">
            <v>Wages O.T.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  <cell r="P443">
            <v>0</v>
          </cell>
          <cell r="Q443">
            <v>0</v>
          </cell>
        </row>
        <row r="444">
          <cell r="A444">
            <v>60030</v>
          </cell>
          <cell r="B444" t="str">
            <v>Bonuses and Commissions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  <cell r="Q444">
            <v>0</v>
          </cell>
        </row>
        <row r="445">
          <cell r="A445">
            <v>60035</v>
          </cell>
          <cell r="B445" t="str">
            <v>Safety Bonuses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</row>
        <row r="446">
          <cell r="A446">
            <v>60037</v>
          </cell>
          <cell r="B446" t="str">
            <v>Termination Pay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</row>
        <row r="447">
          <cell r="A447">
            <v>60045</v>
          </cell>
          <cell r="B447" t="str">
            <v>Contract Labor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</row>
        <row r="448">
          <cell r="A448">
            <v>60050</v>
          </cell>
          <cell r="B448" t="str">
            <v>Payroll Taxes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</row>
        <row r="449">
          <cell r="A449">
            <v>60060</v>
          </cell>
          <cell r="B449" t="str">
            <v>Group Insurance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</row>
        <row r="450">
          <cell r="A450">
            <v>60065</v>
          </cell>
          <cell r="B450" t="str">
            <v>Vacation Pay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8.23</v>
          </cell>
          <cell r="M450">
            <v>-8.23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</row>
        <row r="451">
          <cell r="A451">
            <v>60070</v>
          </cell>
          <cell r="B451" t="str">
            <v>Sick Pay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</row>
        <row r="452">
          <cell r="A452">
            <v>60086</v>
          </cell>
          <cell r="B452" t="str">
            <v>Safety and Training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</row>
        <row r="453">
          <cell r="A453">
            <v>60095</v>
          </cell>
          <cell r="B453" t="str">
            <v>Empl &amp; Commun Activ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</row>
        <row r="454">
          <cell r="A454">
            <v>60105</v>
          </cell>
          <cell r="B454" t="str">
            <v>Employee Relocation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</row>
        <row r="455">
          <cell r="A455">
            <v>60115</v>
          </cell>
          <cell r="B455" t="str">
            <v>School Tuition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</row>
        <row r="456">
          <cell r="A456">
            <v>60116</v>
          </cell>
          <cell r="B456" t="str">
            <v>Pension and Profit Sharing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  <cell r="Q456">
            <v>0</v>
          </cell>
        </row>
        <row r="457">
          <cell r="A457">
            <v>60117</v>
          </cell>
          <cell r="B457" t="str">
            <v>Union Pension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</row>
        <row r="458">
          <cell r="A458">
            <v>60148</v>
          </cell>
          <cell r="B458" t="str">
            <v>Allocated Exp In - District</v>
          </cell>
          <cell r="E458">
            <v>2300</v>
          </cell>
          <cell r="F458">
            <v>2448</v>
          </cell>
          <cell r="G458">
            <v>2391</v>
          </cell>
          <cell r="H458">
            <v>2584.5</v>
          </cell>
          <cell r="I458">
            <v>2565</v>
          </cell>
          <cell r="J458">
            <v>3535</v>
          </cell>
          <cell r="K458">
            <v>2899</v>
          </cell>
          <cell r="L458">
            <v>2443</v>
          </cell>
          <cell r="M458">
            <v>1800</v>
          </cell>
          <cell r="N458">
            <v>2326</v>
          </cell>
          <cell r="O458">
            <v>2339</v>
          </cell>
          <cell r="P458">
            <v>0</v>
          </cell>
          <cell r="Q458">
            <v>27630.5</v>
          </cell>
        </row>
        <row r="459">
          <cell r="A459">
            <v>60149</v>
          </cell>
          <cell r="B459" t="str">
            <v>Allocated Exp In Out - District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</row>
        <row r="460">
          <cell r="A460">
            <v>60165</v>
          </cell>
          <cell r="B460" t="str">
            <v>Communications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</row>
        <row r="461">
          <cell r="A461">
            <v>60170</v>
          </cell>
          <cell r="B461" t="str">
            <v>Real Estate Rentals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</row>
        <row r="462">
          <cell r="A462">
            <v>60175</v>
          </cell>
          <cell r="B462" t="str">
            <v>Equip/Vehicle Rental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</row>
        <row r="463">
          <cell r="A463">
            <v>60185</v>
          </cell>
          <cell r="B463" t="str">
            <v>Postage</v>
          </cell>
          <cell r="E463">
            <v>198.54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198.54</v>
          </cell>
        </row>
        <row r="464">
          <cell r="A464">
            <v>60195</v>
          </cell>
          <cell r="B464" t="str">
            <v>Dues and Subscriptions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</row>
        <row r="465">
          <cell r="A465">
            <v>60196</v>
          </cell>
          <cell r="B465" t="str">
            <v>Club Dues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</row>
        <row r="466">
          <cell r="A466">
            <v>60200</v>
          </cell>
          <cell r="B466" t="str">
            <v>Travel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</row>
        <row r="467">
          <cell r="A467">
            <v>60201</v>
          </cell>
          <cell r="B467" t="str">
            <v>Entertainment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</row>
        <row r="468">
          <cell r="A468">
            <v>60205</v>
          </cell>
          <cell r="B468" t="str">
            <v>Travel - Auto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58.5</v>
          </cell>
          <cell r="L468">
            <v>177.74</v>
          </cell>
          <cell r="M468">
            <v>-77.739999999999995</v>
          </cell>
          <cell r="N468">
            <v>0</v>
          </cell>
          <cell r="O468">
            <v>75.52</v>
          </cell>
          <cell r="P468">
            <v>23.74</v>
          </cell>
          <cell r="Q468">
            <v>257.76</v>
          </cell>
        </row>
        <row r="469">
          <cell r="A469">
            <v>60210</v>
          </cell>
          <cell r="B469" t="str">
            <v>Office Supplies and Equip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</row>
        <row r="470">
          <cell r="A470">
            <v>60225</v>
          </cell>
          <cell r="B470" t="str">
            <v>Advertising and Promotions</v>
          </cell>
          <cell r="E470">
            <v>12977.33</v>
          </cell>
          <cell r="F470">
            <v>949.64</v>
          </cell>
          <cell r="G470">
            <v>5900.84</v>
          </cell>
          <cell r="H470">
            <v>4161.1099999999997</v>
          </cell>
          <cell r="I470">
            <v>3165.78</v>
          </cell>
          <cell r="J470">
            <v>4520.0600000000004</v>
          </cell>
          <cell r="K470">
            <v>1806.35</v>
          </cell>
          <cell r="L470">
            <v>955.59</v>
          </cell>
          <cell r="M470">
            <v>28827.18</v>
          </cell>
          <cell r="N470">
            <v>25999.119999999999</v>
          </cell>
          <cell r="O470">
            <v>1245.2</v>
          </cell>
          <cell r="P470">
            <v>38523.21</v>
          </cell>
          <cell r="Q470">
            <v>129031.41</v>
          </cell>
        </row>
        <row r="471">
          <cell r="A471">
            <v>60234</v>
          </cell>
          <cell r="B471" t="str">
            <v>O/S Sales Exp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</row>
        <row r="472">
          <cell r="A472">
            <v>60255</v>
          </cell>
          <cell r="B472" t="str">
            <v>Other Prof Fees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</row>
        <row r="473">
          <cell r="A473">
            <v>60326</v>
          </cell>
          <cell r="B473" t="str">
            <v>Deduct - Current Yr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A474">
            <v>60327</v>
          </cell>
          <cell r="B474" t="str">
            <v>Deduct - Damage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</row>
        <row r="475">
          <cell r="A475">
            <v>60328</v>
          </cell>
          <cell r="B475" t="str">
            <v>Claim Recoveries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</row>
        <row r="476">
          <cell r="A476">
            <v>60330</v>
          </cell>
          <cell r="B476" t="str">
            <v>Deduct Prior Year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</row>
        <row r="477">
          <cell r="A477">
            <v>60335</v>
          </cell>
          <cell r="B477" t="str">
            <v>Miscellaneous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</row>
        <row r="478">
          <cell r="A478">
            <v>60998</v>
          </cell>
          <cell r="B478" t="str">
            <v>Allocation Out - District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60999</v>
          </cell>
          <cell r="B479" t="str">
            <v>Allocation Out - Out District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  <cell r="P479">
            <v>0</v>
          </cell>
          <cell r="Q479">
            <v>0</v>
          </cell>
        </row>
        <row r="480">
          <cell r="A480" t="str">
            <v>Total Sales</v>
          </cell>
          <cell r="E480">
            <v>15475.869999999999</v>
          </cell>
          <cell r="F480">
            <v>3397.64</v>
          </cell>
          <cell r="G480">
            <v>8291.84</v>
          </cell>
          <cell r="H480">
            <v>6745.61</v>
          </cell>
          <cell r="I480">
            <v>5730.7800000000007</v>
          </cell>
          <cell r="J480">
            <v>8055.06</v>
          </cell>
          <cell r="K480">
            <v>4763.8500000000004</v>
          </cell>
          <cell r="L480">
            <v>3584.5600000000004</v>
          </cell>
          <cell r="M480">
            <v>30541.21</v>
          </cell>
          <cell r="N480">
            <v>28325.119999999999</v>
          </cell>
          <cell r="O480">
            <v>3659.7200000000003</v>
          </cell>
          <cell r="P480">
            <v>38546.949999999997</v>
          </cell>
          <cell r="Q480">
            <v>157118.21</v>
          </cell>
        </row>
        <row r="482">
          <cell r="A482" t="str">
            <v>G&amp;A</v>
          </cell>
        </row>
        <row r="483">
          <cell r="A483">
            <v>70010</v>
          </cell>
          <cell r="B483" t="str">
            <v>Salaries</v>
          </cell>
          <cell r="E483">
            <v>31950.25</v>
          </cell>
          <cell r="F483">
            <v>29217.37</v>
          </cell>
          <cell r="G483">
            <v>34993.21</v>
          </cell>
          <cell r="H483">
            <v>32805.65</v>
          </cell>
          <cell r="I483">
            <v>33117.839999999997</v>
          </cell>
          <cell r="J483">
            <v>36102.11</v>
          </cell>
          <cell r="K483">
            <v>36862.230000000003</v>
          </cell>
          <cell r="L483">
            <v>32246.880000000001</v>
          </cell>
          <cell r="M483">
            <v>35474.660000000003</v>
          </cell>
          <cell r="N483">
            <v>34757.17</v>
          </cell>
          <cell r="O483">
            <v>34601.15</v>
          </cell>
          <cell r="P483">
            <v>36751.879999999997</v>
          </cell>
          <cell r="Q483">
            <v>408880.39999999997</v>
          </cell>
        </row>
        <row r="484">
          <cell r="A484">
            <v>70015</v>
          </cell>
          <cell r="B484" t="str">
            <v>Deferred Comp Earnings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</row>
        <row r="485">
          <cell r="A485">
            <v>70020</v>
          </cell>
          <cell r="B485" t="str">
            <v>Wages Regular</v>
          </cell>
          <cell r="E485">
            <v>39238.25</v>
          </cell>
          <cell r="F485">
            <v>41055.800000000003</v>
          </cell>
          <cell r="G485">
            <v>43441.67</v>
          </cell>
          <cell r="H485">
            <v>43159.68</v>
          </cell>
          <cell r="I485">
            <v>40707.99</v>
          </cell>
          <cell r="J485">
            <v>44340.75</v>
          </cell>
          <cell r="K485">
            <v>44034.15</v>
          </cell>
          <cell r="L485">
            <v>37123.65</v>
          </cell>
          <cell r="M485">
            <v>40606.129999999997</v>
          </cell>
          <cell r="N485">
            <v>42194.06</v>
          </cell>
          <cell r="O485">
            <v>45471.69</v>
          </cell>
          <cell r="P485">
            <v>48949.11</v>
          </cell>
          <cell r="Q485">
            <v>510322.93</v>
          </cell>
        </row>
        <row r="486">
          <cell r="A486">
            <v>70025</v>
          </cell>
          <cell r="B486" t="str">
            <v>Wages O.T.</v>
          </cell>
          <cell r="E486">
            <v>2096.58</v>
          </cell>
          <cell r="F486">
            <v>2256.92</v>
          </cell>
          <cell r="G486">
            <v>520.88</v>
          </cell>
          <cell r="H486">
            <v>1862.34</v>
          </cell>
          <cell r="I486">
            <v>3126.98</v>
          </cell>
          <cell r="J486">
            <v>1540.45</v>
          </cell>
          <cell r="K486">
            <v>2442.46</v>
          </cell>
          <cell r="L486">
            <v>2985.84</v>
          </cell>
          <cell r="M486">
            <v>1455.97</v>
          </cell>
          <cell r="N486">
            <v>1845.98</v>
          </cell>
          <cell r="O486">
            <v>2373.81</v>
          </cell>
          <cell r="P486">
            <v>1626.79</v>
          </cell>
          <cell r="Q486">
            <v>24135.000000000004</v>
          </cell>
        </row>
        <row r="487">
          <cell r="A487">
            <v>70030</v>
          </cell>
          <cell r="B487" t="str">
            <v>Corp Allocated Bonus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  <cell r="Q487">
            <v>0</v>
          </cell>
        </row>
        <row r="488">
          <cell r="A488">
            <v>70035</v>
          </cell>
          <cell r="B488" t="str">
            <v>Safety Bonuses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</row>
        <row r="489">
          <cell r="A489">
            <v>70036</v>
          </cell>
          <cell r="B489" t="str">
            <v>Other Bonus/Commission - Non-Safety</v>
          </cell>
          <cell r="E489">
            <v>4809.7700000000004</v>
          </cell>
          <cell r="F489">
            <v>2140.23</v>
          </cell>
          <cell r="G489">
            <v>5107.6499999999996</v>
          </cell>
          <cell r="H489">
            <v>4226.5600000000004</v>
          </cell>
          <cell r="I489">
            <v>1425.85</v>
          </cell>
          <cell r="J489">
            <v>387.84</v>
          </cell>
          <cell r="K489">
            <v>100</v>
          </cell>
          <cell r="L489">
            <v>3426.61</v>
          </cell>
          <cell r="M489">
            <v>665.4</v>
          </cell>
          <cell r="N489">
            <v>-1015.84</v>
          </cell>
          <cell r="O489">
            <v>581.19000000000005</v>
          </cell>
          <cell r="P489">
            <v>5025.8500000000004</v>
          </cell>
          <cell r="Q489">
            <v>26881.11</v>
          </cell>
        </row>
        <row r="490">
          <cell r="A490">
            <v>70037</v>
          </cell>
          <cell r="B490" t="str">
            <v>Termination Pay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  <cell r="Q490">
            <v>0</v>
          </cell>
        </row>
        <row r="491">
          <cell r="A491">
            <v>70045</v>
          </cell>
          <cell r="B491" t="str">
            <v>Contract Labor</v>
          </cell>
          <cell r="E491">
            <v>6680.67</v>
          </cell>
          <cell r="F491">
            <v>232.03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  <cell r="L491">
            <v>10440.92</v>
          </cell>
          <cell r="M491">
            <v>7401.37</v>
          </cell>
          <cell r="N491">
            <v>14152.75</v>
          </cell>
          <cell r="O491">
            <v>1820.49</v>
          </cell>
          <cell r="P491">
            <v>6453.68</v>
          </cell>
          <cell r="Q491">
            <v>47181.909999999996</v>
          </cell>
        </row>
        <row r="492">
          <cell r="A492">
            <v>70050</v>
          </cell>
          <cell r="B492" t="str">
            <v>Payroll Taxes</v>
          </cell>
          <cell r="E492">
            <v>9179.65</v>
          </cell>
          <cell r="F492">
            <v>6291.4</v>
          </cell>
          <cell r="G492">
            <v>7661.43</v>
          </cell>
          <cell r="H492">
            <v>6697.51</v>
          </cell>
          <cell r="I492">
            <v>6629.71</v>
          </cell>
          <cell r="J492">
            <v>7324.51</v>
          </cell>
          <cell r="K492">
            <v>5887.85</v>
          </cell>
          <cell r="L492">
            <v>5608.72</v>
          </cell>
          <cell r="M492">
            <v>5768.98</v>
          </cell>
          <cell r="N492">
            <v>5999.27</v>
          </cell>
          <cell r="O492">
            <v>6190.7</v>
          </cell>
          <cell r="P492">
            <v>6776.28</v>
          </cell>
          <cell r="Q492">
            <v>80016.009999999995</v>
          </cell>
        </row>
        <row r="493">
          <cell r="A493">
            <v>70060</v>
          </cell>
          <cell r="B493" t="str">
            <v>Group Insurance</v>
          </cell>
          <cell r="E493">
            <v>10365.61</v>
          </cell>
          <cell r="F493">
            <v>10230.65</v>
          </cell>
          <cell r="G493">
            <v>8851.43</v>
          </cell>
          <cell r="H493">
            <v>12049.32</v>
          </cell>
          <cell r="I493">
            <v>9943.51</v>
          </cell>
          <cell r="J493">
            <v>9742.43</v>
          </cell>
          <cell r="K493">
            <v>9734.74</v>
          </cell>
          <cell r="L493">
            <v>9561.06</v>
          </cell>
          <cell r="M493">
            <v>8494.4699999999993</v>
          </cell>
          <cell r="N493">
            <v>11177.83</v>
          </cell>
          <cell r="O493">
            <v>11411.65</v>
          </cell>
          <cell r="P493">
            <v>11731.69</v>
          </cell>
          <cell r="Q493">
            <v>123294.39</v>
          </cell>
        </row>
        <row r="494">
          <cell r="A494">
            <v>70065</v>
          </cell>
          <cell r="B494" t="str">
            <v>Vacation Pay</v>
          </cell>
          <cell r="E494">
            <v>5445.15</v>
          </cell>
          <cell r="F494">
            <v>2867.53</v>
          </cell>
          <cell r="G494">
            <v>2000.31</v>
          </cell>
          <cell r="H494">
            <v>3981.39</v>
          </cell>
          <cell r="I494">
            <v>4870.18</v>
          </cell>
          <cell r="J494">
            <v>3114.5</v>
          </cell>
          <cell r="K494">
            <v>4765.6099999999997</v>
          </cell>
          <cell r="L494">
            <v>2058.0100000000002</v>
          </cell>
          <cell r="M494">
            <v>3147.12</v>
          </cell>
          <cell r="N494">
            <v>4048.56</v>
          </cell>
          <cell r="O494">
            <v>2256.75</v>
          </cell>
          <cell r="P494">
            <v>3468.68</v>
          </cell>
          <cell r="Q494">
            <v>42023.79</v>
          </cell>
        </row>
        <row r="495">
          <cell r="A495">
            <v>70070</v>
          </cell>
          <cell r="B495" t="str">
            <v>Sick Pay</v>
          </cell>
          <cell r="E495">
            <v>334.55</v>
          </cell>
          <cell r="F495">
            <v>550.89</v>
          </cell>
          <cell r="G495">
            <v>1270.23</v>
          </cell>
          <cell r="H495">
            <v>745.77</v>
          </cell>
          <cell r="I495">
            <v>1246.57</v>
          </cell>
          <cell r="J495">
            <v>334.08</v>
          </cell>
          <cell r="K495">
            <v>365.29</v>
          </cell>
          <cell r="L495">
            <v>1258.6099999999999</v>
          </cell>
          <cell r="M495">
            <v>594.48</v>
          </cell>
          <cell r="N495">
            <v>799.28</v>
          </cell>
          <cell r="O495">
            <v>359.64</v>
          </cell>
          <cell r="P495">
            <v>428.72</v>
          </cell>
          <cell r="Q495">
            <v>8288.1099999999988</v>
          </cell>
        </row>
        <row r="496">
          <cell r="A496">
            <v>70086</v>
          </cell>
          <cell r="B496" t="str">
            <v>Safety and Training</v>
          </cell>
          <cell r="E496">
            <v>307.08999999999997</v>
          </cell>
          <cell r="F496">
            <v>-262.68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146.11000000000001</v>
          </cell>
          <cell r="N496">
            <v>550</v>
          </cell>
          <cell r="O496">
            <v>70</v>
          </cell>
          <cell r="P496">
            <v>2091.2399999999998</v>
          </cell>
          <cell r="Q496">
            <v>2901.7599999999998</v>
          </cell>
        </row>
        <row r="497">
          <cell r="A497">
            <v>70090</v>
          </cell>
          <cell r="B497" t="str">
            <v>WCN Training</v>
          </cell>
          <cell r="E497">
            <v>0</v>
          </cell>
          <cell r="F497">
            <v>912.78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912.78</v>
          </cell>
        </row>
        <row r="498">
          <cell r="A498">
            <v>70095</v>
          </cell>
          <cell r="B498" t="str">
            <v>Empl &amp; Commun Activ</v>
          </cell>
          <cell r="E498">
            <v>14055.36</v>
          </cell>
          <cell r="F498">
            <v>3129.49</v>
          </cell>
          <cell r="G498">
            <v>-8366.42</v>
          </cell>
          <cell r="H498">
            <v>1482.03</v>
          </cell>
          <cell r="I498">
            <v>4740.3999999999996</v>
          </cell>
          <cell r="J498">
            <v>5688.11</v>
          </cell>
          <cell r="K498">
            <v>11283.12</v>
          </cell>
          <cell r="L498">
            <v>21266.09</v>
          </cell>
          <cell r="M498">
            <v>1553.42</v>
          </cell>
          <cell r="N498">
            <v>3453.38</v>
          </cell>
          <cell r="O498">
            <v>4558.05</v>
          </cell>
          <cell r="P498">
            <v>3947.63</v>
          </cell>
          <cell r="Q498">
            <v>66790.659999999989</v>
          </cell>
        </row>
        <row r="499">
          <cell r="A499">
            <v>70105</v>
          </cell>
          <cell r="B499" t="str">
            <v>Employee Relocation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  <cell r="M499">
            <v>0</v>
          </cell>
          <cell r="N499">
            <v>0</v>
          </cell>
          <cell r="O499">
            <v>0</v>
          </cell>
          <cell r="P499">
            <v>0</v>
          </cell>
          <cell r="Q499">
            <v>0</v>
          </cell>
        </row>
        <row r="500">
          <cell r="A500">
            <v>70107</v>
          </cell>
          <cell r="B500" t="str">
            <v>Housing Subsidy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</row>
        <row r="501">
          <cell r="A501">
            <v>70108</v>
          </cell>
          <cell r="B501" t="str">
            <v>School Tuition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  <cell r="O501">
            <v>0</v>
          </cell>
          <cell r="P501">
            <v>0</v>
          </cell>
          <cell r="Q501">
            <v>0</v>
          </cell>
        </row>
        <row r="502">
          <cell r="A502">
            <v>70110</v>
          </cell>
          <cell r="B502" t="str">
            <v>Contributions</v>
          </cell>
          <cell r="E502">
            <v>937.5</v>
          </cell>
          <cell r="F502">
            <v>-1250</v>
          </cell>
          <cell r="G502">
            <v>500</v>
          </cell>
          <cell r="H502">
            <v>2250</v>
          </cell>
          <cell r="I502">
            <v>250</v>
          </cell>
          <cell r="J502">
            <v>500</v>
          </cell>
          <cell r="K502">
            <v>1191.54</v>
          </cell>
          <cell r="L502">
            <v>500</v>
          </cell>
          <cell r="M502">
            <v>0</v>
          </cell>
          <cell r="N502">
            <v>0</v>
          </cell>
          <cell r="O502">
            <v>500</v>
          </cell>
          <cell r="P502">
            <v>0</v>
          </cell>
          <cell r="Q502">
            <v>5379.04</v>
          </cell>
        </row>
        <row r="503">
          <cell r="A503">
            <v>70111</v>
          </cell>
          <cell r="B503" t="str">
            <v>Non Cash Charitable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  <cell r="Q503">
            <v>0</v>
          </cell>
        </row>
        <row r="504">
          <cell r="A504">
            <v>70112</v>
          </cell>
          <cell r="B504" t="str">
            <v>Political Contributions</v>
          </cell>
          <cell r="E504">
            <v>0</v>
          </cell>
          <cell r="F504">
            <v>0</v>
          </cell>
          <cell r="G504">
            <v>0</v>
          </cell>
          <cell r="H504">
            <v>1250</v>
          </cell>
          <cell r="I504">
            <v>0</v>
          </cell>
          <cell r="J504">
            <v>0</v>
          </cell>
          <cell r="K504">
            <v>1250</v>
          </cell>
          <cell r="L504">
            <v>0</v>
          </cell>
          <cell r="M504">
            <v>500</v>
          </cell>
          <cell r="N504">
            <v>250</v>
          </cell>
          <cell r="O504">
            <v>0</v>
          </cell>
          <cell r="P504">
            <v>0</v>
          </cell>
          <cell r="Q504">
            <v>3250</v>
          </cell>
        </row>
        <row r="505">
          <cell r="A505">
            <v>70116</v>
          </cell>
          <cell r="B505" t="str">
            <v>Pension and Profit Sharing</v>
          </cell>
          <cell r="E505">
            <v>991.8</v>
          </cell>
          <cell r="F505">
            <v>1061.8</v>
          </cell>
          <cell r="G505">
            <v>1561.6</v>
          </cell>
          <cell r="H505">
            <v>1001.55</v>
          </cell>
          <cell r="I505">
            <v>1064.48</v>
          </cell>
          <cell r="J505">
            <v>880.04</v>
          </cell>
          <cell r="K505">
            <v>837.46</v>
          </cell>
          <cell r="L505">
            <v>818.44</v>
          </cell>
          <cell r="M505">
            <v>814.08</v>
          </cell>
          <cell r="N505">
            <v>1291.5999999999999</v>
          </cell>
          <cell r="O505">
            <v>832.75</v>
          </cell>
          <cell r="P505">
            <v>978.78</v>
          </cell>
          <cell r="Q505">
            <v>12134.380000000001</v>
          </cell>
        </row>
        <row r="506">
          <cell r="A506">
            <v>70117</v>
          </cell>
          <cell r="B506" t="str">
            <v>Union Pension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</row>
        <row r="507">
          <cell r="A507">
            <v>70142</v>
          </cell>
          <cell r="B507" t="str">
            <v>Fuel Expense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  <cell r="Q507">
            <v>0</v>
          </cell>
        </row>
        <row r="508">
          <cell r="A508">
            <v>70145</v>
          </cell>
          <cell r="B508" t="str">
            <v>Outside Repairs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  <cell r="O508">
            <v>0</v>
          </cell>
          <cell r="P508">
            <v>0</v>
          </cell>
          <cell r="Q508">
            <v>0</v>
          </cell>
        </row>
        <row r="509">
          <cell r="A509">
            <v>70147</v>
          </cell>
          <cell r="B509" t="str">
            <v>Bldg &amp; Property Maint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  <cell r="Q509">
            <v>0</v>
          </cell>
        </row>
        <row r="510">
          <cell r="A510">
            <v>70148</v>
          </cell>
          <cell r="B510" t="str">
            <v>Allocated Exp In - District</v>
          </cell>
          <cell r="E510">
            <v>9455.33</v>
          </cell>
          <cell r="F510">
            <v>10366.76</v>
          </cell>
          <cell r="G510">
            <v>12777.28</v>
          </cell>
          <cell r="H510">
            <v>9429.9599999999991</v>
          </cell>
          <cell r="I510">
            <v>4111.67</v>
          </cell>
          <cell r="J510">
            <v>13752.97</v>
          </cell>
          <cell r="K510">
            <v>28825.42</v>
          </cell>
          <cell r="L510">
            <v>23366.78</v>
          </cell>
          <cell r="M510">
            <v>-1234.82</v>
          </cell>
          <cell r="N510">
            <v>8735.3799999999992</v>
          </cell>
          <cell r="O510">
            <v>11153.09</v>
          </cell>
          <cell r="P510">
            <v>9005.61</v>
          </cell>
          <cell r="Q510">
            <v>139745.43</v>
          </cell>
        </row>
        <row r="511">
          <cell r="A511">
            <v>70150</v>
          </cell>
          <cell r="B511" t="str">
            <v>Utilities</v>
          </cell>
          <cell r="E511">
            <v>1142.2</v>
          </cell>
          <cell r="F511">
            <v>1092.4000000000001</v>
          </cell>
          <cell r="G511">
            <v>1092.57</v>
          </cell>
          <cell r="H511">
            <v>1056.2</v>
          </cell>
          <cell r="I511">
            <v>971.23</v>
          </cell>
          <cell r="J511">
            <v>927.16</v>
          </cell>
          <cell r="K511">
            <v>0</v>
          </cell>
          <cell r="L511">
            <v>869.77</v>
          </cell>
          <cell r="M511">
            <v>868.91</v>
          </cell>
          <cell r="N511">
            <v>878.75</v>
          </cell>
          <cell r="O511">
            <v>973.97</v>
          </cell>
          <cell r="P511">
            <v>1678.97</v>
          </cell>
          <cell r="Q511">
            <v>11552.13</v>
          </cell>
        </row>
        <row r="512">
          <cell r="A512">
            <v>70165</v>
          </cell>
          <cell r="B512" t="str">
            <v>Communications</v>
          </cell>
          <cell r="E512">
            <v>1837.34</v>
          </cell>
          <cell r="F512">
            <v>1811.33</v>
          </cell>
          <cell r="G512">
            <v>2247.1</v>
          </cell>
          <cell r="H512">
            <v>1908.93</v>
          </cell>
          <cell r="I512">
            <v>2066.65</v>
          </cell>
          <cell r="J512">
            <v>2198.11</v>
          </cell>
          <cell r="K512">
            <v>2042.44</v>
          </cell>
          <cell r="L512">
            <v>2129.4</v>
          </cell>
          <cell r="M512">
            <v>2270.06</v>
          </cell>
          <cell r="N512">
            <v>2682.39</v>
          </cell>
          <cell r="O512">
            <v>1762.11</v>
          </cell>
          <cell r="P512">
            <v>2834.19</v>
          </cell>
          <cell r="Q512">
            <v>25790.05</v>
          </cell>
        </row>
        <row r="513">
          <cell r="A513">
            <v>70166</v>
          </cell>
          <cell r="B513" t="str">
            <v>Office Telephone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  <cell r="Q513">
            <v>0</v>
          </cell>
        </row>
        <row r="514">
          <cell r="A514">
            <v>70167</v>
          </cell>
          <cell r="B514" t="str">
            <v>Cellular Telephone</v>
          </cell>
          <cell r="E514">
            <v>156.94999999999999</v>
          </cell>
          <cell r="F514">
            <v>186.7</v>
          </cell>
          <cell r="G514">
            <v>355.41</v>
          </cell>
          <cell r="H514">
            <v>205.54</v>
          </cell>
          <cell r="I514">
            <v>168.04</v>
          </cell>
          <cell r="J514">
            <v>205.54</v>
          </cell>
          <cell r="K514">
            <v>356.92</v>
          </cell>
          <cell r="L514">
            <v>187.5</v>
          </cell>
          <cell r="M514">
            <v>75</v>
          </cell>
          <cell r="N514">
            <v>223.5</v>
          </cell>
          <cell r="O514">
            <v>226.5</v>
          </cell>
          <cell r="P514">
            <v>150</v>
          </cell>
          <cell r="Q514">
            <v>2497.6</v>
          </cell>
        </row>
        <row r="515">
          <cell r="A515">
            <v>70170</v>
          </cell>
          <cell r="B515" t="str">
            <v>Real Estate Rentals</v>
          </cell>
          <cell r="E515">
            <v>0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  <cell r="Q515">
            <v>0</v>
          </cell>
        </row>
        <row r="516">
          <cell r="A516">
            <v>70175</v>
          </cell>
          <cell r="B516" t="str">
            <v>Equip/Vehicle Rental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</row>
        <row r="517">
          <cell r="A517">
            <v>70185</v>
          </cell>
          <cell r="B517" t="str">
            <v>Postage</v>
          </cell>
          <cell r="E517">
            <v>1663.37</v>
          </cell>
          <cell r="F517">
            <v>1464.26</v>
          </cell>
          <cell r="G517">
            <v>492.87</v>
          </cell>
          <cell r="H517">
            <v>1792.31</v>
          </cell>
          <cell r="I517">
            <v>1736.3</v>
          </cell>
          <cell r="J517">
            <v>1600.37</v>
          </cell>
          <cell r="K517">
            <v>417.65</v>
          </cell>
          <cell r="L517">
            <v>1589.73</v>
          </cell>
          <cell r="M517">
            <v>1686.05</v>
          </cell>
          <cell r="N517">
            <v>1653.87</v>
          </cell>
          <cell r="O517">
            <v>1642.82</v>
          </cell>
          <cell r="P517">
            <v>1641.55</v>
          </cell>
          <cell r="Q517">
            <v>17381.149999999998</v>
          </cell>
        </row>
        <row r="518">
          <cell r="A518">
            <v>70190</v>
          </cell>
          <cell r="B518" t="str">
            <v>Registration Fees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244</v>
          </cell>
          <cell r="K518">
            <v>-244</v>
          </cell>
          <cell r="L518">
            <v>0</v>
          </cell>
          <cell r="M518">
            <v>0</v>
          </cell>
          <cell r="N518">
            <v>450</v>
          </cell>
          <cell r="O518">
            <v>80</v>
          </cell>
          <cell r="P518">
            <v>5</v>
          </cell>
          <cell r="Q518">
            <v>535</v>
          </cell>
        </row>
        <row r="519">
          <cell r="A519">
            <v>70195</v>
          </cell>
          <cell r="B519" t="str">
            <v>Dues and Subscriptions</v>
          </cell>
          <cell r="E519">
            <v>734.67</v>
          </cell>
          <cell r="F519">
            <v>3500</v>
          </cell>
          <cell r="G519">
            <v>654.66999999999996</v>
          </cell>
          <cell r="H519">
            <v>3788.33</v>
          </cell>
          <cell r="I519">
            <v>831.17</v>
          </cell>
          <cell r="J519">
            <v>2522.33</v>
          </cell>
          <cell r="K519">
            <v>3255.67</v>
          </cell>
          <cell r="L519">
            <v>3419.03</v>
          </cell>
          <cell r="M519">
            <v>1208.23</v>
          </cell>
          <cell r="N519">
            <v>2099.1799999999998</v>
          </cell>
          <cell r="O519">
            <v>3420.89</v>
          </cell>
          <cell r="P519">
            <v>1716.89</v>
          </cell>
          <cell r="Q519">
            <v>27151.059999999998</v>
          </cell>
        </row>
        <row r="520">
          <cell r="A520">
            <v>70196</v>
          </cell>
          <cell r="B520" t="str">
            <v>Club Dues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  <cell r="O520">
            <v>0</v>
          </cell>
          <cell r="P520">
            <v>0</v>
          </cell>
          <cell r="Q520">
            <v>0</v>
          </cell>
        </row>
        <row r="521">
          <cell r="A521">
            <v>70200</v>
          </cell>
          <cell r="B521" t="str">
            <v>Travel</v>
          </cell>
          <cell r="E521">
            <v>225.54</v>
          </cell>
          <cell r="F521">
            <v>769.5</v>
          </cell>
          <cell r="G521">
            <v>907.05</v>
          </cell>
          <cell r="H521">
            <v>0</v>
          </cell>
          <cell r="I521">
            <v>627.9</v>
          </cell>
          <cell r="J521">
            <v>18.75</v>
          </cell>
          <cell r="K521">
            <v>51</v>
          </cell>
          <cell r="L521">
            <v>-46.5</v>
          </cell>
          <cell r="M521">
            <v>1021.88</v>
          </cell>
          <cell r="N521">
            <v>876</v>
          </cell>
          <cell r="O521">
            <v>92.25</v>
          </cell>
          <cell r="P521">
            <v>339.6</v>
          </cell>
          <cell r="Q521">
            <v>4882.97</v>
          </cell>
        </row>
        <row r="522">
          <cell r="A522">
            <v>70201</v>
          </cell>
          <cell r="B522" t="str">
            <v>Entertainment</v>
          </cell>
          <cell r="E522">
            <v>0</v>
          </cell>
          <cell r="F522">
            <v>23.53</v>
          </cell>
          <cell r="G522">
            <v>0</v>
          </cell>
          <cell r="H522">
            <v>321.41000000000003</v>
          </cell>
          <cell r="I522">
            <v>0</v>
          </cell>
          <cell r="J522">
            <v>341.1</v>
          </cell>
          <cell r="K522">
            <v>728.42</v>
          </cell>
          <cell r="L522">
            <v>-72.099999999999994</v>
          </cell>
          <cell r="M522">
            <v>0</v>
          </cell>
          <cell r="N522">
            <v>41.89</v>
          </cell>
          <cell r="O522">
            <v>0</v>
          </cell>
          <cell r="P522">
            <v>0</v>
          </cell>
          <cell r="Q522">
            <v>1384.2500000000002</v>
          </cell>
        </row>
        <row r="523">
          <cell r="A523">
            <v>70202</v>
          </cell>
          <cell r="B523" t="str">
            <v>Excursions Meetings</v>
          </cell>
          <cell r="E523">
            <v>300</v>
          </cell>
          <cell r="F523">
            <v>345.51</v>
          </cell>
          <cell r="G523">
            <v>0</v>
          </cell>
          <cell r="H523">
            <v>0</v>
          </cell>
          <cell r="I523">
            <v>485</v>
          </cell>
          <cell r="J523">
            <v>1248.75</v>
          </cell>
          <cell r="K523">
            <v>0</v>
          </cell>
          <cell r="L523">
            <v>288.39999999999998</v>
          </cell>
          <cell r="M523">
            <v>0</v>
          </cell>
          <cell r="N523">
            <v>0</v>
          </cell>
          <cell r="O523">
            <v>279</v>
          </cell>
          <cell r="P523">
            <v>0</v>
          </cell>
          <cell r="Q523">
            <v>2946.6600000000003</v>
          </cell>
        </row>
        <row r="524">
          <cell r="A524">
            <v>70203</v>
          </cell>
          <cell r="B524" t="str">
            <v>Lodging</v>
          </cell>
          <cell r="E524">
            <v>462.54</v>
          </cell>
          <cell r="F524">
            <v>0</v>
          </cell>
          <cell r="G524">
            <v>0</v>
          </cell>
          <cell r="H524">
            <v>653.4</v>
          </cell>
          <cell r="I524">
            <v>579</v>
          </cell>
          <cell r="J524">
            <v>0</v>
          </cell>
          <cell r="K524">
            <v>797.67</v>
          </cell>
          <cell r="L524">
            <v>618.57000000000005</v>
          </cell>
          <cell r="M524">
            <v>382.5</v>
          </cell>
          <cell r="N524">
            <v>140.19999999999999</v>
          </cell>
          <cell r="O524">
            <v>457.4</v>
          </cell>
          <cell r="P524">
            <v>1133.44</v>
          </cell>
          <cell r="Q524">
            <v>5224.72</v>
          </cell>
        </row>
        <row r="525">
          <cell r="A525">
            <v>70204</v>
          </cell>
          <cell r="B525" t="str">
            <v>Gifts to Customers</v>
          </cell>
          <cell r="E525">
            <v>0</v>
          </cell>
          <cell r="F525">
            <v>0</v>
          </cell>
          <cell r="G525">
            <v>0</v>
          </cell>
          <cell r="H525">
            <v>0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M525">
            <v>0</v>
          </cell>
          <cell r="N525">
            <v>0</v>
          </cell>
          <cell r="O525">
            <v>0</v>
          </cell>
          <cell r="P525">
            <v>0</v>
          </cell>
          <cell r="Q525">
            <v>0</v>
          </cell>
        </row>
        <row r="526">
          <cell r="A526">
            <v>70205</v>
          </cell>
          <cell r="B526" t="str">
            <v>Travel - Auto</v>
          </cell>
          <cell r="E526">
            <v>592.16</v>
          </cell>
          <cell r="F526">
            <v>812.81</v>
          </cell>
          <cell r="G526">
            <v>372.79</v>
          </cell>
          <cell r="H526">
            <v>924.67</v>
          </cell>
          <cell r="I526">
            <v>591.26</v>
          </cell>
          <cell r="J526">
            <v>614.52</v>
          </cell>
          <cell r="K526">
            <v>370.59</v>
          </cell>
          <cell r="L526">
            <v>811.62</v>
          </cell>
          <cell r="M526">
            <v>291.60000000000002</v>
          </cell>
          <cell r="N526">
            <v>789.52</v>
          </cell>
          <cell r="O526">
            <v>730.2</v>
          </cell>
          <cell r="P526">
            <v>523.23</v>
          </cell>
          <cell r="Q526">
            <v>7424.9699999999993</v>
          </cell>
        </row>
        <row r="527">
          <cell r="A527">
            <v>70206</v>
          </cell>
          <cell r="B527" t="str">
            <v>Meals</v>
          </cell>
          <cell r="E527">
            <v>155.22</v>
          </cell>
          <cell r="F527">
            <v>199.8</v>
          </cell>
          <cell r="G527">
            <v>112.98</v>
          </cell>
          <cell r="H527">
            <v>115.92</v>
          </cell>
          <cell r="I527">
            <v>277.83</v>
          </cell>
          <cell r="J527">
            <v>270.38</v>
          </cell>
          <cell r="K527">
            <v>579.17999999999995</v>
          </cell>
          <cell r="L527">
            <v>-136.55000000000001</v>
          </cell>
          <cell r="M527">
            <v>50</v>
          </cell>
          <cell r="N527">
            <v>287</v>
          </cell>
          <cell r="O527">
            <v>150.02000000000001</v>
          </cell>
          <cell r="P527">
            <v>59.7</v>
          </cell>
          <cell r="Q527">
            <v>2121.48</v>
          </cell>
        </row>
        <row r="528">
          <cell r="A528">
            <v>70207</v>
          </cell>
          <cell r="B528" t="str">
            <v>Meals with Customers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  <cell r="M528">
            <v>0</v>
          </cell>
          <cell r="N528">
            <v>3.75</v>
          </cell>
          <cell r="O528">
            <v>0</v>
          </cell>
          <cell r="P528">
            <v>0</v>
          </cell>
          <cell r="Q528">
            <v>3.75</v>
          </cell>
        </row>
        <row r="529">
          <cell r="A529">
            <v>70209</v>
          </cell>
          <cell r="B529" t="str">
            <v>Photo Supplies</v>
          </cell>
          <cell r="E529">
            <v>0</v>
          </cell>
          <cell r="F529">
            <v>0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  <cell r="Q529">
            <v>0</v>
          </cell>
        </row>
        <row r="530">
          <cell r="A530">
            <v>70210</v>
          </cell>
          <cell r="B530" t="str">
            <v>Office Supplies and Equip</v>
          </cell>
          <cell r="E530">
            <v>7068.1</v>
          </cell>
          <cell r="F530">
            <v>6155.01</v>
          </cell>
          <cell r="G530">
            <v>3868.92</v>
          </cell>
          <cell r="H530">
            <v>3782.02</v>
          </cell>
          <cell r="I530">
            <v>2862.22</v>
          </cell>
          <cell r="J530">
            <v>4721.92</v>
          </cell>
          <cell r="K530">
            <v>5210.1099999999997</v>
          </cell>
          <cell r="L530">
            <v>4854.1400000000003</v>
          </cell>
          <cell r="M530">
            <v>4059.64</v>
          </cell>
          <cell r="N530">
            <v>7017.47</v>
          </cell>
          <cell r="O530">
            <v>1056.94</v>
          </cell>
          <cell r="P530">
            <v>7841.63</v>
          </cell>
          <cell r="Q530">
            <v>58498.12</v>
          </cell>
        </row>
        <row r="531">
          <cell r="A531">
            <v>70213</v>
          </cell>
          <cell r="B531" t="str">
            <v>P-Card Rebate</v>
          </cell>
          <cell r="E531">
            <v>0</v>
          </cell>
          <cell r="F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M531">
            <v>0</v>
          </cell>
          <cell r="N531">
            <v>0</v>
          </cell>
          <cell r="O531">
            <v>0</v>
          </cell>
          <cell r="P531">
            <v>0</v>
          </cell>
          <cell r="Q531">
            <v>0</v>
          </cell>
        </row>
        <row r="532">
          <cell r="A532">
            <v>70214</v>
          </cell>
          <cell r="B532" t="str">
            <v>Credit Card Fees</v>
          </cell>
          <cell r="E532">
            <v>7453.96</v>
          </cell>
          <cell r="F532">
            <v>8072.47</v>
          </cell>
          <cell r="G532">
            <v>8471.26</v>
          </cell>
          <cell r="H532">
            <v>7487.53</v>
          </cell>
          <cell r="I532">
            <v>7402.35</v>
          </cell>
          <cell r="J532">
            <v>8604.07</v>
          </cell>
          <cell r="K532">
            <v>8742.07</v>
          </cell>
          <cell r="L532">
            <v>9298.84</v>
          </cell>
          <cell r="M532">
            <v>9731.43</v>
          </cell>
          <cell r="N532">
            <v>9257.65</v>
          </cell>
          <cell r="O532">
            <v>10120.43</v>
          </cell>
          <cell r="P532">
            <v>9008.27</v>
          </cell>
          <cell r="Q532">
            <v>103650.33</v>
          </cell>
        </row>
        <row r="533">
          <cell r="A533">
            <v>70215</v>
          </cell>
          <cell r="B533" t="str">
            <v>Bank Charges</v>
          </cell>
          <cell r="E533">
            <v>520.58000000000004</v>
          </cell>
          <cell r="F533">
            <v>527.17999999999995</v>
          </cell>
          <cell r="G533">
            <v>539.19000000000005</v>
          </cell>
          <cell r="H533">
            <v>530.33000000000004</v>
          </cell>
          <cell r="I533">
            <v>471.57</v>
          </cell>
          <cell r="J533">
            <v>491.42</v>
          </cell>
          <cell r="K533">
            <v>465.31</v>
          </cell>
          <cell r="L533">
            <v>559.30999999999995</v>
          </cell>
          <cell r="M533">
            <v>476.99</v>
          </cell>
          <cell r="N533">
            <v>385.37</v>
          </cell>
          <cell r="O533">
            <v>367.56</v>
          </cell>
          <cell r="P533">
            <v>638.20000000000005</v>
          </cell>
          <cell r="Q533">
            <v>5973.01</v>
          </cell>
        </row>
        <row r="534">
          <cell r="A534">
            <v>70216</v>
          </cell>
          <cell r="B534" t="str">
            <v>Outside Storages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  <cell r="M534">
            <v>0</v>
          </cell>
          <cell r="N534">
            <v>0</v>
          </cell>
          <cell r="O534">
            <v>0</v>
          </cell>
          <cell r="P534">
            <v>0</v>
          </cell>
          <cell r="Q534">
            <v>0</v>
          </cell>
        </row>
        <row r="535">
          <cell r="A535">
            <v>70217</v>
          </cell>
          <cell r="B535" t="str">
            <v>Invoice Printing Costs</v>
          </cell>
          <cell r="E535">
            <v>0</v>
          </cell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  <cell r="M535">
            <v>0</v>
          </cell>
          <cell r="N535">
            <v>0</v>
          </cell>
          <cell r="O535">
            <v>0</v>
          </cell>
          <cell r="P535">
            <v>0</v>
          </cell>
          <cell r="Q535">
            <v>0</v>
          </cell>
        </row>
        <row r="536">
          <cell r="A536">
            <v>70225</v>
          </cell>
          <cell r="B536" t="str">
            <v>Advertising and Promotions</v>
          </cell>
          <cell r="E536">
            <v>2100</v>
          </cell>
          <cell r="F536">
            <v>-679.79</v>
          </cell>
          <cell r="G536">
            <v>0</v>
          </cell>
          <cell r="H536">
            <v>31.64</v>
          </cell>
          <cell r="I536">
            <v>0</v>
          </cell>
          <cell r="J536">
            <v>0</v>
          </cell>
          <cell r="K536">
            <v>500</v>
          </cell>
          <cell r="L536">
            <v>710.94</v>
          </cell>
          <cell r="M536">
            <v>0</v>
          </cell>
          <cell r="N536">
            <v>3049.29</v>
          </cell>
          <cell r="O536">
            <v>5336.83</v>
          </cell>
          <cell r="P536">
            <v>0</v>
          </cell>
          <cell r="Q536">
            <v>11048.91</v>
          </cell>
        </row>
        <row r="537">
          <cell r="A537">
            <v>70230</v>
          </cell>
          <cell r="B537" t="str">
            <v>External Recruiter Fees</v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  <cell r="M537">
            <v>0</v>
          </cell>
          <cell r="N537">
            <v>0</v>
          </cell>
          <cell r="O537">
            <v>0</v>
          </cell>
          <cell r="P537">
            <v>0</v>
          </cell>
          <cell r="Q537">
            <v>0</v>
          </cell>
        </row>
        <row r="538">
          <cell r="A538">
            <v>70231</v>
          </cell>
          <cell r="B538" t="str">
            <v>Recruitment Advertising &amp; Expenses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25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  <cell r="Q538">
            <v>25</v>
          </cell>
        </row>
        <row r="539">
          <cell r="A539">
            <v>70232</v>
          </cell>
          <cell r="B539" t="str">
            <v>Recruitment Travel Expenses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M539">
            <v>0</v>
          </cell>
          <cell r="N539">
            <v>0</v>
          </cell>
          <cell r="O539">
            <v>0</v>
          </cell>
          <cell r="P539">
            <v>0</v>
          </cell>
          <cell r="Q539">
            <v>0</v>
          </cell>
        </row>
        <row r="540">
          <cell r="A540">
            <v>70235</v>
          </cell>
          <cell r="B540" t="str">
            <v>Legal</v>
          </cell>
          <cell r="E540">
            <v>134.16</v>
          </cell>
          <cell r="F540">
            <v>0</v>
          </cell>
          <cell r="G540">
            <v>198.36</v>
          </cell>
          <cell r="H540">
            <v>3699.71</v>
          </cell>
          <cell r="I540">
            <v>1056.02</v>
          </cell>
          <cell r="J540">
            <v>682.19</v>
          </cell>
          <cell r="K540">
            <v>3008.78</v>
          </cell>
          <cell r="L540">
            <v>-2300.2800000000002</v>
          </cell>
          <cell r="M540">
            <v>3301.28</v>
          </cell>
          <cell r="N540">
            <v>0.2</v>
          </cell>
          <cell r="O540">
            <v>-0.2</v>
          </cell>
          <cell r="P540">
            <v>1207.32</v>
          </cell>
          <cell r="Q540">
            <v>10987.54</v>
          </cell>
        </row>
        <row r="541">
          <cell r="A541">
            <v>70240</v>
          </cell>
          <cell r="B541" t="str">
            <v>Accounting Professional Fees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  <cell r="M541">
            <v>0</v>
          </cell>
          <cell r="N541">
            <v>0</v>
          </cell>
          <cell r="O541">
            <v>0</v>
          </cell>
          <cell r="P541">
            <v>0</v>
          </cell>
          <cell r="Q541">
            <v>0</v>
          </cell>
        </row>
        <row r="542">
          <cell r="A542">
            <v>70245</v>
          </cell>
          <cell r="B542" t="str">
            <v>Payroll Processing Fees</v>
          </cell>
          <cell r="E542">
            <v>324.20999999999998</v>
          </cell>
          <cell r="F542">
            <v>333.23</v>
          </cell>
          <cell r="G542">
            <v>333.23</v>
          </cell>
          <cell r="H542">
            <v>333.23</v>
          </cell>
          <cell r="I542">
            <v>333.23</v>
          </cell>
          <cell r="J542">
            <v>333.23</v>
          </cell>
          <cell r="K542">
            <v>333.23</v>
          </cell>
          <cell r="L542">
            <v>300.73</v>
          </cell>
          <cell r="M542">
            <v>300.73</v>
          </cell>
          <cell r="N542">
            <v>300.73</v>
          </cell>
          <cell r="O542">
            <v>300.86</v>
          </cell>
          <cell r="P542">
            <v>300.86</v>
          </cell>
          <cell r="Q542">
            <v>3827.5000000000005</v>
          </cell>
        </row>
        <row r="543">
          <cell r="A543">
            <v>70250</v>
          </cell>
          <cell r="B543" t="str">
            <v>Acquisition Cost Write Off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</row>
        <row r="544">
          <cell r="A544">
            <v>70254</v>
          </cell>
          <cell r="B544" t="str">
            <v>Corporate Capitalized Expenses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</row>
        <row r="545">
          <cell r="A545">
            <v>70255</v>
          </cell>
          <cell r="B545" t="str">
            <v>Other Prof Fees</v>
          </cell>
          <cell r="E545">
            <v>0</v>
          </cell>
          <cell r="F545">
            <v>659.25</v>
          </cell>
          <cell r="G545">
            <v>168.64</v>
          </cell>
          <cell r="H545">
            <v>0</v>
          </cell>
          <cell r="I545">
            <v>900</v>
          </cell>
          <cell r="J545">
            <v>168.64</v>
          </cell>
          <cell r="K545">
            <v>-900</v>
          </cell>
          <cell r="L545">
            <v>0</v>
          </cell>
          <cell r="M545">
            <v>168.64</v>
          </cell>
          <cell r="N545">
            <v>0</v>
          </cell>
          <cell r="O545">
            <v>548.44000000000005</v>
          </cell>
          <cell r="P545">
            <v>243.29</v>
          </cell>
          <cell r="Q545">
            <v>1956.8999999999996</v>
          </cell>
        </row>
        <row r="546">
          <cell r="A546">
            <v>70271</v>
          </cell>
          <cell r="B546" t="str">
            <v>Property and Liability Insurance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</row>
        <row r="547">
          <cell r="A547">
            <v>70272</v>
          </cell>
          <cell r="B547" t="str">
            <v>Keyman Life Insurance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  <cell r="P547">
            <v>0</v>
          </cell>
          <cell r="Q547">
            <v>0</v>
          </cell>
        </row>
        <row r="548">
          <cell r="A548">
            <v>70273</v>
          </cell>
          <cell r="B548" t="str">
            <v>Directors and Officers Insurance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0</v>
          </cell>
          <cell r="P548">
            <v>0</v>
          </cell>
          <cell r="Q548">
            <v>0</v>
          </cell>
        </row>
        <row r="549">
          <cell r="A549">
            <v>70275</v>
          </cell>
          <cell r="B549" t="str">
            <v>Property Taxes</v>
          </cell>
          <cell r="E549">
            <v>3633</v>
          </cell>
          <cell r="F549">
            <v>3633</v>
          </cell>
          <cell r="G549">
            <v>4280.66</v>
          </cell>
          <cell r="H549">
            <v>5100.2</v>
          </cell>
          <cell r="I549">
            <v>5100.2</v>
          </cell>
          <cell r="J549">
            <v>5100.2</v>
          </cell>
          <cell r="K549">
            <v>6353.54</v>
          </cell>
          <cell r="L549">
            <v>4787.74</v>
          </cell>
          <cell r="M549">
            <v>4507.07</v>
          </cell>
          <cell r="N549">
            <v>4985.55</v>
          </cell>
          <cell r="O549">
            <v>5021.75</v>
          </cell>
          <cell r="P549">
            <v>4949.34</v>
          </cell>
          <cell r="Q549">
            <v>57452.25</v>
          </cell>
        </row>
        <row r="550">
          <cell r="A550">
            <v>70280</v>
          </cell>
          <cell r="B550" t="str">
            <v>Other Taxes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  <cell r="M550">
            <v>0</v>
          </cell>
          <cell r="N550">
            <v>0</v>
          </cell>
          <cell r="O550">
            <v>0</v>
          </cell>
          <cell r="P550">
            <v>0</v>
          </cell>
          <cell r="Q550">
            <v>0</v>
          </cell>
        </row>
        <row r="551">
          <cell r="A551">
            <v>70300</v>
          </cell>
          <cell r="B551" t="str">
            <v>Data Processing</v>
          </cell>
          <cell r="E551">
            <v>3053.24</v>
          </cell>
          <cell r="F551">
            <v>27123.4</v>
          </cell>
          <cell r="G551">
            <v>1994.05</v>
          </cell>
          <cell r="H551">
            <v>25497.25</v>
          </cell>
          <cell r="I551">
            <v>4148.7299999999996</v>
          </cell>
          <cell r="J551">
            <v>12634.95</v>
          </cell>
          <cell r="K551">
            <v>2733.27</v>
          </cell>
          <cell r="L551">
            <v>28900.27</v>
          </cell>
          <cell r="M551">
            <v>2744.08</v>
          </cell>
          <cell r="N551">
            <v>23341.62</v>
          </cell>
          <cell r="O551">
            <v>2653.19</v>
          </cell>
          <cell r="P551">
            <v>25630.6</v>
          </cell>
          <cell r="Q551">
            <v>160454.65000000002</v>
          </cell>
        </row>
        <row r="552">
          <cell r="A552">
            <v>70301</v>
          </cell>
          <cell r="B552" t="str">
            <v>Computer Software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</row>
        <row r="553">
          <cell r="A553">
            <v>70302</v>
          </cell>
          <cell r="B553" t="str">
            <v>Computer Supplies</v>
          </cell>
          <cell r="E553">
            <v>0</v>
          </cell>
          <cell r="F553">
            <v>435.77</v>
          </cell>
          <cell r="G553">
            <v>693.82</v>
          </cell>
          <cell r="H553">
            <v>0</v>
          </cell>
          <cell r="I553">
            <v>0</v>
          </cell>
          <cell r="J553">
            <v>0</v>
          </cell>
          <cell r="K553">
            <v>71.819999999999993</v>
          </cell>
          <cell r="L553">
            <v>73.77</v>
          </cell>
          <cell r="M553">
            <v>0</v>
          </cell>
          <cell r="N553">
            <v>0</v>
          </cell>
          <cell r="O553">
            <v>0</v>
          </cell>
          <cell r="P553">
            <v>561.86</v>
          </cell>
          <cell r="Q553">
            <v>1837.04</v>
          </cell>
        </row>
        <row r="554">
          <cell r="A554">
            <v>70310</v>
          </cell>
          <cell r="B554" t="str">
            <v>Bad Debt Provision</v>
          </cell>
          <cell r="E554">
            <v>-38144.620000000003</v>
          </cell>
          <cell r="F554">
            <v>34133.97</v>
          </cell>
          <cell r="G554">
            <v>-43595.040000000001</v>
          </cell>
          <cell r="H554">
            <v>39178.03</v>
          </cell>
          <cell r="I554">
            <v>-23435.439999999999</v>
          </cell>
          <cell r="J554">
            <v>54303.69</v>
          </cell>
          <cell r="K554">
            <v>-33171.480000000003</v>
          </cell>
          <cell r="L554">
            <v>54213.2</v>
          </cell>
          <cell r="M554">
            <v>-34096.239999999998</v>
          </cell>
          <cell r="N554">
            <v>57772.45</v>
          </cell>
          <cell r="O554">
            <v>-39518.949999999997</v>
          </cell>
          <cell r="P554">
            <v>53267.67</v>
          </cell>
          <cell r="Q554">
            <v>80907.239999999991</v>
          </cell>
        </row>
        <row r="555">
          <cell r="A555">
            <v>70315</v>
          </cell>
          <cell r="B555" t="str">
            <v>Bad Debt Recoveries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  <cell r="Q555">
            <v>0</v>
          </cell>
        </row>
        <row r="556">
          <cell r="A556">
            <v>70320</v>
          </cell>
          <cell r="B556" t="str">
            <v>Credit and Collection</v>
          </cell>
          <cell r="E556">
            <v>6198.28</v>
          </cell>
          <cell r="F556">
            <v>9319.4599999999991</v>
          </cell>
          <cell r="G556">
            <v>5273.3</v>
          </cell>
          <cell r="H556">
            <v>8215.32</v>
          </cell>
          <cell r="I556">
            <v>5615.84</v>
          </cell>
          <cell r="J556">
            <v>3201.73</v>
          </cell>
          <cell r="K556">
            <v>4767.67</v>
          </cell>
          <cell r="L556">
            <v>2810.14</v>
          </cell>
          <cell r="M556">
            <v>5490.95</v>
          </cell>
          <cell r="N556">
            <v>4968.87</v>
          </cell>
          <cell r="O556">
            <v>5918.1</v>
          </cell>
          <cell r="P556">
            <v>0</v>
          </cell>
          <cell r="Q556">
            <v>61779.659999999996</v>
          </cell>
        </row>
        <row r="557">
          <cell r="A557">
            <v>70324</v>
          </cell>
          <cell r="B557" t="str">
            <v>Penalties and Violations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>
            <v>0</v>
          </cell>
          <cell r="P557">
            <v>0</v>
          </cell>
          <cell r="Q557">
            <v>0</v>
          </cell>
        </row>
        <row r="558">
          <cell r="A558">
            <v>70325</v>
          </cell>
          <cell r="B558" t="str">
            <v>Legal Settlement Payments</v>
          </cell>
          <cell r="E558">
            <v>0</v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</row>
        <row r="559">
          <cell r="A559">
            <v>70326</v>
          </cell>
          <cell r="B559" t="str">
            <v>Deductible Current Year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  <cell r="O559">
            <v>0</v>
          </cell>
          <cell r="P559">
            <v>0</v>
          </cell>
          <cell r="Q559">
            <v>0</v>
          </cell>
        </row>
        <row r="560">
          <cell r="A560">
            <v>70327</v>
          </cell>
          <cell r="B560" t="str">
            <v>Deductible Dammage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  <cell r="M560">
            <v>0</v>
          </cell>
          <cell r="N560">
            <v>0</v>
          </cell>
          <cell r="O560">
            <v>0</v>
          </cell>
          <cell r="P560">
            <v>0</v>
          </cell>
          <cell r="Q560">
            <v>0</v>
          </cell>
        </row>
        <row r="561">
          <cell r="A561">
            <v>70328</v>
          </cell>
          <cell r="B561" t="str">
            <v>Claim Recoveries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  <cell r="P561">
            <v>0</v>
          </cell>
          <cell r="Q561">
            <v>0</v>
          </cell>
        </row>
        <row r="562">
          <cell r="A562">
            <v>70330</v>
          </cell>
          <cell r="B562" t="str">
            <v>Deductible Prior Year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</row>
        <row r="563">
          <cell r="A563">
            <v>70335</v>
          </cell>
          <cell r="B563" t="str">
            <v>Miscellaneous</v>
          </cell>
          <cell r="E563">
            <v>0</v>
          </cell>
          <cell r="F563">
            <v>-78.28</v>
          </cell>
          <cell r="G563">
            <v>0</v>
          </cell>
          <cell r="H563">
            <v>-123.75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M563">
            <v>0</v>
          </cell>
          <cell r="N563">
            <v>0</v>
          </cell>
          <cell r="O563">
            <v>0</v>
          </cell>
          <cell r="P563">
            <v>0</v>
          </cell>
          <cell r="Q563">
            <v>-202.03</v>
          </cell>
        </row>
        <row r="564">
          <cell r="A564">
            <v>70336</v>
          </cell>
          <cell r="B564" t="str">
            <v>Coffe Bar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38.020000000000003</v>
          </cell>
          <cell r="M564">
            <v>0</v>
          </cell>
          <cell r="N564">
            <v>-38.020000000000003</v>
          </cell>
          <cell r="O564">
            <v>0</v>
          </cell>
          <cell r="P564">
            <v>0</v>
          </cell>
          <cell r="Q564">
            <v>0</v>
          </cell>
        </row>
        <row r="565">
          <cell r="A565">
            <v>70345</v>
          </cell>
          <cell r="B565" t="str">
            <v>Security Services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</row>
        <row r="566">
          <cell r="A566">
            <v>70357</v>
          </cell>
          <cell r="B566" t="str">
            <v>Permits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>
            <v>0</v>
          </cell>
          <cell r="O566">
            <v>0</v>
          </cell>
          <cell r="P566">
            <v>0</v>
          </cell>
          <cell r="Q566">
            <v>0</v>
          </cell>
        </row>
        <row r="567">
          <cell r="A567">
            <v>70370</v>
          </cell>
          <cell r="B567" t="str">
            <v>Bonds Expense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  <cell r="M567">
            <v>0</v>
          </cell>
          <cell r="N567">
            <v>0</v>
          </cell>
          <cell r="O567">
            <v>0</v>
          </cell>
          <cell r="P567">
            <v>0</v>
          </cell>
          <cell r="Q567">
            <v>0</v>
          </cell>
        </row>
        <row r="568">
          <cell r="A568">
            <v>70371</v>
          </cell>
          <cell r="B568" t="str">
            <v>Board of Directors Fees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</row>
        <row r="569">
          <cell r="A569">
            <v>70372</v>
          </cell>
          <cell r="B569" t="str">
            <v>Board of Directors Expense Report</v>
          </cell>
          <cell r="E569">
            <v>0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  <cell r="Q569">
            <v>0</v>
          </cell>
        </row>
        <row r="570">
          <cell r="A570">
            <v>70475</v>
          </cell>
          <cell r="B570" t="str">
            <v>Trade Shows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</row>
        <row r="571">
          <cell r="A571">
            <v>70900</v>
          </cell>
          <cell r="B571" t="str">
            <v>Entitiy Formation Costs</v>
          </cell>
          <cell r="E571">
            <v>0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  <cell r="M571">
            <v>0</v>
          </cell>
          <cell r="N571">
            <v>0</v>
          </cell>
          <cell r="O571">
            <v>0</v>
          </cell>
          <cell r="P571">
            <v>0</v>
          </cell>
          <cell r="Q571">
            <v>0</v>
          </cell>
        </row>
        <row r="572">
          <cell r="A572">
            <v>70998</v>
          </cell>
          <cell r="B572" t="str">
            <v>Allocation Out - District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0</v>
          </cell>
          <cell r="N572">
            <v>0</v>
          </cell>
          <cell r="O572">
            <v>0</v>
          </cell>
          <cell r="P572">
            <v>0</v>
          </cell>
          <cell r="Q572">
            <v>0</v>
          </cell>
        </row>
        <row r="573">
          <cell r="A573">
            <v>70999</v>
          </cell>
          <cell r="B573" t="str">
            <v>Allocation Out - Out District</v>
          </cell>
          <cell r="E573">
            <v>0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</row>
        <row r="574">
          <cell r="A574">
            <v>71000</v>
          </cell>
          <cell r="B574" t="str">
            <v>Stock Comp Expense</v>
          </cell>
          <cell r="E574">
            <v>0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  <cell r="M574">
            <v>0</v>
          </cell>
          <cell r="N574">
            <v>0</v>
          </cell>
          <cell r="O574">
            <v>0</v>
          </cell>
          <cell r="P574">
            <v>0</v>
          </cell>
          <cell r="Q574">
            <v>0</v>
          </cell>
        </row>
        <row r="575">
          <cell r="A575" t="str">
            <v>Total G&amp;A</v>
          </cell>
          <cell r="E575">
            <v>135458.46000000002</v>
          </cell>
          <cell r="F575">
            <v>208641.47999999992</v>
          </cell>
          <cell r="G575">
            <v>98781.099999999962</v>
          </cell>
          <cell r="H575">
            <v>225439.98</v>
          </cell>
          <cell r="I575">
            <v>124024.28</v>
          </cell>
          <cell r="J575">
            <v>224140.84000000008</v>
          </cell>
          <cell r="K575">
            <v>154049.73000000004</v>
          </cell>
          <cell r="L575">
            <v>264592.3</v>
          </cell>
          <cell r="M575">
            <v>109926.17</v>
          </cell>
          <cell r="N575">
            <v>249406.65000000005</v>
          </cell>
          <cell r="O575">
            <v>123801.06999999996</v>
          </cell>
          <cell r="P575">
            <v>250967.55000000005</v>
          </cell>
          <cell r="Q575">
            <v>2169229.61</v>
          </cell>
        </row>
        <row r="577">
          <cell r="A577" t="str">
            <v>Overhead</v>
          </cell>
        </row>
        <row r="578">
          <cell r="A578">
            <v>70149</v>
          </cell>
          <cell r="B578" t="str">
            <v>Corporate Overhead Allocation In</v>
          </cell>
          <cell r="E578">
            <v>95576.95</v>
          </cell>
          <cell r="F578">
            <v>93754.57</v>
          </cell>
          <cell r="G578">
            <v>96892.32</v>
          </cell>
          <cell r="H578">
            <v>96287.7</v>
          </cell>
          <cell r="I578">
            <v>98950.95</v>
          </cell>
          <cell r="J578">
            <v>99254.64</v>
          </cell>
          <cell r="K578">
            <v>97352.26</v>
          </cell>
          <cell r="L578">
            <v>97777.96</v>
          </cell>
          <cell r="M578">
            <v>98592.93</v>
          </cell>
          <cell r="N578">
            <v>101400.48</v>
          </cell>
          <cell r="O578">
            <v>100544.01</v>
          </cell>
          <cell r="P578">
            <v>100617.72</v>
          </cell>
          <cell r="Q578">
            <v>1177002.49</v>
          </cell>
        </row>
        <row r="579">
          <cell r="A579">
            <v>70159</v>
          </cell>
          <cell r="B579" t="str">
            <v>Region Overhead Allocation In</v>
          </cell>
          <cell r="E579">
            <v>0</v>
          </cell>
          <cell r="F579">
            <v>0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  <cell r="M579">
            <v>0</v>
          </cell>
          <cell r="N579">
            <v>0</v>
          </cell>
          <cell r="O579">
            <v>0</v>
          </cell>
          <cell r="P579">
            <v>0</v>
          </cell>
          <cell r="Q579">
            <v>0</v>
          </cell>
        </row>
        <row r="580">
          <cell r="A580" t="str">
            <v>Total Overhead</v>
          </cell>
          <cell r="E580">
            <v>95576.95</v>
          </cell>
          <cell r="F580">
            <v>93754.57</v>
          </cell>
          <cell r="G580">
            <v>96892.32</v>
          </cell>
          <cell r="H580">
            <v>96287.7</v>
          </cell>
          <cell r="I580">
            <v>98950.95</v>
          </cell>
          <cell r="J580">
            <v>99254.64</v>
          </cell>
          <cell r="K580">
            <v>97352.26</v>
          </cell>
          <cell r="L580">
            <v>97777.96</v>
          </cell>
          <cell r="M580">
            <v>98592.93</v>
          </cell>
          <cell r="N580">
            <v>101400.48</v>
          </cell>
          <cell r="O580">
            <v>100544.01</v>
          </cell>
          <cell r="P580">
            <v>100617.72</v>
          </cell>
          <cell r="Q580">
            <v>1177002.49</v>
          </cell>
        </row>
        <row r="582">
          <cell r="A582" t="str">
            <v>Total SG&amp;A</v>
          </cell>
          <cell r="E582">
            <v>246511.28000000003</v>
          </cell>
          <cell r="F582">
            <v>305793.68999999994</v>
          </cell>
          <cell r="G582">
            <v>203965.25999999998</v>
          </cell>
          <cell r="H582">
            <v>328473.28999999998</v>
          </cell>
          <cell r="I582">
            <v>228706.00999999998</v>
          </cell>
          <cell r="J582">
            <v>331450.5400000001</v>
          </cell>
          <cell r="K582">
            <v>256165.84000000005</v>
          </cell>
          <cell r="L582">
            <v>365954.82</v>
          </cell>
          <cell r="M582">
            <v>239060.30999999997</v>
          </cell>
          <cell r="N582">
            <v>379132.25000000006</v>
          </cell>
          <cell r="O582">
            <v>228004.79999999996</v>
          </cell>
          <cell r="P582">
            <v>390132.22000000003</v>
          </cell>
          <cell r="Q582">
            <v>3503350.3099999996</v>
          </cell>
        </row>
        <row r="584">
          <cell r="A584" t="str">
            <v>EBITDA</v>
          </cell>
          <cell r="E584">
            <v>712085.01999999979</v>
          </cell>
          <cell r="F584">
            <v>772605.35999999987</v>
          </cell>
          <cell r="G584">
            <v>776716.52999999991</v>
          </cell>
          <cell r="H584">
            <v>731539.77</v>
          </cell>
          <cell r="I584">
            <v>769618.66999999934</v>
          </cell>
          <cell r="J584">
            <v>552555.60000000033</v>
          </cell>
          <cell r="K584">
            <v>743010.76999999932</v>
          </cell>
          <cell r="L584">
            <v>663397.72999999952</v>
          </cell>
          <cell r="M584">
            <v>766161.14</v>
          </cell>
          <cell r="N584">
            <v>683037.77000000048</v>
          </cell>
          <cell r="O584">
            <v>782671.56999999972</v>
          </cell>
          <cell r="P584">
            <v>621819.83000000031</v>
          </cell>
          <cell r="Q584">
            <v>8575219.7600000016</v>
          </cell>
        </row>
        <row r="586">
          <cell r="A586" t="str">
            <v>DD&amp;A</v>
          </cell>
        </row>
        <row r="587">
          <cell r="A587" t="str">
            <v>Depreciation</v>
          </cell>
        </row>
        <row r="588">
          <cell r="A588">
            <v>51260</v>
          </cell>
          <cell r="B588" t="str">
            <v>Depreciation</v>
          </cell>
          <cell r="E588">
            <v>128653.02</v>
          </cell>
          <cell r="F588">
            <v>131370.81</v>
          </cell>
          <cell r="G588">
            <v>131344.75</v>
          </cell>
          <cell r="H588">
            <v>130833.62</v>
          </cell>
          <cell r="I588">
            <v>128898.54</v>
          </cell>
          <cell r="J588">
            <v>124756.98</v>
          </cell>
          <cell r="K588">
            <v>129780.01</v>
          </cell>
          <cell r="L588">
            <v>124499.33</v>
          </cell>
          <cell r="M588">
            <v>116250.86</v>
          </cell>
          <cell r="N588">
            <v>116469.34</v>
          </cell>
          <cell r="O588">
            <v>115552.67</v>
          </cell>
          <cell r="P588">
            <v>115400.84</v>
          </cell>
          <cell r="Q588">
            <v>1493810.77</v>
          </cell>
        </row>
        <row r="589">
          <cell r="A589">
            <v>54260</v>
          </cell>
          <cell r="B589" t="str">
            <v>Depreciation</v>
          </cell>
          <cell r="E589">
            <v>44644.21</v>
          </cell>
          <cell r="F589">
            <v>45130.14</v>
          </cell>
          <cell r="G589">
            <v>45176.2</v>
          </cell>
          <cell r="H589">
            <v>45736.24</v>
          </cell>
          <cell r="I589">
            <v>45872.49</v>
          </cell>
          <cell r="J589">
            <v>46097.22</v>
          </cell>
          <cell r="K589">
            <v>46974.19</v>
          </cell>
          <cell r="L589">
            <v>47668</v>
          </cell>
          <cell r="M589">
            <v>47777.17</v>
          </cell>
          <cell r="N589">
            <v>47529.919999999998</v>
          </cell>
          <cell r="O589">
            <v>47583.6</v>
          </cell>
          <cell r="P589">
            <v>47682.03</v>
          </cell>
          <cell r="Q589">
            <v>557871.40999999992</v>
          </cell>
        </row>
        <row r="590">
          <cell r="A590">
            <v>56260</v>
          </cell>
          <cell r="B590" t="str">
            <v>Depreciation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M590">
            <v>0</v>
          </cell>
          <cell r="N590">
            <v>0</v>
          </cell>
          <cell r="O590">
            <v>0</v>
          </cell>
          <cell r="P590">
            <v>0</v>
          </cell>
          <cell r="Q590">
            <v>0</v>
          </cell>
        </row>
        <row r="591">
          <cell r="A591">
            <v>57260</v>
          </cell>
          <cell r="B591" t="str">
            <v>Depreciation</v>
          </cell>
          <cell r="E591">
            <v>5579.13</v>
          </cell>
          <cell r="F591">
            <v>5579.15</v>
          </cell>
          <cell r="G591">
            <v>5579.14</v>
          </cell>
          <cell r="H591">
            <v>5579.12</v>
          </cell>
          <cell r="I591">
            <v>5579.14</v>
          </cell>
          <cell r="J591">
            <v>5579.19</v>
          </cell>
          <cell r="K591">
            <v>5579.09</v>
          </cell>
          <cell r="L591">
            <v>5579.1</v>
          </cell>
          <cell r="M591">
            <v>5521.44</v>
          </cell>
          <cell r="N591">
            <v>5521.33</v>
          </cell>
          <cell r="O591">
            <v>5521.37</v>
          </cell>
          <cell r="P591">
            <v>5521.3</v>
          </cell>
          <cell r="Q591">
            <v>66718.5</v>
          </cell>
        </row>
        <row r="592">
          <cell r="A592">
            <v>60260</v>
          </cell>
          <cell r="B592" t="str">
            <v>Depreciation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  <cell r="L592">
            <v>0</v>
          </cell>
          <cell r="M592">
            <v>0</v>
          </cell>
          <cell r="N592">
            <v>0</v>
          </cell>
          <cell r="O592">
            <v>0</v>
          </cell>
          <cell r="P592">
            <v>0</v>
          </cell>
          <cell r="Q592">
            <v>0</v>
          </cell>
        </row>
        <row r="593">
          <cell r="A593">
            <v>70257</v>
          </cell>
          <cell r="B593" t="str">
            <v>Depreciation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  <cell r="O593">
            <v>0</v>
          </cell>
          <cell r="P593">
            <v>0</v>
          </cell>
          <cell r="Q593">
            <v>0</v>
          </cell>
        </row>
        <row r="594">
          <cell r="A594">
            <v>70260</v>
          </cell>
          <cell r="B594" t="str">
            <v>Depreciation</v>
          </cell>
          <cell r="E594">
            <v>819.53</v>
          </cell>
          <cell r="F594">
            <v>819.52</v>
          </cell>
          <cell r="G594">
            <v>819.52</v>
          </cell>
          <cell r="H594">
            <v>819.45</v>
          </cell>
          <cell r="I594">
            <v>622.97</v>
          </cell>
          <cell r="J594">
            <v>622.99</v>
          </cell>
          <cell r="K594">
            <v>622.98</v>
          </cell>
          <cell r="L594">
            <v>622.91</v>
          </cell>
          <cell r="M594">
            <v>451.09</v>
          </cell>
          <cell r="N594">
            <v>451.1</v>
          </cell>
          <cell r="O594">
            <v>430.18</v>
          </cell>
          <cell r="P594">
            <v>386.57</v>
          </cell>
          <cell r="Q594">
            <v>7488.8099999999995</v>
          </cell>
        </row>
        <row r="595">
          <cell r="A595" t="str">
            <v>Total Depreciation</v>
          </cell>
          <cell r="E595">
            <v>179695.89</v>
          </cell>
          <cell r="F595">
            <v>182899.62</v>
          </cell>
          <cell r="G595">
            <v>182919.61000000002</v>
          </cell>
          <cell r="H595">
            <v>182968.43</v>
          </cell>
          <cell r="I595">
            <v>180973.14</v>
          </cell>
          <cell r="J595">
            <v>177056.38</v>
          </cell>
          <cell r="K595">
            <v>182956.27000000002</v>
          </cell>
          <cell r="L595">
            <v>178369.34000000003</v>
          </cell>
          <cell r="M595">
            <v>170000.56</v>
          </cell>
          <cell r="N595">
            <v>169971.69</v>
          </cell>
          <cell r="O595">
            <v>169087.81999999998</v>
          </cell>
          <cell r="P595">
            <v>168990.74</v>
          </cell>
          <cell r="Q595">
            <v>2125889.4899999998</v>
          </cell>
        </row>
        <row r="597">
          <cell r="A597" t="str">
            <v>Depletion</v>
          </cell>
        </row>
        <row r="598">
          <cell r="A598">
            <v>46000</v>
          </cell>
          <cell r="B598" t="str">
            <v>Depletion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  <cell r="O598">
            <v>0</v>
          </cell>
          <cell r="P598">
            <v>0</v>
          </cell>
          <cell r="Q598">
            <v>0</v>
          </cell>
        </row>
        <row r="599">
          <cell r="A599">
            <v>46010</v>
          </cell>
          <cell r="B599" t="str">
            <v>Closure Amortization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  <cell r="O599">
            <v>0</v>
          </cell>
          <cell r="P599">
            <v>0</v>
          </cell>
          <cell r="Q599">
            <v>0</v>
          </cell>
        </row>
        <row r="600">
          <cell r="A600">
            <v>57261</v>
          </cell>
          <cell r="B600" t="str">
            <v>Airspace Amortization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>
            <v>0</v>
          </cell>
          <cell r="O600">
            <v>0</v>
          </cell>
          <cell r="P600">
            <v>0</v>
          </cell>
          <cell r="Q600">
            <v>0</v>
          </cell>
        </row>
        <row r="601">
          <cell r="A601" t="str">
            <v>Total Depletion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  <cell r="M601">
            <v>0</v>
          </cell>
          <cell r="N601">
            <v>0</v>
          </cell>
          <cell r="O601">
            <v>0</v>
          </cell>
          <cell r="P601">
            <v>0</v>
          </cell>
          <cell r="Q601">
            <v>0</v>
          </cell>
        </row>
        <row r="603">
          <cell r="A603" t="str">
            <v>Amortization</v>
          </cell>
        </row>
        <row r="604">
          <cell r="A604">
            <v>70264</v>
          </cell>
          <cell r="B604" t="str">
            <v>Amortization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  <cell r="O604">
            <v>0</v>
          </cell>
          <cell r="P604">
            <v>0</v>
          </cell>
          <cell r="Q604">
            <v>0</v>
          </cell>
        </row>
        <row r="605">
          <cell r="A605">
            <v>70266</v>
          </cell>
          <cell r="B605" t="str">
            <v>Cov. Not to Compete</v>
          </cell>
          <cell r="E605">
            <v>1987.84</v>
          </cell>
          <cell r="F605">
            <v>1987.84</v>
          </cell>
          <cell r="G605">
            <v>1987.83</v>
          </cell>
          <cell r="H605">
            <v>1987.84</v>
          </cell>
          <cell r="I605">
            <v>1987.83</v>
          </cell>
          <cell r="J605">
            <v>1987.83</v>
          </cell>
          <cell r="K605">
            <v>1987.84</v>
          </cell>
          <cell r="L605">
            <v>1987.8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15902.65</v>
          </cell>
        </row>
        <row r="606">
          <cell r="A606">
            <v>70267</v>
          </cell>
          <cell r="B606" t="str">
            <v>Amortization of Goodwill - Taxable</v>
          </cell>
          <cell r="E606">
            <v>0</v>
          </cell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  <cell r="N606">
            <v>0</v>
          </cell>
          <cell r="O606">
            <v>0</v>
          </cell>
          <cell r="P606">
            <v>0</v>
          </cell>
          <cell r="Q606">
            <v>0</v>
          </cell>
        </row>
        <row r="607">
          <cell r="A607">
            <v>70268</v>
          </cell>
          <cell r="B607" t="str">
            <v>Amortization of Goodwill - Non-Taxable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M607">
            <v>0</v>
          </cell>
          <cell r="N607">
            <v>0</v>
          </cell>
          <cell r="O607">
            <v>0</v>
          </cell>
          <cell r="P607">
            <v>0</v>
          </cell>
          <cell r="Q607">
            <v>0</v>
          </cell>
        </row>
        <row r="608">
          <cell r="A608">
            <v>70269</v>
          </cell>
          <cell r="B608" t="str">
            <v>Long Term Contract Amort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</row>
        <row r="609">
          <cell r="A609" t="str">
            <v>Total Amortization</v>
          </cell>
          <cell r="E609">
            <v>1987.84</v>
          </cell>
          <cell r="F609">
            <v>1987.84</v>
          </cell>
          <cell r="G609">
            <v>1987.83</v>
          </cell>
          <cell r="H609">
            <v>1987.84</v>
          </cell>
          <cell r="I609">
            <v>1987.83</v>
          </cell>
          <cell r="J609">
            <v>1987.83</v>
          </cell>
          <cell r="K609">
            <v>1987.84</v>
          </cell>
          <cell r="L609">
            <v>1987.8</v>
          </cell>
          <cell r="M609">
            <v>0</v>
          </cell>
          <cell r="N609">
            <v>0</v>
          </cell>
          <cell r="O609">
            <v>0</v>
          </cell>
          <cell r="P609">
            <v>0</v>
          </cell>
          <cell r="Q609">
            <v>15902.65</v>
          </cell>
        </row>
        <row r="611">
          <cell r="A611" t="str">
            <v>Total DDA</v>
          </cell>
          <cell r="E611">
            <v>181683.73</v>
          </cell>
          <cell r="F611">
            <v>184887.46</v>
          </cell>
          <cell r="G611">
            <v>184907.44</v>
          </cell>
          <cell r="H611">
            <v>184956.27</v>
          </cell>
          <cell r="I611">
            <v>182960.97</v>
          </cell>
          <cell r="J611">
            <v>179044.21</v>
          </cell>
          <cell r="K611">
            <v>184944.11000000002</v>
          </cell>
          <cell r="L611">
            <v>180357.14</v>
          </cell>
          <cell r="M611">
            <v>170000.56</v>
          </cell>
          <cell r="N611">
            <v>169971.69</v>
          </cell>
          <cell r="O611">
            <v>169087.81999999998</v>
          </cell>
          <cell r="P611">
            <v>168990.74</v>
          </cell>
          <cell r="Q611">
            <v>2141792.1399999997</v>
          </cell>
        </row>
        <row r="613">
          <cell r="A613" t="str">
            <v>EBIT</v>
          </cell>
          <cell r="E613">
            <v>530401.2899999998</v>
          </cell>
          <cell r="F613">
            <v>587717.89999999991</v>
          </cell>
          <cell r="G613">
            <v>591809.08999999985</v>
          </cell>
          <cell r="H613">
            <v>546583.5</v>
          </cell>
          <cell r="I613">
            <v>586657.69999999937</v>
          </cell>
          <cell r="J613">
            <v>373511.39000000036</v>
          </cell>
          <cell r="K613">
            <v>558066.65999999933</v>
          </cell>
          <cell r="L613">
            <v>483040.5899999995</v>
          </cell>
          <cell r="M613">
            <v>596160.58000000007</v>
          </cell>
          <cell r="N613">
            <v>513066.08000000048</v>
          </cell>
          <cell r="O613">
            <v>613583.74999999977</v>
          </cell>
          <cell r="P613">
            <v>452829.09000000032</v>
          </cell>
          <cell r="Q613">
            <v>6433427.620000002</v>
          </cell>
        </row>
        <row r="615">
          <cell r="A615" t="str">
            <v>Interest Expense</v>
          </cell>
        </row>
        <row r="616">
          <cell r="A616">
            <v>80000</v>
          </cell>
          <cell r="B616" t="str">
            <v>Interest Expense</v>
          </cell>
          <cell r="E616">
            <v>0</v>
          </cell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</row>
        <row r="617">
          <cell r="A617">
            <v>80001</v>
          </cell>
          <cell r="B617" t="str">
            <v>Debt Accretion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0</v>
          </cell>
          <cell r="O617">
            <v>0</v>
          </cell>
          <cell r="P617">
            <v>0</v>
          </cell>
          <cell r="Q617">
            <v>0</v>
          </cell>
        </row>
        <row r="618">
          <cell r="A618">
            <v>80009</v>
          </cell>
          <cell r="B618" t="str">
            <v>Capitalized Interest</v>
          </cell>
          <cell r="E618">
            <v>0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M618">
            <v>0</v>
          </cell>
          <cell r="N618">
            <v>0</v>
          </cell>
          <cell r="O618">
            <v>0</v>
          </cell>
          <cell r="P618">
            <v>0</v>
          </cell>
          <cell r="Q618">
            <v>0</v>
          </cell>
        </row>
        <row r="619">
          <cell r="A619">
            <v>80099</v>
          </cell>
          <cell r="B619" t="str">
            <v>Interest Allocation</v>
          </cell>
          <cell r="E619">
            <v>0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</row>
        <row r="620">
          <cell r="A620" t="str">
            <v>Total Interest Expense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  <cell r="M620">
            <v>0</v>
          </cell>
          <cell r="N620">
            <v>0</v>
          </cell>
          <cell r="O620">
            <v>0</v>
          </cell>
          <cell r="P620">
            <v>0</v>
          </cell>
          <cell r="Q620">
            <v>0</v>
          </cell>
        </row>
        <row r="622">
          <cell r="A622" t="str">
            <v>Interest Income</v>
          </cell>
        </row>
        <row r="623">
          <cell r="A623">
            <v>80010</v>
          </cell>
          <cell r="B623" t="str">
            <v>Interest Income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  <cell r="L623">
            <v>0</v>
          </cell>
          <cell r="M623">
            <v>0</v>
          </cell>
          <cell r="N623">
            <v>0</v>
          </cell>
          <cell r="O623">
            <v>0</v>
          </cell>
          <cell r="P623">
            <v>0</v>
          </cell>
          <cell r="Q623">
            <v>0</v>
          </cell>
        </row>
        <row r="624">
          <cell r="A624" t="str">
            <v>Total Interest Income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  <cell r="L624">
            <v>0</v>
          </cell>
          <cell r="M624">
            <v>0</v>
          </cell>
          <cell r="N624">
            <v>0</v>
          </cell>
          <cell r="O624">
            <v>0</v>
          </cell>
          <cell r="P624">
            <v>0</v>
          </cell>
          <cell r="Q624">
            <v>0</v>
          </cell>
        </row>
        <row r="626">
          <cell r="A626" t="str">
            <v>Other (Income) and Expense</v>
          </cell>
        </row>
        <row r="627">
          <cell r="A627">
            <v>70901</v>
          </cell>
          <cell r="B627" t="str">
            <v>Pooling Costs</v>
          </cell>
          <cell r="E627">
            <v>0</v>
          </cell>
          <cell r="F627">
            <v>0</v>
          </cell>
          <cell r="G627">
            <v>0</v>
          </cell>
          <cell r="H627">
            <v>0</v>
          </cell>
          <cell r="I627">
            <v>0</v>
          </cell>
          <cell r="J627">
            <v>0</v>
          </cell>
          <cell r="K627">
            <v>0</v>
          </cell>
          <cell r="L627">
            <v>0</v>
          </cell>
          <cell r="M627">
            <v>0</v>
          </cell>
          <cell r="N627">
            <v>0</v>
          </cell>
          <cell r="O627">
            <v>0</v>
          </cell>
          <cell r="P627">
            <v>0</v>
          </cell>
          <cell r="Q627">
            <v>0</v>
          </cell>
        </row>
        <row r="628">
          <cell r="A628">
            <v>91000</v>
          </cell>
          <cell r="B628" t="str">
            <v>Unusual Gain/Loss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  <cell r="M628">
            <v>0</v>
          </cell>
          <cell r="N628">
            <v>0</v>
          </cell>
          <cell r="O628">
            <v>0</v>
          </cell>
          <cell r="P628">
            <v>0</v>
          </cell>
          <cell r="Q628">
            <v>0</v>
          </cell>
        </row>
        <row r="629">
          <cell r="A629">
            <v>91001</v>
          </cell>
          <cell r="B629" t="str">
            <v>Investment Distribution Income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  <cell r="L629">
            <v>0</v>
          </cell>
          <cell r="M629">
            <v>0</v>
          </cell>
          <cell r="N629">
            <v>0</v>
          </cell>
          <cell r="O629">
            <v>0</v>
          </cell>
          <cell r="P629">
            <v>0</v>
          </cell>
          <cell r="Q629">
            <v>0</v>
          </cell>
        </row>
        <row r="630">
          <cell r="A630">
            <v>91002</v>
          </cell>
          <cell r="B630" t="str">
            <v>NSF Fees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  <cell r="L630">
            <v>0</v>
          </cell>
          <cell r="M630">
            <v>0</v>
          </cell>
          <cell r="N630">
            <v>0</v>
          </cell>
          <cell r="O630">
            <v>0</v>
          </cell>
          <cell r="P630">
            <v>0</v>
          </cell>
          <cell r="Q630">
            <v>0</v>
          </cell>
        </row>
        <row r="631">
          <cell r="A631" t="str">
            <v>Total Other (Income) and Expense</v>
          </cell>
          <cell r="E631">
            <v>0</v>
          </cell>
          <cell r="F631">
            <v>0</v>
          </cell>
          <cell r="G631">
            <v>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0</v>
          </cell>
          <cell r="O631">
            <v>0</v>
          </cell>
          <cell r="P631">
            <v>0</v>
          </cell>
          <cell r="Q631">
            <v>0</v>
          </cell>
        </row>
        <row r="633">
          <cell r="A633" t="str">
            <v>Income Before Taxes and Extraordinary Items</v>
          </cell>
          <cell r="E633">
            <v>530401.2899999998</v>
          </cell>
          <cell r="F633">
            <v>587717.89999999991</v>
          </cell>
          <cell r="G633">
            <v>591809.08999999985</v>
          </cell>
          <cell r="H633">
            <v>546583.5</v>
          </cell>
          <cell r="I633">
            <v>586657.69999999937</v>
          </cell>
          <cell r="J633">
            <v>373511.39000000036</v>
          </cell>
          <cell r="K633">
            <v>558066.65999999933</v>
          </cell>
          <cell r="L633">
            <v>483040.5899999995</v>
          </cell>
          <cell r="M633">
            <v>596160.58000000007</v>
          </cell>
          <cell r="N633">
            <v>513066.08000000048</v>
          </cell>
          <cell r="O633">
            <v>613583.74999999977</v>
          </cell>
          <cell r="P633">
            <v>452829.09000000032</v>
          </cell>
          <cell r="Q633">
            <v>6433427.620000002</v>
          </cell>
        </row>
        <row r="635">
          <cell r="A635" t="str">
            <v>Extraordinary Income and Expense</v>
          </cell>
        </row>
        <row r="636">
          <cell r="A636">
            <v>92999</v>
          </cell>
          <cell r="B636" t="str">
            <v>Extraordinary Gain/Loss</v>
          </cell>
          <cell r="E636">
            <v>0</v>
          </cell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  <cell r="M636">
            <v>0</v>
          </cell>
          <cell r="N636">
            <v>0</v>
          </cell>
          <cell r="O636">
            <v>0</v>
          </cell>
          <cell r="P636">
            <v>0</v>
          </cell>
          <cell r="Q636">
            <v>0</v>
          </cell>
        </row>
        <row r="637">
          <cell r="A637" t="str">
            <v>Total Extraordinary Income and Expense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  <cell r="O637">
            <v>0</v>
          </cell>
          <cell r="P637">
            <v>0</v>
          </cell>
          <cell r="Q637">
            <v>0</v>
          </cell>
        </row>
        <row r="639">
          <cell r="A639" t="str">
            <v>Net Income Before Taxes</v>
          </cell>
          <cell r="E639">
            <v>530401.2899999998</v>
          </cell>
          <cell r="F639">
            <v>587717.89999999991</v>
          </cell>
          <cell r="G639">
            <v>591809.08999999985</v>
          </cell>
          <cell r="H639">
            <v>546583.5</v>
          </cell>
          <cell r="I639">
            <v>586657.69999999937</v>
          </cell>
          <cell r="J639">
            <v>373511.39000000036</v>
          </cell>
          <cell r="K639">
            <v>558066.65999999933</v>
          </cell>
          <cell r="L639">
            <v>483040.5899999995</v>
          </cell>
          <cell r="M639">
            <v>596160.58000000007</v>
          </cell>
          <cell r="N639">
            <v>513066.08000000048</v>
          </cell>
          <cell r="O639">
            <v>613583.74999999977</v>
          </cell>
          <cell r="P639">
            <v>452829.09000000032</v>
          </cell>
          <cell r="Q639">
            <v>6433427.620000002</v>
          </cell>
        </row>
        <row r="641">
          <cell r="A641" t="str">
            <v>Income Taxes</v>
          </cell>
        </row>
        <row r="642">
          <cell r="A642">
            <v>90000</v>
          </cell>
          <cell r="B642" t="str">
            <v>Taxes -Federal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  <cell r="O642">
            <v>0</v>
          </cell>
          <cell r="P642">
            <v>0</v>
          </cell>
          <cell r="Q642">
            <v>0</v>
          </cell>
        </row>
        <row r="643">
          <cell r="A643">
            <v>90010</v>
          </cell>
          <cell r="B643" t="str">
            <v>Taxes - State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  <cell r="O643">
            <v>0</v>
          </cell>
          <cell r="P643">
            <v>0</v>
          </cell>
          <cell r="Q643">
            <v>0</v>
          </cell>
        </row>
        <row r="644">
          <cell r="A644" t="str">
            <v>Total Income Taxes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M644">
            <v>0</v>
          </cell>
          <cell r="N644">
            <v>0</v>
          </cell>
          <cell r="O644">
            <v>0</v>
          </cell>
          <cell r="P644">
            <v>0</v>
          </cell>
          <cell r="Q644">
            <v>0</v>
          </cell>
        </row>
        <row r="646">
          <cell r="A646" t="str">
            <v>Net Income</v>
          </cell>
          <cell r="E646">
            <v>530401.2899999998</v>
          </cell>
          <cell r="F646">
            <v>587717.89999999991</v>
          </cell>
          <cell r="G646">
            <v>591809.08999999985</v>
          </cell>
          <cell r="H646">
            <v>546583.5</v>
          </cell>
          <cell r="I646">
            <v>586657.69999999937</v>
          </cell>
          <cell r="J646">
            <v>373511.39000000036</v>
          </cell>
          <cell r="K646">
            <v>558066.65999999933</v>
          </cell>
          <cell r="L646">
            <v>483040.5899999995</v>
          </cell>
          <cell r="M646">
            <v>596160.58000000007</v>
          </cell>
          <cell r="N646">
            <v>513066.08000000048</v>
          </cell>
          <cell r="O646">
            <v>613583.74999999977</v>
          </cell>
          <cell r="P646">
            <v>452829.09000000032</v>
          </cell>
          <cell r="Q646">
            <v>6433427.620000002</v>
          </cell>
        </row>
        <row r="648">
          <cell r="A648" t="str">
            <v>Noncontrolling Interests Expense</v>
          </cell>
        </row>
        <row r="649">
          <cell r="A649">
            <v>92000</v>
          </cell>
          <cell r="B649" t="str">
            <v>Noncontrolling interests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  <cell r="L649">
            <v>0</v>
          </cell>
          <cell r="M649">
            <v>0</v>
          </cell>
          <cell r="N649">
            <v>0</v>
          </cell>
          <cell r="O649">
            <v>0</v>
          </cell>
          <cell r="P649">
            <v>0</v>
          </cell>
          <cell r="Q649">
            <v>0</v>
          </cell>
        </row>
        <row r="650">
          <cell r="A650" t="str">
            <v>Total Noncontrolling Interests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  <cell r="M650">
            <v>0</v>
          </cell>
          <cell r="N650">
            <v>0</v>
          </cell>
          <cell r="O650">
            <v>0</v>
          </cell>
          <cell r="P650">
            <v>0</v>
          </cell>
          <cell r="Q650">
            <v>0</v>
          </cell>
        </row>
        <row r="652">
          <cell r="A652" t="str">
            <v>Net Income Attributable to Waste Connections</v>
          </cell>
          <cell r="E652">
            <v>530401.2899999998</v>
          </cell>
          <cell r="F652">
            <v>587717.89999999991</v>
          </cell>
          <cell r="G652">
            <v>591809.08999999985</v>
          </cell>
          <cell r="H652">
            <v>546583.5</v>
          </cell>
          <cell r="I652">
            <v>586657.69999999937</v>
          </cell>
          <cell r="J652">
            <v>373511.39000000036</v>
          </cell>
          <cell r="K652">
            <v>558066.65999999933</v>
          </cell>
          <cell r="L652">
            <v>483040.5899999995</v>
          </cell>
          <cell r="M652">
            <v>596160.58000000007</v>
          </cell>
          <cell r="N652">
            <v>513066.08000000048</v>
          </cell>
          <cell r="O652">
            <v>613583.74999999977</v>
          </cell>
          <cell r="P652">
            <v>452829.09000000032</v>
          </cell>
          <cell r="Q652">
            <v>6433427.620000002</v>
          </cell>
        </row>
        <row r="654">
          <cell r="A654" t="str">
            <v>Net Income Attributable to Waste Connections per categories</v>
          </cell>
          <cell r="E654">
            <v>530401.29</v>
          </cell>
          <cell r="F654">
            <v>587717.9</v>
          </cell>
          <cell r="G654">
            <v>591809.09</v>
          </cell>
          <cell r="H654">
            <v>546583.5</v>
          </cell>
          <cell r="I654">
            <v>586657.69999999995</v>
          </cell>
          <cell r="J654">
            <v>373511.39</v>
          </cell>
          <cell r="K654">
            <v>558066.66</v>
          </cell>
          <cell r="L654">
            <v>483040.59</v>
          </cell>
          <cell r="M654">
            <v>596160.57999999996</v>
          </cell>
          <cell r="N654">
            <v>513066.08</v>
          </cell>
          <cell r="O654">
            <v>613583.75</v>
          </cell>
          <cell r="P654">
            <v>452829.09</v>
          </cell>
        </row>
      </sheetData>
      <sheetData sheetId="6" refreshError="1"/>
      <sheetData sheetId="7" refreshError="1">
        <row r="18">
          <cell r="Z18">
            <v>0.33073677436726834</v>
          </cell>
        </row>
        <row r="20">
          <cell r="AC20">
            <v>0.2095860832011289</v>
          </cell>
          <cell r="AK20">
            <v>0.43549015768657823</v>
          </cell>
        </row>
        <row r="39">
          <cell r="AC39">
            <v>0.37964780853584096</v>
          </cell>
        </row>
        <row r="40">
          <cell r="AC40">
            <v>0.36547527560558957</v>
          </cell>
        </row>
        <row r="120">
          <cell r="AE120">
            <v>0.43886061148837213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rorNote"/>
      <sheetName val="ControlPanel"/>
      <sheetName val="PL_ActReview"/>
      <sheetName val="PL_ActReview2"/>
      <sheetName val="BS_Close"/>
      <sheetName val="PL_ActTranx"/>
      <sheetName val="IS200PL"/>
      <sheetName val="IS210PL"/>
      <sheetName val="ProjRevCheck"/>
      <sheetName val="BDebtCheck"/>
      <sheetName val="52901Check"/>
      <sheetName val="ICCheck"/>
      <sheetName val="BSCheck"/>
      <sheetName val="BadJECheck"/>
      <sheetName val="JE_Review"/>
      <sheetName val="Proj1"/>
      <sheetName val="Proj2"/>
    </sheetNames>
    <sheetDataSet>
      <sheetData sheetId="0"/>
      <sheetData sheetId="1">
        <row r="2">
          <cell r="S2" t="str">
            <v>P&amp;L Close Report</v>
          </cell>
        </row>
        <row r="3">
          <cell r="S3" t="str">
            <v>P&amp;L Close Report 2</v>
          </cell>
        </row>
        <row r="4">
          <cell r="S4" t="str">
            <v>BS Close Report</v>
          </cell>
        </row>
        <row r="5">
          <cell r="S5" t="str">
            <v>IS 200 - PL Review</v>
          </cell>
        </row>
        <row r="6">
          <cell r="S6" t="str">
            <v>IS 210 - PL Review</v>
          </cell>
        </row>
        <row r="7">
          <cell r="S7" t="str">
            <v>P&amp;L Tranx Report</v>
          </cell>
        </row>
        <row r="8">
          <cell r="S8" t="str">
            <v>JE Review Report</v>
          </cell>
        </row>
        <row r="9">
          <cell r="S9" t="str">
            <v>Corp: Rev/Proj Check</v>
          </cell>
        </row>
        <row r="10">
          <cell r="S10" t="str">
            <v>Corp: 52901 Check</v>
          </cell>
        </row>
        <row r="11">
          <cell r="S11" t="str">
            <v>Corp: BS Check</v>
          </cell>
        </row>
        <row r="12">
          <cell r="S12" t="str">
            <v>Corp: Bad Debt Check</v>
          </cell>
        </row>
        <row r="13">
          <cell r="S13" t="str">
            <v>Corp: IC Check</v>
          </cell>
        </row>
        <row r="14">
          <cell r="S14" t="str">
            <v>Corp: JE Neg Check</v>
          </cell>
        </row>
        <row r="15">
          <cell r="S15" t="str">
            <v>Proj Review Report</v>
          </cell>
        </row>
        <row r="16">
          <cell r="S16" t="str">
            <v>Proj Review Report 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A, Certification"/>
      <sheetName val="OrgControl"/>
      <sheetName val="InsuranceAccident"/>
      <sheetName val="bsasset"/>
      <sheetName val="bsliab"/>
      <sheetName val="FixedAssets"/>
      <sheetName val="RetainedEarnings"/>
      <sheetName val="Income Statement"/>
      <sheetName val="RevenuesCust"/>
      <sheetName val="Recycle"/>
      <sheetName val="contracts"/>
      <sheetName val="GarbageDisp"/>
      <sheetName val="RecycleProcessing"/>
      <sheetName val="Payroll"/>
      <sheetName val="FeeCal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A, Certification"/>
      <sheetName val="OrgControl"/>
      <sheetName val="InsuranceAccident"/>
      <sheetName val="bsasset"/>
      <sheetName val="bsliab"/>
      <sheetName val="FixedAssets"/>
      <sheetName val="RetainedEarnings"/>
      <sheetName val="Income Statement"/>
      <sheetName val="RevenuesCust"/>
      <sheetName val="Recycle"/>
      <sheetName val="contracts"/>
      <sheetName val="GarbageDisp"/>
      <sheetName val="RecycleProcessing"/>
      <sheetName val="Payroll"/>
      <sheetName val="FeeCal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A, Certification"/>
      <sheetName val="OrgControl"/>
      <sheetName val="InsuranceAccident"/>
      <sheetName val="bsasset"/>
      <sheetName val="bsliab"/>
      <sheetName val="FixedAssets"/>
      <sheetName val="RetainedEarnings"/>
      <sheetName val="Income Statement"/>
      <sheetName val="RevenuesCust"/>
      <sheetName val="Recycle"/>
      <sheetName val="contracts"/>
      <sheetName val="GarbageDisp"/>
      <sheetName val="RecycleProcessing"/>
      <sheetName val="Payroll"/>
      <sheetName val="FeeCal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Truck Schedule"/>
      <sheetName val="Jun 2011 FAR"/>
      <sheetName val="Scrap List"/>
      <sheetName val="Sheet1"/>
      <sheetName val="Sheet2"/>
      <sheetName val="Sheet3"/>
      <sheetName val="Sheet4"/>
      <sheetName val="Feb'12 FAR Data"/>
      <sheetName val="Shee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Truck Schedule"/>
      <sheetName val="Jun 2011 FAR"/>
      <sheetName val="Scrap List"/>
      <sheetName val="Sheet1"/>
      <sheetName val="Sheet2"/>
      <sheetName val="Sheet3"/>
      <sheetName val="Sheet4"/>
      <sheetName val="Feb'12 FAR Data"/>
      <sheetName val="Sheet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Truck Schedule"/>
      <sheetName val="Jun 2011 FAR"/>
      <sheetName val="Scrap List"/>
      <sheetName val="Sheet1"/>
      <sheetName val="Sheet2"/>
      <sheetName val="Sheet3"/>
      <sheetName val="Sheet4"/>
      <sheetName val="Feb'12 FAR Data"/>
      <sheetName val="Sheet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ttyCash-10110"/>
      <sheetName val="10200"/>
      <sheetName val="10210"/>
      <sheetName val="10250_RECON"/>
      <sheetName val="10250_MVPSS"/>
      <sheetName val="10250_Recy Chkg"/>
      <sheetName val="10250_Reimb Accts"/>
      <sheetName val="10250_Rollfwd"/>
      <sheetName val="10410_Rollfwd"/>
      <sheetName val="10410_Recon"/>
      <sheetName val="10410_Trade"/>
      <sheetName val="10410_Lodi"/>
      <sheetName val="10410_Sac Co"/>
      <sheetName val="10410_Brokered"/>
      <sheetName val="10420_Rollfwd"/>
      <sheetName val="10420 RECON"/>
      <sheetName val="Rollfwd_10550"/>
      <sheetName val="Recon_10550"/>
      <sheetName val="Recon_10555"/>
      <sheetName val="Recon_10610"/>
      <sheetName val="A170XX-October"/>
      <sheetName val="Recon_10760"/>
      <sheetName val="Rollfwd_10820"/>
      <sheetName val="PPXXC_10830"/>
      <sheetName val="Schedule_10830"/>
      <sheetName val="Recon_10830"/>
      <sheetName val="Rollfwd_10850"/>
      <sheetName val="Recon_10850"/>
      <sheetName val="ReconSumm_10890"/>
      <sheetName val="ASSETS 11XXX"/>
      <sheetName val="ACC DEP 12XXX"/>
      <sheetName val="GOODWILL_15120"/>
      <sheetName val="Rollfwd_15450"/>
      <sheetName val="15450_92 bond"/>
      <sheetName val="15450_94 Bond "/>
      <sheetName val="Recon_15450"/>
      <sheetName val="Rollfwd_15320_15500"/>
      <sheetName val="16100_Rollfwd"/>
      <sheetName val="A180543"/>
      <sheetName val="A20110"/>
      <sheetName val="Rollfwd_20120"/>
      <sheetName val="Recon_20120"/>
      <sheetName val="Recon_20130"/>
      <sheetName val="Recon_20133"/>
      <sheetName val="Recon_20135"/>
      <sheetName val="Recon_20137"/>
      <sheetName val="A20140"/>
      <sheetName val="SALES TAX RETURN_20140"/>
      <sheetName val="Rollfwd_20170"/>
      <sheetName val="Recon_20170"/>
      <sheetName val="Recon_20175"/>
      <sheetName val="Recon_20177"/>
      <sheetName val="Detail_20320"/>
      <sheetName val="Rollfwd_20325"/>
      <sheetName val="Recon_20325"/>
      <sheetName val="A20330"/>
      <sheetName val="RECON 20335"/>
      <sheetName val="RECON_20340"/>
      <sheetName val="DETAILED 20360"/>
      <sheetName val="recon 20365"/>
      <sheetName val="recon 20375"/>
      <sheetName val="A21100 &amp; A21250"/>
      <sheetName val="21250_92 Bond"/>
      <sheetName val="21250_94 Bond"/>
      <sheetName val="21250_R. Vaccarezza"/>
      <sheetName val="21250_BOND DIS AMORT"/>
      <sheetName val="A21390"/>
      <sheetName val="Recon 22104"/>
      <sheetName val="Recon 22105"/>
      <sheetName val="Recon 22109"/>
      <sheetName val="Recon 22205 "/>
      <sheetName val="Recon 22206"/>
      <sheetName val="Recon_30XXXX"/>
      <sheetName val="Recon 150543 Revised"/>
      <sheetName val="170001 DL 121999"/>
      <sheetName val="Rollfwd_170001"/>
      <sheetName val="A170001"/>
      <sheetName val="Rollfwd_170050"/>
      <sheetName val="A170050"/>
      <sheetName val="Rollfwd_171170"/>
      <sheetName val="A171170"/>
      <sheetName val="Rollfwd_171500"/>
      <sheetName val="A171500"/>
      <sheetName val="A171504"/>
      <sheetName val="A171531"/>
      <sheetName val="A172216"/>
      <sheetName val="A172220"/>
      <sheetName val="A172355"/>
      <sheetName val="Dec_99 DL_RAW"/>
      <sheetName val="Dec_99 DL_"/>
      <sheetName val="DEC_98 DL RAW"/>
      <sheetName val="DEC_98 DL "/>
      <sheetName val="Sheet4"/>
      <sheetName val="Sheet4 (2)"/>
      <sheetName val="XXXXXX"/>
      <sheetName val="BU NAMES"/>
      <sheetName val="PS BS ACCOUN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Truck Schedule"/>
      <sheetName val="Jun 2011 FAR"/>
      <sheetName val="Scrap List"/>
      <sheetName val="Sheet1"/>
      <sheetName val="Sheet2"/>
      <sheetName val="Sheet3"/>
      <sheetName val="Sheet4"/>
      <sheetName val="Feb'12 FAR Data"/>
      <sheetName val="Sheet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rorNote"/>
      <sheetName val="ControlPanel"/>
      <sheetName val="4MthProj1"/>
      <sheetName val="4MthProj2"/>
      <sheetName val="PL_ActReview"/>
      <sheetName val="PL_ActReview2"/>
      <sheetName val="BS_Close"/>
      <sheetName val="IS200PL"/>
      <sheetName val="PL_ActTranx"/>
      <sheetName val="IS210PL"/>
      <sheetName val="ProjRevCheck"/>
      <sheetName val="BDebtCheck"/>
      <sheetName val="52901Check"/>
      <sheetName val="ICCheck"/>
      <sheetName val="BSCheck"/>
      <sheetName val="BadJECheck"/>
      <sheetName val="JE_Review"/>
      <sheetName val="Proj1"/>
      <sheetName val="Proj2"/>
    </sheetNames>
    <sheetDataSet>
      <sheetData sheetId="0"/>
      <sheetData sheetId="1">
        <row r="2">
          <cell r="S2" t="str">
            <v>P&amp;L Close Report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  <sheetName val="Instructions"/>
      <sheetName val="User"/>
      <sheetName val="Settings"/>
      <sheetName val="Orientation"/>
      <sheetName val="Delivery"/>
      <sheetName val="RptClose"/>
      <sheetName val="Hidd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  <sheetName val="Instructions"/>
      <sheetName val="User"/>
      <sheetName val="Settings"/>
      <sheetName val="Orientation"/>
      <sheetName val="Delivery"/>
      <sheetName val="RptClose"/>
      <sheetName val="Hidd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  <sheetName val="Instructions"/>
      <sheetName val="User"/>
      <sheetName val="Settings"/>
      <sheetName val="Orientation"/>
      <sheetName val="Delivery"/>
      <sheetName val="RptClose"/>
      <sheetName val="Hidd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 A IS"/>
      <sheetName val="2183 IS"/>
      <sheetName val="2184 IS"/>
      <sheetName val="2185 IS"/>
      <sheetName val="Consolidated IS"/>
      <sheetName val="Ratios Thurston"/>
      <sheetName val="2183 Pro forma"/>
      <sheetName val="2183 Ratios"/>
      <sheetName val="Restating Expl"/>
      <sheetName val="Pro forma Expl"/>
      <sheetName val="Pacific Regulated - Price Out"/>
      <sheetName val="Total Matrix"/>
      <sheetName val="Packer_RO Matrix"/>
      <sheetName val="COS Packer_RO"/>
      <sheetName val="Res YW Matix"/>
      <sheetName val="Res Recy Matrix"/>
      <sheetName val="MF Recy Matrix"/>
      <sheetName val="COS RR YW MFR"/>
      <sheetName val="Total Pac,Rural"/>
      <sheetName val="Rural"/>
      <sheetName val="LG-Pacific Pckr Rts"/>
      <sheetName val="LG-RO"/>
      <sheetName val="Res Recycl"/>
      <sheetName val="MF Recycl"/>
      <sheetName val="YW"/>
      <sheetName val="Depr Summary 2183"/>
      <sheetName val="Trucks 2183"/>
      <sheetName val="Containers 2183"/>
      <sheetName val="OTHER EQUIP 2183"/>
      <sheetName val="LeMay Global"/>
      <sheetName val="Fuel"/>
      <sheetName val="DF Schedule"/>
      <sheetName val="2183 Payroll"/>
      <sheetName val="2184 Payroll"/>
      <sheetName val="2185 Payroll"/>
      <sheetName val="Cust Cnt"/>
      <sheetName val="Unit Cnt"/>
      <sheetName val="70148 Summary"/>
      <sheetName val="Time Study"/>
      <sheetName val="Corp O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49">
          <cell r="M49">
            <v>8000432.4617248299</v>
          </cell>
        </row>
        <row r="50">
          <cell r="F50">
            <v>8158680.0299999993</v>
          </cell>
        </row>
        <row r="58">
          <cell r="M58">
            <v>2625393.5068796892</v>
          </cell>
        </row>
        <row r="59">
          <cell r="F59">
            <v>2119461.4499999997</v>
          </cell>
        </row>
        <row r="69">
          <cell r="M69">
            <v>1361744.4391882615</v>
          </cell>
        </row>
        <row r="70">
          <cell r="F70">
            <v>1347163.92</v>
          </cell>
        </row>
        <row r="213">
          <cell r="M213">
            <v>4757117.5866496488</v>
          </cell>
        </row>
        <row r="214">
          <cell r="F214">
            <v>4859462.2200000007</v>
          </cell>
        </row>
        <row r="221">
          <cell r="M221">
            <v>395543.82663328515</v>
          </cell>
        </row>
        <row r="222">
          <cell r="F222">
            <v>332798.89999999997</v>
          </cell>
        </row>
        <row r="281">
          <cell r="M281">
            <v>1187221.5155152699</v>
          </cell>
        </row>
        <row r="282">
          <cell r="F282">
            <v>744277.47999999975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 A IS"/>
      <sheetName val="2183 IS"/>
      <sheetName val="2184 IS"/>
      <sheetName val="2185 IS"/>
      <sheetName val="Consolidated IS"/>
      <sheetName val="Ratios Thurston"/>
      <sheetName val="2183 Pro forma"/>
      <sheetName val="2183 Ratios"/>
      <sheetName val="Restating Expl"/>
      <sheetName val="Pro forma Expl"/>
      <sheetName val="Pacific Regulated - Price Out"/>
      <sheetName val="Total Matrix"/>
      <sheetName val="Packer_RO Matrix"/>
      <sheetName val="COS Packer_RO"/>
      <sheetName val="Res YW Matix"/>
      <sheetName val="Res Recy Matrix"/>
      <sheetName val="MF Recy Matrix"/>
      <sheetName val="COS RR YW MFR"/>
      <sheetName val="Total Pac,Rural"/>
      <sheetName val="Rural"/>
      <sheetName val="LG-Pacific Pckr Rts"/>
      <sheetName val="LG-RO"/>
      <sheetName val="Res Recycl"/>
      <sheetName val="MF Recycl"/>
      <sheetName val="YW"/>
      <sheetName val="Depr Summary 2183"/>
      <sheetName val="Trucks 2183"/>
      <sheetName val="Containers 2183"/>
      <sheetName val="OTHER EQUIP 2183"/>
      <sheetName val="LeMay Global"/>
      <sheetName val="Fuel"/>
      <sheetName val="DF Schedule"/>
      <sheetName val="2183 Payroll"/>
      <sheetName val="2184 Payroll"/>
      <sheetName val="2185 Payroll"/>
      <sheetName val="Cust Cnt"/>
      <sheetName val="Unit Cnt"/>
      <sheetName val="70148 Summary"/>
      <sheetName val="Time Study"/>
      <sheetName val="Corp O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49">
          <cell r="M49">
            <v>8000432.4617248299</v>
          </cell>
        </row>
        <row r="50">
          <cell r="F50">
            <v>8158680.0299999993</v>
          </cell>
        </row>
        <row r="58">
          <cell r="M58">
            <v>2625393.5068796892</v>
          </cell>
        </row>
        <row r="59">
          <cell r="F59">
            <v>2119461.4499999997</v>
          </cell>
        </row>
        <row r="69">
          <cell r="M69">
            <v>1361744.4391882615</v>
          </cell>
        </row>
        <row r="70">
          <cell r="F70">
            <v>1347163.92</v>
          </cell>
        </row>
        <row r="213">
          <cell r="M213">
            <v>4757117.5866496488</v>
          </cell>
        </row>
        <row r="214">
          <cell r="F214">
            <v>4859462.2200000007</v>
          </cell>
        </row>
        <row r="221">
          <cell r="M221">
            <v>395543.82663328515</v>
          </cell>
        </row>
        <row r="222">
          <cell r="F222">
            <v>332798.89999999997</v>
          </cell>
        </row>
        <row r="281">
          <cell r="M281">
            <v>1187221.5155152699</v>
          </cell>
        </row>
        <row r="282">
          <cell r="F282">
            <v>744277.47999999975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 A IS"/>
      <sheetName val="2183 IS"/>
      <sheetName val="2184 IS"/>
      <sheetName val="2185 IS"/>
      <sheetName val="Consolidated IS"/>
      <sheetName val="Ratios Thurston"/>
      <sheetName val="2183 Pro forma"/>
      <sheetName val="2183 Ratios"/>
      <sheetName val="Restating Expl"/>
      <sheetName val="Pro forma Expl"/>
      <sheetName val="Pacific Regulated - Price Out"/>
      <sheetName val="Total Matrix"/>
      <sheetName val="Packer_RO Matrix"/>
      <sheetName val="COS Packer_RO"/>
      <sheetName val="Res YW Matix"/>
      <sheetName val="Res Recy Matrix"/>
      <sheetName val="MF Recy Matrix"/>
      <sheetName val="COS RR YW MFR"/>
      <sheetName val="Total Pac,Rural"/>
      <sheetName val="Rural"/>
      <sheetName val="LG-Pacific Pckr Rts"/>
      <sheetName val="LG-RO"/>
      <sheetName val="Res Recycl"/>
      <sheetName val="MF Recycl"/>
      <sheetName val="YW"/>
      <sheetName val="Depr Summary 2183"/>
      <sheetName val="Trucks 2183"/>
      <sheetName val="Containers 2183"/>
      <sheetName val="OTHER EQUIP 2183"/>
      <sheetName val="LeMay Global"/>
      <sheetName val="Fuel"/>
      <sheetName val="DF Schedule"/>
      <sheetName val="2183 Payroll"/>
      <sheetName val="2184 Payroll"/>
      <sheetName val="2185 Payroll"/>
      <sheetName val="Cust Cnt"/>
      <sheetName val="Unit Cnt"/>
      <sheetName val="70148 Summary"/>
      <sheetName val="Time Study"/>
      <sheetName val="Corp O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49">
          <cell r="M49">
            <v>8000432.4617248299</v>
          </cell>
        </row>
        <row r="50">
          <cell r="F50">
            <v>8158680.0299999993</v>
          </cell>
        </row>
        <row r="58">
          <cell r="M58">
            <v>2625393.5068796892</v>
          </cell>
        </row>
        <row r="59">
          <cell r="F59">
            <v>2119461.4499999997</v>
          </cell>
        </row>
        <row r="69">
          <cell r="M69">
            <v>1361744.4391882615</v>
          </cell>
        </row>
        <row r="70">
          <cell r="F70">
            <v>1347163.92</v>
          </cell>
        </row>
        <row r="213">
          <cell r="M213">
            <v>4757117.5866496488</v>
          </cell>
        </row>
        <row r="214">
          <cell r="F214">
            <v>4859462.2200000007</v>
          </cell>
        </row>
        <row r="221">
          <cell r="M221">
            <v>395543.82663328515</v>
          </cell>
        </row>
        <row r="222">
          <cell r="F222">
            <v>332798.89999999997</v>
          </cell>
        </row>
        <row r="281">
          <cell r="M281">
            <v>1187221.5155152699</v>
          </cell>
        </row>
        <row r="282">
          <cell r="F282">
            <v>744277.47999999975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1"/>
  <sheetViews>
    <sheetView tabSelected="1" zoomScale="85" zoomScaleNormal="85" workbookViewId="0">
      <selection activeCell="N12" sqref="N12"/>
    </sheetView>
  </sheetViews>
  <sheetFormatPr defaultRowHeight="15"/>
  <cols>
    <col min="1" max="1" width="31.28515625" style="193" customWidth="1"/>
    <col min="2" max="2" width="7" style="193" customWidth="1"/>
    <col min="3" max="8" width="13.85546875" style="193" customWidth="1"/>
    <col min="9" max="9" width="12" style="193" customWidth="1"/>
    <col min="10" max="10" width="15.85546875" style="193" bestFit="1" customWidth="1"/>
    <col min="11" max="11" width="14.5703125" style="193" customWidth="1"/>
    <col min="12" max="16384" width="9.140625" style="193"/>
  </cols>
  <sheetData>
    <row r="1" spans="1:9">
      <c r="A1" s="198" t="s">
        <v>0</v>
      </c>
    </row>
    <row r="2" spans="1:9">
      <c r="A2" s="198" t="s">
        <v>311</v>
      </c>
    </row>
    <row r="4" spans="1:9">
      <c r="A4" s="393" t="s">
        <v>312</v>
      </c>
      <c r="B4" s="393"/>
      <c r="C4" s="393"/>
      <c r="D4" s="393"/>
      <c r="E4" s="393"/>
      <c r="F4" s="393"/>
      <c r="G4" s="393"/>
      <c r="H4" s="393"/>
      <c r="I4" s="393"/>
    </row>
    <row r="5" spans="1:9">
      <c r="A5" s="193" t="s">
        <v>313</v>
      </c>
      <c r="C5" s="194" t="s">
        <v>314</v>
      </c>
      <c r="D5" s="194" t="s">
        <v>315</v>
      </c>
      <c r="E5" s="194" t="s">
        <v>316</v>
      </c>
      <c r="F5" s="195" t="s">
        <v>317</v>
      </c>
      <c r="G5" s="195" t="s">
        <v>318</v>
      </c>
      <c r="H5" s="195" t="s">
        <v>319</v>
      </c>
      <c r="I5" s="194" t="s">
        <v>320</v>
      </c>
    </row>
    <row r="6" spans="1:9">
      <c r="A6" s="193" t="s">
        <v>321</v>
      </c>
      <c r="C6" s="214">
        <f>52*5/12</f>
        <v>21.666666666666668</v>
      </c>
      <c r="D6" s="196">
        <f>$C$6*2</f>
        <v>43.333333333333336</v>
      </c>
      <c r="E6" s="196">
        <f>$C$6*3</f>
        <v>65</v>
      </c>
      <c r="F6" s="196">
        <f>$C$6*4</f>
        <v>86.666666666666671</v>
      </c>
      <c r="G6" s="196">
        <f>$C$6*5</f>
        <v>108.33333333333334</v>
      </c>
      <c r="H6" s="196">
        <f>$C$6*6</f>
        <v>130</v>
      </c>
      <c r="I6" s="196">
        <f>$C$6*7</f>
        <v>151.66666666666669</v>
      </c>
    </row>
    <row r="7" spans="1:9">
      <c r="A7" s="193" t="s">
        <v>322</v>
      </c>
      <c r="C7" s="214">
        <f>52*4/12</f>
        <v>17.333333333333332</v>
      </c>
      <c r="D7" s="196">
        <f>$C$7*2</f>
        <v>34.666666666666664</v>
      </c>
      <c r="E7" s="196">
        <f>$C$7*3</f>
        <v>52</v>
      </c>
      <c r="F7" s="196">
        <f>$C$7*4</f>
        <v>69.333333333333329</v>
      </c>
      <c r="G7" s="196">
        <f>$C$7*5</f>
        <v>86.666666666666657</v>
      </c>
      <c r="H7" s="196">
        <f>$C$7*6</f>
        <v>104</v>
      </c>
      <c r="I7" s="196">
        <f>$C$7*7</f>
        <v>121.33333333333333</v>
      </c>
    </row>
    <row r="8" spans="1:9">
      <c r="A8" s="193" t="s">
        <v>323</v>
      </c>
      <c r="C8" s="214">
        <f>52*3/12</f>
        <v>13</v>
      </c>
      <c r="D8" s="196">
        <f>$C$8*2</f>
        <v>26</v>
      </c>
      <c r="E8" s="196">
        <f>$C$8*3</f>
        <v>39</v>
      </c>
      <c r="F8" s="196">
        <f>$C$8*4</f>
        <v>52</v>
      </c>
      <c r="G8" s="196">
        <f>$C$8*5</f>
        <v>65</v>
      </c>
      <c r="H8" s="196">
        <f>$C$8*6</f>
        <v>78</v>
      </c>
      <c r="I8" s="196">
        <f>$C$8*7</f>
        <v>91</v>
      </c>
    </row>
    <row r="9" spans="1:9">
      <c r="A9" s="193" t="s">
        <v>324</v>
      </c>
      <c r="C9" s="214">
        <f>52*2/12</f>
        <v>8.6666666666666661</v>
      </c>
      <c r="D9" s="197">
        <f>$C$9*2</f>
        <v>17.333333333333332</v>
      </c>
      <c r="E9" s="197">
        <f>$C$9*3</f>
        <v>26</v>
      </c>
      <c r="F9" s="197">
        <f>$C$9*4</f>
        <v>34.666666666666664</v>
      </c>
      <c r="G9" s="197">
        <f>$C$9*5</f>
        <v>43.333333333333329</v>
      </c>
      <c r="H9" s="197">
        <f>$C$9*6</f>
        <v>52</v>
      </c>
      <c r="I9" s="197">
        <f>$C$9*7</f>
        <v>60.666666666666664</v>
      </c>
    </row>
    <row r="10" spans="1:9">
      <c r="A10" s="193" t="s">
        <v>325</v>
      </c>
      <c r="C10" s="214">
        <f>52/12</f>
        <v>4.333333333333333</v>
      </c>
      <c r="D10" s="197">
        <f>$C$10*2</f>
        <v>8.6666666666666661</v>
      </c>
      <c r="E10" s="197">
        <f>$C$10*3</f>
        <v>13</v>
      </c>
      <c r="F10" s="197">
        <f>$C$10*4</f>
        <v>17.333333333333332</v>
      </c>
      <c r="G10" s="197">
        <f>$C$10*5</f>
        <v>21.666666666666664</v>
      </c>
      <c r="H10" s="197">
        <f>$C$10*6</f>
        <v>26</v>
      </c>
      <c r="I10" s="197">
        <f>$C$10*7</f>
        <v>30.333333333333332</v>
      </c>
    </row>
    <row r="11" spans="1:9">
      <c r="A11" s="193" t="s">
        <v>326</v>
      </c>
      <c r="C11" s="214">
        <f>26/12</f>
        <v>2.1666666666666665</v>
      </c>
      <c r="D11" s="197">
        <f>$C$11*2</f>
        <v>4.333333333333333</v>
      </c>
      <c r="E11" s="197">
        <f>$C$11*3</f>
        <v>6.5</v>
      </c>
      <c r="F11" s="197">
        <f>$C$11*4</f>
        <v>8.6666666666666661</v>
      </c>
      <c r="G11" s="197">
        <f>$C$11*5</f>
        <v>10.833333333333332</v>
      </c>
      <c r="H11" s="197">
        <f>$C$11*6</f>
        <v>13</v>
      </c>
      <c r="I11" s="197">
        <f>$C$11*7</f>
        <v>15.166666666666666</v>
      </c>
    </row>
    <row r="12" spans="1:9">
      <c r="A12" s="193" t="s">
        <v>327</v>
      </c>
      <c r="C12" s="214">
        <f>12/12</f>
        <v>1</v>
      </c>
      <c r="D12" s="197">
        <f>$C$12*2</f>
        <v>2</v>
      </c>
      <c r="E12" s="197">
        <f>$C$12*3</f>
        <v>3</v>
      </c>
      <c r="F12" s="197">
        <f>$C$12*4</f>
        <v>4</v>
      </c>
      <c r="G12" s="197">
        <f>$C$12*5</f>
        <v>5</v>
      </c>
      <c r="H12" s="197">
        <f>$C$12*6</f>
        <v>6</v>
      </c>
      <c r="I12" s="197">
        <f>$C$12*7</f>
        <v>7</v>
      </c>
    </row>
    <row r="13" spans="1:9">
      <c r="A13" s="193" t="s">
        <v>269</v>
      </c>
      <c r="C13" s="214">
        <v>1</v>
      </c>
      <c r="D13" s="197"/>
      <c r="E13" s="197"/>
      <c r="F13" s="197"/>
      <c r="G13" s="197"/>
      <c r="H13" s="197"/>
      <c r="I13" s="197"/>
    </row>
    <row r="14" spans="1:9">
      <c r="A14" s="393" t="s">
        <v>328</v>
      </c>
      <c r="B14" s="393"/>
      <c r="C14" s="393"/>
      <c r="D14" s="197"/>
      <c r="E14" s="197"/>
      <c r="F14" s="197"/>
      <c r="G14" s="197"/>
      <c r="H14" s="197"/>
      <c r="I14" s="197"/>
    </row>
    <row r="15" spans="1:9">
      <c r="A15" s="198" t="s">
        <v>329</v>
      </c>
      <c r="B15" s="198"/>
      <c r="C15" s="225" t="s">
        <v>330</v>
      </c>
      <c r="D15" s="197"/>
      <c r="E15" s="197"/>
      <c r="F15" s="197"/>
      <c r="G15" s="197"/>
      <c r="H15" s="197"/>
      <c r="I15" s="197"/>
    </row>
    <row r="16" spans="1:9">
      <c r="A16" s="199" t="s">
        <v>331</v>
      </c>
      <c r="B16" s="199"/>
      <c r="C16" s="213">
        <v>20</v>
      </c>
      <c r="D16" s="197"/>
      <c r="E16" s="197"/>
      <c r="F16" s="197"/>
      <c r="G16" s="197"/>
      <c r="H16" s="197"/>
      <c r="I16" s="197"/>
    </row>
    <row r="17" spans="1:9">
      <c r="A17" s="199" t="s">
        <v>332</v>
      </c>
      <c r="B17" s="199"/>
      <c r="C17" s="213">
        <v>34</v>
      </c>
      <c r="D17" s="197"/>
      <c r="E17" s="197"/>
      <c r="F17" s="197"/>
      <c r="G17" s="197"/>
      <c r="H17" s="197"/>
      <c r="I17" s="197"/>
    </row>
    <row r="18" spans="1:9">
      <c r="A18" s="199" t="s">
        <v>333</v>
      </c>
      <c r="B18" s="199"/>
      <c r="C18" s="213">
        <v>51</v>
      </c>
      <c r="D18" s="197"/>
      <c r="E18" s="197"/>
      <c r="F18" s="197"/>
      <c r="G18" s="197"/>
      <c r="H18" s="197"/>
      <c r="I18" s="197"/>
    </row>
    <row r="19" spans="1:9">
      <c r="A19" s="199" t="s">
        <v>334</v>
      </c>
      <c r="B19" s="199"/>
      <c r="C19" s="213">
        <v>77</v>
      </c>
      <c r="D19" s="197"/>
      <c r="E19" s="197"/>
      <c r="F19" s="197"/>
      <c r="G19" s="193" t="s">
        <v>335</v>
      </c>
      <c r="H19" s="213">
        <v>2000</v>
      </c>
      <c r="I19" s="197"/>
    </row>
    <row r="20" spans="1:9">
      <c r="A20" s="199" t="s">
        <v>336</v>
      </c>
      <c r="B20" s="199"/>
      <c r="C20" s="213">
        <v>97</v>
      </c>
      <c r="D20" s="197"/>
      <c r="E20" s="197"/>
      <c r="F20" s="197"/>
      <c r="G20" s="193" t="s">
        <v>337</v>
      </c>
      <c r="H20" s="200" t="s">
        <v>338</v>
      </c>
      <c r="I20" s="197"/>
    </row>
    <row r="21" spans="1:9">
      <c r="A21" s="199" t="s">
        <v>339</v>
      </c>
      <c r="B21" s="199"/>
      <c r="C21" s="213">
        <v>117</v>
      </c>
      <c r="D21" s="197"/>
      <c r="E21" s="197"/>
      <c r="F21" s="197"/>
      <c r="I21" s="197"/>
    </row>
    <row r="22" spans="1:9">
      <c r="A22" s="199" t="s">
        <v>340</v>
      </c>
      <c r="B22" s="199"/>
      <c r="C22" s="213">
        <v>137</v>
      </c>
      <c r="D22" s="197"/>
      <c r="E22" s="197"/>
      <c r="F22" s="197"/>
      <c r="G22" s="157" t="s">
        <v>341</v>
      </c>
      <c r="H22" s="158">
        <v>12</v>
      </c>
      <c r="I22" s="197" t="s">
        <v>342</v>
      </c>
    </row>
    <row r="23" spans="1:9">
      <c r="A23" s="199" t="s">
        <v>343</v>
      </c>
      <c r="B23" s="199"/>
      <c r="C23" s="213">
        <v>40</v>
      </c>
      <c r="D23" s="197" t="s">
        <v>344</v>
      </c>
      <c r="E23" s="197"/>
      <c r="F23" s="197"/>
      <c r="G23" s="201"/>
      <c r="H23" s="202"/>
      <c r="I23" s="197"/>
    </row>
    <row r="24" spans="1:9">
      <c r="A24" s="199" t="s">
        <v>345</v>
      </c>
      <c r="B24" s="199"/>
      <c r="C24" s="213">
        <v>47</v>
      </c>
      <c r="D24" s="197"/>
      <c r="E24" s="197"/>
      <c r="F24" s="197"/>
      <c r="G24" s="197"/>
      <c r="H24" s="197"/>
      <c r="I24" s="197"/>
    </row>
    <row r="25" spans="1:9">
      <c r="A25" s="199" t="s">
        <v>346</v>
      </c>
      <c r="B25" s="199"/>
      <c r="C25" s="213">
        <v>68</v>
      </c>
      <c r="D25" s="197"/>
      <c r="E25" s="197"/>
      <c r="F25" s="197"/>
      <c r="G25" s="197"/>
      <c r="H25" s="197"/>
      <c r="I25" s="197"/>
    </row>
    <row r="26" spans="1:9">
      <c r="A26" s="199" t="s">
        <v>347</v>
      </c>
      <c r="B26" s="199"/>
      <c r="C26" s="213">
        <v>34</v>
      </c>
      <c r="D26" s="197"/>
      <c r="E26" s="197"/>
      <c r="F26" s="197"/>
      <c r="G26" s="197"/>
      <c r="H26" s="197"/>
      <c r="I26" s="197"/>
    </row>
    <row r="27" spans="1:9">
      <c r="A27" s="199" t="s">
        <v>348</v>
      </c>
      <c r="B27" s="199"/>
      <c r="C27" s="213">
        <v>34</v>
      </c>
      <c r="D27" s="197"/>
      <c r="E27" s="197"/>
      <c r="F27" s="197"/>
      <c r="G27" s="197"/>
      <c r="H27" s="197"/>
      <c r="I27" s="197"/>
    </row>
    <row r="28" spans="1:9">
      <c r="A28" s="198" t="s">
        <v>349</v>
      </c>
      <c r="B28" s="198"/>
      <c r="C28" s="213"/>
      <c r="D28" s="197"/>
      <c r="E28" s="197"/>
      <c r="F28" s="197"/>
      <c r="G28" s="197"/>
      <c r="H28" s="197"/>
      <c r="I28" s="197"/>
    </row>
    <row r="29" spans="1:9">
      <c r="A29" s="199" t="s">
        <v>350</v>
      </c>
      <c r="B29" s="199"/>
      <c r="C29" s="213">
        <v>29</v>
      </c>
      <c r="D29" s="197"/>
      <c r="E29" s="197"/>
      <c r="F29" s="197"/>
      <c r="G29" s="197"/>
      <c r="H29" s="197"/>
      <c r="I29" s="197"/>
    </row>
    <row r="30" spans="1:9">
      <c r="A30" s="199" t="s">
        <v>351</v>
      </c>
      <c r="B30" s="199"/>
      <c r="C30" s="213">
        <v>125</v>
      </c>
      <c r="D30" s="197"/>
      <c r="E30" s="197"/>
      <c r="F30" s="197"/>
      <c r="G30" s="197"/>
      <c r="H30" s="197"/>
      <c r="I30" s="197"/>
    </row>
    <row r="31" spans="1:9">
      <c r="A31" s="199" t="s">
        <v>352</v>
      </c>
      <c r="B31" s="199"/>
      <c r="C31" s="213">
        <v>175</v>
      </c>
      <c r="D31" s="197"/>
      <c r="E31" s="197"/>
      <c r="F31" s="197"/>
      <c r="G31" s="197"/>
      <c r="H31" s="197"/>
      <c r="I31" s="197"/>
    </row>
    <row r="32" spans="1:9">
      <c r="A32" s="199" t="s">
        <v>353</v>
      </c>
      <c r="B32" s="199"/>
      <c r="C32" s="213">
        <v>250</v>
      </c>
      <c r="D32" s="197"/>
      <c r="E32" s="197"/>
      <c r="F32" s="197"/>
      <c r="G32" s="197"/>
      <c r="H32" s="197"/>
      <c r="I32" s="197"/>
    </row>
    <row r="33" spans="1:9">
      <c r="A33" s="199" t="s">
        <v>354</v>
      </c>
      <c r="B33" s="199"/>
      <c r="C33" s="213">
        <v>324</v>
      </c>
      <c r="D33" s="197"/>
      <c r="E33" s="197"/>
      <c r="F33" s="197"/>
      <c r="G33" s="197"/>
      <c r="H33" s="197"/>
      <c r="I33" s="197"/>
    </row>
    <row r="34" spans="1:9">
      <c r="A34" s="199" t="s">
        <v>355</v>
      </c>
      <c r="B34" s="199"/>
      <c r="C34" s="213">
        <v>473</v>
      </c>
      <c r="D34" s="197"/>
      <c r="E34" s="197"/>
      <c r="F34" s="197"/>
      <c r="G34" s="197"/>
      <c r="H34" s="197"/>
      <c r="I34" s="197"/>
    </row>
    <row r="35" spans="1:9">
      <c r="A35" s="199" t="s">
        <v>356</v>
      </c>
      <c r="B35" s="199"/>
      <c r="C35" s="213">
        <v>613</v>
      </c>
      <c r="D35" s="197"/>
      <c r="E35" s="197"/>
      <c r="F35" s="197"/>
      <c r="G35" s="197"/>
      <c r="H35" s="197"/>
      <c r="I35" s="197"/>
    </row>
    <row r="36" spans="1:9">
      <c r="A36" s="199" t="s">
        <v>357</v>
      </c>
      <c r="B36" s="199"/>
      <c r="C36" s="213">
        <v>840</v>
      </c>
      <c r="D36" s="197"/>
      <c r="E36" s="197"/>
      <c r="F36" s="197"/>
      <c r="G36" s="197"/>
      <c r="H36" s="197"/>
      <c r="I36" s="197"/>
    </row>
    <row r="37" spans="1:9">
      <c r="A37" s="199" t="s">
        <v>358</v>
      </c>
      <c r="B37" s="199"/>
      <c r="C37" s="213">
        <v>980</v>
      </c>
      <c r="D37" s="151"/>
      <c r="E37" s="197"/>
      <c r="F37" s="197"/>
      <c r="G37" s="197"/>
      <c r="H37" s="197"/>
      <c r="I37" s="197"/>
    </row>
    <row r="38" spans="1:9">
      <c r="A38" s="110" t="s">
        <v>359</v>
      </c>
      <c r="B38" s="110">
        <v>2.25</v>
      </c>
      <c r="C38" s="213"/>
      <c r="D38" s="151"/>
      <c r="E38" s="197"/>
      <c r="F38" s="197"/>
      <c r="G38" s="197"/>
      <c r="H38" s="197"/>
      <c r="I38" s="197"/>
    </row>
    <row r="39" spans="1:9">
      <c r="A39" s="199" t="s">
        <v>360</v>
      </c>
      <c r="B39" s="199"/>
      <c r="C39" s="213">
        <f>C33*$B$38</f>
        <v>729</v>
      </c>
      <c r="D39" s="197" t="s">
        <v>344</v>
      </c>
      <c r="E39" s="197"/>
      <c r="F39" s="197"/>
      <c r="G39" s="197"/>
      <c r="H39" s="197"/>
      <c r="I39" s="197"/>
    </row>
    <row r="40" spans="1:9">
      <c r="A40" s="199" t="s">
        <v>361</v>
      </c>
      <c r="B40" s="199"/>
      <c r="C40" s="213">
        <f>C35*$B$38</f>
        <v>1379.25</v>
      </c>
      <c r="D40" s="197" t="s">
        <v>344</v>
      </c>
      <c r="E40" s="197"/>
      <c r="F40" s="197"/>
      <c r="G40" s="197"/>
      <c r="H40" s="197"/>
      <c r="I40" s="197"/>
    </row>
    <row r="41" spans="1:9">
      <c r="A41" s="199" t="s">
        <v>362</v>
      </c>
      <c r="B41" s="199"/>
      <c r="C41" s="213">
        <f>C36*$B$38</f>
        <v>1890</v>
      </c>
      <c r="D41" s="197" t="s">
        <v>344</v>
      </c>
      <c r="E41" s="197"/>
      <c r="F41" s="197"/>
      <c r="G41" s="197"/>
      <c r="H41" s="197"/>
      <c r="I41" s="197"/>
    </row>
    <row r="42" spans="1:9">
      <c r="A42" s="110" t="s">
        <v>363</v>
      </c>
      <c r="B42" s="110">
        <v>3</v>
      </c>
      <c r="C42" s="213"/>
      <c r="D42" s="197"/>
      <c r="E42" s="197"/>
      <c r="F42" s="197"/>
      <c r="G42" s="197"/>
      <c r="H42" s="197"/>
      <c r="I42" s="197"/>
    </row>
    <row r="43" spans="1:9">
      <c r="A43" s="199" t="s">
        <v>360</v>
      </c>
      <c r="B43" s="199"/>
      <c r="C43" s="178">
        <f>C33*$B$42</f>
        <v>972</v>
      </c>
      <c r="D43" s="197" t="s">
        <v>344</v>
      </c>
      <c r="E43" s="197"/>
      <c r="F43" s="197"/>
      <c r="G43" s="197"/>
      <c r="H43" s="197"/>
      <c r="I43" s="197"/>
    </row>
    <row r="44" spans="1:9">
      <c r="A44" s="199" t="s">
        <v>364</v>
      </c>
      <c r="B44" s="199"/>
      <c r="C44" s="178">
        <f t="shared" ref="C44:C46" si="0">C34*$B$42</f>
        <v>1419</v>
      </c>
      <c r="D44" s="197" t="s">
        <v>344</v>
      </c>
      <c r="E44" s="197"/>
      <c r="F44" s="197"/>
      <c r="G44" s="197"/>
      <c r="H44" s="197"/>
      <c r="I44" s="197"/>
    </row>
    <row r="45" spans="1:9">
      <c r="A45" s="199" t="s">
        <v>361</v>
      </c>
      <c r="B45" s="199"/>
      <c r="C45" s="178">
        <f t="shared" si="0"/>
        <v>1839</v>
      </c>
      <c r="D45" s="197" t="s">
        <v>344</v>
      </c>
      <c r="E45" s="197"/>
      <c r="F45" s="197"/>
      <c r="G45" s="197"/>
      <c r="H45" s="197"/>
      <c r="I45" s="197"/>
    </row>
    <row r="46" spans="1:9">
      <c r="A46" s="199" t="s">
        <v>362</v>
      </c>
      <c r="B46" s="199"/>
      <c r="C46" s="178">
        <f t="shared" si="0"/>
        <v>2520</v>
      </c>
      <c r="D46" s="197" t="s">
        <v>344</v>
      </c>
      <c r="E46" s="197"/>
      <c r="F46" s="197"/>
      <c r="G46" s="197"/>
      <c r="H46" s="197"/>
      <c r="I46" s="197"/>
    </row>
    <row r="47" spans="1:9">
      <c r="A47" s="110" t="s">
        <v>365</v>
      </c>
      <c r="B47" s="110">
        <v>4</v>
      </c>
      <c r="C47" s="213"/>
      <c r="D47" s="197"/>
      <c r="E47" s="197"/>
      <c r="F47" s="197"/>
      <c r="G47" s="197"/>
      <c r="H47" s="197"/>
      <c r="I47" s="197"/>
    </row>
    <row r="48" spans="1:9">
      <c r="A48" s="199" t="s">
        <v>364</v>
      </c>
      <c r="B48" s="199"/>
      <c r="C48" s="178">
        <f t="shared" ref="C48:C50" si="1">C34*$B$47</f>
        <v>1892</v>
      </c>
      <c r="D48" s="197" t="s">
        <v>344</v>
      </c>
      <c r="E48" s="197"/>
      <c r="F48" s="197"/>
      <c r="G48" s="197"/>
      <c r="H48" s="197"/>
      <c r="I48" s="197"/>
    </row>
    <row r="49" spans="1:10">
      <c r="A49" s="199" t="s">
        <v>361</v>
      </c>
      <c r="B49" s="199"/>
      <c r="C49" s="178">
        <f t="shared" si="1"/>
        <v>2452</v>
      </c>
      <c r="D49" s="197" t="s">
        <v>344</v>
      </c>
      <c r="E49" s="197"/>
      <c r="F49" s="197"/>
      <c r="G49" s="197"/>
      <c r="H49" s="197"/>
      <c r="I49" s="197"/>
    </row>
    <row r="50" spans="1:10">
      <c r="A50" s="199" t="s">
        <v>362</v>
      </c>
      <c r="B50" s="199"/>
      <c r="C50" s="178">
        <f t="shared" si="1"/>
        <v>3360</v>
      </c>
      <c r="D50" s="197" t="s">
        <v>344</v>
      </c>
      <c r="E50" s="197"/>
      <c r="F50" s="197"/>
      <c r="G50" s="197"/>
      <c r="H50" s="197"/>
      <c r="I50" s="197"/>
    </row>
    <row r="51" spans="1:10">
      <c r="A51" s="110" t="s">
        <v>366</v>
      </c>
      <c r="B51" s="110">
        <v>5</v>
      </c>
      <c r="C51" s="213"/>
      <c r="D51" s="197"/>
      <c r="E51" s="197"/>
      <c r="F51" s="197"/>
      <c r="G51" s="197"/>
      <c r="H51" s="197"/>
      <c r="I51" s="197"/>
    </row>
    <row r="52" spans="1:10">
      <c r="A52" s="199" t="s">
        <v>361</v>
      </c>
      <c r="B52" s="199"/>
      <c r="C52" s="178">
        <f>C35*$B$51</f>
        <v>3065</v>
      </c>
      <c r="D52" s="197" t="s">
        <v>344</v>
      </c>
      <c r="E52" s="197"/>
      <c r="F52" s="197"/>
      <c r="G52" s="197"/>
      <c r="H52" s="197"/>
      <c r="I52" s="197"/>
    </row>
    <row r="53" spans="1:10">
      <c r="A53" s="199" t="s">
        <v>362</v>
      </c>
      <c r="B53" s="199"/>
      <c r="C53" s="178">
        <f>C36*$B$51</f>
        <v>4200</v>
      </c>
      <c r="D53" s="197" t="s">
        <v>344</v>
      </c>
      <c r="E53" s="197"/>
      <c r="F53" s="197"/>
      <c r="G53" s="197"/>
      <c r="H53" s="197"/>
      <c r="I53" s="197"/>
    </row>
    <row r="54" spans="1:10">
      <c r="C54" s="394" t="s">
        <v>367</v>
      </c>
      <c r="D54" s="394"/>
    </row>
    <row r="55" spans="1:10">
      <c r="C55" s="193" t="s">
        <v>368</v>
      </c>
    </row>
    <row r="57" spans="1:10">
      <c r="A57" s="211" t="s">
        <v>369</v>
      </c>
      <c r="B57" s="211"/>
      <c r="C57" s="212" t="s">
        <v>370</v>
      </c>
      <c r="D57" s="212" t="s">
        <v>371</v>
      </c>
      <c r="G57" s="395" t="s">
        <v>372</v>
      </c>
      <c r="H57" s="395"/>
    </row>
    <row r="58" spans="1:10">
      <c r="A58" s="223" t="s">
        <v>397</v>
      </c>
      <c r="B58" s="223"/>
      <c r="C58" s="392">
        <v>76.67</v>
      </c>
      <c r="D58" s="219">
        <f>C58/2000</f>
        <v>3.8335000000000001E-2</v>
      </c>
      <c r="G58" s="193" t="s">
        <v>373</v>
      </c>
      <c r="H58" s="130">
        <f>0.015</f>
        <v>1.4999999999999999E-2</v>
      </c>
    </row>
    <row r="59" spans="1:10">
      <c r="A59" s="223" t="s">
        <v>398</v>
      </c>
      <c r="B59" s="223"/>
      <c r="C59" s="389">
        <v>78.69</v>
      </c>
      <c r="D59" s="385">
        <f>C59/2000</f>
        <v>3.9344999999999998E-2</v>
      </c>
      <c r="G59" s="193" t="s">
        <v>374</v>
      </c>
      <c r="H59" s="179">
        <v>5.1000000000000004E-3</v>
      </c>
    </row>
    <row r="60" spans="1:10">
      <c r="A60" s="383"/>
      <c r="B60" s="383"/>
      <c r="C60" s="391"/>
      <c r="D60" s="220">
        <f>C60/2000</f>
        <v>0</v>
      </c>
      <c r="G60" s="193" t="s">
        <v>375</v>
      </c>
      <c r="H60" s="180"/>
    </row>
    <row r="61" spans="1:10">
      <c r="A61" s="199" t="s">
        <v>273</v>
      </c>
      <c r="B61" s="199"/>
      <c r="C61" s="218">
        <f>C59-C58+C60</f>
        <v>2.019999999999996</v>
      </c>
      <c r="D61" s="221">
        <f>D59-D58+D60</f>
        <v>1.009999999999997E-3</v>
      </c>
      <c r="E61" s="224">
        <f>C61/C58</f>
        <v>2.6346680579105202E-2</v>
      </c>
      <c r="G61" s="193" t="s">
        <v>6</v>
      </c>
      <c r="H61" s="204">
        <f>SUM(H58:H60)</f>
        <v>2.01E-2</v>
      </c>
      <c r="J61" s="182"/>
    </row>
    <row r="62" spans="1:10">
      <c r="D62" s="181"/>
    </row>
    <row r="63" spans="1:10">
      <c r="C63" s="212" t="s">
        <v>376</v>
      </c>
      <c r="G63" s="193" t="s">
        <v>378</v>
      </c>
      <c r="H63" s="205">
        <f>1-H61</f>
        <v>0.97989999999999999</v>
      </c>
    </row>
    <row r="64" spans="1:10">
      <c r="A64" s="193" t="s">
        <v>377</v>
      </c>
      <c r="C64" s="214">
        <f>C61</f>
        <v>2.019999999999996</v>
      </c>
    </row>
    <row r="65" spans="1:5">
      <c r="A65" s="193" t="s">
        <v>379</v>
      </c>
      <c r="C65" s="214">
        <f>C64/$H$63</f>
        <v>2.0614348402898215</v>
      </c>
    </row>
    <row r="66" spans="1:5">
      <c r="A66" s="193" t="s">
        <v>380</v>
      </c>
      <c r="C66" s="386">
        <f>+'DF Schedule'!O9</f>
        <v>2687.710707781258</v>
      </c>
      <c r="D66" s="152"/>
    </row>
    <row r="67" spans="1:5">
      <c r="A67" s="198" t="s">
        <v>381</v>
      </c>
      <c r="B67" s="198"/>
      <c r="C67" s="183">
        <f>C65*C66</f>
        <v>5540.5404936403002</v>
      </c>
      <c r="D67" s="131"/>
    </row>
    <row r="68" spans="1:5">
      <c r="A68" s="198"/>
      <c r="B68" s="198"/>
      <c r="C68" s="183"/>
      <c r="D68" s="131"/>
    </row>
    <row r="69" spans="1:5" ht="15.75" thickBot="1">
      <c r="A69" s="198"/>
      <c r="B69" s="198"/>
      <c r="C69" s="183"/>
      <c r="D69" s="131"/>
    </row>
    <row r="70" spans="1:5">
      <c r="A70" s="215" t="s">
        <v>382</v>
      </c>
      <c r="B70" s="184"/>
      <c r="C70" s="185" t="s">
        <v>383</v>
      </c>
      <c r="D70" s="131"/>
    </row>
    <row r="71" spans="1:5">
      <c r="A71" s="216" t="s">
        <v>384</v>
      </c>
      <c r="B71" s="203"/>
      <c r="C71" s="387">
        <f>+'G-48 DF Calc'!O89</f>
        <v>5540.540493640272</v>
      </c>
      <c r="D71" s="186"/>
    </row>
    <row r="72" spans="1:5" ht="15.75" thickBot="1">
      <c r="A72" s="217" t="s">
        <v>385</v>
      </c>
      <c r="B72" s="187"/>
      <c r="C72" s="132">
        <f>+C71-C67</f>
        <v>-2.8194335754960775E-11</v>
      </c>
    </row>
    <row r="73" spans="1:5">
      <c r="A73" s="208"/>
      <c r="B73" s="208"/>
      <c r="C73" s="188"/>
      <c r="D73" s="208"/>
    </row>
    <row r="74" spans="1:5">
      <c r="A74" s="208" t="s">
        <v>294</v>
      </c>
      <c r="B74" s="206"/>
      <c r="C74" s="388">
        <f>+'DF Schedule'!O8</f>
        <v>2221.4404272062957</v>
      </c>
      <c r="D74" s="208"/>
      <c r="E74" s="222"/>
    </row>
    <row r="75" spans="1:5">
      <c r="A75" s="198" t="s">
        <v>386</v>
      </c>
      <c r="B75" s="208"/>
      <c r="C75" s="189">
        <f>C74*C61</f>
        <v>4487.3096629567081</v>
      </c>
      <c r="D75" s="208"/>
    </row>
    <row r="76" spans="1:5">
      <c r="A76" s="208"/>
      <c r="B76" s="208"/>
      <c r="C76" s="111"/>
      <c r="D76" s="208"/>
    </row>
    <row r="77" spans="1:5">
      <c r="A77" s="208"/>
      <c r="B77" s="208"/>
      <c r="C77" s="208"/>
      <c r="D77" s="208"/>
    </row>
    <row r="78" spans="1:5">
      <c r="A78" s="206"/>
      <c r="B78" s="206"/>
      <c r="C78" s="190"/>
      <c r="D78" s="208"/>
    </row>
    <row r="79" spans="1:5">
      <c r="A79" s="208"/>
      <c r="B79" s="208"/>
      <c r="C79" s="208"/>
      <c r="D79" s="208"/>
    </row>
    <row r="80" spans="1:5">
      <c r="A80" s="208"/>
      <c r="B80" s="208"/>
      <c r="C80" s="208"/>
      <c r="D80" s="208"/>
    </row>
    <row r="81" spans="1:4">
      <c r="A81" s="208"/>
      <c r="B81" s="208"/>
      <c r="C81" s="208"/>
      <c r="D81" s="208"/>
    </row>
  </sheetData>
  <mergeCells count="4">
    <mergeCell ref="A4:I4"/>
    <mergeCell ref="A14:C14"/>
    <mergeCell ref="C54:D54"/>
    <mergeCell ref="G57:H57"/>
  </mergeCells>
  <pageMargins left="0.7" right="0.7" top="0.75" bottom="0.75" header="0.3" footer="0.3"/>
  <pageSetup scale="62" orientation="portrait" r:id="rId1"/>
  <headerFooter>
    <oddHeader xml:space="preserve">&amp;C&amp;"-,Bold"&amp;12
</oddHeader>
    <oddFooter>&amp;L&amp;F - &amp;A&amp;R&amp;P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04"/>
  <sheetViews>
    <sheetView zoomScale="70" zoomScaleNormal="70" workbookViewId="0">
      <pane xSplit="1" ySplit="5" topLeftCell="E6" activePane="bottomRight" state="frozen"/>
      <selection activeCell="N12" sqref="N12"/>
      <selection pane="topRight" activeCell="N12" sqref="N12"/>
      <selection pane="bottomLeft" activeCell="N12" sqref="N12"/>
      <selection pane="bottomRight" activeCell="H94" sqref="H94:H97"/>
    </sheetView>
  </sheetViews>
  <sheetFormatPr defaultRowHeight="15"/>
  <cols>
    <col min="1" max="1" width="32.42578125" style="92" bestFit="1" customWidth="1"/>
    <col min="2" max="3" width="13.28515625" style="92" customWidth="1"/>
    <col min="4" max="4" width="13.28515625" style="245" customWidth="1"/>
    <col min="5" max="5" width="13.28515625" style="236" customWidth="1"/>
    <col min="6" max="6" width="14.85546875" style="241" customWidth="1"/>
    <col min="7" max="7" width="14.85546875" style="92" customWidth="1"/>
    <col min="8" max="8" width="13.28515625" style="91" customWidth="1"/>
    <col min="9" max="10" width="13.28515625" style="92" customWidth="1"/>
    <col min="11" max="12" width="13.28515625" style="342" customWidth="1"/>
    <col min="13" max="13" width="15.5703125" style="245" customWidth="1"/>
    <col min="14" max="15" width="17.140625" style="245" customWidth="1"/>
    <col min="16" max="16" width="13.28515625" style="245" customWidth="1"/>
    <col min="17" max="17" width="13.28515625" style="92" customWidth="1"/>
    <col min="18" max="18" width="21.140625" style="92" bestFit="1" customWidth="1"/>
    <col min="19" max="20" width="9.140625" style="92"/>
    <col min="21" max="21" width="9.140625" style="336"/>
    <col min="22" max="16384" width="9.140625" style="92"/>
  </cols>
  <sheetData>
    <row r="1" spans="1:22">
      <c r="A1" s="86" t="s">
        <v>245</v>
      </c>
      <c r="B1" s="87"/>
      <c r="C1" s="88"/>
      <c r="D1" s="242"/>
      <c r="E1" s="232"/>
      <c r="F1" s="238"/>
      <c r="G1" s="89"/>
      <c r="H1" s="90"/>
      <c r="I1" s="91"/>
    </row>
    <row r="2" spans="1:22">
      <c r="A2" s="367" t="s">
        <v>455</v>
      </c>
      <c r="B2" s="87"/>
      <c r="C2" s="93"/>
      <c r="D2" s="243">
        <v>12</v>
      </c>
      <c r="E2" s="233"/>
      <c r="F2" s="239"/>
      <c r="G2" s="89"/>
      <c r="H2" s="90"/>
      <c r="I2" s="91"/>
    </row>
    <row r="3" spans="1:22">
      <c r="B3" s="87"/>
      <c r="C3" s="88"/>
      <c r="D3" s="242"/>
      <c r="E3" s="232"/>
      <c r="F3" s="238"/>
      <c r="G3" s="89"/>
      <c r="H3" s="90"/>
      <c r="I3" s="91"/>
    </row>
    <row r="4" spans="1:22">
      <c r="A4" s="86"/>
      <c r="B4" s="396"/>
      <c r="C4" s="396"/>
      <c r="D4" s="396"/>
      <c r="E4" s="396"/>
      <c r="F4" s="238"/>
      <c r="G4" s="89"/>
      <c r="H4" s="90"/>
      <c r="I4" s="91"/>
      <c r="M4" s="210"/>
      <c r="N4" s="210"/>
      <c r="P4" s="210"/>
    </row>
    <row r="5" spans="1:22" s="231" customFormat="1" ht="29.25" customHeight="1">
      <c r="A5" s="229" t="s">
        <v>274</v>
      </c>
      <c r="B5" s="229" t="s">
        <v>310</v>
      </c>
      <c r="C5" s="229" t="s">
        <v>276</v>
      </c>
      <c r="D5" s="244" t="s">
        <v>275</v>
      </c>
      <c r="E5" s="234" t="s">
        <v>277</v>
      </c>
      <c r="F5" s="240" t="s">
        <v>278</v>
      </c>
      <c r="G5" s="230" t="s">
        <v>279</v>
      </c>
      <c r="H5" s="230" t="s">
        <v>273</v>
      </c>
      <c r="I5" s="230" t="s">
        <v>280</v>
      </c>
      <c r="J5" s="230" t="s">
        <v>281</v>
      </c>
      <c r="K5" s="230" t="s">
        <v>282</v>
      </c>
      <c r="L5" s="230" t="s">
        <v>283</v>
      </c>
      <c r="M5" s="368" t="s">
        <v>284</v>
      </c>
      <c r="N5" s="368" t="s">
        <v>285</v>
      </c>
      <c r="O5" s="368" t="s">
        <v>286</v>
      </c>
      <c r="P5" s="368" t="s">
        <v>287</v>
      </c>
      <c r="Q5" s="230" t="s">
        <v>288</v>
      </c>
      <c r="S5" s="230" t="s">
        <v>424</v>
      </c>
      <c r="U5" s="384"/>
    </row>
    <row r="6" spans="1:22" s="231" customFormat="1">
      <c r="A6" s="360" t="s">
        <v>401</v>
      </c>
      <c r="B6" s="355"/>
      <c r="C6" s="355"/>
      <c r="D6" s="356"/>
      <c r="E6" s="357"/>
      <c r="F6" s="358"/>
      <c r="G6" s="359"/>
      <c r="H6" s="359"/>
      <c r="I6" s="359"/>
      <c r="J6" s="359"/>
      <c r="K6" s="359"/>
      <c r="L6" s="359"/>
      <c r="M6" s="369"/>
      <c r="N6" s="369"/>
      <c r="O6" s="369"/>
      <c r="P6" s="369"/>
      <c r="Q6" s="359"/>
      <c r="U6" s="384"/>
    </row>
    <row r="7" spans="1:22">
      <c r="A7" s="308" t="s">
        <v>414</v>
      </c>
      <c r="B7" s="309"/>
      <c r="C7" s="310"/>
      <c r="D7" s="311"/>
      <c r="E7" s="312"/>
      <c r="F7" s="313"/>
      <c r="G7" s="310"/>
      <c r="H7" s="310"/>
      <c r="I7" s="314"/>
      <c r="J7" s="314"/>
      <c r="K7" s="314"/>
      <c r="L7" s="314"/>
      <c r="M7" s="353"/>
      <c r="N7" s="353"/>
      <c r="O7" s="353"/>
      <c r="P7" s="353"/>
      <c r="Q7" s="314"/>
    </row>
    <row r="8" spans="1:22">
      <c r="A8" s="96" t="s">
        <v>246</v>
      </c>
      <c r="B8" s="116">
        <f>SUM('G-48 Price Out'!K24:K25)*D2</f>
        <v>27.124855990783409</v>
      </c>
      <c r="C8" s="95">
        <f>+References!$C$13</f>
        <v>1</v>
      </c>
      <c r="D8" s="242">
        <f>+B8*C8</f>
        <v>27.124855990783409</v>
      </c>
      <c r="E8" s="236">
        <f>+References!C27</f>
        <v>34</v>
      </c>
      <c r="F8" s="245">
        <f>D8*E8</f>
        <v>922.24510368663596</v>
      </c>
      <c r="G8" s="242">
        <f>F8*$B$99</f>
        <v>713.12988512943207</v>
      </c>
      <c r="H8" s="238">
        <f>G8*References!$D$61</f>
        <v>0.72026118398072425</v>
      </c>
      <c r="I8" s="339">
        <f>H8/References!$H$63</f>
        <v>0.735035395428844</v>
      </c>
      <c r="J8" s="307">
        <f>IFERROR((I8/B8),0)</f>
        <v>2.7098222961205665E-2</v>
      </c>
      <c r="K8" s="339">
        <f>+'Rate Schedule G-48'!C7</f>
        <v>4.8899999999999997</v>
      </c>
      <c r="L8" s="339">
        <f>J8+K8</f>
        <v>4.9170982229612052</v>
      </c>
      <c r="M8" s="245">
        <f>B8*K8</f>
        <v>132.64054579493086</v>
      </c>
      <c r="N8" s="245">
        <f>B8*L8</f>
        <v>133.3755811903597</v>
      </c>
      <c r="O8" s="245">
        <f>N8-M8</f>
        <v>0.735035395428838</v>
      </c>
      <c r="P8" s="245">
        <f>B8*L8</f>
        <v>133.3755811903597</v>
      </c>
      <c r="Q8" s="307">
        <f>N8-P8</f>
        <v>0</v>
      </c>
      <c r="S8" s="336">
        <f>(E8*$B$99*C8)*(References!$D$61/References!$H$63)-J8</f>
        <v>0</v>
      </c>
      <c r="V8" s="339"/>
    </row>
    <row r="9" spans="1:22">
      <c r="A9" s="96"/>
      <c r="B9" s="116"/>
      <c r="C9" s="95"/>
      <c r="D9" s="242"/>
      <c r="E9" s="235"/>
      <c r="F9" s="242"/>
      <c r="G9" s="242"/>
      <c r="H9" s="95"/>
      <c r="J9" s="307"/>
      <c r="K9" s="339"/>
      <c r="L9" s="339"/>
      <c r="Q9" s="307"/>
    </row>
    <row r="10" spans="1:22">
      <c r="A10" s="308" t="s">
        <v>415</v>
      </c>
      <c r="B10" s="315"/>
      <c r="C10" s="310"/>
      <c r="D10" s="311"/>
      <c r="E10" s="312"/>
      <c r="F10" s="311"/>
      <c r="G10" s="311"/>
      <c r="H10" s="310"/>
      <c r="I10" s="314"/>
      <c r="J10" s="316"/>
      <c r="K10" s="316"/>
      <c r="L10" s="316"/>
      <c r="M10" s="353"/>
      <c r="N10" s="353"/>
      <c r="O10" s="353"/>
      <c r="P10" s="353"/>
      <c r="Q10" s="316"/>
    </row>
    <row r="11" spans="1:22">
      <c r="A11" s="96" t="s">
        <v>405</v>
      </c>
      <c r="B11" s="116">
        <f>'G-48 Price Out'!K12*'G-48 DF Calc'!D2</f>
        <v>42.9375</v>
      </c>
      <c r="C11" s="95">
        <f>References!$C$10</f>
        <v>4.333333333333333</v>
      </c>
      <c r="D11" s="242">
        <f>+B11*C11</f>
        <v>186.0625</v>
      </c>
      <c r="E11" s="236">
        <f>+References!C16</f>
        <v>20</v>
      </c>
      <c r="F11" s="245">
        <f>D11*E11</f>
        <v>3721.25</v>
      </c>
      <c r="G11" s="242">
        <f t="shared" ref="G11:G17" si="0">F11*$B$99</f>
        <v>2877.4721323319659</v>
      </c>
      <c r="H11" s="238">
        <f>G11*References!$D$61</f>
        <v>2.906246853655277</v>
      </c>
      <c r="I11" s="339">
        <f>H11/References!$H$63</f>
        <v>2.965860652776076</v>
      </c>
      <c r="J11" s="339">
        <f t="shared" ref="J11:J19" si="1">IFERROR((I11/B11),0)</f>
        <v>6.9073901665818366E-2</v>
      </c>
      <c r="K11" s="339">
        <f>+'Rate Schedule G-48'!C10</f>
        <v>18.95</v>
      </c>
      <c r="L11" s="339">
        <f>J11+K11</f>
        <v>19.019073901665816</v>
      </c>
      <c r="M11" s="245">
        <f t="shared" ref="M11:M19" si="2">B11*K11</f>
        <v>813.66562499999998</v>
      </c>
      <c r="N11" s="245">
        <f t="shared" ref="N11:N19" si="3">B11*L11</f>
        <v>816.63148565277595</v>
      </c>
      <c r="O11" s="245">
        <f>N11-M11</f>
        <v>2.965860652775973</v>
      </c>
      <c r="P11" s="245">
        <f t="shared" ref="P11:P19" si="4">B11*L11</f>
        <v>816.63148565277595</v>
      </c>
      <c r="Q11" s="307">
        <f>N11-P11</f>
        <v>0</v>
      </c>
      <c r="S11" s="336">
        <f>(E11*$B$99*C11)*(References!$D$61/References!$H$63)-J11</f>
        <v>0</v>
      </c>
      <c r="V11" s="339"/>
    </row>
    <row r="12" spans="1:22">
      <c r="A12" s="96" t="s">
        <v>387</v>
      </c>
      <c r="B12" s="116">
        <f>'G-48 Price Out'!K19*D2</f>
        <v>358.5</v>
      </c>
      <c r="C12" s="95">
        <f>References!$C$12</f>
        <v>1</v>
      </c>
      <c r="D12" s="242">
        <f t="shared" ref="D12:D29" si="5">+B12*C12</f>
        <v>358.5</v>
      </c>
      <c r="E12" s="236">
        <f>References!$C$17</f>
        <v>34</v>
      </c>
      <c r="F12" s="245">
        <f t="shared" ref="F12:F78" si="6">D12*E12</f>
        <v>12189</v>
      </c>
      <c r="G12" s="242">
        <f t="shared" si="0"/>
        <v>9425.1952491755001</v>
      </c>
      <c r="H12" s="238">
        <f>G12*References!$D$61</f>
        <v>9.5194472016672265</v>
      </c>
      <c r="I12" s="339">
        <f>H12/References!$H$63</f>
        <v>9.7147129315922296</v>
      </c>
      <c r="J12" s="339">
        <f t="shared" si="1"/>
        <v>2.7098222961205662E-2</v>
      </c>
      <c r="K12" s="339">
        <f>+'Rate Schedule G-48'!C11</f>
        <v>6.94</v>
      </c>
      <c r="L12" s="339">
        <f t="shared" ref="L12:L29" si="7">J12+K12</f>
        <v>6.967098222961206</v>
      </c>
      <c r="M12" s="245">
        <f t="shared" si="2"/>
        <v>2487.9900000000002</v>
      </c>
      <c r="N12" s="245">
        <f t="shared" si="3"/>
        <v>2497.7047129315924</v>
      </c>
      <c r="O12" s="245">
        <f>N12-M12</f>
        <v>9.7147129315922029</v>
      </c>
      <c r="P12" s="245">
        <f t="shared" si="4"/>
        <v>2497.7047129315924</v>
      </c>
      <c r="Q12" s="307">
        <f t="shared" ref="Q12:Q29" si="8">N12-P12</f>
        <v>0</v>
      </c>
      <c r="S12" s="336">
        <f>(E12*$B$99*C12)*(References!$D$61/References!$H$63)-J12</f>
        <v>0</v>
      </c>
      <c r="V12" s="339"/>
    </row>
    <row r="13" spans="1:22">
      <c r="A13" s="96" t="s">
        <v>388</v>
      </c>
      <c r="B13" s="116">
        <f>'G-48 Price Out'!K18*'G-48 DF Calc'!D2</f>
        <v>1526.8780457916992</v>
      </c>
      <c r="C13" s="95">
        <f>References!$C$11</f>
        <v>2.1666666666666665</v>
      </c>
      <c r="D13" s="242">
        <f>+B13*C13</f>
        <v>3308.2357658820147</v>
      </c>
      <c r="E13" s="236">
        <f>References!$C$17</f>
        <v>34</v>
      </c>
      <c r="F13" s="245">
        <f t="shared" si="6"/>
        <v>112480.01603998849</v>
      </c>
      <c r="G13" s="242">
        <f t="shared" si="0"/>
        <v>86975.643022994802</v>
      </c>
      <c r="H13" s="238">
        <f>G13*References!$D$61</f>
        <v>87.845399453224488</v>
      </c>
      <c r="I13" s="339">
        <f>H13/References!$H$63</f>
        <v>89.647310392105808</v>
      </c>
      <c r="J13" s="339">
        <f t="shared" si="1"/>
        <v>5.8712816415945598E-2</v>
      </c>
      <c r="K13" s="339">
        <f>+'Rate Schedule G-48'!C12</f>
        <v>13.89</v>
      </c>
      <c r="L13" s="339">
        <f t="shared" si="7"/>
        <v>13.948712816415947</v>
      </c>
      <c r="M13" s="245">
        <f t="shared" si="2"/>
        <v>21208.336056046701</v>
      </c>
      <c r="N13" s="245">
        <f t="shared" si="3"/>
        <v>21297.98336643881</v>
      </c>
      <c r="O13" s="245">
        <f t="shared" ref="O13:O19" si="9">N13-M13</f>
        <v>89.64731039210892</v>
      </c>
      <c r="P13" s="245">
        <f t="shared" si="4"/>
        <v>21297.98336643881</v>
      </c>
      <c r="Q13" s="307">
        <f t="shared" si="8"/>
        <v>0</v>
      </c>
      <c r="S13" s="336">
        <f>(E13*$B$99*C13)*(References!$D$61/References!$H$63)-J13</f>
        <v>0</v>
      </c>
      <c r="V13" s="339"/>
    </row>
    <row r="14" spans="1:22">
      <c r="A14" s="96" t="s">
        <v>389</v>
      </c>
      <c r="B14" s="116">
        <f>'G-48 Price Out'!K13*'G-48 DF Calc'!D2</f>
        <v>11977.632451429094</v>
      </c>
      <c r="C14" s="95">
        <f>References!$C$10</f>
        <v>4.333333333333333</v>
      </c>
      <c r="D14" s="242">
        <f t="shared" si="5"/>
        <v>51903.073956192733</v>
      </c>
      <c r="E14" s="236">
        <f>References!$C$17</f>
        <v>34</v>
      </c>
      <c r="F14" s="245">
        <f t="shared" si="6"/>
        <v>1764704.5145105529</v>
      </c>
      <c r="G14" s="242">
        <f t="shared" si="0"/>
        <v>1364565.1494268128</v>
      </c>
      <c r="H14" s="238">
        <f>G14*References!$D$61</f>
        <v>1378.2108009210767</v>
      </c>
      <c r="I14" s="339">
        <f>H14/References!$H$63</f>
        <v>1406.4810704368576</v>
      </c>
      <c r="J14" s="339">
        <f t="shared" si="1"/>
        <v>0.1174256328318912</v>
      </c>
      <c r="K14" s="339">
        <f>+'Rate Schedule G-48'!C13</f>
        <v>22.04</v>
      </c>
      <c r="L14" s="339">
        <f t="shared" si="7"/>
        <v>22.157425632831892</v>
      </c>
      <c r="M14" s="245">
        <f t="shared" si="2"/>
        <v>263987.01922949724</v>
      </c>
      <c r="N14" s="245">
        <f t="shared" si="3"/>
        <v>265393.50029993406</v>
      </c>
      <c r="O14" s="245">
        <f t="shared" si="9"/>
        <v>1406.4810704368283</v>
      </c>
      <c r="P14" s="245">
        <f t="shared" si="4"/>
        <v>265393.50029993406</v>
      </c>
      <c r="Q14" s="307">
        <f t="shared" si="8"/>
        <v>0</v>
      </c>
      <c r="S14" s="336">
        <f>(E14*$B$99*C14)*(References!$D$61/References!$H$63)-J14</f>
        <v>0</v>
      </c>
      <c r="V14" s="339"/>
    </row>
    <row r="15" spans="1:22">
      <c r="A15" s="96" t="s">
        <v>406</v>
      </c>
      <c r="B15" s="116">
        <f>'G-48 Price Out'!K14*'G-48 DF Calc'!$D$2</f>
        <v>4096.4567937599495</v>
      </c>
      <c r="C15" s="95">
        <f>References!$C$10</f>
        <v>4.333333333333333</v>
      </c>
      <c r="D15" s="242">
        <f t="shared" si="5"/>
        <v>17751.31277295978</v>
      </c>
      <c r="E15" s="236">
        <f>References!$C$18</f>
        <v>51</v>
      </c>
      <c r="F15" s="245">
        <f t="shared" si="6"/>
        <v>905316.95142094872</v>
      </c>
      <c r="G15" s="242">
        <f t="shared" si="0"/>
        <v>700040.12056204549</v>
      </c>
      <c r="H15" s="238">
        <f>G15*References!$D$61</f>
        <v>707.0405217676639</v>
      </c>
      <c r="I15" s="339">
        <f>H15/References!$H$63</f>
        <v>721.54354706364313</v>
      </c>
      <c r="J15" s="339">
        <f t="shared" si="1"/>
        <v>0.17613844924783681</v>
      </c>
      <c r="K15" s="339">
        <f>+'Rate Schedule G-48'!C14</f>
        <v>30.23</v>
      </c>
      <c r="L15" s="339">
        <f t="shared" si="7"/>
        <v>30.406138449247837</v>
      </c>
      <c r="M15" s="245">
        <f t="shared" si="2"/>
        <v>123835.88887536328</v>
      </c>
      <c r="N15" s="245">
        <f t="shared" si="3"/>
        <v>124557.43242242692</v>
      </c>
      <c r="O15" s="245">
        <f t="shared" si="9"/>
        <v>721.54354706364393</v>
      </c>
      <c r="P15" s="245">
        <f t="shared" si="4"/>
        <v>124557.43242242692</v>
      </c>
      <c r="Q15" s="307">
        <f t="shared" si="8"/>
        <v>0</v>
      </c>
      <c r="S15" s="336">
        <f>(E15*$B$99*C15)*(References!$D$61/References!$H$63)-J15</f>
        <v>0</v>
      </c>
      <c r="V15" s="339"/>
    </row>
    <row r="16" spans="1:22">
      <c r="A16" s="96" t="s">
        <v>407</v>
      </c>
      <c r="B16" s="116">
        <f>'G-48 Price Out'!K15*'G-48 DF Calc'!$D$2</f>
        <v>460.25750916886369</v>
      </c>
      <c r="C16" s="95">
        <f>References!$C$10</f>
        <v>4.333333333333333</v>
      </c>
      <c r="D16" s="242">
        <f t="shared" si="5"/>
        <v>1994.4492063984092</v>
      </c>
      <c r="E16" s="236">
        <f>References!C19</f>
        <v>77</v>
      </c>
      <c r="F16" s="245">
        <f t="shared" si="6"/>
        <v>153572.58889267751</v>
      </c>
      <c r="G16" s="242">
        <f t="shared" si="0"/>
        <v>118750.64691400822</v>
      </c>
      <c r="H16" s="238">
        <f>G16*References!$D$61</f>
        <v>119.93815338314795</v>
      </c>
      <c r="I16" s="339">
        <f>H16/References!$H$63</f>
        <v>122.39836042774564</v>
      </c>
      <c r="J16" s="339">
        <f t="shared" si="1"/>
        <v>0.26593452141340068</v>
      </c>
      <c r="K16" s="339">
        <f>+'Rate Schedule G-48'!C15</f>
        <v>39.479999999999997</v>
      </c>
      <c r="L16" s="339">
        <f t="shared" si="7"/>
        <v>39.745934521413396</v>
      </c>
      <c r="M16" s="245">
        <f t="shared" si="2"/>
        <v>18170.966461986736</v>
      </c>
      <c r="N16" s="245">
        <f t="shared" si="3"/>
        <v>18293.364822414482</v>
      </c>
      <c r="O16" s="245">
        <f t="shared" si="9"/>
        <v>122.3983604277455</v>
      </c>
      <c r="P16" s="245">
        <f t="shared" si="4"/>
        <v>18293.364822414482</v>
      </c>
      <c r="Q16" s="307">
        <f t="shared" si="8"/>
        <v>0</v>
      </c>
      <c r="S16" s="336">
        <f>(E16*$B$99*C16)*(References!$D$61/References!$H$63)-J16</f>
        <v>0</v>
      </c>
      <c r="V16" s="339"/>
    </row>
    <row r="17" spans="1:22">
      <c r="A17" s="96" t="s">
        <v>408</v>
      </c>
      <c r="B17" s="116">
        <f>'G-48 Price Out'!K16*'G-48 DF Calc'!$D$2</f>
        <v>112.125</v>
      </c>
      <c r="C17" s="95">
        <f>References!$C$10</f>
        <v>4.333333333333333</v>
      </c>
      <c r="D17" s="242">
        <f t="shared" si="5"/>
        <v>485.87499999999994</v>
      </c>
      <c r="E17" s="236">
        <f>References!C20</f>
        <v>97</v>
      </c>
      <c r="F17" s="245">
        <f t="shared" si="6"/>
        <v>47129.874999999993</v>
      </c>
      <c r="G17" s="242">
        <f t="shared" si="0"/>
        <v>36443.373036691701</v>
      </c>
      <c r="H17" s="238">
        <f>G17*References!$D$61</f>
        <v>36.807806767058509</v>
      </c>
      <c r="I17" s="339">
        <f>H17/References!$H$63</f>
        <v>37.562819437757433</v>
      </c>
      <c r="J17" s="339">
        <f t="shared" si="1"/>
        <v>0.33500842307921902</v>
      </c>
      <c r="K17" s="339">
        <f>+'Rate Schedule G-48'!C16</f>
        <v>48.11</v>
      </c>
      <c r="L17" s="339">
        <f t="shared" si="7"/>
        <v>48.445008423079216</v>
      </c>
      <c r="M17" s="245">
        <f t="shared" si="2"/>
        <v>5394.3337499999998</v>
      </c>
      <c r="N17" s="245">
        <f t="shared" si="3"/>
        <v>5431.8965694377566</v>
      </c>
      <c r="O17" s="245">
        <f t="shared" si="9"/>
        <v>37.562819437756843</v>
      </c>
      <c r="P17" s="245">
        <f t="shared" si="4"/>
        <v>5431.8965694377566</v>
      </c>
      <c r="Q17" s="307">
        <f t="shared" si="8"/>
        <v>0</v>
      </c>
      <c r="S17" s="336">
        <f>(E17*$B$99*C17)*(References!$D$61/References!$H$63)-J17</f>
        <v>0</v>
      </c>
      <c r="V17" s="339"/>
    </row>
    <row r="18" spans="1:22">
      <c r="A18" s="363" t="s">
        <v>422</v>
      </c>
      <c r="B18" s="364">
        <v>0</v>
      </c>
      <c r="C18" s="335">
        <f>References!$C$10</f>
        <v>4.333333333333333</v>
      </c>
      <c r="D18" s="327">
        <f t="shared" si="5"/>
        <v>0</v>
      </c>
      <c r="E18" s="365">
        <f>References!C21</f>
        <v>117</v>
      </c>
      <c r="F18" s="354"/>
      <c r="G18" s="327"/>
      <c r="H18" s="331"/>
      <c r="I18" s="325"/>
      <c r="J18" s="331">
        <f>(E18*C18*$B$99)*(References!$D$61/References!$H$63)</f>
        <v>0.40408232474503741</v>
      </c>
      <c r="K18" s="331">
        <f>+'Rate Schedule G-48'!C17</f>
        <v>58.3</v>
      </c>
      <c r="L18" s="331">
        <f t="shared" si="7"/>
        <v>58.704082324745038</v>
      </c>
      <c r="M18" s="354">
        <f t="shared" si="2"/>
        <v>0</v>
      </c>
      <c r="N18" s="354">
        <f t="shared" si="3"/>
        <v>0</v>
      </c>
      <c r="O18" s="354">
        <f t="shared" si="9"/>
        <v>0</v>
      </c>
      <c r="P18" s="354">
        <f t="shared" si="4"/>
        <v>0</v>
      </c>
      <c r="Q18" s="333">
        <f t="shared" si="8"/>
        <v>0</v>
      </c>
      <c r="R18" s="92" t="s">
        <v>399</v>
      </c>
      <c r="S18" s="336">
        <f>(E18*$B$99*C18)*(References!$D$61/References!$H$63)-J18</f>
        <v>0</v>
      </c>
      <c r="V18" s="339"/>
    </row>
    <row r="19" spans="1:22">
      <c r="A19" s="96" t="s">
        <v>409</v>
      </c>
      <c r="B19" s="116">
        <f>'G-48 Price Out'!K17*'G-48 DF Calc'!$D$2</f>
        <v>12</v>
      </c>
      <c r="C19" s="95">
        <f>References!$C$10</f>
        <v>4.333333333333333</v>
      </c>
      <c r="D19" s="242">
        <f t="shared" si="5"/>
        <v>52</v>
      </c>
      <c r="E19" s="236">
        <f>References!C22</f>
        <v>137</v>
      </c>
      <c r="F19" s="245">
        <f t="shared" si="6"/>
        <v>7124</v>
      </c>
      <c r="G19" s="242">
        <f>F19*$B$99</f>
        <v>5508.6628070494926</v>
      </c>
      <c r="H19" s="238">
        <f>G19*References!$D$61</f>
        <v>5.5637494351199708</v>
      </c>
      <c r="I19" s="339">
        <f>H19/References!$H$63</f>
        <v>5.677874716930269</v>
      </c>
      <c r="J19" s="339">
        <f t="shared" si="1"/>
        <v>0.47315622641085575</v>
      </c>
      <c r="K19" s="339">
        <f>+'Rate Schedule G-48'!C18</f>
        <v>69.19</v>
      </c>
      <c r="L19" s="339">
        <f t="shared" si="7"/>
        <v>69.663156226410848</v>
      </c>
      <c r="M19" s="245">
        <f t="shared" si="2"/>
        <v>830.28</v>
      </c>
      <c r="N19" s="245">
        <f t="shared" si="3"/>
        <v>835.95787471693018</v>
      </c>
      <c r="O19" s="245">
        <f t="shared" si="9"/>
        <v>5.6778747169302051</v>
      </c>
      <c r="P19" s="245">
        <f t="shared" si="4"/>
        <v>835.95787471693018</v>
      </c>
      <c r="Q19" s="307">
        <f t="shared" si="8"/>
        <v>0</v>
      </c>
      <c r="S19" s="336">
        <f>(E19*$B$99*C19)*(References!$D$61/References!$H$63)-J19</f>
        <v>0</v>
      </c>
      <c r="V19" s="339"/>
    </row>
    <row r="20" spans="1:22">
      <c r="A20" s="96"/>
      <c r="B20" s="116"/>
      <c r="C20" s="95"/>
      <c r="D20" s="242"/>
      <c r="F20" s="245"/>
      <c r="G20" s="242"/>
      <c r="H20" s="95"/>
      <c r="J20" s="339"/>
      <c r="K20" s="339">
        <v>0</v>
      </c>
      <c r="L20" s="339"/>
      <c r="Q20" s="307"/>
      <c r="S20" s="336">
        <f>(E20*$B$99*C20)*(References!$D$61/References!$H$63)-J20</f>
        <v>0</v>
      </c>
    </row>
    <row r="21" spans="1:22">
      <c r="A21" s="228" t="s">
        <v>410</v>
      </c>
      <c r="B21" s="116">
        <f>'G-48 Price Out'!K20*D2</f>
        <v>878.04628336387168</v>
      </c>
      <c r="C21" s="95">
        <f>References!$C$10</f>
        <v>4.333333333333333</v>
      </c>
      <c r="D21" s="242">
        <f t="shared" si="5"/>
        <v>3804.8672279101102</v>
      </c>
      <c r="E21" s="237">
        <f>References!$C$23</f>
        <v>40</v>
      </c>
      <c r="F21" s="245">
        <f t="shared" si="6"/>
        <v>152194.68911640439</v>
      </c>
      <c r="G21" s="242">
        <f>F21*$B$99</f>
        <v>117685.18014682722</v>
      </c>
      <c r="H21" s="238">
        <f>G21*References!$D$61</f>
        <v>118.86203194829514</v>
      </c>
      <c r="I21" s="339">
        <f>H21/References!$H$63</f>
        <v>121.3001652702267</v>
      </c>
      <c r="J21" s="339">
        <f t="shared" ref="J21:J23" si="10">IFERROR((I21/B21),0)</f>
        <v>0.1381478033316367</v>
      </c>
      <c r="K21" s="339">
        <f>+'Rate Schedule G-48'!C20</f>
        <v>35.5</v>
      </c>
      <c r="L21" s="339">
        <f t="shared" si="7"/>
        <v>35.638147803331634</v>
      </c>
      <c r="M21" s="245">
        <f>B21*K21</f>
        <v>31170.643059417445</v>
      </c>
      <c r="N21" s="245">
        <f>B21*L21</f>
        <v>31291.943224687668</v>
      </c>
      <c r="O21" s="245">
        <f>N21-M21</f>
        <v>121.30016527022235</v>
      </c>
      <c r="P21" s="245">
        <f>B21*L21</f>
        <v>31291.943224687668</v>
      </c>
      <c r="Q21" s="307">
        <f t="shared" si="8"/>
        <v>0</v>
      </c>
      <c r="S21" s="336">
        <f>(E21*$B$99*C21)*(References!$D$61/References!$H$63)-J21</f>
        <v>0</v>
      </c>
      <c r="V21" s="339"/>
    </row>
    <row r="22" spans="1:22">
      <c r="A22" s="363" t="s">
        <v>411</v>
      </c>
      <c r="B22" s="364">
        <v>0</v>
      </c>
      <c r="C22" s="335">
        <f>References!$C$10</f>
        <v>4.333333333333333</v>
      </c>
      <c r="D22" s="327">
        <f t="shared" si="5"/>
        <v>0</v>
      </c>
      <c r="E22" s="365">
        <f>References!$C$23*2</f>
        <v>80</v>
      </c>
      <c r="F22" s="354"/>
      <c r="G22" s="327"/>
      <c r="H22" s="331"/>
      <c r="I22" s="333"/>
      <c r="J22" s="331">
        <f>(E22*C22*$B$99)*(References!$D$61/References!$H$63)</f>
        <v>0.27629560666327341</v>
      </c>
      <c r="K22" s="331">
        <f>+'Rate Schedule G-48'!C21</f>
        <v>70.98</v>
      </c>
      <c r="L22" s="331">
        <f t="shared" si="7"/>
        <v>71.256295606663272</v>
      </c>
      <c r="M22" s="354">
        <f>B22*K22</f>
        <v>0</v>
      </c>
      <c r="N22" s="354">
        <f>B22*L22</f>
        <v>0</v>
      </c>
      <c r="O22" s="354">
        <f t="shared" ref="O22:O24" si="11">N22-M22</f>
        <v>0</v>
      </c>
      <c r="P22" s="354">
        <f>B22*L22</f>
        <v>0</v>
      </c>
      <c r="Q22" s="333">
        <f t="shared" si="8"/>
        <v>0</v>
      </c>
      <c r="R22" s="342" t="s">
        <v>399</v>
      </c>
      <c r="S22" s="336">
        <f>(E22*$B$99*C22)*(References!$D$61/References!$H$63)-J22</f>
        <v>0</v>
      </c>
      <c r="V22" s="339"/>
    </row>
    <row r="23" spans="1:22">
      <c r="A23" s="228" t="s">
        <v>412</v>
      </c>
      <c r="B23" s="116">
        <f>'G-48 Price Out'!K21*'G-48 DF Calc'!$D$2</f>
        <v>88.869981069148508</v>
      </c>
      <c r="C23" s="95">
        <f>References!$C$10</f>
        <v>4.333333333333333</v>
      </c>
      <c r="D23" s="242">
        <f t="shared" si="5"/>
        <v>385.10325129964349</v>
      </c>
      <c r="E23" s="237">
        <f>References!$C$24</f>
        <v>47</v>
      </c>
      <c r="F23" s="245">
        <f t="shared" si="6"/>
        <v>18099.852811083245</v>
      </c>
      <c r="G23" s="242">
        <f>F23*$B$99</f>
        <v>13995.786916547511</v>
      </c>
      <c r="H23" s="238">
        <f>G23*References!$D$61</f>
        <v>14.135744785712944</v>
      </c>
      <c r="I23" s="339">
        <f>H23/References!$H$63</f>
        <v>14.425701383521732</v>
      </c>
      <c r="J23" s="339">
        <f t="shared" si="10"/>
        <v>0.16232366891467315</v>
      </c>
      <c r="K23" s="339">
        <f>+'Rate Schedule G-48'!C22</f>
        <v>44.27</v>
      </c>
      <c r="L23" s="339">
        <f t="shared" si="7"/>
        <v>44.432323668914677</v>
      </c>
      <c r="M23" s="245">
        <f>B23*K23</f>
        <v>3934.2740619312049</v>
      </c>
      <c r="N23" s="245">
        <f>B23*L23</f>
        <v>3948.6997633147266</v>
      </c>
      <c r="O23" s="245">
        <f t="shared" si="11"/>
        <v>14.425701383521755</v>
      </c>
      <c r="P23" s="245">
        <f>B23*L23</f>
        <v>3948.6997633147266</v>
      </c>
      <c r="Q23" s="307">
        <f t="shared" si="8"/>
        <v>0</v>
      </c>
      <c r="S23" s="336">
        <f>(E23*$B$99*C23)*(References!$D$61/References!$H$63)-J23</f>
        <v>0</v>
      </c>
      <c r="V23" s="339"/>
    </row>
    <row r="24" spans="1:22">
      <c r="A24" s="363" t="s">
        <v>413</v>
      </c>
      <c r="B24" s="364">
        <v>0</v>
      </c>
      <c r="C24" s="335">
        <f>References!$C$12</f>
        <v>1</v>
      </c>
      <c r="D24" s="327">
        <f t="shared" si="5"/>
        <v>0</v>
      </c>
      <c r="E24" s="365">
        <f>References!$C$24*2</f>
        <v>94</v>
      </c>
      <c r="F24" s="354"/>
      <c r="G24" s="327"/>
      <c r="H24" s="366"/>
      <c r="I24" s="333"/>
      <c r="J24" s="331">
        <f>(E24*C24*$B$99)*(References!$D$61/References!$H$63)</f>
        <v>7.4918616422156831E-2</v>
      </c>
      <c r="K24" s="331">
        <f>+'Rate Schedule G-48'!C23</f>
        <v>37.97</v>
      </c>
      <c r="L24" s="331">
        <f t="shared" si="7"/>
        <v>38.044918616422159</v>
      </c>
      <c r="M24" s="354">
        <f>B24*K24</f>
        <v>0</v>
      </c>
      <c r="N24" s="354">
        <f>B24*L24</f>
        <v>0</v>
      </c>
      <c r="O24" s="354">
        <f t="shared" si="11"/>
        <v>0</v>
      </c>
      <c r="P24" s="354">
        <f>B24*L24</f>
        <v>0</v>
      </c>
      <c r="Q24" s="333">
        <f t="shared" si="8"/>
        <v>0</v>
      </c>
      <c r="R24" s="342" t="s">
        <v>399</v>
      </c>
      <c r="S24" s="336">
        <f>(E24*$B$99*C24)*(References!$D$61/References!$H$63)-J24</f>
        <v>0</v>
      </c>
      <c r="V24" s="339"/>
    </row>
    <row r="25" spans="1:22">
      <c r="A25" s="96"/>
      <c r="B25" s="116"/>
      <c r="C25" s="95"/>
      <c r="D25" s="242"/>
      <c r="E25" s="235"/>
      <c r="F25" s="245"/>
      <c r="G25" s="242"/>
      <c r="H25" s="95"/>
      <c r="J25" s="307"/>
      <c r="K25" s="339"/>
      <c r="L25" s="339"/>
      <c r="Q25" s="307"/>
      <c r="S25" s="336">
        <f>(E25*$B$99*C25)*(References!$D$61/References!$H$63)-J25</f>
        <v>0</v>
      </c>
    </row>
    <row r="26" spans="1:22">
      <c r="A26" s="308" t="s">
        <v>416</v>
      </c>
      <c r="B26" s="315"/>
      <c r="C26" s="310"/>
      <c r="D26" s="311"/>
      <c r="E26" s="312"/>
      <c r="F26" s="353"/>
      <c r="G26" s="311"/>
      <c r="H26" s="310"/>
      <c r="I26" s="314"/>
      <c r="J26" s="316"/>
      <c r="K26" s="316"/>
      <c r="L26" s="316"/>
      <c r="M26" s="353"/>
      <c r="N26" s="353"/>
      <c r="O26" s="353"/>
      <c r="P26" s="353"/>
      <c r="Q26" s="316"/>
      <c r="S26" s="336">
        <f>(E26*$B$99*C26)*(References!$D$61/References!$H$63)-J26</f>
        <v>0</v>
      </c>
    </row>
    <row r="27" spans="1:22">
      <c r="A27" s="96" t="s">
        <v>247</v>
      </c>
      <c r="B27" s="116">
        <f>SUM('G-48 Price Out'!K23)*'G-48 DF Calc'!D2</f>
        <v>5013.0004678180194</v>
      </c>
      <c r="C27" s="95">
        <f>+References!$C$13</f>
        <v>1</v>
      </c>
      <c r="D27" s="242">
        <f t="shared" si="5"/>
        <v>5013.0004678180194</v>
      </c>
      <c r="E27" s="236">
        <f>References!C27</f>
        <v>34</v>
      </c>
      <c r="F27" s="245">
        <f t="shared" si="6"/>
        <v>170442.01590581267</v>
      </c>
      <c r="G27" s="242">
        <f>F27*$B$99</f>
        <v>131795.00193415052</v>
      </c>
      <c r="H27" s="238">
        <f>G27*References!$D$61</f>
        <v>133.11295195349163</v>
      </c>
      <c r="I27" s="339">
        <f>H27/References!$H$63</f>
        <v>135.84340438156102</v>
      </c>
      <c r="J27" s="339">
        <f t="shared" ref="J27:J30" si="12">IFERROR((I27/B27),0)</f>
        <v>2.7098222961205669E-2</v>
      </c>
      <c r="K27" s="339">
        <f>+'Rate Schedule G-48'!C26</f>
        <v>5.1100000000000003</v>
      </c>
      <c r="L27" s="339">
        <f t="shared" si="7"/>
        <v>5.1370982229612059</v>
      </c>
      <c r="M27" s="245">
        <f>B27*K27</f>
        <v>25616.432390550082</v>
      </c>
      <c r="N27" s="245">
        <f>B27*L27</f>
        <v>25752.27579493164</v>
      </c>
      <c r="O27" s="245">
        <f>N27-M27</f>
        <v>135.84340438155778</v>
      </c>
      <c r="P27" s="245">
        <f>B27*L27</f>
        <v>25752.27579493164</v>
      </c>
      <c r="Q27" s="307">
        <f t="shared" si="8"/>
        <v>0</v>
      </c>
      <c r="S27" s="336">
        <f>(E27*$B$99*C27)*(References!$D$61/References!$H$63)-J27</f>
        <v>0</v>
      </c>
      <c r="V27" s="339"/>
    </row>
    <row r="28" spans="1:22">
      <c r="A28" s="363" t="s">
        <v>248</v>
      </c>
      <c r="B28" s="364">
        <v>0</v>
      </c>
      <c r="C28" s="335">
        <f>+References!$C$13</f>
        <v>1</v>
      </c>
      <c r="D28" s="327">
        <f t="shared" si="5"/>
        <v>0</v>
      </c>
      <c r="E28" s="365">
        <f>References!$C$23</f>
        <v>40</v>
      </c>
      <c r="F28" s="354"/>
      <c r="G28" s="327"/>
      <c r="H28" s="331"/>
      <c r="I28" s="333"/>
      <c r="J28" s="331">
        <f>(E28*C28*$B$99)*(References!$D$61/References!$H$63)</f>
        <v>3.1880262307300782E-2</v>
      </c>
      <c r="K28" s="331">
        <f>+'Rate Schedule G-48'!C27</f>
        <v>9.48</v>
      </c>
      <c r="L28" s="331">
        <f>J28+K28</f>
        <v>9.5118802623073009</v>
      </c>
      <c r="M28" s="354">
        <f>B28*K28</f>
        <v>0</v>
      </c>
      <c r="N28" s="354">
        <f>B28*L28</f>
        <v>0</v>
      </c>
      <c r="O28" s="354">
        <f t="shared" ref="O28:O29" si="13">N28-M28</f>
        <v>0</v>
      </c>
      <c r="P28" s="354">
        <f>B28*L28</f>
        <v>0</v>
      </c>
      <c r="Q28" s="333">
        <f t="shared" si="8"/>
        <v>0</v>
      </c>
      <c r="R28" s="342" t="s">
        <v>399</v>
      </c>
      <c r="S28" s="336">
        <f>(E28*$B$99*C28)*(References!$D$61/References!$H$63)-J28</f>
        <v>0</v>
      </c>
      <c r="V28" s="339"/>
    </row>
    <row r="29" spans="1:22">
      <c r="A29" s="363" t="s">
        <v>249</v>
      </c>
      <c r="B29" s="364">
        <v>0</v>
      </c>
      <c r="C29" s="335">
        <f>+References!$C$13</f>
        <v>1</v>
      </c>
      <c r="D29" s="327">
        <f t="shared" si="5"/>
        <v>0</v>
      </c>
      <c r="E29" s="365">
        <f>References!$C$24</f>
        <v>47</v>
      </c>
      <c r="F29" s="354"/>
      <c r="G29" s="327"/>
      <c r="H29" s="366"/>
      <c r="I29" s="333"/>
      <c r="J29" s="331">
        <f>(E29*C29*$B$99)*(References!$D$61/References!$H$63)</f>
        <v>3.7459308211078415E-2</v>
      </c>
      <c r="K29" s="331">
        <f>+'Rate Schedule G-48'!C28</f>
        <v>11.5</v>
      </c>
      <c r="L29" s="331">
        <f t="shared" si="7"/>
        <v>11.537459308211078</v>
      </c>
      <c r="M29" s="354">
        <f>B29*K29</f>
        <v>0</v>
      </c>
      <c r="N29" s="354">
        <f>B29*L29</f>
        <v>0</v>
      </c>
      <c r="O29" s="354">
        <f t="shared" si="13"/>
        <v>0</v>
      </c>
      <c r="P29" s="354">
        <f>B29*L29</f>
        <v>0</v>
      </c>
      <c r="Q29" s="333">
        <f t="shared" si="8"/>
        <v>0</v>
      </c>
      <c r="R29" s="342" t="s">
        <v>399</v>
      </c>
      <c r="S29" s="336">
        <f>(E29*$B$99*C29)*(References!$D$61/References!$H$63)-J29</f>
        <v>0</v>
      </c>
      <c r="V29" s="339"/>
    </row>
    <row r="30" spans="1:22">
      <c r="A30" s="96" t="s">
        <v>250</v>
      </c>
      <c r="B30" s="116">
        <f>'G-48 Price Out'!K22*'G-48 DF Calc'!D2</f>
        <v>455.8640619089648</v>
      </c>
      <c r="C30" s="95">
        <f>+References!$C$13</f>
        <v>1</v>
      </c>
      <c r="D30" s="242">
        <f>+B30*C30</f>
        <v>455.8640619089648</v>
      </c>
      <c r="E30" s="235">
        <f>References!C27</f>
        <v>34</v>
      </c>
      <c r="F30" s="245">
        <f t="shared" si="6"/>
        <v>15499.378104904803</v>
      </c>
      <c r="G30" s="242">
        <f>F30*$B$99</f>
        <v>11984.958969523628</v>
      </c>
      <c r="H30" s="238">
        <f>G30*References!$D$61</f>
        <v>12.104808559218828</v>
      </c>
      <c r="I30" s="339">
        <f>H30/References!$H$63</f>
        <v>12.353105989609988</v>
      </c>
      <c r="J30" s="339">
        <f t="shared" si="12"/>
        <v>2.7098222961205658E-2</v>
      </c>
      <c r="K30" s="339">
        <f>+'Rate Schedule G-48'!C29</f>
        <v>6.94</v>
      </c>
      <c r="L30" s="339">
        <f>J30+K30</f>
        <v>6.967098222961206</v>
      </c>
      <c r="M30" s="245">
        <f>B30*K30</f>
        <v>3163.6965896482161</v>
      </c>
      <c r="N30" s="245">
        <f>B30*L30</f>
        <v>3176.0496956378256</v>
      </c>
      <c r="O30" s="245">
        <f>N30-M30</f>
        <v>12.353105989609503</v>
      </c>
      <c r="P30" s="245">
        <f>B30*L30</f>
        <v>3176.0496956378256</v>
      </c>
      <c r="Q30" s="307">
        <f>N30-P30</f>
        <v>0</v>
      </c>
      <c r="S30" s="336">
        <f>(E30*$B$99*C30)*(References!$D$61/References!$H$63)-J30</f>
        <v>0</v>
      </c>
      <c r="V30" s="339"/>
    </row>
    <row r="31" spans="1:22">
      <c r="A31" s="328" t="s">
        <v>390</v>
      </c>
      <c r="B31" s="323">
        <f>+(SUM('G-48 Price Out'!K12:K25)*12)-SUM(B8:B30)</f>
        <v>0</v>
      </c>
      <c r="C31" s="335"/>
      <c r="D31" s="327"/>
      <c r="E31" s="326"/>
      <c r="F31" s="354"/>
      <c r="G31" s="327"/>
      <c r="H31" s="335"/>
      <c r="I31" s="334"/>
      <c r="J31" s="333"/>
      <c r="K31" s="333"/>
      <c r="L31" s="333"/>
      <c r="M31" s="354"/>
      <c r="N31" s="354"/>
      <c r="O31" s="354"/>
      <c r="P31" s="354"/>
      <c r="Q31" s="334"/>
    </row>
    <row r="32" spans="1:22" s="342" customFormat="1">
      <c r="A32" s="332" t="s">
        <v>396</v>
      </c>
      <c r="B32" s="322">
        <f>SUM(B7:B30)</f>
        <v>25049.692950300388</v>
      </c>
      <c r="C32" s="322"/>
      <c r="D32" s="322">
        <f t="shared" ref="D32:I32" si="14">SUM(D7:D30)</f>
        <v>85725.469066360471</v>
      </c>
      <c r="E32" s="322">
        <f t="shared" si="14"/>
        <v>1051</v>
      </c>
      <c r="F32" s="322">
        <f t="shared" si="14"/>
        <v>3363396.3769060592</v>
      </c>
      <c r="G32" s="322">
        <f t="shared" si="14"/>
        <v>2600760.321003289</v>
      </c>
      <c r="H32" s="322">
        <f t="shared" si="14"/>
        <v>2626.7679242133136</v>
      </c>
      <c r="I32" s="322">
        <f t="shared" si="14"/>
        <v>2680.6489684797561</v>
      </c>
      <c r="J32" s="321"/>
      <c r="K32" s="321"/>
      <c r="L32" s="321"/>
      <c r="M32" s="322">
        <f>SUM(M7:M30)</f>
        <v>500746.16664523579</v>
      </c>
      <c r="N32" s="322">
        <f>SUM(N7:N30)</f>
        <v>503426.81561371556</v>
      </c>
      <c r="O32" s="322">
        <f>SUM(O7:O30)</f>
        <v>2680.648968479722</v>
      </c>
      <c r="P32" s="322">
        <f>SUM(P7:P30)</f>
        <v>503426.81561371556</v>
      </c>
      <c r="Q32" s="322">
        <f>SUM(Q7:Q30)</f>
        <v>0</v>
      </c>
      <c r="U32" s="336"/>
    </row>
    <row r="33" spans="1:22" s="342" customFormat="1">
      <c r="A33" s="361"/>
      <c r="B33" s="362"/>
      <c r="C33" s="362"/>
      <c r="D33" s="362"/>
      <c r="E33" s="362"/>
      <c r="F33" s="362"/>
      <c r="G33" s="362"/>
      <c r="H33" s="362"/>
      <c r="I33" s="362"/>
      <c r="J33" s="339"/>
      <c r="K33" s="339"/>
      <c r="L33" s="339"/>
      <c r="M33" s="362"/>
      <c r="N33" s="362"/>
      <c r="O33" s="362"/>
      <c r="P33" s="362"/>
      <c r="Q33" s="362"/>
      <c r="U33" s="336"/>
    </row>
    <row r="34" spans="1:22" s="342" customFormat="1" ht="15" customHeight="1">
      <c r="A34" s="398" t="s">
        <v>423</v>
      </c>
      <c r="B34" s="398"/>
      <c r="C34" s="398"/>
      <c r="D34" s="398"/>
      <c r="E34" s="398"/>
      <c r="F34" s="358"/>
      <c r="G34" s="359"/>
      <c r="H34" s="359"/>
      <c r="I34" s="359"/>
      <c r="J34" s="359"/>
      <c r="K34" s="359"/>
      <c r="L34" s="359"/>
      <c r="M34" s="369"/>
      <c r="N34" s="369"/>
      <c r="O34" s="369"/>
      <c r="P34" s="369"/>
      <c r="Q34" s="359"/>
      <c r="U34" s="336"/>
    </row>
    <row r="35" spans="1:22">
      <c r="A35" s="308" t="s">
        <v>417</v>
      </c>
      <c r="B35" s="315"/>
      <c r="C35" s="310"/>
      <c r="D35" s="311"/>
      <c r="E35" s="312"/>
      <c r="F35" s="317"/>
      <c r="G35" s="313"/>
      <c r="H35" s="310"/>
      <c r="I35" s="314"/>
      <c r="J35" s="314"/>
      <c r="K35" s="314"/>
      <c r="L35" s="314"/>
      <c r="M35" s="353"/>
      <c r="N35" s="353"/>
      <c r="O35" s="353"/>
      <c r="P35" s="353"/>
      <c r="Q35" s="314"/>
    </row>
    <row r="36" spans="1:22">
      <c r="A36" s="96" t="s">
        <v>251</v>
      </c>
      <c r="B36" s="116">
        <f>('G-48 Price Out'!K27*'G-48 DF Calc'!D2)+'G-48 Price Out'!V76</f>
        <v>27.131071229983625</v>
      </c>
      <c r="C36" s="95">
        <f>+References!$C$13</f>
        <v>1</v>
      </c>
      <c r="D36" s="242">
        <f t="shared" ref="D36" si="15">+B36*C36</f>
        <v>27.131071229983625</v>
      </c>
      <c r="E36" s="236">
        <f>References!$C$30</f>
        <v>125</v>
      </c>
      <c r="F36" s="241">
        <f>D36*E36</f>
        <v>3391.3839037479534</v>
      </c>
      <c r="G36" s="238">
        <f>F36*$B$99</f>
        <v>2622.4017932345123</v>
      </c>
      <c r="H36" s="238">
        <f>G36*References!$D$61</f>
        <v>2.6486258111668497</v>
      </c>
      <c r="I36" s="339">
        <f>H36/References!$H$63</f>
        <v>2.7029552109060617</v>
      </c>
      <c r="J36" s="339">
        <f>IFERROR((I36/D36),0)</f>
        <v>9.962581971031495E-2</v>
      </c>
      <c r="K36" s="339">
        <f>+'Rate Schedule G-48'!C32</f>
        <v>19.98</v>
      </c>
      <c r="L36" s="339">
        <f>J36+K36</f>
        <v>20.079625819710316</v>
      </c>
      <c r="M36" s="245">
        <f t="shared" ref="M36:M41" si="16">D36*K36</f>
        <v>542.07880317507284</v>
      </c>
      <c r="N36" s="245">
        <f t="shared" ref="N36:N41" si="17">D36*L36</f>
        <v>544.78175838597895</v>
      </c>
      <c r="O36" s="245">
        <f>N36-M36</f>
        <v>2.7029552109061115</v>
      </c>
      <c r="P36" s="245">
        <f t="shared" ref="P36:P41" si="18">D36*L36</f>
        <v>544.78175838597895</v>
      </c>
      <c r="Q36" s="307">
        <f>N36-P36</f>
        <v>0</v>
      </c>
      <c r="S36" s="336">
        <f>(E36*$B$99*C36)*(References!$D$61/References!$H$63)-J36</f>
        <v>0</v>
      </c>
      <c r="V36" s="339"/>
    </row>
    <row r="37" spans="1:22">
      <c r="A37" s="363" t="s">
        <v>252</v>
      </c>
      <c r="B37" s="364">
        <v>0</v>
      </c>
      <c r="C37" s="364">
        <f>+References!$C$13</f>
        <v>1</v>
      </c>
      <c r="D37" s="327">
        <v>0</v>
      </c>
      <c r="E37" s="365">
        <f>References!$C$30</f>
        <v>125</v>
      </c>
      <c r="F37" s="325"/>
      <c r="G37" s="331"/>
      <c r="H37" s="331"/>
      <c r="I37" s="333"/>
      <c r="J37" s="331">
        <f>(E37*C37*$B$99)*(References!$D$61/References!$H$63)</f>
        <v>9.962581971031495E-2</v>
      </c>
      <c r="K37" s="331">
        <f>+'Rate Schedule G-48'!C33</f>
        <v>19.98</v>
      </c>
      <c r="L37" s="331">
        <f t="shared" ref="L37:L41" si="19">J37+K37</f>
        <v>20.079625819710316</v>
      </c>
      <c r="M37" s="354">
        <f t="shared" si="16"/>
        <v>0</v>
      </c>
      <c r="N37" s="354">
        <f t="shared" si="17"/>
        <v>0</v>
      </c>
      <c r="O37" s="354">
        <f t="shared" ref="O37:O41" si="20">N37-M37</f>
        <v>0</v>
      </c>
      <c r="P37" s="354">
        <f t="shared" si="18"/>
        <v>0</v>
      </c>
      <c r="Q37" s="333">
        <f t="shared" ref="Q37:Q41" si="21">N37-P37</f>
        <v>0</v>
      </c>
      <c r="R37" s="342" t="s">
        <v>399</v>
      </c>
      <c r="S37" s="336">
        <f>(E37*$B$99*C37)*(References!$D$61/References!$H$63)-J37</f>
        <v>0</v>
      </c>
    </row>
    <row r="38" spans="1:22">
      <c r="A38" s="363" t="s">
        <v>253</v>
      </c>
      <c r="B38" s="364">
        <v>0</v>
      </c>
      <c r="C38" s="364">
        <f>+References!$C$13</f>
        <v>1</v>
      </c>
      <c r="D38" s="327">
        <v>0</v>
      </c>
      <c r="E38" s="365">
        <f>References!$C$30</f>
        <v>125</v>
      </c>
      <c r="F38" s="325"/>
      <c r="G38" s="331"/>
      <c r="H38" s="331"/>
      <c r="I38" s="333"/>
      <c r="J38" s="331">
        <f>(E38*C38*$B$99)*(References!$D$61/References!$H$63)</f>
        <v>9.962581971031495E-2</v>
      </c>
      <c r="K38" s="331">
        <f>+'Rate Schedule G-48'!C34</f>
        <v>19.98</v>
      </c>
      <c r="L38" s="331">
        <f t="shared" si="19"/>
        <v>20.079625819710316</v>
      </c>
      <c r="M38" s="354">
        <f t="shared" si="16"/>
        <v>0</v>
      </c>
      <c r="N38" s="354">
        <f t="shared" si="17"/>
        <v>0</v>
      </c>
      <c r="O38" s="354">
        <f t="shared" si="20"/>
        <v>0</v>
      </c>
      <c r="P38" s="354">
        <f t="shared" si="18"/>
        <v>0</v>
      </c>
      <c r="Q38" s="333">
        <f t="shared" si="21"/>
        <v>0</v>
      </c>
      <c r="R38" s="342" t="s">
        <v>399</v>
      </c>
      <c r="S38" s="336">
        <f>(E38*$B$99*C38)*(References!$D$61/References!$H$63)-J38</f>
        <v>0</v>
      </c>
    </row>
    <row r="39" spans="1:22">
      <c r="A39" s="363" t="s">
        <v>254</v>
      </c>
      <c r="B39" s="364">
        <v>0</v>
      </c>
      <c r="C39" s="364">
        <f>+References!$C$13</f>
        <v>1</v>
      </c>
      <c r="D39" s="327">
        <v>0</v>
      </c>
      <c r="E39" s="365">
        <f>References!$C$30</f>
        <v>125</v>
      </c>
      <c r="F39" s="325"/>
      <c r="G39" s="331"/>
      <c r="H39" s="331"/>
      <c r="I39" s="333"/>
      <c r="J39" s="331">
        <f>(E39*C39*$B$99)*(References!$D$61/References!$H$63)</f>
        <v>9.962581971031495E-2</v>
      </c>
      <c r="K39" s="331">
        <f>+'Rate Schedule G-48'!C35</f>
        <v>19.98</v>
      </c>
      <c r="L39" s="331">
        <f t="shared" si="19"/>
        <v>20.079625819710316</v>
      </c>
      <c r="M39" s="354">
        <f t="shared" si="16"/>
        <v>0</v>
      </c>
      <c r="N39" s="354">
        <f t="shared" si="17"/>
        <v>0</v>
      </c>
      <c r="O39" s="354">
        <f t="shared" si="20"/>
        <v>0</v>
      </c>
      <c r="P39" s="354">
        <f t="shared" si="18"/>
        <v>0</v>
      </c>
      <c r="Q39" s="333">
        <f t="shared" si="21"/>
        <v>0</v>
      </c>
      <c r="R39" s="342" t="s">
        <v>399</v>
      </c>
      <c r="S39" s="336">
        <f>(E39*$B$99*C39)*(References!$D$61/References!$H$63)-J39</f>
        <v>0</v>
      </c>
    </row>
    <row r="40" spans="1:22">
      <c r="A40" s="363" t="s">
        <v>255</v>
      </c>
      <c r="B40" s="364">
        <v>0</v>
      </c>
      <c r="C40" s="364">
        <f>+References!$C$13</f>
        <v>1</v>
      </c>
      <c r="D40" s="327">
        <v>0</v>
      </c>
      <c r="E40" s="365">
        <f>References!$C$30</f>
        <v>125</v>
      </c>
      <c r="F40" s="325"/>
      <c r="G40" s="331"/>
      <c r="H40" s="331"/>
      <c r="I40" s="333"/>
      <c r="J40" s="331">
        <f>(E40*C40*$B$99)*(References!$D$61/References!$H$63)</f>
        <v>9.962581971031495E-2</v>
      </c>
      <c r="K40" s="331">
        <f>+'Rate Schedule G-48'!C36</f>
        <v>19.98</v>
      </c>
      <c r="L40" s="331">
        <f t="shared" si="19"/>
        <v>20.079625819710316</v>
      </c>
      <c r="M40" s="354">
        <f t="shared" si="16"/>
        <v>0</v>
      </c>
      <c r="N40" s="354">
        <f t="shared" si="17"/>
        <v>0</v>
      </c>
      <c r="O40" s="354">
        <f t="shared" si="20"/>
        <v>0</v>
      </c>
      <c r="P40" s="354">
        <f t="shared" si="18"/>
        <v>0</v>
      </c>
      <c r="Q40" s="333">
        <f t="shared" si="21"/>
        <v>0</v>
      </c>
      <c r="R40" s="342" t="s">
        <v>399</v>
      </c>
      <c r="S40" s="336">
        <f>(E40*$B$99*C40)*(References!$D$61/References!$H$63)-J40</f>
        <v>0</v>
      </c>
    </row>
    <row r="41" spans="1:22">
      <c r="A41" s="363" t="s">
        <v>255</v>
      </c>
      <c r="B41" s="364">
        <v>0</v>
      </c>
      <c r="C41" s="364">
        <f>+References!$C$13</f>
        <v>1</v>
      </c>
      <c r="D41" s="327">
        <v>0</v>
      </c>
      <c r="E41" s="365">
        <f>References!$C$30</f>
        <v>125</v>
      </c>
      <c r="F41" s="325"/>
      <c r="G41" s="331"/>
      <c r="H41" s="331"/>
      <c r="I41" s="333"/>
      <c r="J41" s="331">
        <f>(E41*C41*$B$99)*(References!$D$61/References!$H$63)</f>
        <v>9.962581971031495E-2</v>
      </c>
      <c r="K41" s="331">
        <f>+'Rate Schedule G-48'!C37</f>
        <v>19.98</v>
      </c>
      <c r="L41" s="331">
        <f t="shared" si="19"/>
        <v>20.079625819710316</v>
      </c>
      <c r="M41" s="354">
        <f t="shared" si="16"/>
        <v>0</v>
      </c>
      <c r="N41" s="354">
        <f t="shared" si="17"/>
        <v>0</v>
      </c>
      <c r="O41" s="354">
        <f t="shared" si="20"/>
        <v>0</v>
      </c>
      <c r="P41" s="354">
        <f t="shared" si="18"/>
        <v>0</v>
      </c>
      <c r="Q41" s="333">
        <f t="shared" si="21"/>
        <v>0</v>
      </c>
      <c r="R41" s="342" t="s">
        <v>399</v>
      </c>
      <c r="S41" s="336">
        <f>(E41*$B$99*C41)*(References!$D$61/References!$H$63)-J41</f>
        <v>0</v>
      </c>
    </row>
    <row r="42" spans="1:22">
      <c r="A42" s="96"/>
      <c r="B42" s="116"/>
      <c r="C42" s="95"/>
      <c r="D42" s="242"/>
      <c r="E42" s="235"/>
      <c r="G42" s="238"/>
      <c r="H42" s="95"/>
      <c r="J42" s="203"/>
    </row>
    <row r="43" spans="1:22">
      <c r="A43" s="308" t="s">
        <v>256</v>
      </c>
      <c r="B43" s="315"/>
      <c r="C43" s="310"/>
      <c r="D43" s="311"/>
      <c r="E43" s="312"/>
      <c r="F43" s="317"/>
      <c r="G43" s="313"/>
      <c r="H43" s="310"/>
      <c r="I43" s="314"/>
      <c r="J43" s="314"/>
      <c r="K43" s="314"/>
      <c r="L43" s="314"/>
      <c r="M43" s="353"/>
      <c r="N43" s="353"/>
      <c r="O43" s="353"/>
      <c r="P43" s="353"/>
      <c r="Q43" s="314"/>
    </row>
    <row r="44" spans="1:22">
      <c r="A44" s="96" t="s">
        <v>257</v>
      </c>
      <c r="B44" s="116"/>
      <c r="C44" s="95"/>
      <c r="D44" s="242"/>
      <c r="E44" s="235"/>
      <c r="G44" s="238"/>
      <c r="H44" s="95"/>
    </row>
    <row r="45" spans="1:22">
      <c r="A45" s="96" t="s">
        <v>258</v>
      </c>
      <c r="B45" s="116"/>
      <c r="C45" s="116">
        <f>+References!$C$13</f>
        <v>1</v>
      </c>
      <c r="D45" s="116">
        <f>+SUM('G-48 Price Out'!$U$40:$U$43)</f>
        <v>2527.6515505815332</v>
      </c>
      <c r="E45" s="235">
        <f>References!C31</f>
        <v>175</v>
      </c>
      <c r="F45" s="241">
        <f t="shared" si="6"/>
        <v>442339.02135176829</v>
      </c>
      <c r="G45" s="238">
        <f>F45*$B$99</f>
        <v>342040.49902121804</v>
      </c>
      <c r="H45" s="238">
        <f>G45*References!$D$61</f>
        <v>345.46090401142919</v>
      </c>
      <c r="I45" s="339">
        <f>H45/References!$H$63</f>
        <v>352.54710073622738</v>
      </c>
      <c r="J45" s="339">
        <f t="shared" ref="J45:J49" si="22">IFERROR((I45/D45),0)</f>
        <v>0.13947614759444091</v>
      </c>
      <c r="K45" s="339">
        <f>+'Rate Schedule G-48'!C44</f>
        <v>19.04</v>
      </c>
      <c r="L45" s="339">
        <f t="shared" ref="L45:L49" si="23">J45+K45</f>
        <v>19.179476147594439</v>
      </c>
      <c r="M45" s="245">
        <f>D45*K45</f>
        <v>48126.485523072392</v>
      </c>
      <c r="N45" s="245">
        <f>D45*L45</f>
        <v>48479.032623808613</v>
      </c>
      <c r="O45" s="245">
        <f>N45-M45</f>
        <v>352.54710073622118</v>
      </c>
      <c r="P45" s="245">
        <f>D45*L45</f>
        <v>48479.032623808613</v>
      </c>
      <c r="Q45" s="307">
        <f>N45-P45</f>
        <v>0</v>
      </c>
      <c r="R45" s="339"/>
      <c r="S45" s="336">
        <f>(E45*$B$99*C45)*(References!$D$61/References!$H$63)-J45</f>
        <v>0</v>
      </c>
      <c r="T45" s="336"/>
      <c r="V45" s="339"/>
    </row>
    <row r="46" spans="1:22">
      <c r="A46" s="96" t="s">
        <v>259</v>
      </c>
      <c r="B46" s="242"/>
      <c r="C46" s="116">
        <f>+References!$C$13</f>
        <v>1</v>
      </c>
      <c r="D46" s="242">
        <f>+SUM('G-48 Price Out'!$U$44:$U$48)</f>
        <v>2443.143160977414</v>
      </c>
      <c r="E46" s="235">
        <f>References!C32</f>
        <v>250</v>
      </c>
      <c r="F46" s="241">
        <f t="shared" si="6"/>
        <v>610785.79024435347</v>
      </c>
      <c r="G46" s="238">
        <f>F46*$B$99</f>
        <v>472292.66785421147</v>
      </c>
      <c r="H46" s="238">
        <f>G46*References!$D$61</f>
        <v>477.01559453275217</v>
      </c>
      <c r="I46" s="339">
        <f>H46/References!$H$63</f>
        <v>486.80028016404958</v>
      </c>
      <c r="J46" s="339">
        <f t="shared" si="22"/>
        <v>0.19925163942062987</v>
      </c>
      <c r="K46" s="339">
        <f>+'Rate Schedule G-48'!C45</f>
        <v>28.05</v>
      </c>
      <c r="L46" s="339">
        <f t="shared" si="23"/>
        <v>28.249251639420631</v>
      </c>
      <c r="M46" s="245">
        <f>D46*K46</f>
        <v>68530.165665416469</v>
      </c>
      <c r="N46" s="245">
        <f>D46*L46</f>
        <v>69016.965945580523</v>
      </c>
      <c r="O46" s="245">
        <f t="shared" ref="O46:O49" si="24">N46-M46</f>
        <v>486.80028016405413</v>
      </c>
      <c r="P46" s="245">
        <f>D46*L46</f>
        <v>69016.965945580523</v>
      </c>
      <c r="Q46" s="307">
        <f t="shared" ref="Q46:Q49" si="25">N46-P46</f>
        <v>0</v>
      </c>
      <c r="R46" s="339"/>
      <c r="S46" s="336">
        <f>(E46*$B$99*C46)*(References!$D$61/References!$H$63)-J46</f>
        <v>0</v>
      </c>
      <c r="V46" s="339"/>
    </row>
    <row r="47" spans="1:22">
      <c r="A47" s="96" t="s">
        <v>260</v>
      </c>
      <c r="B47" s="242"/>
      <c r="C47" s="116">
        <f>+References!$C$13</f>
        <v>1</v>
      </c>
      <c r="D47" s="242">
        <f>SUM('G-48 Price Out'!$U$49:$U$60)</f>
        <v>7071.2705479981996</v>
      </c>
      <c r="E47" s="235">
        <f>References!C33</f>
        <v>324</v>
      </c>
      <c r="F47" s="241">
        <f t="shared" si="6"/>
        <v>2291091.6575514167</v>
      </c>
      <c r="G47" s="238">
        <f>F47*$B$99</f>
        <v>1771596.2102042197</v>
      </c>
      <c r="H47" s="238">
        <f>G47*References!$D$61</f>
        <v>1789.3121723062566</v>
      </c>
      <c r="I47" s="339">
        <f>H47/References!$H$63</f>
        <v>1826.0150753201924</v>
      </c>
      <c r="J47" s="339">
        <f t="shared" si="22"/>
        <v>0.25823012468913631</v>
      </c>
      <c r="K47" s="339">
        <f>+'Rate Schedule G-48'!C46</f>
        <v>36.630000000000003</v>
      </c>
      <c r="L47" s="339">
        <f t="shared" si="23"/>
        <v>36.888230124689137</v>
      </c>
      <c r="M47" s="245">
        <f>D47*K47</f>
        <v>259020.64017317406</v>
      </c>
      <c r="N47" s="245">
        <f>D47*L47</f>
        <v>260846.65524849427</v>
      </c>
      <c r="O47" s="245">
        <f t="shared" si="24"/>
        <v>1826.0150753202033</v>
      </c>
      <c r="P47" s="245">
        <f>D47*L47</f>
        <v>260846.65524849427</v>
      </c>
      <c r="Q47" s="307">
        <f t="shared" si="25"/>
        <v>0</v>
      </c>
      <c r="R47" s="339"/>
      <c r="S47" s="336">
        <f>(E47*$B$99*C47)*(References!$D$61/References!$H$63)-J47</f>
        <v>0</v>
      </c>
      <c r="V47" s="339"/>
    </row>
    <row r="48" spans="1:22">
      <c r="A48" s="363" t="s">
        <v>261</v>
      </c>
      <c r="B48" s="364"/>
      <c r="C48" s="364">
        <f>+References!$C$13</f>
        <v>1</v>
      </c>
      <c r="D48" s="327">
        <v>0</v>
      </c>
      <c r="E48" s="326">
        <f>References!C34</f>
        <v>473</v>
      </c>
      <c r="F48" s="325"/>
      <c r="G48" s="331"/>
      <c r="H48" s="331"/>
      <c r="I48" s="333"/>
      <c r="J48" s="331">
        <f>(E48*$B$99)*(References!$D$61/References!$H$63)</f>
        <v>0.37698410178383179</v>
      </c>
      <c r="K48" s="331">
        <f>+'Rate Schedule G-48'!C47</f>
        <v>49.97</v>
      </c>
      <c r="L48" s="331">
        <f t="shared" si="23"/>
        <v>50.346984101783832</v>
      </c>
      <c r="M48" s="354">
        <f>D48*K48</f>
        <v>0</v>
      </c>
      <c r="N48" s="354">
        <f>D48*L48</f>
        <v>0</v>
      </c>
      <c r="O48" s="354">
        <f t="shared" si="24"/>
        <v>0</v>
      </c>
      <c r="P48" s="354">
        <f>D48*L48</f>
        <v>0</v>
      </c>
      <c r="Q48" s="333">
        <f t="shared" si="25"/>
        <v>0</v>
      </c>
      <c r="R48" s="342" t="s">
        <v>399</v>
      </c>
      <c r="S48" s="336">
        <f>(E48*$B$99*C48)*(References!$D$61/References!$H$63)-J48</f>
        <v>0</v>
      </c>
      <c r="V48" s="339"/>
    </row>
    <row r="49" spans="1:22">
      <c r="A49" s="96" t="s">
        <v>262</v>
      </c>
      <c r="B49" s="242"/>
      <c r="C49" s="116">
        <f>+References!$C$13</f>
        <v>1</v>
      </c>
      <c r="D49" s="242">
        <f>SUM('G-48 Price Out'!$U$61:$U$62)</f>
        <v>103.88664254658502</v>
      </c>
      <c r="E49" s="235">
        <f>References!C35</f>
        <v>613</v>
      </c>
      <c r="F49" s="241">
        <f t="shared" si="6"/>
        <v>63682.51188105662</v>
      </c>
      <c r="G49" s="238">
        <f>F49*$B$99</f>
        <v>49242.768761743966</v>
      </c>
      <c r="H49" s="238">
        <f>G49*References!$D$61</f>
        <v>49.735196449361261</v>
      </c>
      <c r="I49" s="339">
        <f>H49/References!$H$63</f>
        <v>50.755379578897092</v>
      </c>
      <c r="J49" s="339">
        <f t="shared" si="22"/>
        <v>0.4885650198593845</v>
      </c>
      <c r="K49" s="339">
        <f>+'Rate Schedule G-48'!C48</f>
        <v>61.83</v>
      </c>
      <c r="L49" s="339">
        <f t="shared" si="23"/>
        <v>62.318565019859385</v>
      </c>
      <c r="M49" s="245">
        <f>D49*K49</f>
        <v>6423.3111086553517</v>
      </c>
      <c r="N49" s="245">
        <f>D49*L49</f>
        <v>6474.0664882342489</v>
      </c>
      <c r="O49" s="245">
        <f t="shared" si="24"/>
        <v>50.755379578897191</v>
      </c>
      <c r="P49" s="245">
        <f>D49*L49</f>
        <v>6474.0664882342489</v>
      </c>
      <c r="Q49" s="307">
        <f t="shared" si="25"/>
        <v>0</v>
      </c>
      <c r="R49" s="339"/>
      <c r="S49" s="336">
        <f>(E49*$B$99*C49)*(References!$D$61/References!$H$63)-J49</f>
        <v>0</v>
      </c>
      <c r="V49" s="339"/>
    </row>
    <row r="50" spans="1:22">
      <c r="A50" s="96"/>
      <c r="B50" s="116"/>
      <c r="C50" s="95"/>
      <c r="D50" s="242"/>
      <c r="E50" s="235"/>
      <c r="G50" s="238"/>
      <c r="H50" s="95"/>
      <c r="Q50" s="307"/>
      <c r="R50" s="339"/>
      <c r="S50" s="336">
        <f>(E50*$B$99*C50)*(References!$D$61/References!$H$63)-J50</f>
        <v>0</v>
      </c>
    </row>
    <row r="51" spans="1:22">
      <c r="A51" s="96" t="s">
        <v>263</v>
      </c>
      <c r="B51" s="116"/>
      <c r="C51" s="95"/>
      <c r="D51" s="242"/>
      <c r="E51" s="235"/>
      <c r="G51" s="238"/>
      <c r="H51" s="95"/>
      <c r="R51" s="339"/>
      <c r="S51" s="336">
        <f>(E51*$B$99*C51)*(References!$D$61/References!$H$63)-J51</f>
        <v>0</v>
      </c>
      <c r="V51" s="339"/>
    </row>
    <row r="52" spans="1:22">
      <c r="A52" s="96" t="s">
        <v>258</v>
      </c>
      <c r="B52" s="242"/>
      <c r="C52" s="116">
        <f>+References!$C$13</f>
        <v>1</v>
      </c>
      <c r="D52" s="242">
        <f>'G-48 Price Out'!U73</f>
        <v>27.737435567010309</v>
      </c>
      <c r="E52" s="235">
        <f>References!C31</f>
        <v>175</v>
      </c>
      <c r="F52" s="241">
        <f t="shared" si="6"/>
        <v>4854.0512242268042</v>
      </c>
      <c r="G52" s="238">
        <f>F52*$B$99</f>
        <v>3753.4154186427922</v>
      </c>
      <c r="H52" s="238">
        <f>G52*References!$D$61</f>
        <v>3.7909495728292089</v>
      </c>
      <c r="I52" s="339">
        <f>H52/References!$H$63</f>
        <v>3.8687106570356251</v>
      </c>
      <c r="J52" s="339">
        <f t="shared" ref="J52:J54" si="26">IFERROR((I52/D52),0)</f>
        <v>0.13947614759444094</v>
      </c>
      <c r="K52" s="339">
        <f>+'Rate Schedule G-48'!C51</f>
        <v>26.25</v>
      </c>
      <c r="L52" s="339">
        <f>J52+K52</f>
        <v>26.38947614759444</v>
      </c>
      <c r="M52" s="245">
        <f>D52*K52</f>
        <v>728.10768363402065</v>
      </c>
      <c r="N52" s="245">
        <f>D52*L52</f>
        <v>731.97639429105618</v>
      </c>
      <c r="O52" s="245">
        <f>N52-M52</f>
        <v>3.8687106570355354</v>
      </c>
      <c r="P52" s="245">
        <f>D52*L52</f>
        <v>731.97639429105618</v>
      </c>
      <c r="Q52" s="307">
        <f>N52-P52</f>
        <v>0</v>
      </c>
      <c r="R52" s="339"/>
      <c r="S52" s="336">
        <f>(E52*$B$99*C52)*(References!$D$61/References!$H$63)-J52</f>
        <v>0</v>
      </c>
      <c r="V52" s="339"/>
    </row>
    <row r="53" spans="1:22">
      <c r="A53" s="96" t="s">
        <v>259</v>
      </c>
      <c r="B53" s="242"/>
      <c r="C53" s="116">
        <f>+References!$C$13</f>
        <v>1</v>
      </c>
      <c r="D53" s="242">
        <f>'G-48 Price Out'!U74</f>
        <v>111.17479556074764</v>
      </c>
      <c r="E53" s="235">
        <f>References!C32</f>
        <v>250</v>
      </c>
      <c r="F53" s="241">
        <f t="shared" si="6"/>
        <v>27793.698890186912</v>
      </c>
      <c r="G53" s="238">
        <f>F53*$B$99</f>
        <v>21491.593956584136</v>
      </c>
      <c r="H53" s="238">
        <f>G53*References!$D$61</f>
        <v>21.706509896149914</v>
      </c>
      <c r="I53" s="339">
        <f>H53/References!$H$63</f>
        <v>22.151760277732333</v>
      </c>
      <c r="J53" s="339">
        <f t="shared" si="26"/>
        <v>0.19925163942062987</v>
      </c>
      <c r="K53" s="339">
        <f>+'Rate Schedule G-48'!C52</f>
        <v>38.590000000000003</v>
      </c>
      <c r="L53" s="339">
        <f t="shared" ref="L53:L56" si="27">J53+K53</f>
        <v>38.789251639420634</v>
      </c>
      <c r="M53" s="245">
        <f>D53*K53</f>
        <v>4290.235360689252</v>
      </c>
      <c r="N53" s="245">
        <f>D53*L53</f>
        <v>4312.3871209669842</v>
      </c>
      <c r="O53" s="245">
        <f t="shared" ref="O53:O56" si="28">N53-M53</f>
        <v>22.151760277732137</v>
      </c>
      <c r="P53" s="245">
        <f>D53*L53</f>
        <v>4312.3871209669842</v>
      </c>
      <c r="Q53" s="307">
        <f t="shared" ref="Q53:Q56" si="29">N53-P53</f>
        <v>0</v>
      </c>
      <c r="R53" s="339"/>
      <c r="S53" s="336">
        <f>(E53*$B$99*C53)*(References!$D$61/References!$H$63)-J53</f>
        <v>0</v>
      </c>
      <c r="V53" s="339"/>
    </row>
    <row r="54" spans="1:22">
      <c r="A54" s="96" t="s">
        <v>260</v>
      </c>
      <c r="B54" s="242"/>
      <c r="C54" s="116">
        <f>+References!$C$13</f>
        <v>1</v>
      </c>
      <c r="D54" s="242">
        <f>'G-48 Price Out'!U75</f>
        <v>120.68992678056357</v>
      </c>
      <c r="E54" s="235">
        <f>References!C33</f>
        <v>324</v>
      </c>
      <c r="F54" s="241">
        <f t="shared" si="6"/>
        <v>39103.536276902596</v>
      </c>
      <c r="G54" s="238">
        <f>F54*$B$99</f>
        <v>30236.97303659235</v>
      </c>
      <c r="H54" s="238">
        <f>G54*References!$D$61</f>
        <v>30.539342766958182</v>
      </c>
      <c r="I54" s="339">
        <f>H54/References!$H$63</f>
        <v>31.165774841267663</v>
      </c>
      <c r="J54" s="339">
        <f t="shared" si="26"/>
        <v>0.25823012468913631</v>
      </c>
      <c r="K54" s="339">
        <f>+'Rate Schedule G-48'!C53</f>
        <v>50.79</v>
      </c>
      <c r="L54" s="339">
        <f t="shared" si="27"/>
        <v>51.048230124689134</v>
      </c>
      <c r="M54" s="245">
        <f>D54*K54</f>
        <v>6129.8413811848231</v>
      </c>
      <c r="N54" s="245">
        <f>D54*L54</f>
        <v>6161.0071560260913</v>
      </c>
      <c r="O54" s="245">
        <f t="shared" si="28"/>
        <v>31.165774841268103</v>
      </c>
      <c r="P54" s="245">
        <f>D54*L54</f>
        <v>6161.0071560260913</v>
      </c>
      <c r="Q54" s="307">
        <f t="shared" si="29"/>
        <v>0</v>
      </c>
      <c r="R54" s="339"/>
      <c r="S54" s="336">
        <f>(E54*$B$99*C54)*(References!$D$61/References!$H$63)-J54</f>
        <v>0</v>
      </c>
      <c r="V54" s="339"/>
    </row>
    <row r="55" spans="1:22">
      <c r="A55" s="363" t="s">
        <v>261</v>
      </c>
      <c r="B55" s="364"/>
      <c r="C55" s="364">
        <f>+References!$C$13</f>
        <v>1</v>
      </c>
      <c r="D55" s="327">
        <v>0</v>
      </c>
      <c r="E55" s="326">
        <f>References!C34</f>
        <v>473</v>
      </c>
      <c r="F55" s="325"/>
      <c r="G55" s="331"/>
      <c r="H55" s="331"/>
      <c r="I55" s="333"/>
      <c r="J55" s="331">
        <f>(E55*$B$99)*(References!$D$61/References!$H$63)</f>
        <v>0.37698410178383179</v>
      </c>
      <c r="K55" s="331">
        <f>+'Rate Schedule G-48'!C54</f>
        <v>65.66</v>
      </c>
      <c r="L55" s="331">
        <f t="shared" si="27"/>
        <v>66.03698410178383</v>
      </c>
      <c r="M55" s="354">
        <f>D55*K55</f>
        <v>0</v>
      </c>
      <c r="N55" s="354">
        <f>D55*L55</f>
        <v>0</v>
      </c>
      <c r="O55" s="354">
        <f t="shared" si="28"/>
        <v>0</v>
      </c>
      <c r="P55" s="354">
        <f>D55*L55</f>
        <v>0</v>
      </c>
      <c r="Q55" s="333">
        <f t="shared" si="29"/>
        <v>0</v>
      </c>
      <c r="R55" s="342" t="s">
        <v>399</v>
      </c>
      <c r="S55" s="336">
        <f>(E55*$B$99*C55)*(References!$D$61/References!$H$63)-J55</f>
        <v>0</v>
      </c>
      <c r="V55" s="339"/>
    </row>
    <row r="56" spans="1:22">
      <c r="A56" s="363" t="s">
        <v>262</v>
      </c>
      <c r="B56" s="364"/>
      <c r="C56" s="364">
        <f>+References!$C$13</f>
        <v>1</v>
      </c>
      <c r="D56" s="327">
        <v>0</v>
      </c>
      <c r="E56" s="326">
        <f>References!C35</f>
        <v>613</v>
      </c>
      <c r="F56" s="325"/>
      <c r="G56" s="331"/>
      <c r="H56" s="331"/>
      <c r="I56" s="333"/>
      <c r="J56" s="331">
        <f>(E56*$B$99)*(References!$D$61/References!$H$63)</f>
        <v>0.4885650198593845</v>
      </c>
      <c r="K56" s="331">
        <f>+'Rate Schedule G-48'!C55</f>
        <v>78.59</v>
      </c>
      <c r="L56" s="331">
        <f t="shared" si="27"/>
        <v>79.078565019859383</v>
      </c>
      <c r="M56" s="354">
        <f>D56*K56</f>
        <v>0</v>
      </c>
      <c r="N56" s="354">
        <f>D56*L56</f>
        <v>0</v>
      </c>
      <c r="O56" s="354">
        <f t="shared" si="28"/>
        <v>0</v>
      </c>
      <c r="P56" s="354">
        <f>D56*L56</f>
        <v>0</v>
      </c>
      <c r="Q56" s="333">
        <f t="shared" si="29"/>
        <v>0</v>
      </c>
      <c r="R56" s="342" t="s">
        <v>399</v>
      </c>
      <c r="S56" s="336">
        <f>(E56*$B$99*C56)*(References!$D$61/References!$H$63)-J56</f>
        <v>0</v>
      </c>
      <c r="V56" s="339"/>
    </row>
    <row r="57" spans="1:22">
      <c r="A57" s="96"/>
      <c r="B57" s="116"/>
      <c r="C57" s="95"/>
      <c r="D57" s="242"/>
      <c r="E57" s="235"/>
      <c r="G57" s="238"/>
      <c r="H57" s="95"/>
      <c r="Q57" s="307"/>
      <c r="R57" s="339"/>
      <c r="S57" s="336">
        <f>(E57*$B$99*C57)*(References!$D$61/References!$H$63)-J57</f>
        <v>0</v>
      </c>
    </row>
    <row r="58" spans="1:22">
      <c r="A58" s="96" t="s">
        <v>264</v>
      </c>
      <c r="B58" s="116"/>
      <c r="C58" s="95"/>
      <c r="D58" s="242"/>
      <c r="E58" s="235"/>
      <c r="G58" s="238"/>
      <c r="H58" s="95"/>
      <c r="R58" s="339"/>
      <c r="S58" s="336">
        <f>(E58*$B$99*C58)*(References!$D$61/References!$H$63)-J58</f>
        <v>0</v>
      </c>
    </row>
    <row r="59" spans="1:22">
      <c r="A59" s="96" t="s">
        <v>258</v>
      </c>
      <c r="B59" s="242"/>
      <c r="C59" s="116">
        <f>+References!$C$13</f>
        <v>1</v>
      </c>
      <c r="D59" s="242">
        <f>'G-48 Price Out'!U64</f>
        <v>12</v>
      </c>
      <c r="E59" s="235">
        <f>References!C31</f>
        <v>175</v>
      </c>
      <c r="F59" s="241">
        <f t="shared" si="6"/>
        <v>2100</v>
      </c>
      <c r="G59" s="238">
        <f>F59*$B$99</f>
        <v>1623.8337864688285</v>
      </c>
      <c r="H59" s="238">
        <f>G59*References!$D$61</f>
        <v>1.6400721243335119</v>
      </c>
      <c r="I59" s="339">
        <f>H59/References!$H$63</f>
        <v>1.673713771133291</v>
      </c>
      <c r="J59" s="339">
        <f t="shared" ref="J59:J60" si="30">IFERROR((I59/D59),0)</f>
        <v>0.13947614759444091</v>
      </c>
      <c r="K59" s="339">
        <f>+'Rate Schedule G-48'!C58</f>
        <v>26.25</v>
      </c>
      <c r="L59" s="339">
        <f t="shared" ref="L59:L63" si="31">J59+K59</f>
        <v>26.38947614759444</v>
      </c>
      <c r="M59" s="245">
        <f>D59*K59</f>
        <v>315</v>
      </c>
      <c r="N59" s="245">
        <f>D59*L59</f>
        <v>316.67371377113329</v>
      </c>
      <c r="O59" s="245">
        <f t="shared" ref="O59" si="32">N59-M59</f>
        <v>1.6737137711332934</v>
      </c>
      <c r="P59" s="245">
        <f>D59*L59</f>
        <v>316.67371377113329</v>
      </c>
      <c r="Q59" s="307">
        <f>N59-P59</f>
        <v>0</v>
      </c>
      <c r="R59" s="339"/>
      <c r="S59" s="336">
        <f>(E59*$B$99*C59)*(References!$D$61/References!$H$63)-J59</f>
        <v>0</v>
      </c>
      <c r="V59" s="339"/>
    </row>
    <row r="60" spans="1:22">
      <c r="A60" s="96" t="s">
        <v>259</v>
      </c>
      <c r="B60" s="242"/>
      <c r="C60" s="116">
        <f>+References!$C$13</f>
        <v>1</v>
      </c>
      <c r="D60" s="242">
        <f>'G-48 Price Out'!U63</f>
        <v>1.5</v>
      </c>
      <c r="E60" s="235">
        <f>References!C32</f>
        <v>250</v>
      </c>
      <c r="F60" s="241">
        <f t="shared" si="6"/>
        <v>375</v>
      </c>
      <c r="G60" s="238">
        <f>F60*$B$99</f>
        <v>289.97031901229082</v>
      </c>
      <c r="H60" s="238">
        <f>G60*References!$D$61</f>
        <v>0.29287002220241287</v>
      </c>
      <c r="I60" s="339">
        <f>H60/References!$H$63</f>
        <v>0.29887745913094488</v>
      </c>
      <c r="J60" s="339">
        <f t="shared" si="30"/>
        <v>0.19925163942062993</v>
      </c>
      <c r="K60" s="339">
        <f>+'Rate Schedule G-48'!C59</f>
        <v>38.590000000000003</v>
      </c>
      <c r="L60" s="339">
        <f t="shared" si="31"/>
        <v>38.789251639420634</v>
      </c>
      <c r="M60" s="245">
        <f>D60*K60</f>
        <v>57.885000000000005</v>
      </c>
      <c r="N60" s="245">
        <f>D60*L60</f>
        <v>58.183877459130954</v>
      </c>
      <c r="O60" s="245">
        <f t="shared" ref="O60:O63" si="33">N60-M60</f>
        <v>0.29887745913094932</v>
      </c>
      <c r="P60" s="245">
        <f>D60*L60</f>
        <v>58.183877459130954</v>
      </c>
      <c r="Q60" s="307">
        <f t="shared" ref="Q60:Q63" si="34">N60-P60</f>
        <v>0</v>
      </c>
      <c r="R60" s="339"/>
      <c r="S60" s="336">
        <f>(E60*$B$99*C60)*(References!$D$61/References!$H$63)-J60</f>
        <v>0</v>
      </c>
      <c r="V60" s="339"/>
    </row>
    <row r="61" spans="1:22">
      <c r="A61" s="363" t="s">
        <v>260</v>
      </c>
      <c r="B61" s="364"/>
      <c r="C61" s="364">
        <f>+References!$C$13</f>
        <v>1</v>
      </c>
      <c r="D61" s="327">
        <v>0</v>
      </c>
      <c r="E61" s="326">
        <f>References!C33</f>
        <v>324</v>
      </c>
      <c r="F61" s="325"/>
      <c r="G61" s="331"/>
      <c r="H61" s="331"/>
      <c r="I61" s="333"/>
      <c r="J61" s="331">
        <f>(E61*$B$99)*(References!$D$61/References!$H$63)</f>
        <v>0.25823012468913636</v>
      </c>
      <c r="K61" s="331">
        <f>+'Rate Schedule G-48'!C60</f>
        <v>50.79</v>
      </c>
      <c r="L61" s="331">
        <f t="shared" si="31"/>
        <v>51.048230124689134</v>
      </c>
      <c r="M61" s="354">
        <f>D61*K61</f>
        <v>0</v>
      </c>
      <c r="N61" s="354">
        <f>D61*L61</f>
        <v>0</v>
      </c>
      <c r="O61" s="354">
        <f t="shared" si="33"/>
        <v>0</v>
      </c>
      <c r="P61" s="354">
        <f>D61*L61</f>
        <v>0</v>
      </c>
      <c r="Q61" s="333">
        <f t="shared" si="34"/>
        <v>0</v>
      </c>
      <c r="R61" s="342" t="s">
        <v>399</v>
      </c>
      <c r="S61" s="336">
        <f>(E61*$B$99*C61)*(References!$D$61/References!$H$63)-J61</f>
        <v>0</v>
      </c>
      <c r="V61" s="339"/>
    </row>
    <row r="62" spans="1:22">
      <c r="A62" s="363" t="s">
        <v>261</v>
      </c>
      <c r="B62" s="364"/>
      <c r="C62" s="364">
        <f>+References!$C$13</f>
        <v>1</v>
      </c>
      <c r="D62" s="327">
        <v>0</v>
      </c>
      <c r="E62" s="326">
        <f>References!C34</f>
        <v>473</v>
      </c>
      <c r="F62" s="325"/>
      <c r="G62" s="331"/>
      <c r="H62" s="331"/>
      <c r="I62" s="333"/>
      <c r="J62" s="331">
        <f>(E62*$B$99)*(References!$D$61/References!$H$63)</f>
        <v>0.37698410178383179</v>
      </c>
      <c r="K62" s="331">
        <f>+'Rate Schedule G-48'!C61</f>
        <v>65.66</v>
      </c>
      <c r="L62" s="331">
        <f t="shared" si="31"/>
        <v>66.03698410178383</v>
      </c>
      <c r="M62" s="354">
        <f>D62*K62</f>
        <v>0</v>
      </c>
      <c r="N62" s="354">
        <f>D62*L62</f>
        <v>0</v>
      </c>
      <c r="O62" s="354">
        <f t="shared" si="33"/>
        <v>0</v>
      </c>
      <c r="P62" s="354">
        <f>D62*L62</f>
        <v>0</v>
      </c>
      <c r="Q62" s="333">
        <f t="shared" si="34"/>
        <v>0</v>
      </c>
      <c r="R62" s="342" t="s">
        <v>399</v>
      </c>
      <c r="S62" s="336">
        <f>(E62*$B$99*C62)*(References!$D$61/References!$H$63)-J62</f>
        <v>0</v>
      </c>
      <c r="V62" s="339"/>
    </row>
    <row r="63" spans="1:22">
      <c r="A63" s="363" t="s">
        <v>262</v>
      </c>
      <c r="B63" s="364"/>
      <c r="C63" s="364">
        <f>+References!$C$13</f>
        <v>1</v>
      </c>
      <c r="D63" s="327">
        <v>0</v>
      </c>
      <c r="E63" s="326">
        <f>References!C35</f>
        <v>613</v>
      </c>
      <c r="F63" s="325"/>
      <c r="G63" s="331"/>
      <c r="H63" s="331"/>
      <c r="I63" s="333"/>
      <c r="J63" s="331">
        <f>(E63*$B$99)*(References!$D$61/References!$H$63)</f>
        <v>0.4885650198593845</v>
      </c>
      <c r="K63" s="331">
        <f>+'Rate Schedule G-48'!C62</f>
        <v>78.59</v>
      </c>
      <c r="L63" s="331">
        <f t="shared" si="31"/>
        <v>79.078565019859383</v>
      </c>
      <c r="M63" s="354">
        <f>D63*K63</f>
        <v>0</v>
      </c>
      <c r="N63" s="354">
        <f>D63*L63</f>
        <v>0</v>
      </c>
      <c r="O63" s="354">
        <f t="shared" si="33"/>
        <v>0</v>
      </c>
      <c r="P63" s="354">
        <f>D63*L63</f>
        <v>0</v>
      </c>
      <c r="Q63" s="333">
        <f t="shared" si="34"/>
        <v>0</v>
      </c>
      <c r="R63" s="342" t="s">
        <v>399</v>
      </c>
      <c r="S63" s="336">
        <f>(E63*$B$99*C63)*(References!$D$61/References!$H$63)-J63</f>
        <v>0</v>
      </c>
      <c r="V63" s="339"/>
    </row>
    <row r="64" spans="1:22">
      <c r="A64" s="96"/>
      <c r="B64" s="116"/>
      <c r="C64" s="95"/>
      <c r="D64" s="242"/>
      <c r="E64" s="235"/>
      <c r="G64" s="238"/>
      <c r="H64" s="95"/>
      <c r="R64" s="339"/>
    </row>
    <row r="65" spans="1:22">
      <c r="A65" s="308" t="s">
        <v>265</v>
      </c>
      <c r="B65" s="315"/>
      <c r="C65" s="310"/>
      <c r="D65" s="311"/>
      <c r="E65" s="312"/>
      <c r="F65" s="317"/>
      <c r="G65" s="313"/>
      <c r="H65" s="310"/>
      <c r="I65" s="314"/>
      <c r="J65" s="314"/>
      <c r="K65" s="314"/>
      <c r="L65" s="314"/>
      <c r="M65" s="353"/>
      <c r="N65" s="353"/>
      <c r="O65" s="353"/>
      <c r="P65" s="353"/>
      <c r="Q65" s="314"/>
    </row>
    <row r="66" spans="1:22">
      <c r="A66" s="96" t="s">
        <v>419</v>
      </c>
      <c r="B66" s="116">
        <v>0</v>
      </c>
      <c r="C66" s="116">
        <f>+References!$C$13</f>
        <v>1</v>
      </c>
      <c r="D66" s="242">
        <f>SUM('G-48 Price Out'!U66:U69)</f>
        <v>1104.3528064020697</v>
      </c>
      <c r="E66" s="236">
        <f>References!$C$29</f>
        <v>29</v>
      </c>
      <c r="F66" s="241">
        <f t="shared" si="6"/>
        <v>32026.231385660023</v>
      </c>
      <c r="G66" s="238">
        <f t="shared" ref="G66:G71" si="35">F66*$B$99</f>
        <v>24764.417417763405</v>
      </c>
      <c r="H66" s="238">
        <f>G66*References!$D$61</f>
        <v>25.012061591940967</v>
      </c>
      <c r="I66" s="339">
        <f>H66/References!$H$63</f>
        <v>25.525116432228764</v>
      </c>
      <c r="J66" s="339">
        <f t="shared" ref="J66:J71" si="36">IFERROR((I66/D66),0)</f>
        <v>2.3113190172793067E-2</v>
      </c>
      <c r="K66" s="339">
        <f>+'Rate Schedule G-48'!C65</f>
        <v>4.97</v>
      </c>
      <c r="L66" s="339">
        <f t="shared" ref="L66:L84" si="37">J66+K66</f>
        <v>4.9931131901727932</v>
      </c>
      <c r="M66" s="245">
        <f>D66*K66</f>
        <v>5488.6334478182862</v>
      </c>
      <c r="N66" s="245">
        <f>D66*L66</f>
        <v>5514.1585642505152</v>
      </c>
      <c r="O66" s="245">
        <f t="shared" ref="O66" si="38">N66-M66</f>
        <v>25.52511643222897</v>
      </c>
      <c r="P66" s="245">
        <f>D66*L66</f>
        <v>5514.1585642505152</v>
      </c>
      <c r="Q66" s="307">
        <f>N66-P66</f>
        <v>0</v>
      </c>
      <c r="S66" s="336">
        <f>(E66*$B$99*C66)*(References!$D$61/References!$H$63)-J66</f>
        <v>0</v>
      </c>
      <c r="V66" s="339"/>
    </row>
    <row r="67" spans="1:22">
      <c r="A67" s="363" t="s">
        <v>420</v>
      </c>
      <c r="B67" s="364">
        <v>0</v>
      </c>
      <c r="C67" s="364">
        <f>+References!$C$13</f>
        <v>1</v>
      </c>
      <c r="D67" s="327">
        <v>0</v>
      </c>
      <c r="E67" s="365">
        <f>References!$C$29</f>
        <v>29</v>
      </c>
      <c r="F67" s="325">
        <f t="shared" si="6"/>
        <v>0</v>
      </c>
      <c r="G67" s="331">
        <f t="shared" si="35"/>
        <v>0</v>
      </c>
      <c r="H67" s="331">
        <f>G67*References!$D$61</f>
        <v>0</v>
      </c>
      <c r="I67" s="333">
        <f>H67/References!$H$63</f>
        <v>0</v>
      </c>
      <c r="J67" s="331">
        <f>(E67*$B$99)*(References!$D$61/References!$H$63)</f>
        <v>2.311319017279307E-2</v>
      </c>
      <c r="K67" s="331">
        <f>+'Rate Schedule G-48'!C66</f>
        <v>4.97</v>
      </c>
      <c r="L67" s="331">
        <f t="shared" si="37"/>
        <v>4.9931131901727932</v>
      </c>
      <c r="M67" s="354">
        <f>D67*K67</f>
        <v>0</v>
      </c>
      <c r="N67" s="354">
        <f>D67*L67</f>
        <v>0</v>
      </c>
      <c r="O67" s="354">
        <f t="shared" ref="O67:O71" si="39">N67-M67</f>
        <v>0</v>
      </c>
      <c r="P67" s="354">
        <f>D67*L67</f>
        <v>0</v>
      </c>
      <c r="Q67" s="333">
        <f t="shared" ref="Q67:Q71" si="40">N67-P67</f>
        <v>0</v>
      </c>
      <c r="R67" s="342" t="s">
        <v>399</v>
      </c>
      <c r="S67" s="336">
        <f>(E67*$B$99*C67)*(References!$D$61/References!$H$63)-J67</f>
        <v>0</v>
      </c>
      <c r="V67" s="339"/>
    </row>
    <row r="68" spans="1:22">
      <c r="A68" s="96" t="s">
        <v>421</v>
      </c>
      <c r="B68" s="116">
        <f>'G-48 Price Out'!V65</f>
        <v>482.53340415241178</v>
      </c>
      <c r="C68" s="95">
        <f>References!$C$10</f>
        <v>4.333333333333333</v>
      </c>
      <c r="D68" s="242">
        <f t="shared" ref="D68" si="41">+B68*C68</f>
        <v>2090.9780846604508</v>
      </c>
      <c r="E68" s="236">
        <f>References!$C$29</f>
        <v>29</v>
      </c>
      <c r="F68" s="241">
        <f t="shared" si="6"/>
        <v>60638.364455153074</v>
      </c>
      <c r="G68" s="238">
        <f t="shared" si="35"/>
        <v>46888.869027851448</v>
      </c>
      <c r="H68" s="238">
        <f>G68*References!$D$61</f>
        <v>47.357757718129825</v>
      </c>
      <c r="I68" s="339">
        <f>H68/References!$H$63</f>
        <v>48.329174117899605</v>
      </c>
      <c r="J68" s="339">
        <f>IFERROR((I68/B68),0)</f>
        <v>0.10015715741543663</v>
      </c>
      <c r="K68" s="339">
        <f>+'Rate Schedule G-48'!C67</f>
        <v>21.57</v>
      </c>
      <c r="L68" s="339">
        <f t="shared" si="37"/>
        <v>21.670157157415439</v>
      </c>
      <c r="M68" s="245">
        <f>B68*K68</f>
        <v>10408.245527567522</v>
      </c>
      <c r="N68" s="245">
        <f>B68*L68</f>
        <v>10456.574701685422</v>
      </c>
      <c r="O68" s="245">
        <f t="shared" si="39"/>
        <v>48.329174117900038</v>
      </c>
      <c r="P68" s="245">
        <f>B68*L68</f>
        <v>10456.574701685422</v>
      </c>
      <c r="Q68" s="307">
        <f t="shared" si="40"/>
        <v>0</v>
      </c>
      <c r="S68" s="336">
        <f>(E68*$B$99*C68)*(References!$D$61/References!$H$63)-J68</f>
        <v>0</v>
      </c>
      <c r="V68" s="339"/>
    </row>
    <row r="69" spans="1:22">
      <c r="A69" s="96" t="s">
        <v>267</v>
      </c>
      <c r="B69" s="116">
        <v>0</v>
      </c>
      <c r="C69" s="116">
        <f>+References!$C$13</f>
        <v>1</v>
      </c>
      <c r="D69" s="242">
        <f>'G-48 Price Out'!U72</f>
        <v>9.6520371731597194</v>
      </c>
      <c r="E69" s="236">
        <f>References!$C$29</f>
        <v>29</v>
      </c>
      <c r="F69" s="241">
        <f t="shared" si="6"/>
        <v>279.90907802163184</v>
      </c>
      <c r="G69" s="238">
        <f t="shared" si="35"/>
        <v>216.44086572898343</v>
      </c>
      <c r="H69" s="238">
        <f>G69*References!$D$61</f>
        <v>0.21860527438627261</v>
      </c>
      <c r="I69" s="339">
        <f>H69/References!$H$63</f>
        <v>0.22308937073810861</v>
      </c>
      <c r="J69" s="339">
        <f t="shared" si="36"/>
        <v>2.3113190172793067E-2</v>
      </c>
      <c r="K69" s="339">
        <f>+'Rate Schedule G-48'!C68</f>
        <v>6</v>
      </c>
      <c r="L69" s="339">
        <f t="shared" si="37"/>
        <v>6.0231131901727935</v>
      </c>
      <c r="M69" s="245">
        <f>D69*K69</f>
        <v>57.912223038958317</v>
      </c>
      <c r="N69" s="245">
        <f>D69*L69</f>
        <v>58.135312409696432</v>
      </c>
      <c r="O69" s="245">
        <f t="shared" si="39"/>
        <v>0.22308937073811563</v>
      </c>
      <c r="P69" s="245">
        <f>D69*L69</f>
        <v>58.135312409696432</v>
      </c>
      <c r="Q69" s="307">
        <f t="shared" si="40"/>
        <v>0</v>
      </c>
      <c r="S69" s="336">
        <f>(E69*$B$99*C69)*(References!$D$61/References!$H$63)-J69</f>
        <v>0</v>
      </c>
      <c r="V69" s="339"/>
    </row>
    <row r="70" spans="1:22">
      <c r="A70" s="363" t="s">
        <v>268</v>
      </c>
      <c r="B70" s="364">
        <v>0</v>
      </c>
      <c r="C70" s="364">
        <f>+References!$C$13</f>
        <v>1</v>
      </c>
      <c r="D70" s="327"/>
      <c r="E70" s="365">
        <f>References!$C$29</f>
        <v>29</v>
      </c>
      <c r="F70" s="325">
        <f t="shared" si="6"/>
        <v>0</v>
      </c>
      <c r="G70" s="331">
        <f t="shared" si="35"/>
        <v>0</v>
      </c>
      <c r="H70" s="331">
        <f>G70*References!$D$61</f>
        <v>0</v>
      </c>
      <c r="I70" s="333">
        <f>H70/References!$H$63</f>
        <v>0</v>
      </c>
      <c r="J70" s="331">
        <f>(E70*$B$99)*(References!$D$61/References!$H$63)</f>
        <v>2.311319017279307E-2</v>
      </c>
      <c r="K70" s="331">
        <f>+'Rate Schedule G-48'!C69</f>
        <v>4.97</v>
      </c>
      <c r="L70" s="331">
        <f t="shared" si="37"/>
        <v>4.9931131901727932</v>
      </c>
      <c r="M70" s="354">
        <f>D70*K70</f>
        <v>0</v>
      </c>
      <c r="N70" s="354">
        <f>D70*L70</f>
        <v>0</v>
      </c>
      <c r="O70" s="354">
        <f t="shared" si="39"/>
        <v>0</v>
      </c>
      <c r="P70" s="354">
        <f>D70*L70</f>
        <v>0</v>
      </c>
      <c r="Q70" s="333">
        <f t="shared" si="40"/>
        <v>0</v>
      </c>
      <c r="R70" s="342" t="s">
        <v>399</v>
      </c>
      <c r="S70" s="336">
        <f>(E70*$B$99*C70)*(References!$D$61/References!$H$63)-J70</f>
        <v>0</v>
      </c>
      <c r="V70" s="339"/>
    </row>
    <row r="71" spans="1:22">
      <c r="A71" s="96" t="s">
        <v>269</v>
      </c>
      <c r="B71" s="242"/>
      <c r="C71" s="116">
        <f>+References!$C$13</f>
        <v>1</v>
      </c>
      <c r="D71" s="242">
        <f>'G-48 Price Out'!U71</f>
        <v>312.45903746113822</v>
      </c>
      <c r="E71" s="236">
        <f>References!$C$29</f>
        <v>29</v>
      </c>
      <c r="F71" s="241">
        <f t="shared" si="6"/>
        <v>9061.3120863730092</v>
      </c>
      <c r="G71" s="238">
        <f t="shared" si="35"/>
        <v>7006.6974836146874</v>
      </c>
      <c r="H71" s="238">
        <f>G71*References!$D$61</f>
        <v>7.0767644584508131</v>
      </c>
      <c r="I71" s="339">
        <f>H71/References!$H$63</f>
        <v>7.2219251540471614</v>
      </c>
      <c r="J71" s="339">
        <f t="shared" si="36"/>
        <v>2.311319017279307E-2</v>
      </c>
      <c r="K71" s="339">
        <f>+'Rate Schedule G-48'!C70</f>
        <v>4.97</v>
      </c>
      <c r="L71" s="339">
        <f t="shared" si="37"/>
        <v>4.9931131901727932</v>
      </c>
      <c r="M71" s="245">
        <f>D71*K71</f>
        <v>1552.9214161818568</v>
      </c>
      <c r="N71" s="245">
        <f>D71*L71</f>
        <v>1560.1433413359041</v>
      </c>
      <c r="O71" s="245">
        <f t="shared" si="39"/>
        <v>7.2219251540473124</v>
      </c>
      <c r="P71" s="245">
        <f>D71*L71</f>
        <v>1560.1433413359041</v>
      </c>
      <c r="Q71" s="307">
        <f t="shared" si="40"/>
        <v>0</v>
      </c>
      <c r="S71" s="336">
        <f>(E71*$B$99*C71)*(References!$D$61/References!$H$63)-J71</f>
        <v>0</v>
      </c>
      <c r="V71" s="339"/>
    </row>
    <row r="72" spans="1:22">
      <c r="A72" s="94"/>
      <c r="B72" s="116"/>
      <c r="C72" s="95"/>
      <c r="D72" s="242"/>
      <c r="E72" s="235"/>
      <c r="G72" s="238"/>
      <c r="H72" s="95"/>
      <c r="I72" s="339"/>
      <c r="J72" s="339"/>
      <c r="K72" s="339"/>
      <c r="L72" s="339"/>
      <c r="S72" s="336">
        <f>(E72*$B$99*C72)*(References!$D$61/References!$H$63)-J72</f>
        <v>0</v>
      </c>
    </row>
    <row r="73" spans="1:22">
      <c r="A73" s="363" t="s">
        <v>270</v>
      </c>
      <c r="B73" s="327">
        <v>0</v>
      </c>
      <c r="C73" s="364">
        <f>+References!$C$13</f>
        <v>1</v>
      </c>
      <c r="D73" s="327"/>
      <c r="E73" s="326">
        <f>References!$C$17</f>
        <v>34</v>
      </c>
      <c r="F73" s="325">
        <f t="shared" si="6"/>
        <v>0</v>
      </c>
      <c r="G73" s="331">
        <f>F73*$B$99</f>
        <v>0</v>
      </c>
      <c r="H73" s="331">
        <f>G73*References!$D$61</f>
        <v>0</v>
      </c>
      <c r="I73" s="333">
        <f>H73/References!$H$63</f>
        <v>0</v>
      </c>
      <c r="J73" s="331">
        <f>(E73*$B$99)*(References!$D$61/References!$H$63)</f>
        <v>2.7098222961205669E-2</v>
      </c>
      <c r="K73" s="331">
        <f>+'Rate Schedule G-48'!C72</f>
        <v>5.74</v>
      </c>
      <c r="L73" s="331">
        <f t="shared" si="37"/>
        <v>5.7670982229612058</v>
      </c>
      <c r="M73" s="354">
        <f>D73*K73</f>
        <v>0</v>
      </c>
      <c r="N73" s="354">
        <f>D73*L73</f>
        <v>0</v>
      </c>
      <c r="O73" s="354">
        <f t="shared" ref="O73" si="42">N73-M73</f>
        <v>0</v>
      </c>
      <c r="P73" s="354">
        <f>D73*L73</f>
        <v>0</v>
      </c>
      <c r="Q73" s="333">
        <f>N73-P73</f>
        <v>0</v>
      </c>
      <c r="R73" s="342" t="s">
        <v>399</v>
      </c>
      <c r="S73" s="336">
        <f>(E73*$B$99*C73)*(References!$D$61/References!$H$63)-J73</f>
        <v>0</v>
      </c>
      <c r="V73" s="339"/>
    </row>
    <row r="74" spans="1:22">
      <c r="A74" s="363" t="s">
        <v>266</v>
      </c>
      <c r="B74" s="327">
        <v>0</v>
      </c>
      <c r="C74" s="335">
        <f>References!$C$10</f>
        <v>4.333333333333333</v>
      </c>
      <c r="D74" s="327"/>
      <c r="E74" s="326">
        <f>References!$C$17</f>
        <v>34</v>
      </c>
      <c r="F74" s="325">
        <f t="shared" si="6"/>
        <v>0</v>
      </c>
      <c r="G74" s="331">
        <f>F74*$B$99</f>
        <v>0</v>
      </c>
      <c r="H74" s="331">
        <f>G74*References!$D$61</f>
        <v>0</v>
      </c>
      <c r="I74" s="333">
        <f>H74/References!$H$63</f>
        <v>0</v>
      </c>
      <c r="J74" s="331">
        <f>(E74*C74*$B$99)*(References!$D$61/References!$H$63)</f>
        <v>0.11742563283189121</v>
      </c>
      <c r="K74" s="331">
        <f>+'Rate Schedule G-48'!C73</f>
        <v>24.86</v>
      </c>
      <c r="L74" s="331">
        <f t="shared" si="37"/>
        <v>24.977425632831892</v>
      </c>
      <c r="M74" s="354">
        <f>D74*K74</f>
        <v>0</v>
      </c>
      <c r="N74" s="354">
        <f>D74*L74</f>
        <v>0</v>
      </c>
      <c r="O74" s="354">
        <f t="shared" ref="O74:O86" si="43">N74-M74</f>
        <v>0</v>
      </c>
      <c r="P74" s="354">
        <f>D74*L74</f>
        <v>0</v>
      </c>
      <c r="Q74" s="333">
        <f t="shared" ref="Q74:Q86" si="44">N74-P74</f>
        <v>0</v>
      </c>
      <c r="R74" s="342" t="s">
        <v>399</v>
      </c>
      <c r="S74" s="336">
        <f>(E74*$B$99*C74)*(References!$D$61/References!$H$63)-J74</f>
        <v>0</v>
      </c>
      <c r="V74" s="339"/>
    </row>
    <row r="75" spans="1:22" s="342" customFormat="1">
      <c r="A75" s="363" t="s">
        <v>267</v>
      </c>
      <c r="B75" s="364">
        <v>0</v>
      </c>
      <c r="C75" s="364">
        <f>+References!$C$13</f>
        <v>1</v>
      </c>
      <c r="D75" s="327">
        <f>'G-48 Price Out'!U78</f>
        <v>0</v>
      </c>
      <c r="E75" s="326">
        <f>References!$C$17</f>
        <v>34</v>
      </c>
      <c r="F75" s="325">
        <f t="shared" ref="F75:F76" si="45">D75*E75</f>
        <v>0</v>
      </c>
      <c r="G75" s="331">
        <f>F75*$B$99</f>
        <v>0</v>
      </c>
      <c r="H75" s="331">
        <f>G75*References!$D$61</f>
        <v>0</v>
      </c>
      <c r="I75" s="333">
        <f>H75/References!$H$63</f>
        <v>0</v>
      </c>
      <c r="J75" s="331">
        <f>(E75*$B$99)*(References!$D$61/References!$H$63)</f>
        <v>2.7098222961205669E-2</v>
      </c>
      <c r="K75" s="331">
        <f>+'Rate Schedule G-48'!C74</f>
        <v>7.24</v>
      </c>
      <c r="L75" s="331">
        <f t="shared" ref="L75:L76" si="46">J75+K75</f>
        <v>7.2670982229612058</v>
      </c>
      <c r="M75" s="354">
        <f>D75*K75</f>
        <v>0</v>
      </c>
      <c r="N75" s="354">
        <f>D75*L75</f>
        <v>0</v>
      </c>
      <c r="O75" s="354">
        <f t="shared" si="43"/>
        <v>0</v>
      </c>
      <c r="P75" s="354">
        <f>D75*L75</f>
        <v>0</v>
      </c>
      <c r="Q75" s="333">
        <f t="shared" si="44"/>
        <v>0</v>
      </c>
      <c r="S75" s="336">
        <f>(E75*$B$99*C75)*(References!$D$61/References!$H$63)-J75</f>
        <v>0</v>
      </c>
      <c r="U75" s="336"/>
      <c r="V75" s="339"/>
    </row>
    <row r="76" spans="1:22" s="342" customFormat="1">
      <c r="A76" s="363" t="s">
        <v>268</v>
      </c>
      <c r="B76" s="364">
        <v>0</v>
      </c>
      <c r="C76" s="364">
        <f>+References!$C$13</f>
        <v>1</v>
      </c>
      <c r="D76" s="327"/>
      <c r="E76" s="326">
        <f>References!$C$17</f>
        <v>34</v>
      </c>
      <c r="F76" s="325">
        <f t="shared" si="45"/>
        <v>0</v>
      </c>
      <c r="G76" s="331">
        <f>F76*$B$99</f>
        <v>0</v>
      </c>
      <c r="H76" s="331">
        <f>G76*References!$D$61</f>
        <v>0</v>
      </c>
      <c r="I76" s="333">
        <f>H76/References!$H$63</f>
        <v>0</v>
      </c>
      <c r="J76" s="331">
        <f>(E76*C76*$B$99)*(References!$D$61/References!$H$63)</f>
        <v>2.7098222961205669E-2</v>
      </c>
      <c r="K76" s="331">
        <f>+'Rate Schedule G-48'!C75</f>
        <v>5.74</v>
      </c>
      <c r="L76" s="331">
        <f t="shared" si="46"/>
        <v>5.7670982229612058</v>
      </c>
      <c r="M76" s="354">
        <f>D76*K76</f>
        <v>0</v>
      </c>
      <c r="N76" s="354">
        <f>D76*L76</f>
        <v>0</v>
      </c>
      <c r="O76" s="354">
        <f t="shared" si="43"/>
        <v>0</v>
      </c>
      <c r="P76" s="354">
        <f>D76*L76</f>
        <v>0</v>
      </c>
      <c r="Q76" s="333">
        <f t="shared" si="44"/>
        <v>0</v>
      </c>
      <c r="R76" s="342" t="s">
        <v>399</v>
      </c>
      <c r="S76" s="336">
        <f>(E76*$B$99*C76)*(References!$D$61/References!$H$63)-J76</f>
        <v>0</v>
      </c>
      <c r="U76" s="336"/>
      <c r="V76" s="339"/>
    </row>
    <row r="77" spans="1:22" s="343" customFormat="1">
      <c r="A77" s="228"/>
      <c r="B77" s="116"/>
      <c r="C77" s="116"/>
      <c r="D77" s="242"/>
      <c r="E77" s="235"/>
      <c r="F77" s="99"/>
      <c r="G77" s="238"/>
      <c r="H77" s="238"/>
      <c r="I77" s="371"/>
      <c r="J77" s="238"/>
      <c r="K77" s="238"/>
      <c r="L77" s="238"/>
      <c r="M77" s="210"/>
      <c r="N77" s="210"/>
      <c r="O77" s="210"/>
      <c r="P77" s="210"/>
      <c r="Q77" s="371"/>
      <c r="S77" s="99"/>
      <c r="U77" s="99"/>
    </row>
    <row r="78" spans="1:22">
      <c r="A78" s="363" t="s">
        <v>271</v>
      </c>
      <c r="B78" s="327">
        <v>0</v>
      </c>
      <c r="C78" s="364">
        <f>+References!$C$13</f>
        <v>1</v>
      </c>
      <c r="D78" s="327"/>
      <c r="E78" s="326">
        <f>References!$C$23</f>
        <v>40</v>
      </c>
      <c r="F78" s="325">
        <f t="shared" si="6"/>
        <v>0</v>
      </c>
      <c r="G78" s="331">
        <f>F78*$B$99</f>
        <v>0</v>
      </c>
      <c r="H78" s="331">
        <f>G78*References!$D$61</f>
        <v>0</v>
      </c>
      <c r="I78" s="333">
        <f>H78/References!$H$63</f>
        <v>0</v>
      </c>
      <c r="J78" s="331">
        <f>(E78*$B$99)*(References!$D$61/References!$H$63)</f>
        <v>3.1880262307300782E-2</v>
      </c>
      <c r="K78" s="331">
        <f>+'Rate Schedule G-48'!C76</f>
        <v>8.19</v>
      </c>
      <c r="L78" s="331">
        <f t="shared" si="37"/>
        <v>8.2218802623073</v>
      </c>
      <c r="M78" s="354">
        <f>D78*K78</f>
        <v>0</v>
      </c>
      <c r="N78" s="354">
        <f>D78*L78</f>
        <v>0</v>
      </c>
      <c r="O78" s="354">
        <f t="shared" si="43"/>
        <v>0</v>
      </c>
      <c r="P78" s="354">
        <f>D78*L78</f>
        <v>0</v>
      </c>
      <c r="Q78" s="333">
        <f t="shared" si="44"/>
        <v>0</v>
      </c>
      <c r="R78" s="342" t="s">
        <v>399</v>
      </c>
      <c r="S78" s="336">
        <f>(E78*$B$99*C78)*(References!$D$61/References!$H$63)-J78</f>
        <v>0</v>
      </c>
      <c r="V78" s="339"/>
    </row>
    <row r="79" spans="1:22">
      <c r="A79" s="96" t="s">
        <v>266</v>
      </c>
      <c r="B79" s="242">
        <f>'G-48 Price Out'!V70</f>
        <v>24</v>
      </c>
      <c r="C79" s="95">
        <f>References!$C$10</f>
        <v>4.333333333333333</v>
      </c>
      <c r="D79" s="242">
        <f t="shared" ref="D79" si="47">+B79*C79</f>
        <v>104</v>
      </c>
      <c r="E79" s="235">
        <f>References!$C$23</f>
        <v>40</v>
      </c>
      <c r="F79" s="241">
        <f t="shared" ref="F79:F83" si="48">D79*E79</f>
        <v>4160</v>
      </c>
      <c r="G79" s="238">
        <f>F79*$B$99</f>
        <v>3216.7374055763457</v>
      </c>
      <c r="H79" s="238">
        <f>G79*References!$D$61</f>
        <v>3.2489047796320998</v>
      </c>
      <c r="I79" s="339">
        <f>H79/References!$H$63</f>
        <v>3.3155472799592816</v>
      </c>
      <c r="J79" s="339">
        <f>IFERROR((I79/B79),0)</f>
        <v>0.13814780333163673</v>
      </c>
      <c r="K79" s="339">
        <f>+'Rate Schedule G-48'!C77</f>
        <v>35.479999999999997</v>
      </c>
      <c r="L79" s="339">
        <f t="shared" si="37"/>
        <v>35.618147803331631</v>
      </c>
      <c r="M79" s="245">
        <f>B79*K79</f>
        <v>851.52</v>
      </c>
      <c r="N79" s="245">
        <f>B79*L79</f>
        <v>854.8355472799592</v>
      </c>
      <c r="O79" s="245">
        <f t="shared" si="43"/>
        <v>3.3155472799592189</v>
      </c>
      <c r="P79" s="245">
        <f>B79*L79</f>
        <v>854.8355472799592</v>
      </c>
      <c r="Q79" s="307">
        <f t="shared" si="44"/>
        <v>0</v>
      </c>
      <c r="S79" s="336">
        <f>(E79*$B$99*C79)*(References!$D$61/References!$H$63)-J79</f>
        <v>0</v>
      </c>
      <c r="V79" s="339"/>
    </row>
    <row r="80" spans="1:22" s="342" customFormat="1">
      <c r="A80" s="363" t="s">
        <v>267</v>
      </c>
      <c r="B80" s="364">
        <v>0</v>
      </c>
      <c r="C80" s="364">
        <f>+References!$C$13</f>
        <v>1</v>
      </c>
      <c r="D80" s="327">
        <f>'G-48 Price Out'!U82</f>
        <v>0</v>
      </c>
      <c r="E80" s="326">
        <f>References!$C$23</f>
        <v>40</v>
      </c>
      <c r="F80" s="325">
        <f t="shared" si="48"/>
        <v>0</v>
      </c>
      <c r="G80" s="331">
        <f>F80*$B$99</f>
        <v>0</v>
      </c>
      <c r="H80" s="331">
        <f>G80*References!$D$61</f>
        <v>0</v>
      </c>
      <c r="I80" s="333">
        <f>H80/References!$H$63</f>
        <v>0</v>
      </c>
      <c r="J80" s="331">
        <f>(E80*$B$99)*(References!$D$61/References!$H$63)</f>
        <v>3.1880262307300782E-2</v>
      </c>
      <c r="K80" s="331">
        <f>+'Rate Schedule G-48'!C78</f>
        <v>9.69</v>
      </c>
      <c r="L80" s="331">
        <f t="shared" si="37"/>
        <v>9.7218802623073</v>
      </c>
      <c r="M80" s="354">
        <f>D80*K80</f>
        <v>0</v>
      </c>
      <c r="N80" s="354">
        <f>D80*L80</f>
        <v>0</v>
      </c>
      <c r="O80" s="354">
        <f t="shared" ref="O80:O81" si="49">N80-M80</f>
        <v>0</v>
      </c>
      <c r="P80" s="354">
        <f>D80*L80</f>
        <v>0</v>
      </c>
      <c r="Q80" s="333">
        <f t="shared" ref="Q80:Q81" si="50">N80-P80</f>
        <v>0</v>
      </c>
      <c r="R80" s="342" t="s">
        <v>399</v>
      </c>
      <c r="S80" s="336">
        <f>(E80*$B$99*C80)*(References!$D$61/References!$H$63)-J80</f>
        <v>0</v>
      </c>
      <c r="U80" s="336"/>
      <c r="V80" s="339"/>
    </row>
    <row r="81" spans="1:22" s="342" customFormat="1">
      <c r="A81" s="363" t="s">
        <v>268</v>
      </c>
      <c r="B81" s="364">
        <v>0</v>
      </c>
      <c r="C81" s="364">
        <f>+References!$C$13</f>
        <v>1</v>
      </c>
      <c r="D81" s="327"/>
      <c r="E81" s="326">
        <f>References!$C$23</f>
        <v>40</v>
      </c>
      <c r="F81" s="325">
        <f t="shared" si="48"/>
        <v>0</v>
      </c>
      <c r="G81" s="331">
        <f>F81*$B$99</f>
        <v>0</v>
      </c>
      <c r="H81" s="331">
        <f>G81*References!$D$61</f>
        <v>0</v>
      </c>
      <c r="I81" s="333">
        <f>H81/References!$H$63</f>
        <v>0</v>
      </c>
      <c r="J81" s="331">
        <f>(E81*C81*$B$99)*(References!$D$61/References!$H$63)</f>
        <v>3.1880262307300782E-2</v>
      </c>
      <c r="K81" s="331">
        <f>+'Rate Schedule G-48'!C79</f>
        <v>8.19</v>
      </c>
      <c r="L81" s="331">
        <f t="shared" si="37"/>
        <v>8.2218802623073</v>
      </c>
      <c r="M81" s="354">
        <f>D81*K81</f>
        <v>0</v>
      </c>
      <c r="N81" s="354">
        <f>D81*L81</f>
        <v>0</v>
      </c>
      <c r="O81" s="354">
        <f t="shared" si="49"/>
        <v>0</v>
      </c>
      <c r="P81" s="354">
        <f>D81*L81</f>
        <v>0</v>
      </c>
      <c r="Q81" s="333">
        <f t="shared" si="50"/>
        <v>0</v>
      </c>
      <c r="R81" s="342" t="s">
        <v>399</v>
      </c>
      <c r="S81" s="336">
        <f>(E81*$B$99*C81)*(References!$D$61/References!$H$63)-J81</f>
        <v>0</v>
      </c>
      <c r="U81" s="336"/>
      <c r="V81" s="339"/>
    </row>
    <row r="82" spans="1:22" s="343" customFormat="1">
      <c r="A82" s="228"/>
      <c r="B82" s="116"/>
      <c r="C82" s="116"/>
      <c r="D82" s="242"/>
      <c r="E82" s="235"/>
      <c r="F82" s="99"/>
      <c r="G82" s="238"/>
      <c r="H82" s="238"/>
      <c r="I82" s="371"/>
      <c r="J82" s="238"/>
      <c r="K82" s="238"/>
      <c r="L82" s="238"/>
      <c r="M82" s="210"/>
      <c r="N82" s="210"/>
      <c r="O82" s="210"/>
      <c r="P82" s="210"/>
      <c r="Q82" s="371"/>
      <c r="S82" s="99"/>
      <c r="U82" s="99"/>
    </row>
    <row r="83" spans="1:22">
      <c r="A83" s="363" t="s">
        <v>272</v>
      </c>
      <c r="B83" s="327">
        <v>0</v>
      </c>
      <c r="C83" s="364">
        <f>+References!$C$13</f>
        <v>1</v>
      </c>
      <c r="D83" s="327">
        <v>0</v>
      </c>
      <c r="E83" s="326">
        <f>References!$C$24</f>
        <v>47</v>
      </c>
      <c r="F83" s="325">
        <f t="shared" si="48"/>
        <v>0</v>
      </c>
      <c r="G83" s="331">
        <f>F83*$B$99</f>
        <v>0</v>
      </c>
      <c r="H83" s="331">
        <f>G83*References!$D$61</f>
        <v>0</v>
      </c>
      <c r="I83" s="333">
        <f>H83/References!$H$63</f>
        <v>0</v>
      </c>
      <c r="J83" s="331">
        <f>(E83*$B$99)*(References!$D$61/References!$H$63)</f>
        <v>3.7459308211078415E-2</v>
      </c>
      <c r="K83" s="331">
        <f>+'Rate Schedule G-48'!C80</f>
        <v>10.199999999999999</v>
      </c>
      <c r="L83" s="331">
        <f t="shared" si="37"/>
        <v>10.237459308211077</v>
      </c>
      <c r="M83" s="354">
        <f>D83*K83</f>
        <v>0</v>
      </c>
      <c r="N83" s="354">
        <f>D83*L83</f>
        <v>0</v>
      </c>
      <c r="O83" s="354">
        <f t="shared" si="43"/>
        <v>0</v>
      </c>
      <c r="P83" s="354">
        <f>D83*L83</f>
        <v>0</v>
      </c>
      <c r="Q83" s="333">
        <f t="shared" si="44"/>
        <v>0</v>
      </c>
      <c r="R83" s="342" t="s">
        <v>399</v>
      </c>
      <c r="S83" s="336">
        <f>(E83*$B$99*C83)*(References!$D$61/References!$H$63)-J83</f>
        <v>0</v>
      </c>
      <c r="V83" s="339"/>
    </row>
    <row r="84" spans="1:22">
      <c r="A84" s="363" t="s">
        <v>266</v>
      </c>
      <c r="B84" s="327">
        <v>0</v>
      </c>
      <c r="C84" s="335">
        <f>References!$C$10</f>
        <v>4.333333333333333</v>
      </c>
      <c r="D84" s="327">
        <v>0</v>
      </c>
      <c r="E84" s="326">
        <f>References!$C$24</f>
        <v>47</v>
      </c>
      <c r="F84" s="325">
        <f>D84*E84</f>
        <v>0</v>
      </c>
      <c r="G84" s="331">
        <f>F84*$B$99</f>
        <v>0</v>
      </c>
      <c r="H84" s="331">
        <f>G84*References!$D$61</f>
        <v>0</v>
      </c>
      <c r="I84" s="333">
        <f>H84/References!$H$63</f>
        <v>0</v>
      </c>
      <c r="J84" s="331">
        <f>(E84*C84*$B$99)*(References!$D$61/References!$H$63)</f>
        <v>0.16232366891467315</v>
      </c>
      <c r="K84" s="331">
        <f>+'Rate Schedule G-48'!C81</f>
        <v>44.17</v>
      </c>
      <c r="L84" s="331">
        <f t="shared" si="37"/>
        <v>44.332323668914675</v>
      </c>
      <c r="M84" s="354">
        <f>D84*K84</f>
        <v>0</v>
      </c>
      <c r="N84" s="354">
        <f>D84*L84</f>
        <v>0</v>
      </c>
      <c r="O84" s="354">
        <f t="shared" si="43"/>
        <v>0</v>
      </c>
      <c r="P84" s="354">
        <f>D84*L84</f>
        <v>0</v>
      </c>
      <c r="Q84" s="333">
        <f t="shared" si="44"/>
        <v>0</v>
      </c>
      <c r="R84" s="342" t="s">
        <v>399</v>
      </c>
      <c r="S84" s="336">
        <f>(E84*$B$99*C84)*(References!$D$61/References!$H$63)-J84</f>
        <v>0</v>
      </c>
      <c r="V84" s="339"/>
    </row>
    <row r="85" spans="1:22" s="342" customFormat="1">
      <c r="A85" s="363" t="s">
        <v>267</v>
      </c>
      <c r="B85" s="364">
        <v>0</v>
      </c>
      <c r="C85" s="364">
        <f>+References!$C$13</f>
        <v>1</v>
      </c>
      <c r="D85" s="327">
        <f>'G-48 Price Out'!U86</f>
        <v>0</v>
      </c>
      <c r="E85" s="326">
        <f>References!$C$24</f>
        <v>47</v>
      </c>
      <c r="F85" s="325">
        <f t="shared" ref="F85:F86" si="51">D85*E85</f>
        <v>0</v>
      </c>
      <c r="G85" s="331">
        <f>F85*$B$99</f>
        <v>0</v>
      </c>
      <c r="H85" s="331">
        <f>G85*References!$D$61</f>
        <v>0</v>
      </c>
      <c r="I85" s="333">
        <f>H85/References!$H$63</f>
        <v>0</v>
      </c>
      <c r="J85" s="331">
        <f>(E85*$B$99)*(References!$D$61/References!$H$63)</f>
        <v>3.7459308211078415E-2</v>
      </c>
      <c r="K85" s="331">
        <f>+'Rate Schedule G-48'!C82</f>
        <v>11.7</v>
      </c>
      <c r="L85" s="331">
        <f t="shared" ref="L85:L86" si="52">J85+K85</f>
        <v>11.737459308211077</v>
      </c>
      <c r="M85" s="354">
        <f>D85*K85</f>
        <v>0</v>
      </c>
      <c r="N85" s="354">
        <f>D85*L85</f>
        <v>0</v>
      </c>
      <c r="O85" s="354">
        <f t="shared" si="43"/>
        <v>0</v>
      </c>
      <c r="P85" s="354">
        <f>D85*L85</f>
        <v>0</v>
      </c>
      <c r="Q85" s="333">
        <f t="shared" si="44"/>
        <v>0</v>
      </c>
      <c r="R85" s="342" t="s">
        <v>399</v>
      </c>
      <c r="S85" s="336">
        <f>(E85*$B$99*C85)*(References!$D$61/References!$H$63)-J85</f>
        <v>0</v>
      </c>
      <c r="U85" s="336"/>
      <c r="V85" s="339"/>
    </row>
    <row r="86" spans="1:22" s="342" customFormat="1">
      <c r="A86" s="363" t="s">
        <v>268</v>
      </c>
      <c r="B86" s="364">
        <v>0</v>
      </c>
      <c r="C86" s="364">
        <f>+References!$C$13</f>
        <v>1</v>
      </c>
      <c r="D86" s="327"/>
      <c r="E86" s="326">
        <f>References!$C$24</f>
        <v>47</v>
      </c>
      <c r="F86" s="325">
        <f t="shared" si="51"/>
        <v>0</v>
      </c>
      <c r="G86" s="331">
        <f>F86*$B$99</f>
        <v>0</v>
      </c>
      <c r="H86" s="331">
        <f>G86*References!$D$61</f>
        <v>0</v>
      </c>
      <c r="I86" s="333">
        <f>H86/References!$H$63</f>
        <v>0</v>
      </c>
      <c r="J86" s="331">
        <f>(E86*C86*$B$99)*(References!$D$61/References!$H$63)</f>
        <v>3.7459308211078415E-2</v>
      </c>
      <c r="K86" s="331">
        <f>+'Rate Schedule G-48'!C83</f>
        <v>10.199999999999999</v>
      </c>
      <c r="L86" s="331">
        <f t="shared" si="52"/>
        <v>10.237459308211077</v>
      </c>
      <c r="M86" s="354">
        <f>D86*K86</f>
        <v>0</v>
      </c>
      <c r="N86" s="354">
        <f>D86*L86</f>
        <v>0</v>
      </c>
      <c r="O86" s="354">
        <f t="shared" si="43"/>
        <v>0</v>
      </c>
      <c r="P86" s="354">
        <f>D86*L86</f>
        <v>0</v>
      </c>
      <c r="Q86" s="333">
        <f t="shared" si="44"/>
        <v>0</v>
      </c>
      <c r="R86" s="342" t="s">
        <v>399</v>
      </c>
      <c r="S86" s="336">
        <f>(E86*$B$99*C86)*(References!$D$61/References!$H$63)-J86</f>
        <v>0</v>
      </c>
      <c r="U86" s="336"/>
      <c r="V86" s="339"/>
    </row>
    <row r="87" spans="1:22">
      <c r="A87" s="328" t="s">
        <v>390</v>
      </c>
      <c r="B87" s="329"/>
      <c r="C87" s="335"/>
      <c r="D87" s="327"/>
      <c r="E87" s="326"/>
      <c r="F87" s="325"/>
      <c r="G87" s="335"/>
      <c r="H87" s="335"/>
      <c r="I87" s="334"/>
      <c r="J87" s="333"/>
      <c r="K87" s="333"/>
      <c r="L87" s="333"/>
      <c r="M87" s="354"/>
      <c r="N87" s="354"/>
      <c r="O87" s="354"/>
      <c r="P87" s="354"/>
      <c r="Q87" s="333"/>
    </row>
    <row r="88" spans="1:22" s="342" customFormat="1">
      <c r="A88" s="332" t="s">
        <v>396</v>
      </c>
      <c r="B88" s="322">
        <f>SUM(B45:B84)</f>
        <v>506.53340415241178</v>
      </c>
      <c r="C88" s="322"/>
      <c r="D88" s="322">
        <f t="shared" ref="D88:I88" si="53">SUM(D45:D84)</f>
        <v>16040.496025708873</v>
      </c>
      <c r="E88" s="322">
        <f t="shared" si="53"/>
        <v>6069</v>
      </c>
      <c r="F88" s="322">
        <f t="shared" si="53"/>
        <v>3588291.0844251188</v>
      </c>
      <c r="G88" s="322">
        <f t="shared" si="53"/>
        <v>2774661.0945592276</v>
      </c>
      <c r="H88" s="322">
        <f t="shared" si="53"/>
        <v>2802.4077055048124</v>
      </c>
      <c r="I88" s="322">
        <f t="shared" si="53"/>
        <v>2859.8915251605399</v>
      </c>
      <c r="J88" s="321"/>
      <c r="K88" s="321"/>
      <c r="L88" s="321"/>
      <c r="M88" s="322">
        <f>SUM(M45:M84)</f>
        <v>411980.90451043297</v>
      </c>
      <c r="N88" s="322">
        <f>SUM(N45:N84)</f>
        <v>414840.79603559355</v>
      </c>
      <c r="O88" s="322">
        <f>SUM(O45:O84)</f>
        <v>2859.8915251605495</v>
      </c>
      <c r="P88" s="322">
        <f>SUM(P45:P84)</f>
        <v>414840.79603559355</v>
      </c>
      <c r="Q88" s="322">
        <f>SUM(Q45:Q84)</f>
        <v>0</v>
      </c>
      <c r="U88" s="336"/>
    </row>
    <row r="89" spans="1:22" s="342" customFormat="1" ht="15.75" thickBot="1">
      <c r="A89" s="320" t="s">
        <v>6</v>
      </c>
      <c r="B89" s="319">
        <f>B88+B32</f>
        <v>25556.2263544528</v>
      </c>
      <c r="C89" s="318"/>
      <c r="D89" s="319">
        <f t="shared" ref="D89:I89" si="54">D88+D32</f>
        <v>101765.96509206934</v>
      </c>
      <c r="E89" s="319">
        <f t="shared" si="54"/>
        <v>7120</v>
      </c>
      <c r="F89" s="319">
        <f t="shared" si="54"/>
        <v>6951687.4613311775</v>
      </c>
      <c r="G89" s="319">
        <f t="shared" si="54"/>
        <v>5375421.4155625161</v>
      </c>
      <c r="H89" s="319">
        <f t="shared" si="54"/>
        <v>5429.1756297181255</v>
      </c>
      <c r="I89" s="319">
        <f t="shared" si="54"/>
        <v>5540.5404936402956</v>
      </c>
      <c r="J89" s="324"/>
      <c r="K89" s="324"/>
      <c r="L89" s="324"/>
      <c r="M89" s="370">
        <f>M88+M32</f>
        <v>912727.0711556687</v>
      </c>
      <c r="N89" s="370">
        <f>N88+N32</f>
        <v>918267.61164930905</v>
      </c>
      <c r="O89" s="370">
        <f>O88+O32</f>
        <v>5540.540493640272</v>
      </c>
      <c r="P89" s="370">
        <f>P88+P32</f>
        <v>918267.61164930905</v>
      </c>
      <c r="Q89" s="319">
        <f>Q88+Q32</f>
        <v>0</v>
      </c>
      <c r="U89" s="336"/>
    </row>
    <row r="90" spans="1:22" s="342" customFormat="1" ht="15.75" thickTop="1">
      <c r="A90" s="330"/>
      <c r="B90" s="97"/>
      <c r="C90" s="95"/>
      <c r="D90" s="242"/>
      <c r="E90" s="235"/>
      <c r="F90" s="336"/>
      <c r="G90" s="95"/>
      <c r="H90" s="95"/>
      <c r="I90" s="246">
        <f>I89-References!$C$67</f>
        <v>0</v>
      </c>
      <c r="J90" s="339"/>
      <c r="K90" s="339"/>
      <c r="L90" s="339"/>
      <c r="M90" s="245"/>
      <c r="N90" s="245"/>
      <c r="O90" s="245">
        <f>O89-References!$C$67</f>
        <v>-2.8194335754960775E-11</v>
      </c>
      <c r="P90" s="245"/>
      <c r="Q90" s="339"/>
      <c r="U90" s="336"/>
    </row>
    <row r="91" spans="1:22" s="342" customFormat="1">
      <c r="A91" s="330"/>
      <c r="B91" s="97"/>
      <c r="C91" s="95"/>
      <c r="D91" s="242"/>
      <c r="E91" s="235"/>
      <c r="F91" s="336"/>
      <c r="G91" s="95"/>
      <c r="H91" s="95"/>
      <c r="J91" s="339"/>
      <c r="K91" s="339"/>
      <c r="L91" s="339"/>
      <c r="M91" s="245"/>
      <c r="N91" s="245"/>
      <c r="O91" s="245"/>
      <c r="P91" s="245"/>
      <c r="Q91" s="339"/>
      <c r="U91" s="336"/>
    </row>
    <row r="92" spans="1:22">
      <c r="A92" s="96"/>
      <c r="B92" s="97"/>
      <c r="C92" s="95"/>
      <c r="D92" s="242"/>
      <c r="E92" s="235"/>
      <c r="F92" s="238"/>
      <c r="J92" s="339"/>
      <c r="K92" s="339"/>
      <c r="L92" s="339"/>
    </row>
    <row r="93" spans="1:22">
      <c r="A93" s="96"/>
      <c r="B93" s="97"/>
      <c r="C93" s="95"/>
      <c r="D93" s="242"/>
      <c r="E93" s="235"/>
      <c r="F93" s="238"/>
    </row>
    <row r="94" spans="1:22">
      <c r="A94" s="397" t="s">
        <v>391</v>
      </c>
      <c r="B94" s="397"/>
      <c r="C94" s="95"/>
      <c r="D94" s="350" t="s">
        <v>400</v>
      </c>
      <c r="E94" s="351"/>
      <c r="F94" s="351"/>
      <c r="H94" s="401"/>
    </row>
    <row r="95" spans="1:22">
      <c r="A95" s="342"/>
      <c r="B95" s="341" t="s">
        <v>6</v>
      </c>
      <c r="C95" s="95"/>
      <c r="D95" s="345" t="s">
        <v>401</v>
      </c>
      <c r="E95" s="346">
        <f>+O32</f>
        <v>2680.648968479722</v>
      </c>
      <c r="F95" s="349">
        <f>E95/'G-48 Price Out'!G35</f>
        <v>5.924276873356389E-3</v>
      </c>
      <c r="G95" s="246"/>
      <c r="H95" s="402"/>
    </row>
    <row r="96" spans="1:22">
      <c r="A96" s="342" t="s">
        <v>392</v>
      </c>
      <c r="B96" s="352">
        <f>+'DF Schedule'!O9</f>
        <v>2687.710707781258</v>
      </c>
      <c r="C96" s="95"/>
      <c r="D96" s="345" t="s">
        <v>402</v>
      </c>
      <c r="E96" s="347">
        <f>+O88</f>
        <v>2859.8915251605495</v>
      </c>
      <c r="F96" s="349">
        <f>E96/'G-48 Price Out'!G103</f>
        <v>6.4125783979452015E-3</v>
      </c>
      <c r="G96" s="246"/>
      <c r="H96" s="402"/>
    </row>
    <row r="97" spans="1:8">
      <c r="A97" s="342" t="s">
        <v>393</v>
      </c>
      <c r="B97" s="338">
        <f>+B96*References!H19</f>
        <v>5375421.4155625161</v>
      </c>
      <c r="C97" s="95"/>
      <c r="D97" s="373" t="s">
        <v>403</v>
      </c>
      <c r="E97" s="348">
        <f>+SUM(E95:E96)</f>
        <v>5540.540493640272</v>
      </c>
      <c r="F97" s="344"/>
      <c r="G97" s="95"/>
      <c r="H97" s="95"/>
    </row>
    <row r="98" spans="1:8">
      <c r="A98" s="342" t="s">
        <v>394</v>
      </c>
      <c r="B98" s="338">
        <f>D89</f>
        <v>101765.96509206934</v>
      </c>
      <c r="C98" s="95"/>
      <c r="D98" s="345" t="s">
        <v>404</v>
      </c>
      <c r="E98" s="346">
        <f>+References!C75</f>
        <v>4487.3096629567081</v>
      </c>
      <c r="F98" s="372">
        <f>E98/'G-48 Price Out'!G135</f>
        <v>2.842873595858135E-2</v>
      </c>
      <c r="G98" s="95"/>
      <c r="H98" s="95"/>
    </row>
    <row r="99" spans="1:8">
      <c r="A99" s="340" t="s">
        <v>395</v>
      </c>
      <c r="B99" s="337">
        <f>B97/F89</f>
        <v>0.77325418403277546</v>
      </c>
      <c r="C99" s="95"/>
      <c r="D99" s="242"/>
      <c r="E99" s="235"/>
      <c r="F99" s="238"/>
      <c r="G99" s="95"/>
      <c r="H99" s="95"/>
    </row>
    <row r="100" spans="1:8">
      <c r="A100" s="94"/>
      <c r="B100" s="97"/>
      <c r="C100" s="95"/>
      <c r="D100" s="242"/>
      <c r="E100" s="235"/>
      <c r="F100" s="238"/>
      <c r="G100" s="95"/>
      <c r="H100" s="95"/>
    </row>
    <row r="101" spans="1:8">
      <c r="A101" s="94"/>
      <c r="B101" s="97"/>
      <c r="C101" s="95"/>
      <c r="D101" s="242"/>
      <c r="E101" s="235"/>
      <c r="F101" s="238"/>
      <c r="G101" s="95"/>
      <c r="H101" s="95"/>
    </row>
    <row r="102" spans="1:8">
      <c r="A102" s="96"/>
      <c r="B102" s="97"/>
      <c r="C102" s="95"/>
      <c r="D102" s="242"/>
      <c r="E102" s="235"/>
      <c r="F102" s="238"/>
      <c r="G102" s="95"/>
      <c r="H102" s="95"/>
    </row>
    <row r="103" spans="1:8">
      <c r="A103" s="96"/>
      <c r="B103" s="97"/>
      <c r="C103" s="95"/>
      <c r="D103" s="242"/>
      <c r="E103" s="235"/>
      <c r="F103" s="238"/>
      <c r="G103" s="95"/>
      <c r="H103" s="95"/>
    </row>
    <row r="104" spans="1:8">
      <c r="A104" s="96"/>
      <c r="B104" s="97"/>
      <c r="C104" s="95"/>
      <c r="D104" s="242"/>
      <c r="E104" s="235"/>
      <c r="F104" s="238"/>
      <c r="G104" s="95"/>
      <c r="H104" s="95"/>
    </row>
    <row r="105" spans="1:8">
      <c r="A105" s="96"/>
      <c r="B105" s="97"/>
      <c r="C105" s="95"/>
      <c r="D105" s="242"/>
      <c r="E105" s="235"/>
      <c r="F105" s="238"/>
      <c r="G105" s="95"/>
      <c r="H105" s="95"/>
    </row>
    <row r="106" spans="1:8">
      <c r="A106" s="96"/>
      <c r="B106" s="97"/>
      <c r="C106" s="95"/>
      <c r="D106" s="242"/>
      <c r="E106" s="235"/>
      <c r="F106" s="238"/>
      <c r="G106" s="95"/>
      <c r="H106" s="95"/>
    </row>
    <row r="107" spans="1:8">
      <c r="A107" s="96"/>
      <c r="B107" s="97"/>
      <c r="C107" s="95"/>
      <c r="D107" s="242"/>
      <c r="E107" s="235"/>
      <c r="F107" s="238"/>
      <c r="G107" s="95"/>
      <c r="H107" s="95"/>
    </row>
    <row r="108" spans="1:8">
      <c r="A108" s="96"/>
      <c r="B108" s="97"/>
      <c r="C108" s="95"/>
      <c r="D108" s="242"/>
      <c r="E108" s="235"/>
      <c r="F108" s="238"/>
      <c r="G108" s="95"/>
      <c r="H108" s="95"/>
    </row>
    <row r="109" spans="1:8">
      <c r="A109" s="96"/>
      <c r="B109" s="97"/>
      <c r="C109" s="95"/>
      <c r="D109" s="242"/>
      <c r="E109" s="235"/>
      <c r="F109" s="238"/>
      <c r="G109" s="95"/>
      <c r="H109" s="95"/>
    </row>
    <row r="110" spans="1:8">
      <c r="A110" s="96"/>
      <c r="B110" s="97"/>
      <c r="C110" s="95"/>
      <c r="D110" s="242"/>
      <c r="E110" s="235"/>
      <c r="F110" s="238"/>
      <c r="G110" s="95"/>
      <c r="H110" s="95"/>
    </row>
    <row r="111" spans="1:8">
      <c r="A111" s="94"/>
      <c r="B111" s="97"/>
      <c r="C111" s="95"/>
      <c r="D111" s="242"/>
      <c r="E111" s="235"/>
      <c r="F111" s="238"/>
      <c r="G111" s="95"/>
      <c r="H111" s="95"/>
    </row>
    <row r="112" spans="1:8">
      <c r="A112" s="96"/>
      <c r="B112" s="97"/>
      <c r="C112" s="95"/>
      <c r="D112" s="242"/>
      <c r="E112" s="235"/>
      <c r="F112" s="238"/>
      <c r="G112" s="95"/>
      <c r="H112" s="95"/>
    </row>
    <row r="113" spans="1:8">
      <c r="A113" s="96"/>
      <c r="B113" s="97"/>
      <c r="C113" s="95"/>
      <c r="D113" s="242"/>
      <c r="E113" s="235"/>
      <c r="F113" s="238"/>
      <c r="G113" s="95"/>
      <c r="H113" s="95"/>
    </row>
    <row r="114" spans="1:8">
      <c r="A114" s="96"/>
      <c r="B114" s="97"/>
      <c r="C114" s="95"/>
      <c r="D114" s="242"/>
      <c r="E114" s="235"/>
      <c r="F114" s="238"/>
      <c r="G114" s="95"/>
      <c r="H114" s="95"/>
    </row>
    <row r="115" spans="1:8">
      <c r="A115" s="96"/>
      <c r="B115" s="97"/>
      <c r="C115" s="95"/>
      <c r="D115" s="242"/>
      <c r="E115" s="235"/>
      <c r="F115" s="238"/>
      <c r="G115" s="95"/>
      <c r="H115" s="95"/>
    </row>
    <row r="116" spans="1:8">
      <c r="A116" s="96"/>
      <c r="B116" s="97"/>
      <c r="C116" s="95"/>
      <c r="D116" s="242"/>
      <c r="E116" s="235"/>
      <c r="F116" s="238"/>
      <c r="G116" s="95"/>
      <c r="H116" s="95"/>
    </row>
    <row r="117" spans="1:8">
      <c r="A117" s="96"/>
      <c r="B117" s="97"/>
      <c r="C117" s="95"/>
      <c r="D117" s="242"/>
      <c r="E117" s="235"/>
      <c r="F117" s="238"/>
      <c r="G117" s="95"/>
      <c r="H117" s="95"/>
    </row>
    <row r="118" spans="1:8">
      <c r="A118" s="96"/>
      <c r="B118" s="97"/>
      <c r="C118" s="95"/>
      <c r="D118" s="242"/>
      <c r="E118" s="235"/>
      <c r="F118" s="238"/>
      <c r="G118" s="95"/>
      <c r="H118" s="95"/>
    </row>
    <row r="119" spans="1:8">
      <c r="A119" s="96"/>
      <c r="B119" s="97"/>
      <c r="C119" s="95"/>
      <c r="D119" s="242"/>
      <c r="E119" s="235"/>
      <c r="F119" s="238"/>
      <c r="G119" s="95"/>
      <c r="H119" s="95"/>
    </row>
    <row r="120" spans="1:8">
      <c r="A120" s="96"/>
      <c r="B120" s="97"/>
      <c r="C120" s="95"/>
      <c r="D120" s="242"/>
      <c r="E120" s="235"/>
      <c r="F120" s="238"/>
      <c r="G120" s="95"/>
      <c r="H120" s="95"/>
    </row>
    <row r="121" spans="1:8">
      <c r="A121" s="96"/>
      <c r="B121" s="97"/>
      <c r="C121" s="95"/>
      <c r="D121" s="242"/>
      <c r="E121" s="235"/>
      <c r="F121" s="238"/>
      <c r="G121" s="95"/>
      <c r="H121" s="95"/>
    </row>
    <row r="122" spans="1:8">
      <c r="A122" s="96"/>
      <c r="B122" s="97"/>
      <c r="C122" s="95"/>
      <c r="D122" s="242"/>
      <c r="E122" s="235"/>
      <c r="F122" s="238"/>
      <c r="G122" s="95"/>
      <c r="H122" s="95"/>
    </row>
    <row r="123" spans="1:8">
      <c r="A123" s="96"/>
      <c r="B123" s="97"/>
      <c r="C123" s="95"/>
      <c r="D123" s="242"/>
      <c r="E123" s="235"/>
      <c r="F123" s="238"/>
      <c r="G123" s="95"/>
      <c r="H123" s="95"/>
    </row>
    <row r="124" spans="1:8">
      <c r="A124" s="96"/>
      <c r="B124" s="97"/>
      <c r="C124" s="95"/>
      <c r="D124" s="242"/>
      <c r="E124" s="235"/>
      <c r="F124" s="238"/>
      <c r="G124" s="95"/>
      <c r="H124" s="95"/>
    </row>
    <row r="125" spans="1:8">
      <c r="A125" s="96"/>
      <c r="B125" s="97"/>
      <c r="C125" s="95"/>
      <c r="D125" s="242"/>
      <c r="E125" s="235"/>
      <c r="F125" s="238"/>
      <c r="G125" s="95"/>
      <c r="H125" s="95"/>
    </row>
    <row r="126" spans="1:8">
      <c r="A126" s="96"/>
      <c r="B126" s="97"/>
      <c r="C126" s="95"/>
      <c r="D126" s="242"/>
      <c r="E126" s="235"/>
      <c r="F126" s="238"/>
      <c r="G126" s="95"/>
      <c r="H126" s="95"/>
    </row>
    <row r="127" spans="1:8">
      <c r="A127" s="96"/>
      <c r="B127" s="97"/>
      <c r="C127" s="95"/>
      <c r="D127" s="242"/>
      <c r="E127" s="235"/>
      <c r="F127" s="238"/>
      <c r="G127" s="95"/>
      <c r="H127" s="95"/>
    </row>
    <row r="128" spans="1:8">
      <c r="A128" s="96"/>
      <c r="B128" s="97"/>
      <c r="C128" s="95"/>
      <c r="D128" s="242"/>
      <c r="E128" s="235"/>
      <c r="F128" s="238"/>
      <c r="G128" s="95"/>
      <c r="H128" s="95"/>
    </row>
    <row r="129" spans="1:8">
      <c r="A129" s="96"/>
      <c r="B129" s="97"/>
      <c r="C129" s="95"/>
      <c r="D129" s="242"/>
      <c r="E129" s="235"/>
      <c r="F129" s="238"/>
      <c r="G129" s="95"/>
      <c r="H129" s="95"/>
    </row>
    <row r="130" spans="1:8">
      <c r="A130" s="96"/>
      <c r="B130" s="97"/>
      <c r="C130" s="95"/>
      <c r="D130" s="242"/>
      <c r="E130" s="235"/>
      <c r="F130" s="238"/>
      <c r="G130" s="95"/>
      <c r="H130" s="95"/>
    </row>
    <row r="131" spans="1:8">
      <c r="A131" s="94"/>
      <c r="B131" s="97"/>
      <c r="C131" s="95"/>
      <c r="D131" s="242"/>
      <c r="E131" s="235"/>
      <c r="F131" s="238"/>
      <c r="G131" s="95"/>
      <c r="H131" s="95"/>
    </row>
    <row r="132" spans="1:8">
      <c r="A132" s="94"/>
      <c r="B132" s="97"/>
      <c r="C132" s="95"/>
      <c r="D132" s="242"/>
      <c r="E132" s="235"/>
      <c r="F132" s="238"/>
      <c r="G132" s="95"/>
      <c r="H132" s="95"/>
    </row>
    <row r="133" spans="1:8">
      <c r="A133" s="96"/>
      <c r="B133" s="97"/>
      <c r="C133" s="95"/>
      <c r="D133" s="242"/>
      <c r="E133" s="235"/>
      <c r="F133" s="238"/>
      <c r="G133" s="95"/>
      <c r="H133" s="95"/>
    </row>
    <row r="134" spans="1:8">
      <c r="A134" s="96"/>
      <c r="B134" s="97"/>
      <c r="C134" s="95"/>
      <c r="D134" s="242"/>
      <c r="E134" s="235"/>
      <c r="F134" s="238"/>
      <c r="G134" s="95"/>
      <c r="H134" s="95"/>
    </row>
    <row r="135" spans="1:8">
      <c r="A135" s="96"/>
      <c r="B135" s="97"/>
      <c r="C135" s="95"/>
      <c r="D135" s="242"/>
      <c r="E135" s="235"/>
      <c r="F135" s="238"/>
      <c r="G135" s="95"/>
      <c r="H135" s="95"/>
    </row>
    <row r="136" spans="1:8">
      <c r="A136" s="96"/>
      <c r="B136" s="97"/>
      <c r="C136" s="95"/>
      <c r="D136" s="242"/>
      <c r="E136" s="235"/>
      <c r="F136" s="238"/>
      <c r="G136" s="95"/>
      <c r="H136" s="95"/>
    </row>
    <row r="137" spans="1:8">
      <c r="A137" s="96"/>
      <c r="B137" s="97"/>
      <c r="C137" s="95"/>
      <c r="D137" s="242"/>
      <c r="E137" s="235"/>
      <c r="F137" s="238"/>
      <c r="G137" s="95"/>
      <c r="H137" s="95"/>
    </row>
    <row r="138" spans="1:8">
      <c r="A138" s="96"/>
      <c r="B138" s="97"/>
      <c r="C138" s="95"/>
      <c r="D138" s="242"/>
      <c r="E138" s="235"/>
      <c r="F138" s="238"/>
      <c r="G138" s="95"/>
      <c r="H138" s="95"/>
    </row>
    <row r="139" spans="1:8">
      <c r="G139" s="91"/>
    </row>
    <row r="140" spans="1:8">
      <c r="G140" s="91"/>
    </row>
    <row r="141" spans="1:8">
      <c r="G141" s="91"/>
    </row>
    <row r="142" spans="1:8">
      <c r="G142" s="91"/>
    </row>
    <row r="143" spans="1:8">
      <c r="G143" s="91"/>
    </row>
    <row r="144" spans="1:8">
      <c r="G144" s="91"/>
    </row>
    <row r="145" spans="7:7">
      <c r="G145" s="91"/>
    </row>
    <row r="146" spans="7:7">
      <c r="G146" s="91"/>
    </row>
    <row r="147" spans="7:7">
      <c r="G147" s="91"/>
    </row>
    <row r="148" spans="7:7">
      <c r="G148" s="91"/>
    </row>
    <row r="149" spans="7:7">
      <c r="G149" s="91"/>
    </row>
    <row r="150" spans="7:7">
      <c r="G150" s="91"/>
    </row>
    <row r="151" spans="7:7">
      <c r="G151" s="91"/>
    </row>
    <row r="152" spans="7:7">
      <c r="G152" s="91"/>
    </row>
    <row r="153" spans="7:7">
      <c r="G153" s="91"/>
    </row>
    <row r="154" spans="7:7">
      <c r="G154" s="91"/>
    </row>
    <row r="155" spans="7:7">
      <c r="G155" s="91"/>
    </row>
    <row r="156" spans="7:7">
      <c r="G156" s="91"/>
    </row>
    <row r="157" spans="7:7">
      <c r="G157" s="91"/>
    </row>
    <row r="158" spans="7:7">
      <c r="G158" s="91"/>
    </row>
    <row r="159" spans="7:7">
      <c r="G159" s="91"/>
    </row>
    <row r="160" spans="7:7">
      <c r="G160" s="91"/>
    </row>
    <row r="161" spans="7:7">
      <c r="G161" s="91"/>
    </row>
    <row r="162" spans="7:7">
      <c r="G162" s="91"/>
    </row>
    <row r="163" spans="7:7">
      <c r="G163" s="91"/>
    </row>
    <row r="164" spans="7:7">
      <c r="G164" s="91"/>
    </row>
    <row r="165" spans="7:7">
      <c r="G165" s="91"/>
    </row>
    <row r="166" spans="7:7">
      <c r="G166" s="91"/>
    </row>
    <row r="167" spans="7:7">
      <c r="G167" s="91"/>
    </row>
    <row r="168" spans="7:7">
      <c r="G168" s="91"/>
    </row>
    <row r="169" spans="7:7">
      <c r="G169" s="91"/>
    </row>
    <row r="170" spans="7:7">
      <c r="G170" s="91"/>
    </row>
    <row r="171" spans="7:7">
      <c r="G171" s="91"/>
    </row>
    <row r="172" spans="7:7">
      <c r="G172" s="91"/>
    </row>
    <row r="173" spans="7:7">
      <c r="G173" s="91"/>
    </row>
    <row r="174" spans="7:7">
      <c r="G174" s="91"/>
    </row>
    <row r="175" spans="7:7">
      <c r="G175" s="91"/>
    </row>
    <row r="176" spans="7:7">
      <c r="G176" s="91"/>
    </row>
    <row r="177" spans="7:7">
      <c r="G177" s="91"/>
    </row>
    <row r="178" spans="7:7">
      <c r="G178" s="91"/>
    </row>
    <row r="179" spans="7:7">
      <c r="G179" s="91"/>
    </row>
    <row r="180" spans="7:7">
      <c r="G180" s="91"/>
    </row>
    <row r="181" spans="7:7">
      <c r="G181" s="91"/>
    </row>
    <row r="182" spans="7:7">
      <c r="G182" s="91"/>
    </row>
    <row r="183" spans="7:7">
      <c r="G183" s="91"/>
    </row>
    <row r="184" spans="7:7">
      <c r="G184" s="91"/>
    </row>
    <row r="185" spans="7:7">
      <c r="G185" s="91"/>
    </row>
    <row r="186" spans="7:7">
      <c r="G186" s="91"/>
    </row>
    <row r="187" spans="7:7">
      <c r="G187" s="91"/>
    </row>
    <row r="188" spans="7:7">
      <c r="G188" s="91"/>
    </row>
    <row r="189" spans="7:7">
      <c r="G189" s="91"/>
    </row>
    <row r="190" spans="7:7">
      <c r="G190" s="91"/>
    </row>
    <row r="191" spans="7:7">
      <c r="G191" s="91"/>
    </row>
    <row r="192" spans="7:7">
      <c r="G192" s="91"/>
    </row>
    <row r="193" spans="7:7">
      <c r="G193" s="91"/>
    </row>
    <row r="194" spans="7:7">
      <c r="G194" s="91"/>
    </row>
    <row r="195" spans="7:7">
      <c r="G195" s="91"/>
    </row>
    <row r="196" spans="7:7">
      <c r="G196" s="91"/>
    </row>
    <row r="197" spans="7:7">
      <c r="G197" s="91"/>
    </row>
    <row r="198" spans="7:7">
      <c r="G198" s="91"/>
    </row>
    <row r="199" spans="7:7">
      <c r="G199" s="91"/>
    </row>
    <row r="200" spans="7:7">
      <c r="G200" s="91"/>
    </row>
    <row r="201" spans="7:7">
      <c r="G201" s="91"/>
    </row>
    <row r="202" spans="7:7">
      <c r="G202" s="91"/>
    </row>
    <row r="203" spans="7:7">
      <c r="G203" s="91"/>
    </row>
    <row r="204" spans="7:7">
      <c r="G204" s="91"/>
    </row>
  </sheetData>
  <mergeCells count="3">
    <mergeCell ref="B4:E4"/>
    <mergeCell ref="A94:B94"/>
    <mergeCell ref="A34:E34"/>
  </mergeCells>
  <pageMargins left="0.7" right="0.7" top="0.75" bottom="0.75" header="0.3" footer="0.3"/>
  <pageSetup scale="33" pageOrder="overThenDown" orientation="landscape" r:id="rId1"/>
  <headerFooter>
    <oddHeader xml:space="preserve">&amp;C&amp;"-,Bold"&amp;12
</oddHeader>
    <oddFooter>&amp;L&amp;F - &amp;A&amp;R&amp;P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V146"/>
  <sheetViews>
    <sheetView showGridLines="0" view="pageBreakPreview" zoomScale="85" zoomScaleNormal="85" zoomScaleSheetLayoutView="85" workbookViewId="0">
      <selection activeCell="N12" sqref="N12"/>
    </sheetView>
  </sheetViews>
  <sheetFormatPr defaultRowHeight="14.25" outlineLevelRow="1" outlineLevelCol="1"/>
  <cols>
    <col min="1" max="1" width="24.140625" style="3" customWidth="1"/>
    <col min="2" max="2" width="23.85546875" style="3" customWidth="1"/>
    <col min="3" max="3" width="13.28515625" style="3" customWidth="1" outlineLevel="1"/>
    <col min="4" max="4" width="13.85546875" style="3" customWidth="1" outlineLevel="1"/>
    <col min="5" max="5" width="15.5703125" style="3" customWidth="1" outlineLevel="1"/>
    <col min="6" max="6" width="13.85546875" style="3" customWidth="1" outlineLevel="1"/>
    <col min="7" max="7" width="14.140625" style="3" customWidth="1" outlineLevel="1"/>
    <col min="8" max="8" width="1.140625" style="3" customWidth="1" outlineLevel="1"/>
    <col min="9" max="9" width="14.140625" style="3" bestFit="1" customWidth="1" outlineLevel="1"/>
    <col min="10" max="10" width="14.28515625" style="3" bestFit="1" customWidth="1" outlineLevel="1"/>
    <col min="11" max="11" width="13.85546875" style="3" customWidth="1" outlineLevel="1"/>
    <col min="12" max="12" width="1.140625" style="3" customWidth="1" outlineLevel="1"/>
    <col min="13" max="13" width="13.7109375" style="3" customWidth="1" outlineLevel="1"/>
    <col min="14" max="14" width="0.85546875" style="3" customWidth="1" outlineLevel="1"/>
    <col min="15" max="15" width="15.140625" style="3" customWidth="1" outlineLevel="1"/>
    <col min="16" max="16" width="1" style="3" customWidth="1" outlineLevel="1"/>
    <col min="17" max="17" width="11.42578125" style="3" customWidth="1" outlineLevel="1"/>
    <col min="18" max="18" width="13.140625" style="3" customWidth="1"/>
    <col min="19" max="19" width="1.140625" style="4" customWidth="1"/>
    <col min="20" max="20" width="9.140625" style="4"/>
    <col min="21" max="22" width="13.28515625" style="4" customWidth="1"/>
    <col min="23" max="16384" width="9.140625" style="4"/>
  </cols>
  <sheetData>
    <row r="1" spans="1:18" ht="12" customHeight="1" outlineLevel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8" ht="12" customHeight="1" outlineLevel="1">
      <c r="A2" s="1" t="s">
        <v>1</v>
      </c>
      <c r="B2" s="2"/>
      <c r="D2" s="2"/>
      <c r="F2" s="2"/>
      <c r="G2" s="2"/>
      <c r="H2" s="2"/>
      <c r="I2" s="2"/>
      <c r="J2" s="2"/>
    </row>
    <row r="3" spans="1:18" ht="12" customHeight="1" outlineLevel="1">
      <c r="A3" s="6" t="s">
        <v>2</v>
      </c>
      <c r="B3" s="2"/>
      <c r="C3" s="5" t="s">
        <v>425</v>
      </c>
      <c r="D3" s="2"/>
      <c r="E3" s="2"/>
      <c r="F3" s="2"/>
      <c r="G3" s="2"/>
      <c r="H3" s="2"/>
      <c r="I3" s="2"/>
      <c r="J3" s="2"/>
      <c r="Q3" s="7">
        <f>O136</f>
        <v>161.60751759874984</v>
      </c>
      <c r="R3" s="8" t="s">
        <v>3</v>
      </c>
    </row>
    <row r="4" spans="1:18" ht="12" customHeight="1" outlineLevel="1">
      <c r="B4" s="2"/>
      <c r="C4" s="2"/>
      <c r="D4" s="2"/>
      <c r="E4" s="2"/>
      <c r="F4" s="2"/>
      <c r="G4" s="2"/>
      <c r="H4" s="2"/>
      <c r="I4" s="2"/>
      <c r="J4" s="2"/>
    </row>
    <row r="5" spans="1:18" ht="14.25" customHeight="1" outlineLevel="1">
      <c r="A5" s="9"/>
      <c r="B5" s="10"/>
      <c r="C5" s="11" t="s">
        <v>4</v>
      </c>
      <c r="D5" s="11" t="s">
        <v>5</v>
      </c>
      <c r="E5" s="12" t="s">
        <v>4</v>
      </c>
      <c r="F5" s="12" t="s">
        <v>5</v>
      </c>
      <c r="G5" s="12" t="s">
        <v>6</v>
      </c>
      <c r="H5" s="2"/>
      <c r="I5" s="13" t="s">
        <v>4</v>
      </c>
      <c r="J5" s="13" t="s">
        <v>5</v>
      </c>
      <c r="K5" s="14" t="s">
        <v>7</v>
      </c>
      <c r="M5" s="15" t="s">
        <v>8</v>
      </c>
      <c r="N5" s="16"/>
      <c r="O5" s="399" t="s">
        <v>9</v>
      </c>
      <c r="P5" s="16"/>
      <c r="Q5" s="400" t="s">
        <v>10</v>
      </c>
      <c r="R5" s="400"/>
    </row>
    <row r="6" spans="1:18" ht="14.25" customHeight="1" outlineLevel="1">
      <c r="A6" s="17" t="s">
        <v>11</v>
      </c>
      <c r="B6" s="10" t="s">
        <v>12</v>
      </c>
      <c r="C6" s="11" t="s">
        <v>13</v>
      </c>
      <c r="D6" s="11" t="s">
        <v>13</v>
      </c>
      <c r="E6" s="12" t="s">
        <v>14</v>
      </c>
      <c r="F6" s="12" t="s">
        <v>14</v>
      </c>
      <c r="G6" s="12" t="s">
        <v>14</v>
      </c>
      <c r="H6" s="2"/>
      <c r="I6" s="13" t="s">
        <v>15</v>
      </c>
      <c r="J6" s="13" t="s">
        <v>15</v>
      </c>
      <c r="K6" s="14" t="s">
        <v>16</v>
      </c>
      <c r="M6" s="18">
        <v>0.15045444516958695</v>
      </c>
      <c r="N6" s="19"/>
      <c r="O6" s="399"/>
      <c r="P6" s="19"/>
      <c r="Q6" s="15" t="s">
        <v>13</v>
      </c>
      <c r="R6" s="15" t="s">
        <v>17</v>
      </c>
    </row>
    <row r="7" spans="1:18" ht="13.5" customHeight="1" outlineLevel="1">
      <c r="L7" s="20" t="s">
        <v>18</v>
      </c>
      <c r="M7" s="21">
        <v>2.35E-2</v>
      </c>
      <c r="N7" s="22"/>
      <c r="O7" s="23"/>
      <c r="P7" s="22"/>
      <c r="Q7" s="22"/>
      <c r="R7" s="22"/>
    </row>
    <row r="8" spans="1:18" s="26" customFormat="1" ht="6.75" customHeight="1">
      <c r="A8" s="2"/>
      <c r="B8" s="2"/>
      <c r="C8" s="2"/>
      <c r="D8" s="2"/>
      <c r="E8" s="2"/>
      <c r="F8" s="2"/>
      <c r="G8" s="2"/>
      <c r="H8" s="2"/>
      <c r="I8" s="2"/>
      <c r="J8" s="2"/>
      <c r="K8" s="3"/>
      <c r="L8" s="2"/>
      <c r="M8" s="24"/>
      <c r="N8" s="24"/>
      <c r="O8" s="25"/>
      <c r="P8" s="24"/>
      <c r="Q8" s="24"/>
      <c r="R8" s="24"/>
    </row>
    <row r="9" spans="1:18" s="26" customFormat="1" ht="12" customHeight="1">
      <c r="A9" s="27" t="s">
        <v>19</v>
      </c>
      <c r="B9" s="27" t="s">
        <v>19</v>
      </c>
      <c r="C9" s="27"/>
      <c r="D9" s="28"/>
      <c r="E9" s="28"/>
      <c r="F9" s="2"/>
      <c r="G9" s="2"/>
      <c r="H9" s="2"/>
      <c r="I9" s="2"/>
      <c r="J9" s="2"/>
      <c r="K9" s="3"/>
      <c r="L9" s="2"/>
      <c r="M9" s="24"/>
      <c r="N9" s="24"/>
      <c r="O9" s="25"/>
      <c r="P9" s="24"/>
      <c r="Q9" s="24"/>
      <c r="R9" s="24"/>
    </row>
    <row r="10" spans="1:18" s="26" customFormat="1" ht="6.75" customHeight="1">
      <c r="A10" s="27"/>
      <c r="B10" s="27"/>
      <c r="C10" s="27"/>
      <c r="D10" s="28"/>
      <c r="E10" s="28"/>
      <c r="F10" s="2"/>
      <c r="G10" s="2"/>
      <c r="H10" s="2"/>
      <c r="I10" s="2"/>
      <c r="J10" s="2"/>
      <c r="K10" s="3"/>
      <c r="L10" s="2"/>
      <c r="M10" s="24"/>
      <c r="N10" s="24"/>
      <c r="O10" s="25"/>
      <c r="P10" s="24"/>
      <c r="Q10" s="24"/>
      <c r="R10" s="24"/>
    </row>
    <row r="11" spans="1:18" s="26" customFormat="1" ht="12" customHeight="1">
      <c r="A11" s="29" t="s">
        <v>20</v>
      </c>
      <c r="B11" s="29" t="s">
        <v>20</v>
      </c>
      <c r="C11" s="29"/>
      <c r="D11" s="30"/>
      <c r="E11" s="31"/>
      <c r="F11" s="31"/>
      <c r="G11" s="32"/>
      <c r="H11" s="2"/>
      <c r="I11" s="31"/>
      <c r="J11" s="31"/>
      <c r="K11" s="3"/>
      <c r="L11" s="2"/>
      <c r="M11" s="24"/>
      <c r="N11" s="24"/>
      <c r="O11" s="25"/>
      <c r="P11" s="24"/>
      <c r="Q11" s="24"/>
      <c r="R11" s="24"/>
    </row>
    <row r="12" spans="1:18" s="26" customFormat="1" ht="12" customHeight="1">
      <c r="A12" s="33" t="s">
        <v>21</v>
      </c>
      <c r="B12" s="34" t="s">
        <v>22</v>
      </c>
      <c r="C12" s="35">
        <v>16.84</v>
      </c>
      <c r="D12" s="30">
        <v>16.88</v>
      </c>
      <c r="E12" s="31">
        <v>261.02</v>
      </c>
      <c r="F12" s="31">
        <v>443.1</v>
      </c>
      <c r="G12" s="31">
        <f>SUM(E12:F12)</f>
        <v>704.12</v>
      </c>
      <c r="H12" s="2"/>
      <c r="I12" s="31">
        <f>IFERROR(E12/($C12),0)/4</f>
        <v>3.8749999999999996</v>
      </c>
      <c r="J12" s="31">
        <f>IFERROR(F12/($D12),0)/8</f>
        <v>3.2812500000000004</v>
      </c>
      <c r="K12" s="226">
        <f t="shared" ref="K12:K33" si="0">IFERROR(AVERAGEIF(I12:J12,"&lt;&gt;0"),0)</f>
        <v>3.578125</v>
      </c>
      <c r="L12" s="2"/>
      <c r="M12" s="37">
        <f>$M$6*D12</f>
        <v>2.5396710344626277</v>
      </c>
      <c r="N12" s="24"/>
      <c r="O12" s="25">
        <f>K12*SUM(M12:M12)*12</f>
        <v>109.04712504223909</v>
      </c>
      <c r="P12" s="24"/>
      <c r="Q12" s="32">
        <f>ROUND((+D12+SUM(M12:M12)),2)</f>
        <v>19.420000000000002</v>
      </c>
      <c r="R12" s="38">
        <f>G12+O12</f>
        <v>813.16712504223915</v>
      </c>
    </row>
    <row r="13" spans="1:18" s="26" customFormat="1" ht="12" customHeight="1">
      <c r="A13" s="33" t="s">
        <v>23</v>
      </c>
      <c r="B13" s="34" t="s">
        <v>24</v>
      </c>
      <c r="C13" s="35">
        <v>19.47</v>
      </c>
      <c r="D13" s="30">
        <v>19.54</v>
      </c>
      <c r="E13" s="31">
        <v>75482.52</v>
      </c>
      <c r="F13" s="31">
        <v>160549.45000000001</v>
      </c>
      <c r="G13" s="31">
        <f t="shared" ref="G13:G32" si="1">SUM(E13:F13)</f>
        <v>236031.97000000003</v>
      </c>
      <c r="H13" s="2"/>
      <c r="I13" s="31">
        <f t="shared" ref="I13:I33" si="2">IFERROR(E13/($C13),0)/4</f>
        <v>969.21571648690303</v>
      </c>
      <c r="J13" s="31">
        <f t="shared" ref="J13:J33" si="3">IFERROR(F13/($D13),0)/8</f>
        <v>1027.0563587512795</v>
      </c>
      <c r="K13" s="226">
        <f t="shared" si="0"/>
        <v>998.13603761909121</v>
      </c>
      <c r="L13" s="2"/>
      <c r="M13" s="37">
        <f t="shared" ref="M13:M33" si="4">$M$6*D13</f>
        <v>2.9398798586137289</v>
      </c>
      <c r="N13" s="24"/>
      <c r="O13" s="25">
        <f t="shared" ref="O13:O33" si="5">K13*SUM(M13:M13)*12</f>
        <v>35212.800397834581</v>
      </c>
      <c r="P13" s="24"/>
      <c r="Q13" s="32">
        <f t="shared" ref="Q13:Q33" si="6">ROUND((+D13+SUM(M13:M13)),2)</f>
        <v>22.48</v>
      </c>
      <c r="R13" s="38">
        <f t="shared" ref="R13:R33" si="7">G13+O13</f>
        <v>271244.7703978346</v>
      </c>
    </row>
    <row r="14" spans="1:18" s="26" customFormat="1" ht="12" customHeight="1">
      <c r="A14" s="33" t="s">
        <v>25</v>
      </c>
      <c r="B14" s="34" t="s">
        <v>26</v>
      </c>
      <c r="C14" s="35">
        <v>26.67</v>
      </c>
      <c r="D14" s="30">
        <v>26.77</v>
      </c>
      <c r="E14" s="31">
        <v>35924.199999999997</v>
      </c>
      <c r="F14" s="31">
        <v>74098.399999999994</v>
      </c>
      <c r="G14" s="31">
        <f t="shared" si="1"/>
        <v>110022.59999999999</v>
      </c>
      <c r="H14" s="2"/>
      <c r="I14" s="31">
        <f t="shared" si="2"/>
        <v>336.74728158980122</v>
      </c>
      <c r="J14" s="31">
        <f t="shared" si="3"/>
        <v>345.9955173701905</v>
      </c>
      <c r="K14" s="226">
        <f t="shared" si="0"/>
        <v>341.37139947999583</v>
      </c>
      <c r="L14" s="2"/>
      <c r="M14" s="37">
        <f t="shared" si="4"/>
        <v>4.0276654971898429</v>
      </c>
      <c r="N14" s="24"/>
      <c r="O14" s="25">
        <f t="shared" si="5"/>
        <v>16499.157688955878</v>
      </c>
      <c r="P14" s="24"/>
      <c r="Q14" s="32">
        <f t="shared" si="6"/>
        <v>30.8</v>
      </c>
      <c r="R14" s="38">
        <f t="shared" si="7"/>
        <v>126521.75768895587</v>
      </c>
    </row>
    <row r="15" spans="1:18" s="26" customFormat="1" ht="12" customHeight="1">
      <c r="A15" s="33" t="s">
        <v>27</v>
      </c>
      <c r="B15" s="34" t="s">
        <v>28</v>
      </c>
      <c r="C15" s="35">
        <v>34.729999999999997</v>
      </c>
      <c r="D15" s="30">
        <v>34.880000000000003</v>
      </c>
      <c r="E15" s="31">
        <v>5322.09</v>
      </c>
      <c r="F15" s="31">
        <v>10714.890000000001</v>
      </c>
      <c r="G15" s="31">
        <f t="shared" si="1"/>
        <v>16036.980000000001</v>
      </c>
      <c r="H15" s="2"/>
      <c r="I15" s="31">
        <f t="shared" si="2"/>
        <v>38.310466455513968</v>
      </c>
      <c r="J15" s="31">
        <f t="shared" si="3"/>
        <v>38.399118405963307</v>
      </c>
      <c r="K15" s="226">
        <f t="shared" si="0"/>
        <v>38.354792430738641</v>
      </c>
      <c r="L15" s="2"/>
      <c r="M15" s="37">
        <f t="shared" si="4"/>
        <v>5.2478510475151934</v>
      </c>
      <c r="N15" s="24"/>
      <c r="O15" s="25">
        <f t="shared" si="5"/>
        <v>2415.3628516185554</v>
      </c>
      <c r="P15" s="24"/>
      <c r="Q15" s="32">
        <f t="shared" si="6"/>
        <v>40.130000000000003</v>
      </c>
      <c r="R15" s="38">
        <f t="shared" si="7"/>
        <v>18452.342851618556</v>
      </c>
    </row>
    <row r="16" spans="1:18" s="26" customFormat="1" ht="12" customHeight="1">
      <c r="A16" s="33" t="s">
        <v>29</v>
      </c>
      <c r="B16" s="34" t="s">
        <v>30</v>
      </c>
      <c r="C16" s="35">
        <v>42.27</v>
      </c>
      <c r="D16" s="30">
        <v>42.46</v>
      </c>
      <c r="E16" s="31">
        <v>1521.7200000000003</v>
      </c>
      <c r="F16" s="31">
        <v>3290.65</v>
      </c>
      <c r="G16" s="31">
        <f>SUM(E16:F16)</f>
        <v>4812.3700000000008</v>
      </c>
      <c r="H16" s="2"/>
      <c r="I16" s="31">
        <f t="shared" si="2"/>
        <v>9</v>
      </c>
      <c r="J16" s="31">
        <f t="shared" si="3"/>
        <v>9.6875</v>
      </c>
      <c r="K16" s="226">
        <f t="shared" si="0"/>
        <v>9.34375</v>
      </c>
      <c r="L16" s="2"/>
      <c r="M16" s="37">
        <f>$M$6*D16</f>
        <v>6.3882957419006621</v>
      </c>
      <c r="N16" s="24"/>
      <c r="O16" s="25">
        <f t="shared" si="5"/>
        <v>716.28766006061176</v>
      </c>
      <c r="P16" s="24"/>
      <c r="Q16" s="32">
        <f t="shared" si="6"/>
        <v>48.85</v>
      </c>
      <c r="R16" s="38">
        <f t="shared" si="7"/>
        <v>5528.6576600606122</v>
      </c>
    </row>
    <row r="17" spans="1:18" s="26" customFormat="1" ht="12" customHeight="1">
      <c r="A17" s="33" t="s">
        <v>31</v>
      </c>
      <c r="B17" s="34" t="s">
        <v>32</v>
      </c>
      <c r="C17" s="35">
        <v>60.8</v>
      </c>
      <c r="D17" s="30">
        <v>61.1</v>
      </c>
      <c r="E17" s="31">
        <v>243.2</v>
      </c>
      <c r="F17" s="31">
        <v>488.8</v>
      </c>
      <c r="G17" s="31">
        <f t="shared" si="1"/>
        <v>732</v>
      </c>
      <c r="H17" s="2"/>
      <c r="I17" s="31">
        <f t="shared" si="2"/>
        <v>1</v>
      </c>
      <c r="J17" s="31">
        <f t="shared" si="3"/>
        <v>1</v>
      </c>
      <c r="K17" s="226">
        <f t="shared" si="0"/>
        <v>1</v>
      </c>
      <c r="L17" s="2"/>
      <c r="M17" s="37">
        <f t="shared" si="4"/>
        <v>9.1927665998617627</v>
      </c>
      <c r="N17" s="24"/>
      <c r="O17" s="25">
        <f t="shared" si="5"/>
        <v>110.31319919834115</v>
      </c>
      <c r="P17" s="24"/>
      <c r="Q17" s="32">
        <f t="shared" si="6"/>
        <v>70.290000000000006</v>
      </c>
      <c r="R17" s="38">
        <f t="shared" si="7"/>
        <v>842.31319919834118</v>
      </c>
    </row>
    <row r="18" spans="1:18" s="26" customFormat="1" ht="12" customHeight="1">
      <c r="A18" s="33" t="s">
        <v>33</v>
      </c>
      <c r="B18" s="34" t="s">
        <v>34</v>
      </c>
      <c r="C18" s="35">
        <v>12.33</v>
      </c>
      <c r="D18" s="30">
        <v>12.36</v>
      </c>
      <c r="E18" s="31">
        <v>6247.24</v>
      </c>
      <c r="F18" s="31">
        <v>12638.07</v>
      </c>
      <c r="G18" s="31">
        <f t="shared" si="1"/>
        <v>18885.309999999998</v>
      </c>
      <c r="H18" s="2"/>
      <c r="I18" s="31">
        <f t="shared" si="2"/>
        <v>126.66747769667477</v>
      </c>
      <c r="J18" s="31">
        <f t="shared" si="3"/>
        <v>127.81219660194175</v>
      </c>
      <c r="K18" s="226">
        <f t="shared" si="0"/>
        <v>127.23983714930826</v>
      </c>
      <c r="L18" s="2"/>
      <c r="M18" s="37">
        <f t="shared" si="4"/>
        <v>1.8596169422960946</v>
      </c>
      <c r="N18" s="24"/>
      <c r="O18" s="25">
        <f t="shared" si="5"/>
        <v>2839.4082827741959</v>
      </c>
      <c r="P18" s="24"/>
      <c r="Q18" s="32">
        <f t="shared" si="6"/>
        <v>14.22</v>
      </c>
      <c r="R18" s="38">
        <f t="shared" si="7"/>
        <v>21724.718282774193</v>
      </c>
    </row>
    <row r="19" spans="1:18" s="26" customFormat="1" ht="12" customHeight="1">
      <c r="A19" s="33" t="s">
        <v>35</v>
      </c>
      <c r="B19" s="34" t="s">
        <v>36</v>
      </c>
      <c r="C19" s="35">
        <v>6.16</v>
      </c>
      <c r="D19" s="30">
        <v>6.18</v>
      </c>
      <c r="E19" s="31">
        <v>720.72</v>
      </c>
      <c r="F19" s="31">
        <v>1507.92</v>
      </c>
      <c r="G19" s="31">
        <f t="shared" si="1"/>
        <v>2228.6400000000003</v>
      </c>
      <c r="H19" s="2"/>
      <c r="I19" s="31">
        <f t="shared" si="2"/>
        <v>29.25</v>
      </c>
      <c r="J19" s="31">
        <f t="shared" si="3"/>
        <v>30.500000000000004</v>
      </c>
      <c r="K19" s="226">
        <f t="shared" si="0"/>
        <v>29.875</v>
      </c>
      <c r="L19" s="2"/>
      <c r="M19" s="37">
        <f t="shared" si="4"/>
        <v>0.92980847114804732</v>
      </c>
      <c r="N19" s="2"/>
      <c r="O19" s="25">
        <f t="shared" si="5"/>
        <v>333.33633690657496</v>
      </c>
      <c r="P19" s="2"/>
      <c r="Q19" s="32">
        <f t="shared" si="6"/>
        <v>7.11</v>
      </c>
      <c r="R19" s="38">
        <f t="shared" si="7"/>
        <v>2561.9763369065754</v>
      </c>
    </row>
    <row r="20" spans="1:18" s="26" customFormat="1" ht="12" customHeight="1">
      <c r="A20" s="33" t="s">
        <v>37</v>
      </c>
      <c r="B20" s="34" t="s">
        <v>38</v>
      </c>
      <c r="C20" s="35">
        <v>31.52</v>
      </c>
      <c r="D20" s="30">
        <v>31.61</v>
      </c>
      <c r="E20" s="31">
        <v>9544.26</v>
      </c>
      <c r="F20" s="31">
        <v>17863.7</v>
      </c>
      <c r="G20" s="31">
        <f>SUM(E20:F20)</f>
        <v>27407.96</v>
      </c>
      <c r="H20" s="2"/>
      <c r="I20" s="31">
        <f t="shared" si="2"/>
        <v>75.700031725888323</v>
      </c>
      <c r="J20" s="31">
        <f t="shared" si="3"/>
        <v>70.64101550142361</v>
      </c>
      <c r="K20" s="226">
        <f t="shared" si="0"/>
        <v>73.170523613655973</v>
      </c>
      <c r="L20" s="2"/>
      <c r="M20" s="37">
        <f t="shared" si="4"/>
        <v>4.7558650118106431</v>
      </c>
      <c r="N20" s="2"/>
      <c r="O20" s="25">
        <f t="shared" si="5"/>
        <v>4175.8695978006108</v>
      </c>
      <c r="P20" s="2"/>
      <c r="Q20" s="32">
        <f t="shared" si="6"/>
        <v>36.369999999999997</v>
      </c>
      <c r="R20" s="38">
        <f t="shared" si="7"/>
        <v>31583.82959780061</v>
      </c>
    </row>
    <row r="21" spans="1:18" s="26" customFormat="1" ht="12" customHeight="1">
      <c r="A21" s="33" t="s">
        <v>39</v>
      </c>
      <c r="B21" s="34" t="s">
        <v>40</v>
      </c>
      <c r="C21" s="35">
        <v>39.35</v>
      </c>
      <c r="D21" s="30">
        <v>39.44</v>
      </c>
      <c r="E21" s="31">
        <v>1197.1300000000001</v>
      </c>
      <c r="F21" s="31">
        <v>2273.64</v>
      </c>
      <c r="G21" s="31">
        <f t="shared" si="1"/>
        <v>3470.77</v>
      </c>
      <c r="H21" s="2"/>
      <c r="I21" s="31">
        <f t="shared" si="2"/>
        <v>7.6056543837357058</v>
      </c>
      <c r="J21" s="31">
        <f t="shared" si="3"/>
        <v>7.2060091277890468</v>
      </c>
      <c r="K21" s="226">
        <f t="shared" si="0"/>
        <v>7.4058317557623763</v>
      </c>
      <c r="L21" s="2"/>
      <c r="M21" s="37">
        <f t="shared" si="4"/>
        <v>5.9339233174885093</v>
      </c>
      <c r="N21" s="2"/>
      <c r="O21" s="25">
        <f t="shared" si="5"/>
        <v>527.34765289098277</v>
      </c>
      <c r="P21" s="2"/>
      <c r="Q21" s="32">
        <f t="shared" si="6"/>
        <v>45.37</v>
      </c>
      <c r="R21" s="38">
        <f t="shared" si="7"/>
        <v>3998.1176528909828</v>
      </c>
    </row>
    <row r="22" spans="1:18" s="26" customFormat="1" ht="12" customHeight="1">
      <c r="A22" s="33" t="s">
        <v>41</v>
      </c>
      <c r="B22" s="34" t="s">
        <v>42</v>
      </c>
      <c r="C22" s="35">
        <v>6.16</v>
      </c>
      <c r="D22" s="30">
        <v>6.18</v>
      </c>
      <c r="E22" s="31">
        <v>868.54000000000008</v>
      </c>
      <c r="F22" s="31">
        <v>2013.6</v>
      </c>
      <c r="G22" s="31">
        <f t="shared" si="1"/>
        <v>2882.14</v>
      </c>
      <c r="H22" s="2"/>
      <c r="I22" s="31">
        <f t="shared" si="2"/>
        <v>35.249188311688314</v>
      </c>
      <c r="J22" s="31">
        <f t="shared" si="3"/>
        <v>40.728155339805824</v>
      </c>
      <c r="K22" s="226">
        <f t="shared" si="0"/>
        <v>37.988671825747069</v>
      </c>
      <c r="L22" s="2"/>
      <c r="M22" s="37">
        <f t="shared" si="4"/>
        <v>0.92980847114804732</v>
      </c>
      <c r="N22" s="2"/>
      <c r="O22" s="25">
        <f t="shared" si="5"/>
        <v>423.86626645491333</v>
      </c>
      <c r="P22" s="2"/>
      <c r="Q22" s="32">
        <f t="shared" si="6"/>
        <v>7.11</v>
      </c>
      <c r="R22" s="38">
        <f t="shared" si="7"/>
        <v>3306.0062664549132</v>
      </c>
    </row>
    <row r="23" spans="1:18" s="26" customFormat="1" ht="12" customHeight="1">
      <c r="A23" s="33" t="s">
        <v>43</v>
      </c>
      <c r="B23" s="34" t="s">
        <v>44</v>
      </c>
      <c r="C23" s="35">
        <v>4.5199999999999996</v>
      </c>
      <c r="D23" s="30">
        <v>4.54</v>
      </c>
      <c r="E23" s="31">
        <v>4742.93</v>
      </c>
      <c r="F23" s="31">
        <v>20817.530000000002</v>
      </c>
      <c r="G23" s="31">
        <f t="shared" si="1"/>
        <v>25560.460000000003</v>
      </c>
      <c r="H23" s="2"/>
      <c r="I23" s="31">
        <f t="shared" si="2"/>
        <v>262.33019911504431</v>
      </c>
      <c r="J23" s="31">
        <f t="shared" si="3"/>
        <v>573.16987885462561</v>
      </c>
      <c r="K23" s="226">
        <f t="shared" si="0"/>
        <v>417.75003898483499</v>
      </c>
      <c r="L23" s="2"/>
      <c r="M23" s="37">
        <f t="shared" si="4"/>
        <v>0.6830631810699247</v>
      </c>
      <c r="N23" s="2"/>
      <c r="O23" s="25">
        <f t="shared" si="5"/>
        <v>3424.1960462527977</v>
      </c>
      <c r="P23" s="2"/>
      <c r="Q23" s="32">
        <f t="shared" si="6"/>
        <v>5.22</v>
      </c>
      <c r="R23" s="38">
        <f t="shared" si="7"/>
        <v>28984.6560462528</v>
      </c>
    </row>
    <row r="24" spans="1:18" s="26" customFormat="1" ht="12" customHeight="1">
      <c r="A24" s="33" t="s">
        <v>45</v>
      </c>
      <c r="B24" s="34" t="s">
        <v>46</v>
      </c>
      <c r="C24" s="35">
        <v>4.32</v>
      </c>
      <c r="D24" s="30">
        <v>4.34</v>
      </c>
      <c r="E24" s="31">
        <v>8.43</v>
      </c>
      <c r="F24" s="31">
        <v>0</v>
      </c>
      <c r="G24" s="31">
        <f>SUM(E24:F24)</f>
        <v>8.43</v>
      </c>
      <c r="H24" s="2"/>
      <c r="I24" s="31">
        <f t="shared" si="2"/>
        <v>0.48784722222222215</v>
      </c>
      <c r="J24" s="31">
        <f t="shared" si="3"/>
        <v>0</v>
      </c>
      <c r="K24" s="226">
        <f t="shared" si="0"/>
        <v>0.48784722222222215</v>
      </c>
      <c r="L24" s="2"/>
      <c r="M24" s="37">
        <f t="shared" si="4"/>
        <v>0.65297229203600737</v>
      </c>
      <c r="N24" s="2"/>
      <c r="O24" s="25">
        <f t="shared" si="5"/>
        <v>3.8226086262941257</v>
      </c>
      <c r="P24" s="2"/>
      <c r="Q24" s="32">
        <f t="shared" si="6"/>
        <v>4.99</v>
      </c>
      <c r="R24" s="38">
        <f t="shared" si="7"/>
        <v>12.252608626294126</v>
      </c>
    </row>
    <row r="25" spans="1:18" s="26" customFormat="1" ht="12" customHeight="1">
      <c r="A25" s="33" t="s">
        <v>47</v>
      </c>
      <c r="B25" s="39" t="s">
        <v>48</v>
      </c>
      <c r="C25" s="35">
        <v>4.32</v>
      </c>
      <c r="D25" s="30">
        <v>4.34</v>
      </c>
      <c r="E25" s="31">
        <v>59.01</v>
      </c>
      <c r="F25" s="31">
        <v>4.5199999999999996</v>
      </c>
      <c r="G25" s="31">
        <f>SUM(E25:F25)</f>
        <v>63.53</v>
      </c>
      <c r="H25" s="2"/>
      <c r="I25" s="31">
        <f t="shared" si="2"/>
        <v>3.4149305555555554</v>
      </c>
      <c r="J25" s="31">
        <f t="shared" si="3"/>
        <v>0.13018433179723501</v>
      </c>
      <c r="K25" s="226">
        <f t="shared" si="0"/>
        <v>1.7725574436763951</v>
      </c>
      <c r="L25" s="2"/>
      <c r="M25" s="37">
        <f t="shared" si="4"/>
        <v>0.65297229203600737</v>
      </c>
      <c r="N25" s="2"/>
      <c r="O25" s="25">
        <f t="shared" si="5"/>
        <v>13.88917076115434</v>
      </c>
      <c r="P25" s="2"/>
      <c r="Q25" s="32">
        <f t="shared" si="6"/>
        <v>4.99</v>
      </c>
      <c r="R25" s="38">
        <f t="shared" si="7"/>
        <v>77.419170761154334</v>
      </c>
    </row>
    <row r="26" spans="1:18" s="26" customFormat="1" ht="12" customHeight="1">
      <c r="A26" s="159" t="s">
        <v>49</v>
      </c>
      <c r="B26" s="135" t="s">
        <v>50</v>
      </c>
      <c r="C26" s="141">
        <v>88.82</v>
      </c>
      <c r="D26" s="117">
        <v>88.82</v>
      </c>
      <c r="E26" s="98">
        <v>0</v>
      </c>
      <c r="F26" s="98">
        <v>85.74</v>
      </c>
      <c r="G26" s="98">
        <f>SUM(E26:F26)</f>
        <v>85.74</v>
      </c>
      <c r="H26" s="9"/>
      <c r="I26" s="98">
        <f t="shared" si="2"/>
        <v>0</v>
      </c>
      <c r="J26" s="98">
        <f t="shared" si="3"/>
        <v>0.12066539067777528</v>
      </c>
      <c r="K26" s="227">
        <f t="shared" si="0"/>
        <v>0.12066539067777528</v>
      </c>
      <c r="L26" s="9"/>
      <c r="M26" s="118">
        <f t="shared" si="4"/>
        <v>13.363363819962712</v>
      </c>
      <c r="N26" s="9"/>
      <c r="O26" s="142">
        <f t="shared" si="5"/>
        <v>19.349946193260578</v>
      </c>
      <c r="P26" s="9"/>
      <c r="Q26" s="118">
        <f t="shared" si="6"/>
        <v>102.18</v>
      </c>
      <c r="R26" s="119">
        <f t="shared" si="7"/>
        <v>105.08994619326057</v>
      </c>
    </row>
    <row r="27" spans="1:18" s="26" customFormat="1" ht="12" customHeight="1">
      <c r="A27" s="33" t="s">
        <v>51</v>
      </c>
      <c r="B27" s="34" t="s">
        <v>52</v>
      </c>
      <c r="C27" s="35">
        <v>17.68</v>
      </c>
      <c r="D27" s="30">
        <v>17.739999999999998</v>
      </c>
      <c r="E27" s="31">
        <v>35.36</v>
      </c>
      <c r="F27" s="31">
        <v>88.699999999999989</v>
      </c>
      <c r="G27" s="31">
        <f t="shared" si="1"/>
        <v>124.05999999999999</v>
      </c>
      <c r="H27" s="2"/>
      <c r="I27" s="31">
        <f t="shared" si="2"/>
        <v>0.5</v>
      </c>
      <c r="J27" s="31">
        <f t="shared" si="3"/>
        <v>0.625</v>
      </c>
      <c r="K27" s="226">
        <f t="shared" si="0"/>
        <v>0.5625</v>
      </c>
      <c r="L27" s="2"/>
      <c r="M27" s="37">
        <f t="shared" si="4"/>
        <v>2.6690618573084723</v>
      </c>
      <c r="N27" s="2"/>
      <c r="O27" s="25">
        <f t="shared" si="5"/>
        <v>18.016167536832185</v>
      </c>
      <c r="P27" s="2"/>
      <c r="Q27" s="32">
        <f t="shared" si="6"/>
        <v>20.41</v>
      </c>
      <c r="R27" s="38">
        <f t="shared" si="7"/>
        <v>142.07616753683217</v>
      </c>
    </row>
    <row r="28" spans="1:18" s="26" customFormat="1" ht="12" customHeight="1">
      <c r="A28" s="159" t="s">
        <v>53</v>
      </c>
      <c r="B28" s="135" t="s">
        <v>54</v>
      </c>
      <c r="C28" s="141">
        <v>2.71</v>
      </c>
      <c r="D28" s="117">
        <v>2.71</v>
      </c>
      <c r="E28" s="98">
        <v>548.52</v>
      </c>
      <c r="F28" s="98">
        <v>1111.24</v>
      </c>
      <c r="G28" s="98">
        <f>SUM(E28:F28)</f>
        <v>1659.76</v>
      </c>
      <c r="H28" s="9"/>
      <c r="I28" s="98">
        <f t="shared" si="2"/>
        <v>50.601476014760145</v>
      </c>
      <c r="J28" s="98">
        <f t="shared" si="3"/>
        <v>51.256457564575648</v>
      </c>
      <c r="K28" s="227">
        <f t="shared" si="0"/>
        <v>50.928966789667896</v>
      </c>
      <c r="L28" s="9"/>
      <c r="M28" s="118">
        <f t="shared" si="4"/>
        <v>0.40773154640958065</v>
      </c>
      <c r="N28" s="9"/>
      <c r="O28" s="142">
        <f t="shared" si="5"/>
        <v>249.1841566343216</v>
      </c>
      <c r="P28" s="9"/>
      <c r="Q28" s="118">
        <f t="shared" si="6"/>
        <v>3.12</v>
      </c>
      <c r="R28" s="119">
        <f t="shared" si="7"/>
        <v>1908.9441566343216</v>
      </c>
    </row>
    <row r="29" spans="1:18" s="26" customFormat="1" ht="12" customHeight="1">
      <c r="A29" s="159" t="s">
        <v>55</v>
      </c>
      <c r="B29" s="135" t="s">
        <v>56</v>
      </c>
      <c r="C29" s="141">
        <v>2.71</v>
      </c>
      <c r="D29" s="117">
        <v>2.71</v>
      </c>
      <c r="E29" s="98">
        <v>18.399999999999999</v>
      </c>
      <c r="F29" s="98">
        <v>47.8</v>
      </c>
      <c r="G29" s="98">
        <f>SUM(E29:F29)</f>
        <v>66.199999999999989</v>
      </c>
      <c r="H29" s="9"/>
      <c r="I29" s="98">
        <f t="shared" si="2"/>
        <v>1.6974169741697416</v>
      </c>
      <c r="J29" s="98">
        <f t="shared" si="3"/>
        <v>2.2047970479704797</v>
      </c>
      <c r="K29" s="227">
        <f t="shared" si="0"/>
        <v>1.9511070110701105</v>
      </c>
      <c r="L29" s="9"/>
      <c r="M29" s="118">
        <f t="shared" si="4"/>
        <v>0.40773154640958065</v>
      </c>
      <c r="N29" s="9"/>
      <c r="O29" s="142">
        <f t="shared" si="5"/>
        <v>9.5463345460102911</v>
      </c>
      <c r="P29" s="9"/>
      <c r="Q29" s="118">
        <f t="shared" si="6"/>
        <v>3.12</v>
      </c>
      <c r="R29" s="119">
        <f t="shared" si="7"/>
        <v>75.746334546010274</v>
      </c>
    </row>
    <row r="30" spans="1:18" s="26" customFormat="1" ht="12" customHeight="1">
      <c r="A30" s="159" t="s">
        <v>57</v>
      </c>
      <c r="B30" s="135" t="s">
        <v>58</v>
      </c>
      <c r="C30" s="141">
        <v>5.41</v>
      </c>
      <c r="D30" s="117">
        <v>5.41</v>
      </c>
      <c r="E30" s="98">
        <v>21.64</v>
      </c>
      <c r="F30" s="98">
        <v>5.41</v>
      </c>
      <c r="G30" s="98">
        <f t="shared" si="1"/>
        <v>27.05</v>
      </c>
      <c r="H30" s="9"/>
      <c r="I30" s="98">
        <f t="shared" si="2"/>
        <v>1</v>
      </c>
      <c r="J30" s="98">
        <f t="shared" si="3"/>
        <v>0.125</v>
      </c>
      <c r="K30" s="227">
        <f t="shared" si="0"/>
        <v>0.5625</v>
      </c>
      <c r="L30" s="9"/>
      <c r="M30" s="118">
        <f t="shared" si="4"/>
        <v>0.8139585483674654</v>
      </c>
      <c r="N30" s="9"/>
      <c r="O30" s="142">
        <f t="shared" si="5"/>
        <v>5.4942202014803918</v>
      </c>
      <c r="P30" s="9"/>
      <c r="Q30" s="118">
        <f t="shared" si="6"/>
        <v>6.22</v>
      </c>
      <c r="R30" s="119">
        <f t="shared" si="7"/>
        <v>32.544220201480393</v>
      </c>
    </row>
    <row r="31" spans="1:18" s="26" customFormat="1" ht="12" customHeight="1">
      <c r="A31" s="159" t="s">
        <v>59</v>
      </c>
      <c r="B31" s="135" t="s">
        <v>60</v>
      </c>
      <c r="C31" s="141">
        <v>5.41</v>
      </c>
      <c r="D31" s="117">
        <v>5.41</v>
      </c>
      <c r="E31" s="98">
        <v>245.08999999999997</v>
      </c>
      <c r="F31" s="98">
        <v>344.09999999999991</v>
      </c>
      <c r="G31" s="98">
        <f t="shared" si="1"/>
        <v>589.18999999999983</v>
      </c>
      <c r="H31" s="9"/>
      <c r="I31" s="98">
        <f t="shared" si="2"/>
        <v>11.325785582255081</v>
      </c>
      <c r="J31" s="98">
        <f t="shared" si="3"/>
        <v>7.9505545286506445</v>
      </c>
      <c r="K31" s="227">
        <f t="shared" si="0"/>
        <v>9.6381700554528624</v>
      </c>
      <c r="L31" s="9"/>
      <c r="M31" s="118">
        <f t="shared" si="4"/>
        <v>0.8139585483674654</v>
      </c>
      <c r="N31" s="9"/>
      <c r="O31" s="142">
        <f t="shared" si="5"/>
        <v>94.140850887062228</v>
      </c>
      <c r="P31" s="9"/>
      <c r="Q31" s="118">
        <f t="shared" si="6"/>
        <v>6.22</v>
      </c>
      <c r="R31" s="119">
        <f t="shared" si="7"/>
        <v>683.33085088706207</v>
      </c>
    </row>
    <row r="32" spans="1:18" s="26" customFormat="1" ht="12" customHeight="1">
      <c r="A32" s="159" t="s">
        <v>61</v>
      </c>
      <c r="B32" s="135" t="s">
        <v>62</v>
      </c>
      <c r="C32" s="141">
        <v>2.71</v>
      </c>
      <c r="D32" s="117">
        <v>2.71</v>
      </c>
      <c r="E32" s="98">
        <v>324.24999999999994</v>
      </c>
      <c r="F32" s="98">
        <v>683.08</v>
      </c>
      <c r="G32" s="98">
        <f t="shared" si="1"/>
        <v>1007.3299999999999</v>
      </c>
      <c r="H32" s="9"/>
      <c r="I32" s="98">
        <f t="shared" si="2"/>
        <v>29.912361623616231</v>
      </c>
      <c r="J32" s="98">
        <f t="shared" si="3"/>
        <v>31.507380073800739</v>
      </c>
      <c r="K32" s="227">
        <f t="shared" si="0"/>
        <v>30.709870848708483</v>
      </c>
      <c r="L32" s="9"/>
      <c r="M32" s="118">
        <f t="shared" si="4"/>
        <v>0.40773154640958065</v>
      </c>
      <c r="N32" s="9"/>
      <c r="O32" s="142">
        <f t="shared" si="5"/>
        <v>150.25659757418893</v>
      </c>
      <c r="P32" s="9"/>
      <c r="Q32" s="118">
        <f t="shared" si="6"/>
        <v>3.12</v>
      </c>
      <c r="R32" s="119">
        <f t="shared" si="7"/>
        <v>1157.5865975741888</v>
      </c>
    </row>
    <row r="33" spans="1:22" s="26" customFormat="1" ht="12" customHeight="1">
      <c r="A33" s="159" t="s">
        <v>63</v>
      </c>
      <c r="B33" s="135" t="s">
        <v>64</v>
      </c>
      <c r="C33" s="141">
        <v>0</v>
      </c>
      <c r="D33" s="117"/>
      <c r="E33" s="98">
        <v>-1.9399999999999995</v>
      </c>
      <c r="F33" s="98">
        <v>80.759999999999991</v>
      </c>
      <c r="G33" s="98">
        <f>SUM(E33:F33)</f>
        <v>78.819999999999993</v>
      </c>
      <c r="H33" s="9"/>
      <c r="I33" s="98">
        <f t="shared" si="2"/>
        <v>0</v>
      </c>
      <c r="J33" s="98">
        <f t="shared" si="3"/>
        <v>0</v>
      </c>
      <c r="K33" s="227">
        <f t="shared" si="0"/>
        <v>0</v>
      </c>
      <c r="L33" s="9"/>
      <c r="M33" s="118">
        <f t="shared" si="4"/>
        <v>0</v>
      </c>
      <c r="N33" s="9"/>
      <c r="O33" s="142">
        <f t="shared" si="5"/>
        <v>0</v>
      </c>
      <c r="P33" s="9"/>
      <c r="Q33" s="118">
        <f t="shared" si="6"/>
        <v>0</v>
      </c>
      <c r="R33" s="119">
        <f t="shared" si="7"/>
        <v>78.819999999999993</v>
      </c>
    </row>
    <row r="34" spans="1:22" s="26" customFormat="1" ht="6" customHeight="1" thickBot="1">
      <c r="A34" s="40"/>
      <c r="B34" s="40"/>
      <c r="C34" s="40"/>
      <c r="D34" s="30"/>
      <c r="E34" s="31"/>
      <c r="F34" s="31"/>
      <c r="G34" s="31"/>
      <c r="H34" s="2"/>
      <c r="I34" s="31"/>
      <c r="J34" s="31"/>
      <c r="K34" s="36"/>
      <c r="L34" s="2"/>
      <c r="M34" s="2"/>
      <c r="N34" s="2"/>
      <c r="O34" s="2"/>
      <c r="P34" s="2"/>
      <c r="Q34" s="2"/>
      <c r="R34" s="41"/>
    </row>
    <row r="35" spans="1:22" s="51" customFormat="1" ht="13.5" customHeight="1" thickBot="1">
      <c r="A35" s="42"/>
      <c r="B35" s="43" t="s">
        <v>65</v>
      </c>
      <c r="C35" s="43"/>
      <c r="D35" s="44"/>
      <c r="E35" s="45">
        <f>SUM(E12:E34)</f>
        <v>143334.32999999999</v>
      </c>
      <c r="F35" s="45">
        <f>SUM(F12:F34)</f>
        <v>309151.09999999998</v>
      </c>
      <c r="G35" s="45">
        <f>SUM(G12:G34)</f>
        <v>452485.43000000011</v>
      </c>
      <c r="H35" s="42"/>
      <c r="I35" s="46"/>
      <c r="J35" s="46"/>
      <c r="K35" s="47">
        <f>+SUM(K12:K21)</f>
        <v>1629.475297048552</v>
      </c>
      <c r="L35" s="46"/>
      <c r="M35" s="46"/>
      <c r="N35" s="46"/>
      <c r="O35" s="48">
        <f>+SUM(O12:O33)</f>
        <v>67350.693158750888</v>
      </c>
      <c r="P35" s="46"/>
      <c r="Q35" s="46"/>
      <c r="R35" s="49">
        <f>+SUM(R12:R33)</f>
        <v>519836.12315875088</v>
      </c>
      <c r="S35" s="50"/>
    </row>
    <row r="36" spans="1:22" s="26" customFormat="1" ht="6.75" customHeight="1">
      <c r="A36" s="27"/>
      <c r="B36" s="52"/>
      <c r="C36" s="52"/>
      <c r="D36" s="53"/>
      <c r="E36" s="54"/>
      <c r="F36" s="54"/>
      <c r="G36" s="32"/>
      <c r="H36" s="2"/>
      <c r="I36" s="31"/>
      <c r="J36" s="31"/>
      <c r="K36" s="36"/>
      <c r="L36" s="2"/>
      <c r="M36" s="2"/>
      <c r="N36" s="2"/>
      <c r="O36" s="2"/>
      <c r="P36" s="2"/>
      <c r="Q36" s="2"/>
      <c r="R36" s="2"/>
    </row>
    <row r="37" spans="1:22" ht="12" customHeight="1">
      <c r="A37" s="27" t="s">
        <v>66</v>
      </c>
      <c r="B37" s="27" t="s">
        <v>66</v>
      </c>
      <c r="C37" s="27"/>
      <c r="I37" s="36"/>
      <c r="J37" s="36"/>
      <c r="K37" s="36"/>
    </row>
    <row r="38" spans="1:22" ht="3.75" customHeight="1">
      <c r="A38" s="27"/>
      <c r="B38" s="27"/>
      <c r="C38" s="27"/>
      <c r="I38" s="36"/>
      <c r="J38" s="36"/>
      <c r="K38" s="36"/>
    </row>
    <row r="39" spans="1:22" s="26" customFormat="1" ht="33.75" customHeight="1">
      <c r="A39" s="29" t="s">
        <v>67</v>
      </c>
      <c r="B39" s="29" t="s">
        <v>67</v>
      </c>
      <c r="C39" s="29"/>
      <c r="D39" s="30"/>
      <c r="E39" s="54"/>
      <c r="F39" s="31" t="str">
        <f>IF(D39="","",(#REF!/D39)+(#REF!/#REF!))</f>
        <v/>
      </c>
      <c r="G39" s="32"/>
      <c r="H39" s="2"/>
      <c r="I39" s="31"/>
      <c r="J39" s="31"/>
      <c r="K39" s="36"/>
      <c r="L39" s="2"/>
      <c r="M39" s="2"/>
      <c r="N39" s="2"/>
      <c r="O39" s="2"/>
      <c r="P39" s="2"/>
      <c r="Q39" s="2"/>
      <c r="R39" s="2"/>
      <c r="T39" s="121" t="s">
        <v>289</v>
      </c>
      <c r="U39" s="112" t="s">
        <v>418</v>
      </c>
      <c r="V39" s="112"/>
    </row>
    <row r="40" spans="1:22" s="26" customFormat="1" ht="12" customHeight="1">
      <c r="A40" s="247" t="s">
        <v>68</v>
      </c>
      <c r="B40" s="247" t="s">
        <v>69</v>
      </c>
      <c r="C40" s="248">
        <v>72.349999999999994</v>
      </c>
      <c r="D40" s="249">
        <v>72.700699999999998</v>
      </c>
      <c r="E40" s="250">
        <v>8634.98</v>
      </c>
      <c r="F40" s="250">
        <v>18865.649999999998</v>
      </c>
      <c r="G40" s="250">
        <f t="shared" ref="G40:G100" si="8">SUM(E40:F40)</f>
        <v>27500.629999999997</v>
      </c>
      <c r="H40" s="251"/>
      <c r="I40" s="250">
        <f t="shared" ref="I40:I101" si="9">IFERROR(E40/($C40),0)/4</f>
        <v>29.837525915687632</v>
      </c>
      <c r="J40" s="250">
        <f t="shared" ref="J40:J101" si="10">IFERROR(F40/($D40),0)/8</f>
        <v>32.437187674946728</v>
      </c>
      <c r="K40" s="252">
        <f>IFERROR(AVERAGEIF(I40:J40,"&lt;&gt;0"),0)</f>
        <v>31.137356795317181</v>
      </c>
      <c r="L40" s="251"/>
      <c r="M40" s="253">
        <f>$M$6*D40</f>
        <v>10.938143481940589</v>
      </c>
      <c r="N40" s="251"/>
      <c r="O40" s="254">
        <f>K40*SUM(M40:M40)*12</f>
        <v>4087.0185153066855</v>
      </c>
      <c r="P40" s="251"/>
      <c r="Q40" s="253">
        <f t="shared" ref="Q40:Q101" si="11">ROUND((+D40+SUM(M40:M40)),2)</f>
        <v>83.64</v>
      </c>
      <c r="R40" s="255">
        <f>G40+O40</f>
        <v>31587.648515306682</v>
      </c>
      <c r="S40" s="256"/>
      <c r="T40" s="257">
        <f>References!$C$10</f>
        <v>4.333333333333333</v>
      </c>
      <c r="U40" s="258">
        <f>SUM(K40*T40)*12</f>
        <v>1619.1425533564934</v>
      </c>
      <c r="V40" s="258">
        <f>K40*12</f>
        <v>373.64828154380621</v>
      </c>
    </row>
    <row r="41" spans="1:22" s="26" customFormat="1" ht="12" customHeight="1">
      <c r="A41" s="247" t="s">
        <v>70</v>
      </c>
      <c r="B41" s="247" t="s">
        <v>71</v>
      </c>
      <c r="C41" s="248">
        <v>144.71</v>
      </c>
      <c r="D41" s="249">
        <v>145.4014</v>
      </c>
      <c r="E41" s="250">
        <v>1157.68</v>
      </c>
      <c r="F41" s="250">
        <v>2326.4</v>
      </c>
      <c r="G41" s="250">
        <f t="shared" si="8"/>
        <v>3484.08</v>
      </c>
      <c r="H41" s="251"/>
      <c r="I41" s="250">
        <f t="shared" si="9"/>
        <v>2</v>
      </c>
      <c r="J41" s="250">
        <f t="shared" si="10"/>
        <v>1.9999807429639607</v>
      </c>
      <c r="K41" s="252">
        <f t="shared" ref="K41:K61" si="12">IFERROR(AVERAGEIF(I41:J41,"&lt;&gt;0"),0)</f>
        <v>1.9999903714819802</v>
      </c>
      <c r="L41" s="251"/>
      <c r="M41" s="253">
        <f t="shared" ref="M41:M101" si="13">$M$6*D41</f>
        <v>21.876286963881178</v>
      </c>
      <c r="N41" s="251"/>
      <c r="O41" s="254">
        <f t="shared" ref="O41:O101" si="14">K41*SUM(M41:M41)*12</f>
        <v>525.0283594984694</v>
      </c>
      <c r="P41" s="251"/>
      <c r="Q41" s="253">
        <f t="shared" si="11"/>
        <v>167.28</v>
      </c>
      <c r="R41" s="255">
        <f t="shared" ref="R41:R100" si="15">G41+O41</f>
        <v>4009.1083594984693</v>
      </c>
      <c r="S41" s="256"/>
      <c r="T41" s="257">
        <f>References!$C$9</f>
        <v>8.6666666666666661</v>
      </c>
      <c r="U41" s="258">
        <f>SUM(K41*T41)*12</f>
        <v>207.99899863412594</v>
      </c>
      <c r="V41" s="258">
        <f t="shared" ref="V41:V76" si="16">K41*12</f>
        <v>23.999884457783764</v>
      </c>
    </row>
    <row r="42" spans="1:22" s="26" customFormat="1" ht="12" customHeight="1">
      <c r="A42" s="247" t="s">
        <v>72</v>
      </c>
      <c r="B42" s="247" t="s">
        <v>73</v>
      </c>
      <c r="C42" s="248">
        <v>144.71</v>
      </c>
      <c r="D42" s="249">
        <v>145.4014</v>
      </c>
      <c r="E42" s="250">
        <v>1157.68</v>
      </c>
      <c r="F42" s="250">
        <v>2320.8000000000002</v>
      </c>
      <c r="G42" s="250">
        <f t="shared" si="8"/>
        <v>3478.4800000000005</v>
      </c>
      <c r="H42" s="251"/>
      <c r="I42" s="250">
        <f t="shared" si="9"/>
        <v>2</v>
      </c>
      <c r="J42" s="250">
        <f t="shared" si="10"/>
        <v>1.995166483954075</v>
      </c>
      <c r="K42" s="252">
        <f t="shared" si="12"/>
        <v>1.9975832419770376</v>
      </c>
      <c r="L42" s="251"/>
      <c r="M42" s="253">
        <f t="shared" si="13"/>
        <v>21.876286963881178</v>
      </c>
      <c r="N42" s="251"/>
      <c r="O42" s="254">
        <f t="shared" si="14"/>
        <v>524.39645082875722</v>
      </c>
      <c r="P42" s="251"/>
      <c r="Q42" s="253">
        <f t="shared" si="11"/>
        <v>167.28</v>
      </c>
      <c r="R42" s="255">
        <f t="shared" si="15"/>
        <v>4002.8764508287577</v>
      </c>
      <c r="S42" s="256"/>
      <c r="T42" s="257">
        <f>References!$D$10</f>
        <v>8.6666666666666661</v>
      </c>
      <c r="U42" s="258">
        <f>SUM(K42*T42)*12</f>
        <v>207.74865716561189</v>
      </c>
      <c r="V42" s="258">
        <f t="shared" si="16"/>
        <v>23.97099890372445</v>
      </c>
    </row>
    <row r="43" spans="1:22" s="26" customFormat="1" ht="12" customHeight="1">
      <c r="A43" s="247" t="s">
        <v>74</v>
      </c>
      <c r="B43" s="247" t="s">
        <v>75</v>
      </c>
      <c r="C43" s="248">
        <v>36.26</v>
      </c>
      <c r="D43" s="249">
        <v>36.4343</v>
      </c>
      <c r="E43" s="250">
        <v>3038.8399999999997</v>
      </c>
      <c r="F43" s="250">
        <v>4941.3599999999997</v>
      </c>
      <c r="G43" s="250">
        <f t="shared" si="8"/>
        <v>7980.1999999999989</v>
      </c>
      <c r="H43" s="251"/>
      <c r="I43" s="250">
        <f t="shared" si="9"/>
        <v>20.951737451737451</v>
      </c>
      <c r="J43" s="250">
        <f t="shared" si="10"/>
        <v>16.952981119439649</v>
      </c>
      <c r="K43" s="252">
        <f t="shared" si="12"/>
        <v>18.95235928558855</v>
      </c>
      <c r="L43" s="251"/>
      <c r="M43" s="253">
        <f t="shared" si="13"/>
        <v>5.4817023916422816</v>
      </c>
      <c r="N43" s="251"/>
      <c r="O43" s="254">
        <f t="shared" si="14"/>
        <v>1246.6943186768947</v>
      </c>
      <c r="P43" s="251"/>
      <c r="Q43" s="253">
        <f t="shared" si="11"/>
        <v>41.92</v>
      </c>
      <c r="R43" s="255">
        <f t="shared" si="15"/>
        <v>9226.8943186768938</v>
      </c>
      <c r="S43" s="256"/>
      <c r="T43" s="257">
        <f>References!$C$11</f>
        <v>2.1666666666666665</v>
      </c>
      <c r="U43" s="258">
        <f>SUM(K43*T43)*12</f>
        <v>492.76134142530225</v>
      </c>
      <c r="V43" s="258">
        <f t="shared" si="16"/>
        <v>227.4283114270626</v>
      </c>
    </row>
    <row r="44" spans="1:22" s="26" customFormat="1" ht="12" customHeight="1">
      <c r="A44" s="259" t="s">
        <v>76</v>
      </c>
      <c r="B44" s="259" t="s">
        <v>77</v>
      </c>
      <c r="C44" s="260">
        <v>106.69</v>
      </c>
      <c r="D44" s="261">
        <v>107.1675</v>
      </c>
      <c r="E44" s="262">
        <v>10162.16</v>
      </c>
      <c r="F44" s="262">
        <v>22617.879999999997</v>
      </c>
      <c r="G44" s="262">
        <f t="shared" si="8"/>
        <v>32780.039999999994</v>
      </c>
      <c r="H44" s="263"/>
      <c r="I44" s="262">
        <f t="shared" si="9"/>
        <v>23.812353547661449</v>
      </c>
      <c r="J44" s="262">
        <f t="shared" si="10"/>
        <v>26.381458931112508</v>
      </c>
      <c r="K44" s="264">
        <f t="shared" si="12"/>
        <v>25.096906239386978</v>
      </c>
      <c r="L44" s="263"/>
      <c r="M44" s="265">
        <f t="shared" si="13"/>
        <v>16.123826752711711</v>
      </c>
      <c r="N44" s="263"/>
      <c r="O44" s="266">
        <f t="shared" si="14"/>
        <v>4855.8980187951029</v>
      </c>
      <c r="P44" s="263"/>
      <c r="Q44" s="265">
        <f t="shared" si="11"/>
        <v>123.29</v>
      </c>
      <c r="R44" s="267">
        <f t="shared" si="15"/>
        <v>37635.938018795096</v>
      </c>
      <c r="S44" s="268"/>
      <c r="T44" s="269">
        <f>References!$C$10</f>
        <v>4.333333333333333</v>
      </c>
      <c r="U44" s="270">
        <f t="shared" ref="U44:U75" si="17">SUM(K44*T44)*12</f>
        <v>1305.0391244481227</v>
      </c>
      <c r="V44" s="270">
        <f t="shared" si="16"/>
        <v>301.16287487264373</v>
      </c>
    </row>
    <row r="45" spans="1:22" s="26" customFormat="1" ht="12" customHeight="1">
      <c r="A45" s="259" t="s">
        <v>78</v>
      </c>
      <c r="B45" s="259" t="s">
        <v>79</v>
      </c>
      <c r="C45" s="260">
        <v>213.38</v>
      </c>
      <c r="D45" s="261">
        <v>214.33500000000001</v>
      </c>
      <c r="E45" s="262">
        <v>1707.04</v>
      </c>
      <c r="F45" s="262">
        <v>4286.8</v>
      </c>
      <c r="G45" s="262">
        <f t="shared" si="8"/>
        <v>5993.84</v>
      </c>
      <c r="H45" s="263"/>
      <c r="I45" s="262">
        <f t="shared" si="9"/>
        <v>2</v>
      </c>
      <c r="J45" s="262">
        <f t="shared" si="10"/>
        <v>2.5000583199197517</v>
      </c>
      <c r="K45" s="264">
        <f t="shared" si="12"/>
        <v>2.2500291599598761</v>
      </c>
      <c r="L45" s="263"/>
      <c r="M45" s="265">
        <f t="shared" si="13"/>
        <v>32.247653505423422</v>
      </c>
      <c r="N45" s="263"/>
      <c r="O45" s="266">
        <f t="shared" si="14"/>
        <v>870.69792872982021</v>
      </c>
      <c r="P45" s="263"/>
      <c r="Q45" s="265">
        <f t="shared" si="11"/>
        <v>246.58</v>
      </c>
      <c r="R45" s="267">
        <f t="shared" si="15"/>
        <v>6864.5379287298201</v>
      </c>
      <c r="S45" s="268"/>
      <c r="T45" s="269">
        <f>References!$D$10</f>
        <v>8.6666666666666661</v>
      </c>
      <c r="U45" s="270">
        <f t="shared" si="17"/>
        <v>234.00303263582711</v>
      </c>
      <c r="V45" s="270">
        <f t="shared" si="16"/>
        <v>27.000349919518513</v>
      </c>
    </row>
    <row r="46" spans="1:22" s="26" customFormat="1" ht="12" customHeight="1">
      <c r="A46" s="259" t="s">
        <v>80</v>
      </c>
      <c r="B46" s="259" t="s">
        <v>81</v>
      </c>
      <c r="C46" s="260">
        <v>213.38</v>
      </c>
      <c r="D46" s="261">
        <v>214.33500000000001</v>
      </c>
      <c r="E46" s="262">
        <v>2560.56</v>
      </c>
      <c r="F46" s="262">
        <v>5494.25</v>
      </c>
      <c r="G46" s="262">
        <f t="shared" si="8"/>
        <v>8054.8099999999995</v>
      </c>
      <c r="H46" s="263"/>
      <c r="I46" s="262">
        <f t="shared" si="9"/>
        <v>3</v>
      </c>
      <c r="J46" s="262">
        <f t="shared" si="10"/>
        <v>3.204242190962745</v>
      </c>
      <c r="K46" s="264">
        <f t="shared" si="12"/>
        <v>3.1021210954813725</v>
      </c>
      <c r="L46" s="263"/>
      <c r="M46" s="265">
        <f t="shared" si="13"/>
        <v>32.247653505423422</v>
      </c>
      <c r="N46" s="263"/>
      <c r="O46" s="266">
        <f t="shared" si="14"/>
        <v>1200.4335146273738</v>
      </c>
      <c r="P46" s="263"/>
      <c r="Q46" s="265">
        <f t="shared" si="11"/>
        <v>246.58</v>
      </c>
      <c r="R46" s="267">
        <f t="shared" si="15"/>
        <v>9255.2435146273729</v>
      </c>
      <c r="S46" s="268"/>
      <c r="T46" s="269">
        <f>References!$C$9</f>
        <v>8.6666666666666661</v>
      </c>
      <c r="U46" s="270">
        <f t="shared" si="17"/>
        <v>322.62059393006268</v>
      </c>
      <c r="V46" s="270">
        <f t="shared" si="16"/>
        <v>37.22545314577647</v>
      </c>
    </row>
    <row r="47" spans="1:22" s="26" customFormat="1" ht="12" customHeight="1">
      <c r="A47" s="259" t="s">
        <v>82</v>
      </c>
      <c r="B47" s="259" t="s">
        <v>83</v>
      </c>
      <c r="C47" s="260">
        <v>320.07</v>
      </c>
      <c r="D47" s="261">
        <v>321.5025</v>
      </c>
      <c r="E47" s="262">
        <v>0</v>
      </c>
      <c r="F47" s="262">
        <v>1419.96</v>
      </c>
      <c r="G47" s="262">
        <f t="shared" si="8"/>
        <v>1419.96</v>
      </c>
      <c r="H47" s="263"/>
      <c r="I47" s="262">
        <f t="shared" si="9"/>
        <v>0</v>
      </c>
      <c r="J47" s="262">
        <f t="shared" si="10"/>
        <v>0.55207968833834886</v>
      </c>
      <c r="K47" s="264">
        <f t="shared" si="12"/>
        <v>0.55207968833834886</v>
      </c>
      <c r="L47" s="263"/>
      <c r="M47" s="265">
        <f t="shared" si="13"/>
        <v>48.371480258135129</v>
      </c>
      <c r="N47" s="263"/>
      <c r="O47" s="266">
        <f t="shared" si="14"/>
        <v>320.45894094451006</v>
      </c>
      <c r="P47" s="263"/>
      <c r="Q47" s="265">
        <f t="shared" si="11"/>
        <v>369.87</v>
      </c>
      <c r="R47" s="267">
        <f t="shared" si="15"/>
        <v>1740.41894094451</v>
      </c>
      <c r="S47" s="268"/>
      <c r="T47" s="269">
        <f>References!$C$8</f>
        <v>13</v>
      </c>
      <c r="U47" s="270">
        <f t="shared" si="17"/>
        <v>86.124431380782426</v>
      </c>
      <c r="V47" s="270">
        <f t="shared" si="16"/>
        <v>6.6249562600601859</v>
      </c>
    </row>
    <row r="48" spans="1:22" s="26" customFormat="1" ht="12" customHeight="1">
      <c r="A48" s="259" t="s">
        <v>84</v>
      </c>
      <c r="B48" s="259" t="s">
        <v>85</v>
      </c>
      <c r="C48" s="260">
        <v>53.47</v>
      </c>
      <c r="D48" s="261">
        <v>53.707499999999996</v>
      </c>
      <c r="E48" s="262">
        <v>3446.4100000000003</v>
      </c>
      <c r="F48" s="262">
        <v>9448.4600000000009</v>
      </c>
      <c r="G48" s="262">
        <f t="shared" si="8"/>
        <v>12894.87</v>
      </c>
      <c r="H48" s="263"/>
      <c r="I48" s="262">
        <f t="shared" si="9"/>
        <v>16.113755376846832</v>
      </c>
      <c r="J48" s="262">
        <f t="shared" si="10"/>
        <v>21.990550667970027</v>
      </c>
      <c r="K48" s="264">
        <f t="shared" si="12"/>
        <v>19.052153022408429</v>
      </c>
      <c r="L48" s="263"/>
      <c r="M48" s="265">
        <f t="shared" si="13"/>
        <v>8.0805321139455906</v>
      </c>
      <c r="N48" s="263"/>
      <c r="O48" s="266">
        <f t="shared" si="14"/>
        <v>1847.4184120485224</v>
      </c>
      <c r="P48" s="263"/>
      <c r="Q48" s="265">
        <f t="shared" si="11"/>
        <v>61.79</v>
      </c>
      <c r="R48" s="267">
        <f t="shared" si="15"/>
        <v>14742.288412048523</v>
      </c>
      <c r="S48" s="268"/>
      <c r="T48" s="269">
        <f>References!$C$11</f>
        <v>2.1666666666666665</v>
      </c>
      <c r="U48" s="270">
        <f t="shared" si="17"/>
        <v>495.35597858261912</v>
      </c>
      <c r="V48" s="270">
        <f t="shared" si="16"/>
        <v>228.62583626890114</v>
      </c>
    </row>
    <row r="49" spans="1:22" s="26" customFormat="1" ht="12" customHeight="1">
      <c r="A49" s="271" t="s">
        <v>86</v>
      </c>
      <c r="B49" s="271" t="s">
        <v>87</v>
      </c>
      <c r="C49" s="272">
        <v>139.38</v>
      </c>
      <c r="D49" s="273">
        <v>139.9889</v>
      </c>
      <c r="E49" s="274">
        <v>21627.810000000005</v>
      </c>
      <c r="F49" s="274">
        <v>48175.14</v>
      </c>
      <c r="G49" s="274">
        <f t="shared" si="8"/>
        <v>69802.950000000012</v>
      </c>
      <c r="H49" s="275"/>
      <c r="I49" s="274">
        <f t="shared" si="9"/>
        <v>38.792886353852786</v>
      </c>
      <c r="J49" s="274">
        <f t="shared" si="10"/>
        <v>43.016928485044168</v>
      </c>
      <c r="K49" s="276">
        <f t="shared" si="12"/>
        <v>40.904907419448477</v>
      </c>
      <c r="L49" s="275"/>
      <c r="M49" s="277">
        <f t="shared" si="13"/>
        <v>21.061952279400792</v>
      </c>
      <c r="N49" s="275"/>
      <c r="O49" s="278">
        <f t="shared" si="14"/>
        <v>10338.446496740775</v>
      </c>
      <c r="P49" s="275"/>
      <c r="Q49" s="277">
        <f t="shared" si="11"/>
        <v>161.05000000000001</v>
      </c>
      <c r="R49" s="279">
        <f t="shared" si="15"/>
        <v>80141.396496740781</v>
      </c>
      <c r="S49" s="280"/>
      <c r="T49" s="281">
        <f>References!$C$10</f>
        <v>4.333333333333333</v>
      </c>
      <c r="U49" s="282">
        <f t="shared" si="17"/>
        <v>2127.0551858113208</v>
      </c>
      <c r="V49" s="282">
        <f t="shared" si="16"/>
        <v>490.85888903338173</v>
      </c>
    </row>
    <row r="50" spans="1:22" s="26" customFormat="1" ht="12" customHeight="1">
      <c r="A50" s="271" t="s">
        <v>88</v>
      </c>
      <c r="B50" s="271" t="s">
        <v>89</v>
      </c>
      <c r="C50" s="272">
        <v>278.77</v>
      </c>
      <c r="D50" s="273">
        <v>279.9778</v>
      </c>
      <c r="E50" s="274">
        <v>3002.0899999999997</v>
      </c>
      <c r="F50" s="274">
        <v>11127.11</v>
      </c>
      <c r="G50" s="274">
        <f t="shared" si="8"/>
        <v>14129.2</v>
      </c>
      <c r="H50" s="275"/>
      <c r="I50" s="274">
        <f t="shared" si="9"/>
        <v>2.6922642321627146</v>
      </c>
      <c r="J50" s="274">
        <f t="shared" si="10"/>
        <v>4.9678537012577424</v>
      </c>
      <c r="K50" s="276">
        <f t="shared" si="12"/>
        <v>3.8300589667102285</v>
      </c>
      <c r="L50" s="275"/>
      <c r="M50" s="277">
        <f t="shared" si="13"/>
        <v>42.123904558801584</v>
      </c>
      <c r="N50" s="275"/>
      <c r="O50" s="278">
        <f t="shared" si="14"/>
        <v>1936.0444604194067</v>
      </c>
      <c r="P50" s="275"/>
      <c r="Q50" s="277">
        <f t="shared" si="11"/>
        <v>322.10000000000002</v>
      </c>
      <c r="R50" s="279">
        <f t="shared" si="15"/>
        <v>16065.244460419408</v>
      </c>
      <c r="S50" s="280"/>
      <c r="T50" s="281">
        <f>References!$D$10</f>
        <v>8.6666666666666661</v>
      </c>
      <c r="U50" s="282">
        <f t="shared" si="17"/>
        <v>398.32613253786371</v>
      </c>
      <c r="V50" s="282">
        <f t="shared" si="16"/>
        <v>45.960707600522738</v>
      </c>
    </row>
    <row r="51" spans="1:22" s="26" customFormat="1" ht="12" customHeight="1">
      <c r="A51" s="271" t="s">
        <v>90</v>
      </c>
      <c r="B51" s="271" t="s">
        <v>91</v>
      </c>
      <c r="C51" s="272">
        <v>418.15</v>
      </c>
      <c r="D51" s="273">
        <v>419.9667</v>
      </c>
      <c r="E51" s="274">
        <v>1672.6</v>
      </c>
      <c r="F51" s="274">
        <v>7453.5700000000006</v>
      </c>
      <c r="G51" s="274">
        <f t="shared" si="8"/>
        <v>9126.17</v>
      </c>
      <c r="H51" s="275"/>
      <c r="I51" s="274">
        <f t="shared" si="9"/>
        <v>1</v>
      </c>
      <c r="J51" s="274">
        <f t="shared" si="10"/>
        <v>2.2185003001428449</v>
      </c>
      <c r="K51" s="276">
        <f t="shared" si="12"/>
        <v>1.6092501500714225</v>
      </c>
      <c r="L51" s="275"/>
      <c r="M51" s="277">
        <f t="shared" si="13"/>
        <v>63.185856838202369</v>
      </c>
      <c r="N51" s="275"/>
      <c r="O51" s="278">
        <f t="shared" si="14"/>
        <v>1220.1821951912229</v>
      </c>
      <c r="P51" s="275"/>
      <c r="Q51" s="277">
        <f t="shared" si="11"/>
        <v>483.15</v>
      </c>
      <c r="R51" s="279">
        <f t="shared" si="15"/>
        <v>10346.352195191223</v>
      </c>
      <c r="S51" s="280"/>
      <c r="T51" s="281">
        <f>References!E10</f>
        <v>13</v>
      </c>
      <c r="U51" s="282">
        <f t="shared" si="17"/>
        <v>251.04302341114192</v>
      </c>
      <c r="V51" s="282">
        <f t="shared" si="16"/>
        <v>19.311001800857071</v>
      </c>
    </row>
    <row r="52" spans="1:22" s="26" customFormat="1" ht="12" customHeight="1">
      <c r="A52" s="271" t="s">
        <v>92</v>
      </c>
      <c r="B52" s="271" t="s">
        <v>93</v>
      </c>
      <c r="C52" s="272">
        <v>557.53</v>
      </c>
      <c r="D52" s="273">
        <v>559.9556</v>
      </c>
      <c r="E52" s="274">
        <v>2230.12</v>
      </c>
      <c r="F52" s="274">
        <v>8959.36</v>
      </c>
      <c r="G52" s="274">
        <f t="shared" si="8"/>
        <v>11189.48</v>
      </c>
      <c r="H52" s="275"/>
      <c r="I52" s="274">
        <f t="shared" si="9"/>
        <v>1</v>
      </c>
      <c r="J52" s="274">
        <f t="shared" si="10"/>
        <v>2.0000157155317315</v>
      </c>
      <c r="K52" s="276">
        <f t="shared" si="12"/>
        <v>1.5000078577658658</v>
      </c>
      <c r="L52" s="275"/>
      <c r="M52" s="277">
        <f t="shared" si="13"/>
        <v>84.247809117603168</v>
      </c>
      <c r="N52" s="275"/>
      <c r="O52" s="278">
        <f t="shared" si="14"/>
        <v>1516.468508111562</v>
      </c>
      <c r="P52" s="275"/>
      <c r="Q52" s="277">
        <f t="shared" si="11"/>
        <v>644.20000000000005</v>
      </c>
      <c r="R52" s="279">
        <f t="shared" si="15"/>
        <v>12705.948508111562</v>
      </c>
      <c r="S52" s="280"/>
      <c r="T52" s="281">
        <f>References!F10</f>
        <v>17.333333333333332</v>
      </c>
      <c r="U52" s="282">
        <f t="shared" si="17"/>
        <v>312.00163441530003</v>
      </c>
      <c r="V52" s="282">
        <f t="shared" si="16"/>
        <v>18.00009429319039</v>
      </c>
    </row>
    <row r="53" spans="1:22" s="26" customFormat="1" ht="12" customHeight="1">
      <c r="A53" s="271" t="s">
        <v>94</v>
      </c>
      <c r="B53" s="271" t="s">
        <v>95</v>
      </c>
      <c r="C53" s="272">
        <v>975.68</v>
      </c>
      <c r="D53" s="273">
        <v>979.92230000000006</v>
      </c>
      <c r="E53" s="274">
        <v>3902.72</v>
      </c>
      <c r="F53" s="274">
        <v>7839.36</v>
      </c>
      <c r="G53" s="274">
        <f t="shared" si="8"/>
        <v>11742.08</v>
      </c>
      <c r="H53" s="275"/>
      <c r="I53" s="274">
        <f t="shared" si="9"/>
        <v>1</v>
      </c>
      <c r="J53" s="274">
        <f t="shared" si="10"/>
        <v>0.99999765287513087</v>
      </c>
      <c r="K53" s="276">
        <f t="shared" si="12"/>
        <v>0.99999882643756544</v>
      </c>
      <c r="L53" s="275"/>
      <c r="M53" s="277">
        <f t="shared" si="13"/>
        <v>147.43366595580554</v>
      </c>
      <c r="N53" s="275"/>
      <c r="O53" s="278">
        <f t="shared" si="14"/>
        <v>1769.2019151983229</v>
      </c>
      <c r="P53" s="275"/>
      <c r="Q53" s="277">
        <f t="shared" si="11"/>
        <v>1127.3599999999999</v>
      </c>
      <c r="R53" s="279">
        <f t="shared" si="15"/>
        <v>13511.281915198322</v>
      </c>
      <c r="S53" s="280"/>
      <c r="T53" s="281">
        <f>References!I10</f>
        <v>30.333333333333332</v>
      </c>
      <c r="U53" s="282">
        <f t="shared" si="17"/>
        <v>363.99957282327381</v>
      </c>
      <c r="V53" s="282">
        <f t="shared" si="16"/>
        <v>11.999985917250786</v>
      </c>
    </row>
    <row r="54" spans="1:22" s="26" customFormat="1" ht="12" customHeight="1">
      <c r="A54" s="271" t="s">
        <v>96</v>
      </c>
      <c r="B54" s="271" t="s">
        <v>97</v>
      </c>
      <c r="C54" s="272">
        <v>278.77</v>
      </c>
      <c r="D54" s="273">
        <v>279.9778</v>
      </c>
      <c r="E54" s="274">
        <v>7805.5599999999995</v>
      </c>
      <c r="F54" s="274">
        <v>18148.150000000001</v>
      </c>
      <c r="G54" s="274">
        <f t="shared" si="8"/>
        <v>25953.71</v>
      </c>
      <c r="H54" s="275"/>
      <c r="I54" s="274">
        <f t="shared" si="9"/>
        <v>7</v>
      </c>
      <c r="J54" s="274">
        <f t="shared" si="10"/>
        <v>8.10249509068219</v>
      </c>
      <c r="K54" s="276">
        <f t="shared" si="12"/>
        <v>7.551247545341095</v>
      </c>
      <c r="L54" s="275"/>
      <c r="M54" s="277">
        <f t="shared" si="13"/>
        <v>42.123904558801584</v>
      </c>
      <c r="N54" s="275"/>
      <c r="O54" s="278">
        <f t="shared" si="14"/>
        <v>3817.0563707979964</v>
      </c>
      <c r="P54" s="275"/>
      <c r="Q54" s="277">
        <f t="shared" si="11"/>
        <v>322.10000000000002</v>
      </c>
      <c r="R54" s="279">
        <f t="shared" si="15"/>
        <v>29770.766370797995</v>
      </c>
      <c r="S54" s="280"/>
      <c r="T54" s="281">
        <f>References!$C$9</f>
        <v>8.6666666666666661</v>
      </c>
      <c r="U54" s="282">
        <f t="shared" si="17"/>
        <v>785.32974471547391</v>
      </c>
      <c r="V54" s="282">
        <f t="shared" si="16"/>
        <v>90.61497054409314</v>
      </c>
    </row>
    <row r="55" spans="1:22" s="26" customFormat="1" ht="12" customHeight="1">
      <c r="A55" s="271" t="s">
        <v>98</v>
      </c>
      <c r="B55" s="271" t="s">
        <v>99</v>
      </c>
      <c r="C55" s="272">
        <v>557.53</v>
      </c>
      <c r="D55" s="273">
        <v>559.9556</v>
      </c>
      <c r="E55" s="274">
        <v>2230.12</v>
      </c>
      <c r="F55" s="274">
        <v>4479.68</v>
      </c>
      <c r="G55" s="274">
        <f t="shared" si="8"/>
        <v>6709.8</v>
      </c>
      <c r="H55" s="275"/>
      <c r="I55" s="274">
        <f t="shared" si="9"/>
        <v>1</v>
      </c>
      <c r="J55" s="274">
        <f t="shared" si="10"/>
        <v>1.0000078577658658</v>
      </c>
      <c r="K55" s="276">
        <f t="shared" si="12"/>
        <v>1.0000039288829328</v>
      </c>
      <c r="L55" s="275"/>
      <c r="M55" s="277">
        <f t="shared" si="13"/>
        <v>84.247809117603168</v>
      </c>
      <c r="N55" s="275"/>
      <c r="O55" s="278">
        <f t="shared" si="14"/>
        <v>1010.9776814085903</v>
      </c>
      <c r="P55" s="275"/>
      <c r="Q55" s="277">
        <f t="shared" si="11"/>
        <v>644.20000000000005</v>
      </c>
      <c r="R55" s="279">
        <f t="shared" si="15"/>
        <v>7720.7776814085901</v>
      </c>
      <c r="S55" s="280"/>
      <c r="T55" s="281">
        <f>References!D9</f>
        <v>17.333333333333332</v>
      </c>
      <c r="U55" s="282">
        <f t="shared" si="17"/>
        <v>208.00081720765002</v>
      </c>
      <c r="V55" s="282">
        <f t="shared" si="16"/>
        <v>12.000047146595193</v>
      </c>
    </row>
    <row r="56" spans="1:22" s="26" customFormat="1" ht="12" customHeight="1">
      <c r="A56" s="271" t="s">
        <v>100</v>
      </c>
      <c r="B56" s="271" t="s">
        <v>101</v>
      </c>
      <c r="C56" s="272">
        <v>1951.36</v>
      </c>
      <c r="D56" s="273">
        <v>1959.8446000000001</v>
      </c>
      <c r="E56" s="274">
        <v>7805.44</v>
      </c>
      <c r="F56" s="274">
        <v>15678.72</v>
      </c>
      <c r="G56" s="274">
        <f t="shared" si="8"/>
        <v>23484.16</v>
      </c>
      <c r="H56" s="275"/>
      <c r="I56" s="274">
        <f t="shared" si="9"/>
        <v>1</v>
      </c>
      <c r="J56" s="274">
        <f t="shared" si="10"/>
        <v>0.99999765287513087</v>
      </c>
      <c r="K56" s="276">
        <f t="shared" si="12"/>
        <v>0.99999882643756544</v>
      </c>
      <c r="L56" s="275"/>
      <c r="M56" s="277">
        <f t="shared" si="13"/>
        <v>294.86733191161107</v>
      </c>
      <c r="N56" s="275"/>
      <c r="O56" s="278">
        <f t="shared" si="14"/>
        <v>3538.4038303966458</v>
      </c>
      <c r="P56" s="275"/>
      <c r="Q56" s="277">
        <f t="shared" si="11"/>
        <v>2254.71</v>
      </c>
      <c r="R56" s="279">
        <f t="shared" si="15"/>
        <v>27022.563830396644</v>
      </c>
      <c r="S56" s="280"/>
      <c r="T56" s="281">
        <f>References!I9</f>
        <v>60.666666666666664</v>
      </c>
      <c r="U56" s="282">
        <f t="shared" si="17"/>
        <v>727.99914564654762</v>
      </c>
      <c r="V56" s="282">
        <f t="shared" si="16"/>
        <v>11.999985917250786</v>
      </c>
    </row>
    <row r="57" spans="1:22" s="26" customFormat="1" ht="12" customHeight="1">
      <c r="A57" s="271" t="s">
        <v>102</v>
      </c>
      <c r="B57" s="271" t="s">
        <v>103</v>
      </c>
      <c r="C57" s="272">
        <v>418.15</v>
      </c>
      <c r="D57" s="273">
        <v>419.9667</v>
      </c>
      <c r="E57" s="274">
        <v>8363</v>
      </c>
      <c r="F57" s="274">
        <v>14082.990000000002</v>
      </c>
      <c r="G57" s="274">
        <f t="shared" si="8"/>
        <v>22445.99</v>
      </c>
      <c r="H57" s="275"/>
      <c r="I57" s="274">
        <f t="shared" si="9"/>
        <v>5</v>
      </c>
      <c r="J57" s="274">
        <f t="shared" si="10"/>
        <v>4.1916984132313351</v>
      </c>
      <c r="K57" s="276">
        <f t="shared" si="12"/>
        <v>4.595849206615668</v>
      </c>
      <c r="L57" s="275"/>
      <c r="M57" s="277">
        <f t="shared" si="13"/>
        <v>63.185856838202369</v>
      </c>
      <c r="N57" s="275"/>
      <c r="O57" s="278">
        <f t="shared" si="14"/>
        <v>3484.7120402302025</v>
      </c>
      <c r="P57" s="275"/>
      <c r="Q57" s="277">
        <f t="shared" si="11"/>
        <v>483.15</v>
      </c>
      <c r="R57" s="279">
        <f t="shared" si="15"/>
        <v>25930.702040230204</v>
      </c>
      <c r="S57" s="280"/>
      <c r="T57" s="281">
        <f>References!$C$8</f>
        <v>13</v>
      </c>
      <c r="U57" s="282">
        <f t="shared" si="17"/>
        <v>716.95247623204421</v>
      </c>
      <c r="V57" s="282">
        <f t="shared" si="16"/>
        <v>55.150190479388016</v>
      </c>
    </row>
    <row r="58" spans="1:22" s="26" customFormat="1" ht="12" customHeight="1">
      <c r="A58" s="271" t="s">
        <v>104</v>
      </c>
      <c r="B58" s="271" t="s">
        <v>105</v>
      </c>
      <c r="C58" s="272">
        <v>836.3</v>
      </c>
      <c r="D58" s="273">
        <v>839.93340000000001</v>
      </c>
      <c r="E58" s="274">
        <v>6690.4</v>
      </c>
      <c r="F58" s="274">
        <v>13438.88</v>
      </c>
      <c r="G58" s="274">
        <f t="shared" si="8"/>
        <v>20129.28</v>
      </c>
      <c r="H58" s="275"/>
      <c r="I58" s="274">
        <f t="shared" si="9"/>
        <v>2</v>
      </c>
      <c r="J58" s="274">
        <f t="shared" si="10"/>
        <v>1.9999919041200169</v>
      </c>
      <c r="K58" s="276">
        <f t="shared" si="12"/>
        <v>1.9999959520600084</v>
      </c>
      <c r="L58" s="275"/>
      <c r="M58" s="277">
        <f t="shared" si="13"/>
        <v>126.37171367640474</v>
      </c>
      <c r="N58" s="275"/>
      <c r="O58" s="278">
        <f t="shared" si="14"/>
        <v>3032.9149896923504</v>
      </c>
      <c r="P58" s="275"/>
      <c r="Q58" s="277">
        <f t="shared" si="11"/>
        <v>966.31</v>
      </c>
      <c r="R58" s="279">
        <f t="shared" si="15"/>
        <v>23162.194989692351</v>
      </c>
      <c r="S58" s="280"/>
      <c r="T58" s="281">
        <f>References!D8</f>
        <v>26</v>
      </c>
      <c r="U58" s="282">
        <f t="shared" si="17"/>
        <v>623.99873704272261</v>
      </c>
      <c r="V58" s="282">
        <f t="shared" si="16"/>
        <v>23.999951424720102</v>
      </c>
    </row>
    <row r="59" spans="1:22" s="26" customFormat="1" ht="12" customHeight="1">
      <c r="A59" s="271" t="s">
        <v>106</v>
      </c>
      <c r="B59" s="271" t="s">
        <v>107</v>
      </c>
      <c r="C59" s="272">
        <v>557.53</v>
      </c>
      <c r="D59" s="273">
        <v>559.9556</v>
      </c>
      <c r="E59" s="274">
        <v>2230.12</v>
      </c>
      <c r="F59" s="274">
        <v>4479.68</v>
      </c>
      <c r="G59" s="274">
        <f t="shared" si="8"/>
        <v>6709.8</v>
      </c>
      <c r="H59" s="275"/>
      <c r="I59" s="274">
        <f t="shared" si="9"/>
        <v>1</v>
      </c>
      <c r="J59" s="274">
        <f t="shared" si="10"/>
        <v>1.0000078577658658</v>
      </c>
      <c r="K59" s="276">
        <f t="shared" si="12"/>
        <v>1.0000039288829328</v>
      </c>
      <c r="L59" s="275"/>
      <c r="M59" s="277">
        <f t="shared" si="13"/>
        <v>84.247809117603168</v>
      </c>
      <c r="N59" s="275"/>
      <c r="O59" s="278">
        <f t="shared" si="14"/>
        <v>1010.9776814085903</v>
      </c>
      <c r="P59" s="275"/>
      <c r="Q59" s="277">
        <f t="shared" si="11"/>
        <v>644.20000000000005</v>
      </c>
      <c r="R59" s="279">
        <f t="shared" si="15"/>
        <v>7720.7776814085901</v>
      </c>
      <c r="S59" s="280"/>
      <c r="T59" s="281">
        <f>References!C7</f>
        <v>17.333333333333332</v>
      </c>
      <c r="U59" s="282">
        <f t="shared" si="17"/>
        <v>208.00081720765002</v>
      </c>
      <c r="V59" s="282">
        <f t="shared" si="16"/>
        <v>12.000047146595193</v>
      </c>
    </row>
    <row r="60" spans="1:22" s="26" customFormat="1" ht="12" customHeight="1">
      <c r="A60" s="271" t="s">
        <v>108</v>
      </c>
      <c r="B60" s="271" t="s">
        <v>109</v>
      </c>
      <c r="C60" s="272">
        <v>69.849999999999994</v>
      </c>
      <c r="D60" s="273">
        <v>70.156099999999995</v>
      </c>
      <c r="E60" s="274">
        <v>3565.0999999999995</v>
      </c>
      <c r="F60" s="274">
        <v>7887.07</v>
      </c>
      <c r="G60" s="274">
        <f t="shared" si="8"/>
        <v>11452.169999999998</v>
      </c>
      <c r="H60" s="275"/>
      <c r="I60" s="274">
        <f t="shared" si="9"/>
        <v>12.759842519685039</v>
      </c>
      <c r="J60" s="274">
        <f t="shared" si="10"/>
        <v>14.052716014715756</v>
      </c>
      <c r="K60" s="276">
        <f t="shared" si="12"/>
        <v>13.406279267200397</v>
      </c>
      <c r="L60" s="275"/>
      <c r="M60" s="277">
        <f t="shared" si="13"/>
        <v>10.555297100762058</v>
      </c>
      <c r="N60" s="275"/>
      <c r="O60" s="278">
        <f t="shared" si="14"/>
        <v>1698.0871281730419</v>
      </c>
      <c r="P60" s="275"/>
      <c r="Q60" s="277">
        <f t="shared" si="11"/>
        <v>80.709999999999994</v>
      </c>
      <c r="R60" s="279">
        <f t="shared" si="15"/>
        <v>13150.25712817304</v>
      </c>
      <c r="S60" s="280"/>
      <c r="T60" s="281">
        <f>References!$C$11</f>
        <v>2.1666666666666665</v>
      </c>
      <c r="U60" s="282">
        <f t="shared" si="17"/>
        <v>348.56326094721027</v>
      </c>
      <c r="V60" s="282">
        <f t="shared" si="16"/>
        <v>160.87535120640476</v>
      </c>
    </row>
    <row r="61" spans="1:22" s="26" customFormat="1" ht="12" customHeight="1">
      <c r="A61" s="22" t="s">
        <v>110</v>
      </c>
      <c r="B61" s="22" t="s">
        <v>111</v>
      </c>
      <c r="C61" s="35">
        <v>234.51</v>
      </c>
      <c r="D61" s="30">
        <v>235.68190000000001</v>
      </c>
      <c r="E61" s="31">
        <v>1876.08</v>
      </c>
      <c r="F61" s="31">
        <v>3762.69</v>
      </c>
      <c r="G61" s="31">
        <f t="shared" si="8"/>
        <v>5638.77</v>
      </c>
      <c r="H61" s="2"/>
      <c r="I61" s="31">
        <f t="shared" si="9"/>
        <v>2</v>
      </c>
      <c r="J61" s="31">
        <f t="shared" si="10"/>
        <v>1.9956400979455782</v>
      </c>
      <c r="K61" s="36">
        <f t="shared" si="12"/>
        <v>1.9978200489727891</v>
      </c>
      <c r="L61" s="2"/>
      <c r="M61" s="37">
        <f t="shared" si="13"/>
        <v>35.459389501014073</v>
      </c>
      <c r="N61" s="24"/>
      <c r="O61" s="25">
        <f t="shared" si="14"/>
        <v>850.09775123353359</v>
      </c>
      <c r="P61" s="24"/>
      <c r="Q61" s="32">
        <f t="shared" si="11"/>
        <v>271.14</v>
      </c>
      <c r="R61" s="38">
        <f t="shared" si="15"/>
        <v>6488.8677512335344</v>
      </c>
      <c r="T61" s="162">
        <f>References!$C$10</f>
        <v>4.333333333333333</v>
      </c>
      <c r="U61" s="120">
        <f t="shared" si="17"/>
        <v>103.88664254658502</v>
      </c>
      <c r="V61" s="120">
        <f t="shared" si="16"/>
        <v>23.973840587673468</v>
      </c>
    </row>
    <row r="62" spans="1:22" s="26" customFormat="1" ht="12" customHeight="1">
      <c r="A62" s="22" t="s">
        <v>112</v>
      </c>
      <c r="B62" s="22" t="s">
        <v>113</v>
      </c>
      <c r="C62" s="35">
        <v>117.53</v>
      </c>
      <c r="D62" s="30">
        <v>118.11309999999999</v>
      </c>
      <c r="E62" s="31">
        <v>397.04</v>
      </c>
      <c r="F62" s="31">
        <v>794.08</v>
      </c>
      <c r="G62" s="31">
        <f t="shared" si="8"/>
        <v>1191.1200000000001</v>
      </c>
      <c r="H62" s="2"/>
      <c r="I62" s="31">
        <f t="shared" si="9"/>
        <v>0.84455032757593806</v>
      </c>
      <c r="J62" s="31">
        <f t="shared" si="10"/>
        <v>0.84038095689639858</v>
      </c>
      <c r="K62" s="36"/>
      <c r="L62" s="2"/>
      <c r="M62" s="37">
        <f t="shared" si="13"/>
        <v>17.770640927759938</v>
      </c>
      <c r="N62" s="24"/>
      <c r="O62" s="25">
        <f t="shared" si="14"/>
        <v>0</v>
      </c>
      <c r="P62" s="24"/>
      <c r="Q62" s="32">
        <f t="shared" si="11"/>
        <v>135.88</v>
      </c>
      <c r="R62" s="38">
        <f t="shared" si="15"/>
        <v>1191.1200000000001</v>
      </c>
      <c r="T62" s="162">
        <f>References!$C$11</f>
        <v>2.1666666666666665</v>
      </c>
      <c r="U62" s="120">
        <f t="shared" si="17"/>
        <v>0</v>
      </c>
      <c r="V62" s="120">
        <f t="shared" si="16"/>
        <v>0</v>
      </c>
    </row>
    <row r="63" spans="1:22" s="26" customFormat="1" ht="12" customHeight="1">
      <c r="A63" s="259" t="s">
        <v>114</v>
      </c>
      <c r="B63" s="259" t="s">
        <v>115</v>
      </c>
      <c r="C63" s="260">
        <v>34.130000000000003</v>
      </c>
      <c r="D63" s="261">
        <v>34.24</v>
      </c>
      <c r="E63" s="262">
        <v>0</v>
      </c>
      <c r="F63" s="262">
        <v>34.24</v>
      </c>
      <c r="G63" s="262">
        <f>SUM(E63:F63)</f>
        <v>34.24</v>
      </c>
      <c r="H63" s="263"/>
      <c r="I63" s="262">
        <f>IFERROR(E63/($C63),0)/4</f>
        <v>0</v>
      </c>
      <c r="J63" s="262">
        <f>IFERROR(F63/($D63),0)/8</f>
        <v>0.125</v>
      </c>
      <c r="K63" s="264">
        <f>IFERROR(AVERAGEIF(I63:J63,"&lt;&gt;0"),0)</f>
        <v>0.125</v>
      </c>
      <c r="L63" s="263"/>
      <c r="M63" s="265">
        <f t="shared" si="13"/>
        <v>5.1515602026066576</v>
      </c>
      <c r="N63" s="263"/>
      <c r="O63" s="266">
        <f t="shared" si="14"/>
        <v>7.7273403039099868</v>
      </c>
      <c r="P63" s="263"/>
      <c r="Q63" s="265">
        <f t="shared" si="11"/>
        <v>39.39</v>
      </c>
      <c r="R63" s="267">
        <f t="shared" si="15"/>
        <v>41.967340303909992</v>
      </c>
      <c r="S63" s="268"/>
      <c r="T63" s="269">
        <f>References!$C$12</f>
        <v>1</v>
      </c>
      <c r="U63" s="270">
        <f t="shared" si="17"/>
        <v>1.5</v>
      </c>
      <c r="V63" s="270">
        <f t="shared" si="16"/>
        <v>1.5</v>
      </c>
    </row>
    <row r="64" spans="1:22" s="26" customFormat="1" ht="12" customHeight="1">
      <c r="A64" s="247" t="s">
        <v>116</v>
      </c>
      <c r="B64" s="247" t="s">
        <v>117</v>
      </c>
      <c r="C64" s="248">
        <v>23.2</v>
      </c>
      <c r="D64" s="249">
        <v>23.28</v>
      </c>
      <c r="E64" s="250">
        <v>92.8</v>
      </c>
      <c r="F64" s="250">
        <v>186.24</v>
      </c>
      <c r="G64" s="250">
        <f>SUM(E64:F64)</f>
        <v>279.04000000000002</v>
      </c>
      <c r="H64" s="251"/>
      <c r="I64" s="250">
        <f>IFERROR(E64/($C64),0)/4</f>
        <v>1</v>
      </c>
      <c r="J64" s="250">
        <f>IFERROR(F64/($D64),0)/8</f>
        <v>1</v>
      </c>
      <c r="K64" s="252">
        <f>IFERROR(AVERAGEIF(I64:J64,"&lt;&gt;0"),0)</f>
        <v>1</v>
      </c>
      <c r="L64" s="251"/>
      <c r="M64" s="253">
        <f t="shared" si="13"/>
        <v>3.5025794835479842</v>
      </c>
      <c r="N64" s="251"/>
      <c r="O64" s="254">
        <f t="shared" si="14"/>
        <v>42.030953802575809</v>
      </c>
      <c r="P64" s="251"/>
      <c r="Q64" s="253">
        <f t="shared" si="11"/>
        <v>26.78</v>
      </c>
      <c r="R64" s="255">
        <f t="shared" si="15"/>
        <v>321.07095380257584</v>
      </c>
      <c r="S64" s="256"/>
      <c r="T64" s="257">
        <f>References!$C$12</f>
        <v>1</v>
      </c>
      <c r="U64" s="258">
        <f t="shared" si="17"/>
        <v>12</v>
      </c>
      <c r="V64" s="258">
        <f t="shared" si="16"/>
        <v>12</v>
      </c>
    </row>
    <row r="65" spans="1:22" s="292" customFormat="1" ht="12" customHeight="1">
      <c r="A65" s="283" t="s">
        <v>118</v>
      </c>
      <c r="B65" s="283" t="s">
        <v>119</v>
      </c>
      <c r="C65" s="284">
        <v>19.100000000000001</v>
      </c>
      <c r="D65" s="285">
        <v>19.16</v>
      </c>
      <c r="E65" s="286">
        <v>2984.38</v>
      </c>
      <c r="F65" s="286">
        <v>6339.6100000000006</v>
      </c>
      <c r="G65" s="286">
        <f t="shared" si="8"/>
        <v>9323.9900000000016</v>
      </c>
      <c r="H65" s="287"/>
      <c r="I65" s="286">
        <f t="shared" si="9"/>
        <v>39.062565445026173</v>
      </c>
      <c r="J65" s="286">
        <f t="shared" si="10"/>
        <v>41.359668580375789</v>
      </c>
      <c r="K65" s="288">
        <f t="shared" ref="K65:K101" si="18">IFERROR(AVERAGEIF(I65:J65,"&lt;&gt;0"),0)</f>
        <v>40.211117012700981</v>
      </c>
      <c r="L65" s="287"/>
      <c r="M65" s="289">
        <f t="shared" si="13"/>
        <v>2.8827071694492861</v>
      </c>
      <c r="N65" s="287"/>
      <c r="O65" s="290">
        <f t="shared" si="14"/>
        <v>1391.0025036489274</v>
      </c>
      <c r="P65" s="287"/>
      <c r="Q65" s="289">
        <f t="shared" si="11"/>
        <v>22.04</v>
      </c>
      <c r="R65" s="291">
        <f t="shared" si="15"/>
        <v>10714.992503648929</v>
      </c>
      <c r="T65" s="293">
        <f>References!$C$10</f>
        <v>4.333333333333333</v>
      </c>
      <c r="U65" s="294">
        <f t="shared" si="17"/>
        <v>2090.9780846604508</v>
      </c>
      <c r="V65" s="294">
        <f t="shared" si="16"/>
        <v>482.53340415241178</v>
      </c>
    </row>
    <row r="66" spans="1:22" s="292" customFormat="1" ht="12" customHeight="1">
      <c r="A66" s="283" t="s">
        <v>120</v>
      </c>
      <c r="B66" s="283" t="s">
        <v>26</v>
      </c>
      <c r="C66" s="284">
        <v>38.19</v>
      </c>
      <c r="D66" s="285">
        <v>38.277200000000001</v>
      </c>
      <c r="E66" s="286">
        <v>1069.32</v>
      </c>
      <c r="F66" s="286">
        <v>2308.2600000000002</v>
      </c>
      <c r="G66" s="286">
        <f t="shared" si="8"/>
        <v>3377.58</v>
      </c>
      <c r="H66" s="287"/>
      <c r="I66" s="286">
        <f t="shared" si="9"/>
        <v>7</v>
      </c>
      <c r="J66" s="286">
        <f t="shared" si="10"/>
        <v>7.5379729969799261</v>
      </c>
      <c r="K66" s="288">
        <f t="shared" si="18"/>
        <v>7.268986498489963</v>
      </c>
      <c r="L66" s="287"/>
      <c r="M66" s="289">
        <f t="shared" si="13"/>
        <v>5.758974888645314</v>
      </c>
      <c r="N66" s="287"/>
      <c r="O66" s="290">
        <f t="shared" si="14"/>
        <v>502.34292852846625</v>
      </c>
      <c r="P66" s="287"/>
      <c r="Q66" s="289">
        <f t="shared" si="11"/>
        <v>44.04</v>
      </c>
      <c r="R66" s="291">
        <f t="shared" si="15"/>
        <v>3879.9229285284664</v>
      </c>
      <c r="T66" s="293">
        <f>References!$D$10</f>
        <v>8.6666666666666661</v>
      </c>
      <c r="U66" s="294">
        <f t="shared" si="17"/>
        <v>755.97459584295609</v>
      </c>
      <c r="V66" s="294">
        <f t="shared" si="16"/>
        <v>87.22783798187956</v>
      </c>
    </row>
    <row r="67" spans="1:22" s="292" customFormat="1" ht="12" customHeight="1">
      <c r="A67" s="283" t="s">
        <v>121</v>
      </c>
      <c r="B67" s="283" t="s">
        <v>28</v>
      </c>
      <c r="C67" s="284">
        <v>57.29</v>
      </c>
      <c r="D67" s="285">
        <v>57.415799999999997</v>
      </c>
      <c r="E67" s="286">
        <v>0</v>
      </c>
      <c r="F67" s="286">
        <v>195.66</v>
      </c>
      <c r="G67" s="286">
        <f t="shared" si="8"/>
        <v>195.66</v>
      </c>
      <c r="H67" s="287"/>
      <c r="I67" s="286">
        <f t="shared" si="9"/>
        <v>0</v>
      </c>
      <c r="J67" s="286">
        <f t="shared" si="10"/>
        <v>0.42597159666851286</v>
      </c>
      <c r="K67" s="288">
        <f t="shared" si="18"/>
        <v>0.42597159666851286</v>
      </c>
      <c r="L67" s="287"/>
      <c r="M67" s="289">
        <f t="shared" si="13"/>
        <v>8.6384623329679702</v>
      </c>
      <c r="N67" s="287"/>
      <c r="O67" s="290">
        <f t="shared" si="14"/>
        <v>44.156875112822078</v>
      </c>
      <c r="P67" s="287"/>
      <c r="Q67" s="289">
        <f t="shared" si="11"/>
        <v>66.05</v>
      </c>
      <c r="R67" s="291">
        <f t="shared" si="15"/>
        <v>239.81687511282206</v>
      </c>
      <c r="T67" s="293">
        <f>References!E10</f>
        <v>13</v>
      </c>
      <c r="U67" s="294">
        <f t="shared" si="17"/>
        <v>66.45156908028801</v>
      </c>
      <c r="V67" s="294">
        <f t="shared" si="16"/>
        <v>5.1116591600221541</v>
      </c>
    </row>
    <row r="68" spans="1:22" s="292" customFormat="1" ht="12" customHeight="1">
      <c r="A68" s="283" t="s">
        <v>122</v>
      </c>
      <c r="B68" s="283" t="s">
        <v>123</v>
      </c>
      <c r="C68" s="284">
        <v>76.38</v>
      </c>
      <c r="D68" s="285">
        <v>76.554400000000001</v>
      </c>
      <c r="E68" s="286">
        <v>286.43</v>
      </c>
      <c r="F68" s="286">
        <v>765.5</v>
      </c>
      <c r="G68" s="286">
        <f t="shared" si="8"/>
        <v>1051.93</v>
      </c>
      <c r="H68" s="287"/>
      <c r="I68" s="286">
        <f t="shared" si="9"/>
        <v>0.93751636554071749</v>
      </c>
      <c r="J68" s="286">
        <f t="shared" si="10"/>
        <v>1.2499281556644686</v>
      </c>
      <c r="K68" s="288">
        <f t="shared" si="18"/>
        <v>1.0937222606025929</v>
      </c>
      <c r="L68" s="287"/>
      <c r="M68" s="289">
        <f t="shared" si="13"/>
        <v>11.517949777290628</v>
      </c>
      <c r="N68" s="287"/>
      <c r="O68" s="290">
        <f t="shared" si="14"/>
        <v>151.16925681510526</v>
      </c>
      <c r="P68" s="287"/>
      <c r="Q68" s="289">
        <f t="shared" si="11"/>
        <v>88.07</v>
      </c>
      <c r="R68" s="291">
        <f t="shared" si="15"/>
        <v>1203.0992568151053</v>
      </c>
      <c r="T68" s="293">
        <f>References!F10</f>
        <v>17.333333333333332</v>
      </c>
      <c r="U68" s="294">
        <f t="shared" si="17"/>
        <v>227.49423020533931</v>
      </c>
      <c r="V68" s="294">
        <f t="shared" si="16"/>
        <v>13.124667127231115</v>
      </c>
    </row>
    <row r="69" spans="1:22" s="292" customFormat="1" ht="12" customHeight="1">
      <c r="A69" s="283" t="s">
        <v>124</v>
      </c>
      <c r="B69" s="283" t="s">
        <v>34</v>
      </c>
      <c r="C69" s="284">
        <v>19.100000000000001</v>
      </c>
      <c r="D69" s="285">
        <v>19.16</v>
      </c>
      <c r="E69" s="286">
        <v>0</v>
      </c>
      <c r="F69" s="286">
        <v>320.90000000000003</v>
      </c>
      <c r="G69" s="286">
        <f t="shared" si="8"/>
        <v>320.90000000000003</v>
      </c>
      <c r="H69" s="287"/>
      <c r="I69" s="286">
        <f t="shared" si="9"/>
        <v>0</v>
      </c>
      <c r="J69" s="286">
        <f t="shared" si="10"/>
        <v>2.0935542797494784</v>
      </c>
      <c r="K69" s="288">
        <f t="shared" si="18"/>
        <v>2.0935542797494784</v>
      </c>
      <c r="L69" s="287"/>
      <c r="M69" s="289">
        <f t="shared" si="13"/>
        <v>2.8827071694492861</v>
      </c>
      <c r="N69" s="287"/>
      <c r="O69" s="290">
        <f t="shared" si="14"/>
        <v>72.421247182380682</v>
      </c>
      <c r="P69" s="287"/>
      <c r="Q69" s="289">
        <f t="shared" si="11"/>
        <v>22.04</v>
      </c>
      <c r="R69" s="291">
        <f t="shared" si="15"/>
        <v>393.32124718238072</v>
      </c>
      <c r="T69" s="293">
        <f>References!$C$11</f>
        <v>2.1666666666666665</v>
      </c>
      <c r="U69" s="294">
        <f t="shared" si="17"/>
        <v>54.43241127348643</v>
      </c>
      <c r="V69" s="294">
        <f t="shared" si="16"/>
        <v>25.122651356993742</v>
      </c>
    </row>
    <row r="70" spans="1:22" s="304" customFormat="1" ht="12" customHeight="1">
      <c r="A70" s="295" t="s">
        <v>125</v>
      </c>
      <c r="B70" s="295" t="s">
        <v>126</v>
      </c>
      <c r="C70" s="296">
        <v>31.48</v>
      </c>
      <c r="D70" s="297">
        <v>31.59</v>
      </c>
      <c r="E70" s="298">
        <v>251.84</v>
      </c>
      <c r="F70" s="298">
        <v>505.44</v>
      </c>
      <c r="G70" s="298">
        <f t="shared" si="8"/>
        <v>757.28</v>
      </c>
      <c r="H70" s="299"/>
      <c r="I70" s="298">
        <f t="shared" si="9"/>
        <v>2</v>
      </c>
      <c r="J70" s="298">
        <f t="shared" si="10"/>
        <v>2</v>
      </c>
      <c r="K70" s="300">
        <f t="shared" si="18"/>
        <v>2</v>
      </c>
      <c r="L70" s="299"/>
      <c r="M70" s="301">
        <f t="shared" si="13"/>
        <v>4.7528559229072513</v>
      </c>
      <c r="N70" s="299"/>
      <c r="O70" s="302">
        <f t="shared" si="14"/>
        <v>114.06854214977403</v>
      </c>
      <c r="P70" s="299"/>
      <c r="Q70" s="301">
        <f t="shared" si="11"/>
        <v>36.340000000000003</v>
      </c>
      <c r="R70" s="303">
        <f t="shared" si="15"/>
        <v>871.34854214977395</v>
      </c>
      <c r="T70" s="305">
        <f>References!C10</f>
        <v>4.333333333333333</v>
      </c>
      <c r="U70" s="306">
        <f t="shared" si="17"/>
        <v>104</v>
      </c>
      <c r="V70" s="306">
        <f t="shared" si="16"/>
        <v>24</v>
      </c>
    </row>
    <row r="71" spans="1:22" s="26" customFormat="1" ht="12" customHeight="1">
      <c r="A71" s="22" t="s">
        <v>127</v>
      </c>
      <c r="B71" s="22" t="s">
        <v>128</v>
      </c>
      <c r="C71" s="35">
        <v>4.41</v>
      </c>
      <c r="D71" s="30">
        <v>4.42</v>
      </c>
      <c r="E71" s="31">
        <v>420.10999999999996</v>
      </c>
      <c r="F71" s="31">
        <v>999.3</v>
      </c>
      <c r="G71" s="31">
        <f t="shared" si="8"/>
        <v>1419.4099999999999</v>
      </c>
      <c r="H71" s="2"/>
      <c r="I71" s="31">
        <f t="shared" si="9"/>
        <v>23.815759637188204</v>
      </c>
      <c r="J71" s="31">
        <f t="shared" si="10"/>
        <v>28.260746606334841</v>
      </c>
      <c r="K71" s="36">
        <f t="shared" si="18"/>
        <v>26.038253121761521</v>
      </c>
      <c r="L71" s="2"/>
      <c r="M71" s="37">
        <f t="shared" si="13"/>
        <v>0.66500864764957435</v>
      </c>
      <c r="N71" s="24"/>
      <c r="O71" s="25">
        <f t="shared" si="14"/>
        <v>207.78796194791926</v>
      </c>
      <c r="P71" s="24"/>
      <c r="Q71" s="32">
        <f t="shared" si="11"/>
        <v>5.09</v>
      </c>
      <c r="R71" s="38">
        <f t="shared" si="15"/>
        <v>1627.1979619479191</v>
      </c>
      <c r="T71" s="162">
        <f>References!$C$12</f>
        <v>1</v>
      </c>
      <c r="U71" s="120">
        <f t="shared" si="17"/>
        <v>312.45903746113822</v>
      </c>
      <c r="V71" s="120">
        <f t="shared" si="16"/>
        <v>312.45903746113822</v>
      </c>
    </row>
    <row r="72" spans="1:22" s="292" customFormat="1" ht="11.25" customHeight="1">
      <c r="A72" s="283" t="s">
        <v>129</v>
      </c>
      <c r="B72" s="283" t="s">
        <v>42</v>
      </c>
      <c r="C72" s="284">
        <v>5.34</v>
      </c>
      <c r="D72" s="285">
        <v>5.35</v>
      </c>
      <c r="E72" s="286">
        <v>11</v>
      </c>
      <c r="F72" s="286">
        <v>46.81</v>
      </c>
      <c r="G72" s="286">
        <f t="shared" si="8"/>
        <v>57.81</v>
      </c>
      <c r="H72" s="287"/>
      <c r="I72" s="286">
        <f t="shared" si="9"/>
        <v>0.51498127340823974</v>
      </c>
      <c r="J72" s="286">
        <f t="shared" si="10"/>
        <v>1.0936915887850469</v>
      </c>
      <c r="K72" s="288">
        <f t="shared" si="18"/>
        <v>0.80433643109664332</v>
      </c>
      <c r="L72" s="287"/>
      <c r="M72" s="289">
        <f t="shared" si="13"/>
        <v>0.80493128165729011</v>
      </c>
      <c r="N72" s="287"/>
      <c r="O72" s="290">
        <f t="shared" si="14"/>
        <v>7.7692266523952611</v>
      </c>
      <c r="P72" s="287"/>
      <c r="Q72" s="289">
        <f t="shared" si="11"/>
        <v>6.15</v>
      </c>
      <c r="R72" s="291">
        <f t="shared" si="15"/>
        <v>65.579226652395263</v>
      </c>
      <c r="T72" s="293">
        <f>References!$C$12</f>
        <v>1</v>
      </c>
      <c r="U72" s="294">
        <f t="shared" si="17"/>
        <v>9.6520371731597194</v>
      </c>
      <c r="V72" s="294">
        <f t="shared" si="16"/>
        <v>9.6520371731597194</v>
      </c>
    </row>
    <row r="73" spans="1:22" s="26" customFormat="1" ht="12" customHeight="1">
      <c r="A73" s="247" t="s">
        <v>130</v>
      </c>
      <c r="B73" s="247" t="s">
        <v>131</v>
      </c>
      <c r="C73" s="248">
        <v>23.19</v>
      </c>
      <c r="D73" s="249">
        <v>23.28</v>
      </c>
      <c r="E73" s="250">
        <v>162.32999999999998</v>
      </c>
      <c r="F73" s="250">
        <v>535.05000000000007</v>
      </c>
      <c r="G73" s="250">
        <f t="shared" si="8"/>
        <v>697.38000000000011</v>
      </c>
      <c r="H73" s="251"/>
      <c r="I73" s="250">
        <f t="shared" si="9"/>
        <v>1.7499999999999998</v>
      </c>
      <c r="J73" s="250">
        <f t="shared" si="10"/>
        <v>2.8729059278350517</v>
      </c>
      <c r="K73" s="252">
        <f t="shared" si="18"/>
        <v>2.3114529639175259</v>
      </c>
      <c r="L73" s="251"/>
      <c r="M73" s="253">
        <f t="shared" si="13"/>
        <v>3.5025794835479842</v>
      </c>
      <c r="N73" s="251"/>
      <c r="O73" s="254">
        <f t="shared" si="14"/>
        <v>97.152572743244463</v>
      </c>
      <c r="P73" s="251"/>
      <c r="Q73" s="253">
        <f t="shared" si="11"/>
        <v>26.78</v>
      </c>
      <c r="R73" s="255">
        <f t="shared" si="15"/>
        <v>794.5325727432446</v>
      </c>
      <c r="S73" s="256"/>
      <c r="T73" s="257">
        <f>References!$C$12</f>
        <v>1</v>
      </c>
      <c r="U73" s="258">
        <f t="shared" si="17"/>
        <v>27.737435567010309</v>
      </c>
      <c r="V73" s="258">
        <f t="shared" si="16"/>
        <v>27.737435567010309</v>
      </c>
    </row>
    <row r="74" spans="1:22" s="26" customFormat="1" ht="12" customHeight="1">
      <c r="A74" s="259" t="s">
        <v>132</v>
      </c>
      <c r="B74" s="259" t="s">
        <v>133</v>
      </c>
      <c r="C74" s="260">
        <v>34.119999999999997</v>
      </c>
      <c r="D74" s="261">
        <v>34.24</v>
      </c>
      <c r="E74" s="262">
        <v>887.12</v>
      </c>
      <c r="F74" s="262">
        <v>3295.0199999999995</v>
      </c>
      <c r="G74" s="262">
        <f t="shared" si="8"/>
        <v>4182.1399999999994</v>
      </c>
      <c r="H74" s="263"/>
      <c r="I74" s="262">
        <f t="shared" si="9"/>
        <v>6.5000000000000009</v>
      </c>
      <c r="J74" s="262">
        <f t="shared" si="10"/>
        <v>12.029132593457941</v>
      </c>
      <c r="K74" s="264">
        <f t="shared" si="18"/>
        <v>9.2645662967289706</v>
      </c>
      <c r="L74" s="263"/>
      <c r="M74" s="265">
        <f t="shared" si="13"/>
        <v>5.1515602026066576</v>
      </c>
      <c r="N74" s="263"/>
      <c r="O74" s="266">
        <f t="shared" si="14"/>
        <v>572.72365234367885</v>
      </c>
      <c r="P74" s="263"/>
      <c r="Q74" s="265">
        <f t="shared" si="11"/>
        <v>39.39</v>
      </c>
      <c r="R74" s="267">
        <f t="shared" si="15"/>
        <v>4754.863652343678</v>
      </c>
      <c r="S74" s="268"/>
      <c r="T74" s="269">
        <f>References!$C$12</f>
        <v>1</v>
      </c>
      <c r="U74" s="270">
        <f t="shared" si="17"/>
        <v>111.17479556074764</v>
      </c>
      <c r="V74" s="270">
        <f t="shared" si="16"/>
        <v>111.17479556074764</v>
      </c>
    </row>
    <row r="75" spans="1:22" s="26" customFormat="1" ht="12" customHeight="1">
      <c r="A75" s="271" t="s">
        <v>134</v>
      </c>
      <c r="B75" s="271" t="s">
        <v>135</v>
      </c>
      <c r="C75" s="272">
        <v>44.92</v>
      </c>
      <c r="D75" s="273">
        <v>45.07</v>
      </c>
      <c r="E75" s="274">
        <v>1796.8000000000002</v>
      </c>
      <c r="F75" s="274">
        <v>3647.0600000000004</v>
      </c>
      <c r="G75" s="274">
        <f t="shared" si="8"/>
        <v>5443.8600000000006</v>
      </c>
      <c r="H75" s="275"/>
      <c r="I75" s="274">
        <f t="shared" si="9"/>
        <v>10</v>
      </c>
      <c r="J75" s="274">
        <f t="shared" si="10"/>
        <v>10.114987796760596</v>
      </c>
      <c r="K75" s="276">
        <f t="shared" si="18"/>
        <v>10.057493898380297</v>
      </c>
      <c r="L75" s="275"/>
      <c r="M75" s="277">
        <f t="shared" si="13"/>
        <v>6.7809818437932838</v>
      </c>
      <c r="N75" s="275"/>
      <c r="O75" s="278">
        <f t="shared" si="14"/>
        <v>818.39620222774238</v>
      </c>
      <c r="P75" s="275"/>
      <c r="Q75" s="277">
        <f t="shared" si="11"/>
        <v>51.85</v>
      </c>
      <c r="R75" s="279">
        <f t="shared" si="15"/>
        <v>6262.2562022277434</v>
      </c>
      <c r="S75" s="280"/>
      <c r="T75" s="281">
        <f>References!$C$12</f>
        <v>1</v>
      </c>
      <c r="U75" s="282">
        <f t="shared" si="17"/>
        <v>120.68992678056357</v>
      </c>
      <c r="V75" s="282">
        <f t="shared" si="16"/>
        <v>120.68992678056357</v>
      </c>
    </row>
    <row r="76" spans="1:22" s="26" customFormat="1" ht="12" customHeight="1">
      <c r="A76" s="22" t="s">
        <v>136</v>
      </c>
      <c r="B76" s="22" t="s">
        <v>137</v>
      </c>
      <c r="C76" s="35">
        <v>17.68</v>
      </c>
      <c r="D76" s="30">
        <v>17.739999999999998</v>
      </c>
      <c r="E76" s="31">
        <v>128.22</v>
      </c>
      <c r="F76" s="31">
        <v>224.77</v>
      </c>
      <c r="G76" s="31">
        <f t="shared" si="8"/>
        <v>352.99</v>
      </c>
      <c r="H76" s="2"/>
      <c r="I76" s="31">
        <f t="shared" si="9"/>
        <v>1.8130656108597285</v>
      </c>
      <c r="J76" s="31">
        <f t="shared" si="10"/>
        <v>1.5837795941375425</v>
      </c>
      <c r="K76" s="36">
        <f t="shared" si="18"/>
        <v>1.6984226024986355</v>
      </c>
      <c r="L76" s="2"/>
      <c r="M76" s="37">
        <f t="shared" si="13"/>
        <v>2.6690618573084723</v>
      </c>
      <c r="N76" s="24"/>
      <c r="O76" s="25">
        <f t="shared" si="14"/>
        <v>54.398339831036367</v>
      </c>
      <c r="P76" s="24"/>
      <c r="Q76" s="32">
        <f t="shared" si="11"/>
        <v>20.41</v>
      </c>
      <c r="R76" s="38">
        <f t="shared" si="15"/>
        <v>407.38833983103638</v>
      </c>
      <c r="T76" s="162">
        <f>References!$C$12</f>
        <v>1</v>
      </c>
      <c r="U76" s="120">
        <f>SUM(K76*T76)*12</f>
        <v>20.381071229983625</v>
      </c>
      <c r="V76" s="120">
        <f t="shared" si="16"/>
        <v>20.381071229983625</v>
      </c>
    </row>
    <row r="77" spans="1:22" s="26" customFormat="1" ht="12" customHeight="1">
      <c r="A77" s="160" t="s">
        <v>138</v>
      </c>
      <c r="B77" s="160" t="s">
        <v>139</v>
      </c>
      <c r="C77" s="141">
        <v>16.059999999999999</v>
      </c>
      <c r="D77" s="117">
        <v>16.059999999999999</v>
      </c>
      <c r="E77" s="98">
        <v>3832.12</v>
      </c>
      <c r="F77" s="98">
        <v>7436.99</v>
      </c>
      <c r="G77" s="98">
        <f t="shared" si="8"/>
        <v>11269.11</v>
      </c>
      <c r="H77" s="9"/>
      <c r="I77" s="98">
        <f t="shared" si="9"/>
        <v>59.653175591531756</v>
      </c>
      <c r="J77" s="98">
        <f t="shared" si="10"/>
        <v>57.884417808219183</v>
      </c>
      <c r="K77" s="136">
        <f t="shared" si="18"/>
        <v>58.768796699875466</v>
      </c>
      <c r="L77" s="9"/>
      <c r="M77" s="118">
        <f t="shared" si="13"/>
        <v>2.4162983894235661</v>
      </c>
      <c r="N77" s="9"/>
      <c r="O77" s="142">
        <f t="shared" si="14"/>
        <v>1704.0353857712407</v>
      </c>
      <c r="P77" s="9"/>
      <c r="Q77" s="118">
        <f t="shared" si="11"/>
        <v>18.48</v>
      </c>
      <c r="R77" s="119">
        <f t="shared" si="15"/>
        <v>12973.14538577124</v>
      </c>
    </row>
    <row r="78" spans="1:22" s="26" customFormat="1" ht="12" customHeight="1">
      <c r="A78" s="160" t="s">
        <v>140</v>
      </c>
      <c r="B78" s="160" t="s">
        <v>141</v>
      </c>
      <c r="C78" s="141">
        <v>25</v>
      </c>
      <c r="D78" s="117">
        <v>25</v>
      </c>
      <c r="E78" s="98">
        <v>100</v>
      </c>
      <c r="F78" s="98">
        <v>200</v>
      </c>
      <c r="G78" s="98">
        <f t="shared" si="8"/>
        <v>300</v>
      </c>
      <c r="H78" s="9"/>
      <c r="I78" s="98">
        <f t="shared" si="9"/>
        <v>1</v>
      </c>
      <c r="J78" s="98">
        <f t="shared" si="10"/>
        <v>1</v>
      </c>
      <c r="K78" s="136">
        <f t="shared" si="18"/>
        <v>1</v>
      </c>
      <c r="L78" s="9"/>
      <c r="M78" s="118">
        <f t="shared" si="13"/>
        <v>3.7613611292396736</v>
      </c>
      <c r="N78" s="9"/>
      <c r="O78" s="142">
        <f t="shared" si="14"/>
        <v>45.136333550876081</v>
      </c>
      <c r="P78" s="9"/>
      <c r="Q78" s="118">
        <f t="shared" si="11"/>
        <v>28.76</v>
      </c>
      <c r="R78" s="119">
        <f t="shared" si="15"/>
        <v>345.13633355087609</v>
      </c>
    </row>
    <row r="79" spans="1:22" s="26" customFormat="1" ht="12" customHeight="1">
      <c r="A79" s="160" t="s">
        <v>142</v>
      </c>
      <c r="B79" s="160" t="s">
        <v>143</v>
      </c>
      <c r="C79" s="141">
        <f>D79</f>
        <v>19.59</v>
      </c>
      <c r="D79" s="117">
        <v>19.59</v>
      </c>
      <c r="E79" s="98">
        <v>4770.91</v>
      </c>
      <c r="F79" s="98">
        <v>10771.06</v>
      </c>
      <c r="G79" s="98">
        <f t="shared" si="8"/>
        <v>15541.97</v>
      </c>
      <c r="H79" s="9"/>
      <c r="I79" s="98">
        <f t="shared" si="9"/>
        <v>60.884507401735576</v>
      </c>
      <c r="J79" s="98">
        <f t="shared" si="10"/>
        <v>68.728050025523217</v>
      </c>
      <c r="K79" s="136">
        <f t="shared" si="18"/>
        <v>64.806278713629396</v>
      </c>
      <c r="L79" s="9"/>
      <c r="M79" s="118">
        <f t="shared" si="13"/>
        <v>2.9474025808722084</v>
      </c>
      <c r="N79" s="9"/>
      <c r="O79" s="142">
        <f t="shared" si="14"/>
        <v>2292.1223176472995</v>
      </c>
      <c r="P79" s="9"/>
      <c r="Q79" s="118">
        <f t="shared" si="11"/>
        <v>22.54</v>
      </c>
      <c r="R79" s="119">
        <f t="shared" si="15"/>
        <v>17834.092317647301</v>
      </c>
    </row>
    <row r="80" spans="1:22" s="26" customFormat="1" ht="12" customHeight="1">
      <c r="A80" s="160" t="s">
        <v>144</v>
      </c>
      <c r="B80" s="160" t="s">
        <v>145</v>
      </c>
      <c r="C80" s="141">
        <f t="shared" ref="C80:C101" si="19">D80</f>
        <v>28.76</v>
      </c>
      <c r="D80" s="117">
        <v>28.76</v>
      </c>
      <c r="E80" s="98">
        <v>15.68</v>
      </c>
      <c r="F80" s="98">
        <v>300.16000000000003</v>
      </c>
      <c r="G80" s="98">
        <f t="shared" si="8"/>
        <v>315.84000000000003</v>
      </c>
      <c r="H80" s="9"/>
      <c r="I80" s="98">
        <f t="shared" si="9"/>
        <v>0.13630041724617523</v>
      </c>
      <c r="J80" s="98">
        <f t="shared" si="10"/>
        <v>1.3045897079276774</v>
      </c>
      <c r="K80" s="136">
        <f t="shared" si="18"/>
        <v>0.72044506258692631</v>
      </c>
      <c r="L80" s="9"/>
      <c r="M80" s="118">
        <f t="shared" si="13"/>
        <v>4.3270698430773207</v>
      </c>
      <c r="N80" s="9"/>
      <c r="O80" s="142">
        <f t="shared" si="14"/>
        <v>37.408993246966098</v>
      </c>
      <c r="P80" s="9"/>
      <c r="Q80" s="118">
        <f t="shared" si="11"/>
        <v>33.090000000000003</v>
      </c>
      <c r="R80" s="119">
        <f t="shared" si="15"/>
        <v>353.24899324696611</v>
      </c>
    </row>
    <row r="81" spans="1:18" s="26" customFormat="1" ht="12" customHeight="1">
      <c r="A81" s="160" t="s">
        <v>146</v>
      </c>
      <c r="B81" s="160" t="s">
        <v>147</v>
      </c>
      <c r="C81" s="141">
        <f t="shared" si="19"/>
        <v>23.17</v>
      </c>
      <c r="D81" s="117">
        <v>23.17</v>
      </c>
      <c r="E81" s="98">
        <v>9816.880000000001</v>
      </c>
      <c r="F81" s="98">
        <v>21216.009999999995</v>
      </c>
      <c r="G81" s="98">
        <f t="shared" si="8"/>
        <v>31032.889999999996</v>
      </c>
      <c r="H81" s="9"/>
      <c r="I81" s="98">
        <f t="shared" si="9"/>
        <v>105.92231333621062</v>
      </c>
      <c r="J81" s="98">
        <f t="shared" si="10"/>
        <v>114.45840526542939</v>
      </c>
      <c r="K81" s="136">
        <f t="shared" si="18"/>
        <v>110.19035930082001</v>
      </c>
      <c r="L81" s="9"/>
      <c r="M81" s="118">
        <f t="shared" si="13"/>
        <v>3.4860294945793298</v>
      </c>
      <c r="N81" s="9"/>
      <c r="O81" s="142">
        <f t="shared" si="14"/>
        <v>4609.5221104914281</v>
      </c>
      <c r="P81" s="9"/>
      <c r="Q81" s="118">
        <f t="shared" si="11"/>
        <v>26.66</v>
      </c>
      <c r="R81" s="119">
        <f t="shared" si="15"/>
        <v>35642.412110491423</v>
      </c>
    </row>
    <row r="82" spans="1:18" s="26" customFormat="1" ht="12" customHeight="1">
      <c r="A82" s="160" t="s">
        <v>148</v>
      </c>
      <c r="B82" s="160" t="s">
        <v>149</v>
      </c>
      <c r="C82" s="141">
        <f t="shared" si="19"/>
        <v>33.64</v>
      </c>
      <c r="D82" s="117">
        <v>33.64</v>
      </c>
      <c r="E82" s="98">
        <v>134.56</v>
      </c>
      <c r="F82" s="98">
        <v>353.12</v>
      </c>
      <c r="G82" s="98">
        <f t="shared" si="8"/>
        <v>487.68</v>
      </c>
      <c r="H82" s="9"/>
      <c r="I82" s="98">
        <f t="shared" si="9"/>
        <v>1</v>
      </c>
      <c r="J82" s="98">
        <f t="shared" si="10"/>
        <v>1.312128418549346</v>
      </c>
      <c r="K82" s="136">
        <f t="shared" si="18"/>
        <v>1.1560642092746729</v>
      </c>
      <c r="L82" s="9"/>
      <c r="M82" s="118">
        <f t="shared" si="13"/>
        <v>5.0612875355049054</v>
      </c>
      <c r="N82" s="9"/>
      <c r="O82" s="142">
        <f t="shared" si="14"/>
        <v>70.214080471742847</v>
      </c>
      <c r="P82" s="9"/>
      <c r="Q82" s="118">
        <f t="shared" si="11"/>
        <v>38.700000000000003</v>
      </c>
      <c r="R82" s="119">
        <f t="shared" si="15"/>
        <v>557.89408047174288</v>
      </c>
    </row>
    <row r="83" spans="1:18" s="26" customFormat="1" ht="12" customHeight="1">
      <c r="A83" s="160" t="s">
        <v>150</v>
      </c>
      <c r="B83" s="160" t="s">
        <v>151</v>
      </c>
      <c r="C83" s="141">
        <f t="shared" si="19"/>
        <v>36.76</v>
      </c>
      <c r="D83" s="117">
        <v>36.76</v>
      </c>
      <c r="E83" s="98">
        <v>441.12</v>
      </c>
      <c r="F83" s="98">
        <v>882.24</v>
      </c>
      <c r="G83" s="98">
        <f t="shared" si="8"/>
        <v>1323.3600000000001</v>
      </c>
      <c r="H83" s="9"/>
      <c r="I83" s="98">
        <f t="shared" si="9"/>
        <v>3</v>
      </c>
      <c r="J83" s="98">
        <f t="shared" si="10"/>
        <v>3</v>
      </c>
      <c r="K83" s="136">
        <f t="shared" si="18"/>
        <v>3</v>
      </c>
      <c r="L83" s="9"/>
      <c r="M83" s="118">
        <f t="shared" si="13"/>
        <v>5.5307054044340163</v>
      </c>
      <c r="N83" s="9"/>
      <c r="O83" s="142">
        <f t="shared" si="14"/>
        <v>199.10539455962459</v>
      </c>
      <c r="P83" s="9"/>
      <c r="Q83" s="118">
        <f t="shared" si="11"/>
        <v>42.29</v>
      </c>
      <c r="R83" s="119">
        <f t="shared" si="15"/>
        <v>1522.4653945596247</v>
      </c>
    </row>
    <row r="84" spans="1:18" s="26" customFormat="1" ht="12" customHeight="1">
      <c r="A84" s="160" t="s">
        <v>152</v>
      </c>
      <c r="B84" s="160" t="s">
        <v>153</v>
      </c>
      <c r="C84" s="141">
        <f t="shared" si="19"/>
        <v>14.94</v>
      </c>
      <c r="D84" s="117">
        <v>14.94</v>
      </c>
      <c r="E84" s="98">
        <v>29.88</v>
      </c>
      <c r="F84" s="98">
        <v>0</v>
      </c>
      <c r="G84" s="98">
        <f t="shared" si="8"/>
        <v>29.88</v>
      </c>
      <c r="H84" s="9"/>
      <c r="I84" s="98">
        <f t="shared" si="9"/>
        <v>0.5</v>
      </c>
      <c r="J84" s="98">
        <f t="shared" si="10"/>
        <v>0</v>
      </c>
      <c r="K84" s="136">
        <f t="shared" si="18"/>
        <v>0.5</v>
      </c>
      <c r="L84" s="9"/>
      <c r="M84" s="118">
        <f t="shared" si="13"/>
        <v>2.2477894108336289</v>
      </c>
      <c r="N84" s="9"/>
      <c r="O84" s="142">
        <f t="shared" si="14"/>
        <v>13.486736465001773</v>
      </c>
      <c r="P84" s="9"/>
      <c r="Q84" s="118">
        <f t="shared" si="11"/>
        <v>17.190000000000001</v>
      </c>
      <c r="R84" s="119">
        <f t="shared" si="15"/>
        <v>43.366736465001772</v>
      </c>
    </row>
    <row r="85" spans="1:18" s="26" customFormat="1" ht="12" customHeight="1">
      <c r="A85" s="160" t="s">
        <v>154</v>
      </c>
      <c r="B85" s="160" t="s">
        <v>155</v>
      </c>
      <c r="C85" s="141">
        <f t="shared" si="19"/>
        <v>15.82</v>
      </c>
      <c r="D85" s="117">
        <v>15.82</v>
      </c>
      <c r="E85" s="98">
        <v>158.19999999999999</v>
      </c>
      <c r="F85" s="98">
        <v>537.88</v>
      </c>
      <c r="G85" s="98">
        <f t="shared" si="8"/>
        <v>696.07999999999993</v>
      </c>
      <c r="H85" s="9"/>
      <c r="I85" s="98">
        <f t="shared" si="9"/>
        <v>2.4999999999999996</v>
      </c>
      <c r="J85" s="98">
        <f t="shared" si="10"/>
        <v>4.25</v>
      </c>
      <c r="K85" s="136">
        <f t="shared" si="18"/>
        <v>3.375</v>
      </c>
      <c r="L85" s="9"/>
      <c r="M85" s="118">
        <f t="shared" si="13"/>
        <v>2.3801893225828654</v>
      </c>
      <c r="N85" s="9"/>
      <c r="O85" s="142">
        <f t="shared" si="14"/>
        <v>96.397667564606053</v>
      </c>
      <c r="P85" s="9"/>
      <c r="Q85" s="118">
        <f t="shared" si="11"/>
        <v>18.2</v>
      </c>
      <c r="R85" s="119">
        <f t="shared" si="15"/>
        <v>792.47766756460601</v>
      </c>
    </row>
    <row r="86" spans="1:18" s="26" customFormat="1" ht="12" customHeight="1">
      <c r="A86" s="160" t="s">
        <v>156</v>
      </c>
      <c r="B86" s="160" t="s">
        <v>157</v>
      </c>
      <c r="C86" s="141">
        <f t="shared" si="19"/>
        <v>16.760000000000002</v>
      </c>
      <c r="D86" s="117">
        <v>16.760000000000002</v>
      </c>
      <c r="E86" s="98">
        <v>100.56000000000002</v>
      </c>
      <c r="F86" s="98">
        <v>318.43999999999994</v>
      </c>
      <c r="G86" s="98">
        <f t="shared" si="8"/>
        <v>418.99999999999994</v>
      </c>
      <c r="H86" s="9"/>
      <c r="I86" s="98">
        <f t="shared" si="9"/>
        <v>1.5</v>
      </c>
      <c r="J86" s="98">
        <f t="shared" si="10"/>
        <v>2.3749999999999996</v>
      </c>
      <c r="K86" s="136">
        <f t="shared" si="18"/>
        <v>1.9374999999999998</v>
      </c>
      <c r="L86" s="9"/>
      <c r="M86" s="118">
        <f t="shared" si="13"/>
        <v>2.5216165010422773</v>
      </c>
      <c r="N86" s="9"/>
      <c r="O86" s="142">
        <f t="shared" si="14"/>
        <v>58.627583649232939</v>
      </c>
      <c r="P86" s="9"/>
      <c r="Q86" s="118">
        <f t="shared" si="11"/>
        <v>19.28</v>
      </c>
      <c r="R86" s="119">
        <f t="shared" si="15"/>
        <v>477.62758364923286</v>
      </c>
    </row>
    <row r="87" spans="1:18" s="26" customFormat="1" ht="12" customHeight="1">
      <c r="A87" s="160" t="s">
        <v>158</v>
      </c>
      <c r="B87" s="160" t="s">
        <v>159</v>
      </c>
      <c r="C87" s="141">
        <v>4.71</v>
      </c>
      <c r="D87" s="117">
        <v>4.71</v>
      </c>
      <c r="E87" s="98">
        <v>113.04</v>
      </c>
      <c r="F87" s="98">
        <v>226.08</v>
      </c>
      <c r="G87" s="98">
        <f t="shared" si="8"/>
        <v>339.12</v>
      </c>
      <c r="H87" s="9"/>
      <c r="I87" s="98">
        <f t="shared" si="9"/>
        <v>6</v>
      </c>
      <c r="J87" s="98">
        <f t="shared" si="10"/>
        <v>6</v>
      </c>
      <c r="K87" s="136">
        <f t="shared" si="18"/>
        <v>6</v>
      </c>
      <c r="L87" s="9"/>
      <c r="M87" s="118">
        <f t="shared" si="13"/>
        <v>0.70864043674875454</v>
      </c>
      <c r="N87" s="9"/>
      <c r="O87" s="142">
        <f t="shared" si="14"/>
        <v>51.022111445910326</v>
      </c>
      <c r="P87" s="9"/>
      <c r="Q87" s="118">
        <f t="shared" si="11"/>
        <v>5.42</v>
      </c>
      <c r="R87" s="119">
        <f t="shared" si="15"/>
        <v>390.14211144591036</v>
      </c>
    </row>
    <row r="88" spans="1:18" s="26" customFormat="1" ht="12" customHeight="1">
      <c r="A88" s="160" t="s">
        <v>160</v>
      </c>
      <c r="B88" s="160" t="s">
        <v>161</v>
      </c>
      <c r="C88" s="141">
        <v>9.42</v>
      </c>
      <c r="D88" s="117">
        <v>9.42</v>
      </c>
      <c r="E88" s="98">
        <v>37.68</v>
      </c>
      <c r="F88" s="98">
        <v>75.36</v>
      </c>
      <c r="G88" s="98">
        <f t="shared" si="8"/>
        <v>113.03999999999999</v>
      </c>
      <c r="H88" s="9"/>
      <c r="I88" s="98">
        <f t="shared" si="9"/>
        <v>1</v>
      </c>
      <c r="J88" s="98">
        <f t="shared" si="10"/>
        <v>1</v>
      </c>
      <c r="K88" s="136">
        <f t="shared" si="18"/>
        <v>1</v>
      </c>
      <c r="L88" s="9"/>
      <c r="M88" s="118">
        <f t="shared" si="13"/>
        <v>1.4172808734975091</v>
      </c>
      <c r="N88" s="9"/>
      <c r="O88" s="142">
        <f t="shared" si="14"/>
        <v>17.00737048197011</v>
      </c>
      <c r="P88" s="9"/>
      <c r="Q88" s="118">
        <f t="shared" si="11"/>
        <v>10.84</v>
      </c>
      <c r="R88" s="119">
        <f t="shared" si="15"/>
        <v>130.04737048197009</v>
      </c>
    </row>
    <row r="89" spans="1:18" s="26" customFormat="1" ht="12" customHeight="1">
      <c r="A89" s="160" t="s">
        <v>162</v>
      </c>
      <c r="B89" s="160" t="s">
        <v>163</v>
      </c>
      <c r="C89" s="141">
        <v>2.36</v>
      </c>
      <c r="D89" s="117">
        <v>2.36</v>
      </c>
      <c r="E89" s="98">
        <v>18.84</v>
      </c>
      <c r="F89" s="98">
        <v>32.97</v>
      </c>
      <c r="G89" s="98">
        <f t="shared" si="8"/>
        <v>51.81</v>
      </c>
      <c r="H89" s="9"/>
      <c r="I89" s="98">
        <f t="shared" si="9"/>
        <v>1.9957627118644068</v>
      </c>
      <c r="J89" s="98">
        <f t="shared" si="10"/>
        <v>1.746292372881356</v>
      </c>
      <c r="K89" s="136">
        <f t="shared" si="18"/>
        <v>1.8710275423728815</v>
      </c>
      <c r="L89" s="9"/>
      <c r="M89" s="118">
        <f t="shared" si="13"/>
        <v>0.35507249060022517</v>
      </c>
      <c r="N89" s="9"/>
      <c r="O89" s="142">
        <f t="shared" si="14"/>
        <v>7.9722049134234876</v>
      </c>
      <c r="P89" s="9"/>
      <c r="Q89" s="118">
        <f t="shared" si="11"/>
        <v>2.72</v>
      </c>
      <c r="R89" s="119">
        <f t="shared" si="15"/>
        <v>59.782204913423492</v>
      </c>
    </row>
    <row r="90" spans="1:18" s="26" customFormat="1" ht="12" customHeight="1">
      <c r="A90" s="160" t="s">
        <v>164</v>
      </c>
      <c r="B90" s="160" t="s">
        <v>165</v>
      </c>
      <c r="C90" s="141">
        <v>2.94</v>
      </c>
      <c r="D90" s="117">
        <v>2.94</v>
      </c>
      <c r="E90" s="98">
        <v>70.56</v>
      </c>
      <c r="F90" s="98">
        <v>164.64</v>
      </c>
      <c r="G90" s="98">
        <f t="shared" si="8"/>
        <v>235.2</v>
      </c>
      <c r="H90" s="9"/>
      <c r="I90" s="98">
        <f t="shared" si="9"/>
        <v>6</v>
      </c>
      <c r="J90" s="98">
        <f t="shared" si="10"/>
        <v>6.9999999999999991</v>
      </c>
      <c r="K90" s="136">
        <f t="shared" si="18"/>
        <v>6.5</v>
      </c>
      <c r="L90" s="9"/>
      <c r="M90" s="118">
        <f t="shared" si="13"/>
        <v>0.44233606879858561</v>
      </c>
      <c r="N90" s="9"/>
      <c r="O90" s="142">
        <f t="shared" si="14"/>
        <v>34.502213366289681</v>
      </c>
      <c r="P90" s="9"/>
      <c r="Q90" s="118">
        <f t="shared" si="11"/>
        <v>3.38</v>
      </c>
      <c r="R90" s="119">
        <f t="shared" si="15"/>
        <v>269.7022133662897</v>
      </c>
    </row>
    <row r="91" spans="1:18" s="26" customFormat="1" ht="12" customHeight="1">
      <c r="A91" s="160" t="s">
        <v>166</v>
      </c>
      <c r="B91" s="160" t="s">
        <v>167</v>
      </c>
      <c r="C91" s="141">
        <v>5.88</v>
      </c>
      <c r="D91" s="117">
        <v>5.88</v>
      </c>
      <c r="E91" s="98">
        <v>23.52</v>
      </c>
      <c r="F91" s="98">
        <v>47.04</v>
      </c>
      <c r="G91" s="98">
        <f t="shared" si="8"/>
        <v>70.56</v>
      </c>
      <c r="H91" s="9"/>
      <c r="I91" s="98">
        <f t="shared" si="9"/>
        <v>1</v>
      </c>
      <c r="J91" s="98">
        <f t="shared" si="10"/>
        <v>1</v>
      </c>
      <c r="K91" s="136">
        <f t="shared" si="18"/>
        <v>1</v>
      </c>
      <c r="L91" s="9"/>
      <c r="M91" s="118">
        <f t="shared" si="13"/>
        <v>0.88467213759717123</v>
      </c>
      <c r="N91" s="9"/>
      <c r="O91" s="142">
        <f t="shared" si="14"/>
        <v>10.616065651166055</v>
      </c>
      <c r="P91" s="9"/>
      <c r="Q91" s="118">
        <f t="shared" si="11"/>
        <v>6.76</v>
      </c>
      <c r="R91" s="119">
        <f t="shared" si="15"/>
        <v>81.176065651166056</v>
      </c>
    </row>
    <row r="92" spans="1:18" s="26" customFormat="1" ht="12" customHeight="1">
      <c r="A92" s="160" t="s">
        <v>168</v>
      </c>
      <c r="B92" s="160" t="s">
        <v>169</v>
      </c>
      <c r="C92" s="141">
        <f t="shared" si="19"/>
        <v>1.9096</v>
      </c>
      <c r="D92" s="117">
        <v>1.9096</v>
      </c>
      <c r="E92" s="98">
        <v>7.64</v>
      </c>
      <c r="F92" s="98">
        <v>11.46</v>
      </c>
      <c r="G92" s="98">
        <f t="shared" si="8"/>
        <v>19.100000000000001</v>
      </c>
      <c r="H92" s="9"/>
      <c r="I92" s="98">
        <f t="shared" si="9"/>
        <v>1.0002094679514033</v>
      </c>
      <c r="J92" s="98">
        <f t="shared" si="10"/>
        <v>0.75015710096355259</v>
      </c>
      <c r="K92" s="136">
        <f t="shared" si="18"/>
        <v>0.87518328445747795</v>
      </c>
      <c r="L92" s="9"/>
      <c r="M92" s="118">
        <f t="shared" si="13"/>
        <v>0.28730780849584325</v>
      </c>
      <c r="N92" s="9"/>
      <c r="O92" s="142">
        <f t="shared" si="14"/>
        <v>3.0173638978760664</v>
      </c>
      <c r="P92" s="9"/>
      <c r="Q92" s="118">
        <f t="shared" si="11"/>
        <v>2.2000000000000002</v>
      </c>
      <c r="R92" s="119">
        <f t="shared" si="15"/>
        <v>22.117363897876068</v>
      </c>
    </row>
    <row r="93" spans="1:18" s="26" customFormat="1" ht="12" customHeight="1">
      <c r="A93" s="161" t="s">
        <v>170</v>
      </c>
      <c r="B93" s="161" t="s">
        <v>171</v>
      </c>
      <c r="C93" s="141">
        <f t="shared" si="19"/>
        <v>0</v>
      </c>
      <c r="D93" s="117">
        <v>0</v>
      </c>
      <c r="E93" s="98">
        <v>3066.4</v>
      </c>
      <c r="F93" s="98">
        <v>6132.8</v>
      </c>
      <c r="G93" s="98">
        <f t="shared" si="8"/>
        <v>9199.2000000000007</v>
      </c>
      <c r="H93" s="9"/>
      <c r="I93" s="98">
        <f t="shared" si="9"/>
        <v>0</v>
      </c>
      <c r="J93" s="98">
        <f t="shared" si="10"/>
        <v>0</v>
      </c>
      <c r="K93" s="136">
        <f t="shared" si="18"/>
        <v>0</v>
      </c>
      <c r="L93" s="9"/>
      <c r="M93" s="118">
        <f t="shared" si="13"/>
        <v>0</v>
      </c>
      <c r="N93" s="9"/>
      <c r="O93" s="142">
        <f t="shared" si="14"/>
        <v>0</v>
      </c>
      <c r="P93" s="9"/>
      <c r="Q93" s="118">
        <f t="shared" si="11"/>
        <v>0</v>
      </c>
      <c r="R93" s="119">
        <f t="shared" si="15"/>
        <v>9199.2000000000007</v>
      </c>
    </row>
    <row r="94" spans="1:18" s="26" customFormat="1" ht="12" customHeight="1">
      <c r="A94" s="160" t="s">
        <v>172</v>
      </c>
      <c r="B94" s="160" t="s">
        <v>173</v>
      </c>
      <c r="C94" s="141">
        <f t="shared" si="19"/>
        <v>4.0701999999999998</v>
      </c>
      <c r="D94" s="117">
        <v>4.0701999999999998</v>
      </c>
      <c r="E94" s="98">
        <v>32.56</v>
      </c>
      <c r="F94" s="98">
        <v>89.539999999999992</v>
      </c>
      <c r="G94" s="98">
        <f t="shared" si="8"/>
        <v>122.1</v>
      </c>
      <c r="H94" s="9"/>
      <c r="I94" s="98">
        <f t="shared" si="9"/>
        <v>1.9999017247309716</v>
      </c>
      <c r="J94" s="98">
        <f t="shared" si="10"/>
        <v>2.7498648715050855</v>
      </c>
      <c r="K94" s="136">
        <f t="shared" si="18"/>
        <v>2.3748832981180286</v>
      </c>
      <c r="L94" s="9"/>
      <c r="M94" s="118">
        <f t="shared" si="13"/>
        <v>0.61237968272925281</v>
      </c>
      <c r="N94" s="9"/>
      <c r="O94" s="142">
        <f t="shared" si="14"/>
        <v>17.45196336744624</v>
      </c>
      <c r="P94" s="9"/>
      <c r="Q94" s="118">
        <f t="shared" si="11"/>
        <v>4.68</v>
      </c>
      <c r="R94" s="119">
        <f t="shared" si="15"/>
        <v>139.55196336744623</v>
      </c>
    </row>
    <row r="95" spans="1:18" s="26" customFormat="1" ht="12" customHeight="1">
      <c r="A95" s="160" t="s">
        <v>174</v>
      </c>
      <c r="B95" s="160" t="s">
        <v>175</v>
      </c>
      <c r="C95" s="141">
        <f t="shared" si="19"/>
        <v>0.94</v>
      </c>
      <c r="D95" s="117">
        <v>0.94</v>
      </c>
      <c r="E95" s="98">
        <v>36.799999999999997</v>
      </c>
      <c r="F95" s="98">
        <v>58.019999999999996</v>
      </c>
      <c r="G95" s="98">
        <f t="shared" si="8"/>
        <v>94.82</v>
      </c>
      <c r="H95" s="9"/>
      <c r="I95" s="98">
        <f t="shared" si="9"/>
        <v>9.787234042553191</v>
      </c>
      <c r="J95" s="98">
        <f t="shared" si="10"/>
        <v>7.7154255319148932</v>
      </c>
      <c r="K95" s="136">
        <f t="shared" si="18"/>
        <v>8.7513297872340416</v>
      </c>
      <c r="L95" s="9"/>
      <c r="M95" s="118">
        <f t="shared" si="13"/>
        <v>0.14142717845941172</v>
      </c>
      <c r="N95" s="9"/>
      <c r="O95" s="142">
        <f t="shared" si="14"/>
        <v>14.852110554915772</v>
      </c>
      <c r="P95" s="9"/>
      <c r="Q95" s="118">
        <f t="shared" si="11"/>
        <v>1.08</v>
      </c>
      <c r="R95" s="119">
        <f t="shared" si="15"/>
        <v>109.67211055491576</v>
      </c>
    </row>
    <row r="96" spans="1:18" s="26" customFormat="1" ht="12" customHeight="1">
      <c r="A96" s="160" t="s">
        <v>176</v>
      </c>
      <c r="B96" s="160" t="s">
        <v>60</v>
      </c>
      <c r="C96" s="141">
        <f>D96</f>
        <v>8.66</v>
      </c>
      <c r="D96" s="117">
        <v>8.66</v>
      </c>
      <c r="E96" s="98">
        <v>34.64</v>
      </c>
      <c r="F96" s="98">
        <v>251.14</v>
      </c>
      <c r="G96" s="98">
        <f t="shared" si="8"/>
        <v>285.77999999999997</v>
      </c>
      <c r="H96" s="9"/>
      <c r="I96" s="98">
        <f t="shared" si="9"/>
        <v>1</v>
      </c>
      <c r="J96" s="98">
        <f t="shared" si="10"/>
        <v>3.6249999999999996</v>
      </c>
      <c r="K96" s="136">
        <f t="shared" si="18"/>
        <v>2.3125</v>
      </c>
      <c r="L96" s="9"/>
      <c r="M96" s="118">
        <f t="shared" si="13"/>
        <v>1.3029354951686229</v>
      </c>
      <c r="N96" s="9"/>
      <c r="O96" s="142">
        <f t="shared" si="14"/>
        <v>36.156459990929285</v>
      </c>
      <c r="P96" s="9"/>
      <c r="Q96" s="118">
        <f t="shared" si="11"/>
        <v>9.9600000000000009</v>
      </c>
      <c r="R96" s="119">
        <f t="shared" si="15"/>
        <v>321.93645999092928</v>
      </c>
    </row>
    <row r="97" spans="1:18" s="26" customFormat="1" ht="12" customHeight="1">
      <c r="A97" s="160" t="s">
        <v>177</v>
      </c>
      <c r="B97" s="160" t="s">
        <v>178</v>
      </c>
      <c r="C97" s="141">
        <f t="shared" si="19"/>
        <v>16.280799999999999</v>
      </c>
      <c r="D97" s="117">
        <v>16.280799999999999</v>
      </c>
      <c r="E97" s="98">
        <v>881.65000000000009</v>
      </c>
      <c r="F97" s="98">
        <v>1828.4200000000003</v>
      </c>
      <c r="G97" s="98">
        <f t="shared" si="8"/>
        <v>2710.0700000000006</v>
      </c>
      <c r="H97" s="9"/>
      <c r="I97" s="98">
        <f t="shared" si="9"/>
        <v>13.538186084221907</v>
      </c>
      <c r="J97" s="98">
        <f t="shared" si="10"/>
        <v>14.038161515404651</v>
      </c>
      <c r="K97" s="136">
        <f t="shared" si="18"/>
        <v>13.788173799813279</v>
      </c>
      <c r="L97" s="9"/>
      <c r="M97" s="118">
        <f t="shared" si="13"/>
        <v>2.4495187309170112</v>
      </c>
      <c r="N97" s="9"/>
      <c r="O97" s="142">
        <f t="shared" si="14"/>
        <v>405.29267985338174</v>
      </c>
      <c r="P97" s="9"/>
      <c r="Q97" s="118">
        <f t="shared" si="11"/>
        <v>18.73</v>
      </c>
      <c r="R97" s="119">
        <f t="shared" si="15"/>
        <v>3115.3626798533824</v>
      </c>
    </row>
    <row r="98" spans="1:18" s="26" customFormat="1" ht="12" customHeight="1">
      <c r="A98" s="160" t="s">
        <v>179</v>
      </c>
      <c r="B98" s="160" t="s">
        <v>180</v>
      </c>
      <c r="C98" s="141">
        <f t="shared" si="19"/>
        <v>3.76</v>
      </c>
      <c r="D98" s="117">
        <v>3.76</v>
      </c>
      <c r="E98" s="98">
        <v>110.88</v>
      </c>
      <c r="F98" s="98">
        <v>221.76</v>
      </c>
      <c r="G98" s="98">
        <f t="shared" si="8"/>
        <v>332.64</v>
      </c>
      <c r="H98" s="9"/>
      <c r="I98" s="98">
        <f t="shared" si="9"/>
        <v>7.3723404255319149</v>
      </c>
      <c r="J98" s="98">
        <f t="shared" si="10"/>
        <v>7.3723404255319149</v>
      </c>
      <c r="K98" s="136">
        <f t="shared" si="18"/>
        <v>7.3723404255319149</v>
      </c>
      <c r="L98" s="9"/>
      <c r="M98" s="118">
        <f t="shared" si="13"/>
        <v>0.56570871383764687</v>
      </c>
      <c r="N98" s="9"/>
      <c r="O98" s="142">
        <f t="shared" si="14"/>
        <v>50.047166641211398</v>
      </c>
      <c r="P98" s="9"/>
      <c r="Q98" s="118">
        <f t="shared" si="11"/>
        <v>4.33</v>
      </c>
      <c r="R98" s="119">
        <f t="shared" si="15"/>
        <v>382.68716664121138</v>
      </c>
    </row>
    <row r="99" spans="1:18" s="26" customFormat="1" ht="12" customHeight="1">
      <c r="A99" s="160" t="s">
        <v>181</v>
      </c>
      <c r="B99" s="160" t="s">
        <v>182</v>
      </c>
      <c r="C99" s="141">
        <f t="shared" si="19"/>
        <v>8.1591999999999985</v>
      </c>
      <c r="D99" s="117">
        <v>8.1591999999999985</v>
      </c>
      <c r="E99" s="98">
        <v>89.76</v>
      </c>
      <c r="F99" s="98">
        <v>134.63999999999999</v>
      </c>
      <c r="G99" s="98">
        <f t="shared" si="8"/>
        <v>224.39999999999998</v>
      </c>
      <c r="H99" s="9"/>
      <c r="I99" s="98">
        <f t="shared" si="9"/>
        <v>2.750269634277871</v>
      </c>
      <c r="J99" s="98">
        <f t="shared" si="10"/>
        <v>2.0627022257084029</v>
      </c>
      <c r="K99" s="136">
        <f t="shared" si="18"/>
        <v>2.4064859299931367</v>
      </c>
      <c r="L99" s="9"/>
      <c r="M99" s="118">
        <f t="shared" si="13"/>
        <v>1.2275879090276935</v>
      </c>
      <c r="N99" s="9"/>
      <c r="O99" s="142">
        <f t="shared" si="14"/>
        <v>35.450076370858071</v>
      </c>
      <c r="P99" s="9"/>
      <c r="Q99" s="118">
        <f t="shared" si="11"/>
        <v>9.39</v>
      </c>
      <c r="R99" s="119">
        <f t="shared" si="15"/>
        <v>259.85007637085806</v>
      </c>
    </row>
    <row r="100" spans="1:18" s="26" customFormat="1" ht="12" customHeight="1">
      <c r="A100" s="160" t="s">
        <v>183</v>
      </c>
      <c r="B100" s="160" t="s">
        <v>184</v>
      </c>
      <c r="C100" s="141">
        <f t="shared" si="19"/>
        <v>13.94</v>
      </c>
      <c r="D100" s="117">
        <v>13.94</v>
      </c>
      <c r="E100" s="98">
        <v>432.14</v>
      </c>
      <c r="F100" s="98">
        <v>892.16000000000008</v>
      </c>
      <c r="G100" s="98">
        <f t="shared" si="8"/>
        <v>1324.3000000000002</v>
      </c>
      <c r="H100" s="9"/>
      <c r="I100" s="98">
        <f t="shared" si="9"/>
        <v>7.75</v>
      </c>
      <c r="J100" s="98">
        <f t="shared" si="10"/>
        <v>8.0000000000000018</v>
      </c>
      <c r="K100" s="136">
        <f t="shared" si="18"/>
        <v>7.8750000000000009</v>
      </c>
      <c r="L100" s="9"/>
      <c r="M100" s="118">
        <f t="shared" si="13"/>
        <v>2.0973349656640421</v>
      </c>
      <c r="N100" s="9"/>
      <c r="O100" s="142">
        <f t="shared" si="14"/>
        <v>198.19815425525201</v>
      </c>
      <c r="P100" s="9"/>
      <c r="Q100" s="118">
        <f t="shared" si="11"/>
        <v>16.04</v>
      </c>
      <c r="R100" s="119">
        <f t="shared" si="15"/>
        <v>1522.4981542552523</v>
      </c>
    </row>
    <row r="101" spans="1:18" s="26" customFormat="1" ht="12" customHeight="1">
      <c r="A101" s="160" t="s">
        <v>185</v>
      </c>
      <c r="B101" s="160" t="s">
        <v>186</v>
      </c>
      <c r="C101" s="141">
        <f t="shared" si="19"/>
        <v>0</v>
      </c>
      <c r="D101" s="117"/>
      <c r="E101" s="98">
        <v>-4.84</v>
      </c>
      <c r="F101" s="98">
        <v>-1337.38</v>
      </c>
      <c r="G101" s="98">
        <f>SUM(E101:F101)</f>
        <v>-1342.22</v>
      </c>
      <c r="H101" s="9"/>
      <c r="I101" s="98">
        <f t="shared" si="9"/>
        <v>0</v>
      </c>
      <c r="J101" s="98">
        <f t="shared" si="10"/>
        <v>0</v>
      </c>
      <c r="K101" s="136">
        <f t="shared" si="18"/>
        <v>0</v>
      </c>
      <c r="L101" s="9"/>
      <c r="M101" s="118">
        <f t="shared" si="13"/>
        <v>0</v>
      </c>
      <c r="N101" s="9"/>
      <c r="O101" s="142">
        <f t="shared" si="14"/>
        <v>0</v>
      </c>
      <c r="P101" s="9"/>
      <c r="Q101" s="118">
        <f t="shared" si="11"/>
        <v>0</v>
      </c>
      <c r="R101" s="119"/>
    </row>
    <row r="102" spans="1:18" s="26" customFormat="1" ht="7.5" customHeight="1" thickBot="1">
      <c r="A102" s="40"/>
      <c r="B102" s="40"/>
      <c r="C102" s="40"/>
      <c r="D102" s="30"/>
      <c r="E102" s="31"/>
      <c r="F102" s="31"/>
      <c r="G102" s="32"/>
      <c r="H102" s="2"/>
      <c r="I102" s="31"/>
      <c r="J102" s="31"/>
      <c r="K102" s="36"/>
      <c r="L102" s="2"/>
      <c r="M102" s="2"/>
      <c r="N102" s="2"/>
      <c r="O102" s="2"/>
      <c r="P102" s="2"/>
      <c r="Q102" s="2"/>
      <c r="R102" s="2"/>
    </row>
    <row r="103" spans="1:18" s="58" customFormat="1" ht="13.5" customHeight="1" thickBot="1">
      <c r="A103" s="55"/>
      <c r="B103" s="43" t="s">
        <v>187</v>
      </c>
      <c r="C103" s="43"/>
      <c r="D103" s="56"/>
      <c r="E103" s="45">
        <f>SUM(E40:E102)</f>
        <v>137705.08000000002</v>
      </c>
      <c r="F103" s="45">
        <f>SUM(F40:F102)</f>
        <v>308276.44999999984</v>
      </c>
      <c r="G103" s="45">
        <f>SUM(G40:G102)</f>
        <v>445981.52999999997</v>
      </c>
      <c r="H103" s="57"/>
      <c r="I103" s="46"/>
      <c r="J103" s="46"/>
      <c r="K103" s="47">
        <f>+SUM(K40:K70)</f>
        <v>239.75435247297827</v>
      </c>
      <c r="L103" s="46"/>
      <c r="M103" s="46"/>
      <c r="N103" s="46"/>
      <c r="O103" s="48">
        <f>SUM(O40:O101)</f>
        <v>64792.405655957002</v>
      </c>
      <c r="P103" s="46"/>
      <c r="Q103" s="46"/>
      <c r="R103" s="49">
        <f>SUM(R40:R101)</f>
        <v>512116.15565595689</v>
      </c>
    </row>
    <row r="104" spans="1:18" s="26" customFormat="1" ht="7.5" customHeight="1">
      <c r="A104" s="59"/>
      <c r="B104" s="59"/>
      <c r="C104" s="59"/>
      <c r="D104" s="53"/>
      <c r="E104" s="60"/>
      <c r="F104" s="60"/>
      <c r="G104" s="32"/>
      <c r="H104" s="2"/>
      <c r="I104" s="31"/>
      <c r="J104" s="31"/>
      <c r="K104" s="36"/>
      <c r="L104" s="2"/>
      <c r="M104" s="2"/>
      <c r="N104" s="2"/>
      <c r="O104" s="2"/>
      <c r="P104" s="2"/>
      <c r="Q104" s="2"/>
      <c r="R104" s="2"/>
    </row>
    <row r="105" spans="1:18" ht="12" customHeight="1">
      <c r="A105" s="27" t="s">
        <v>188</v>
      </c>
      <c r="B105" s="27" t="s">
        <v>188</v>
      </c>
      <c r="C105" s="27"/>
      <c r="I105" s="36"/>
      <c r="J105" s="36"/>
      <c r="K105" s="36"/>
    </row>
    <row r="106" spans="1:18" ht="7.5" customHeight="1">
      <c r="A106" s="52"/>
      <c r="B106" s="52"/>
      <c r="C106" s="52"/>
      <c r="I106" s="36"/>
      <c r="J106" s="36"/>
      <c r="K106" s="36"/>
    </row>
    <row r="107" spans="1:18" ht="12" customHeight="1">
      <c r="A107" s="61" t="s">
        <v>189</v>
      </c>
      <c r="B107" s="61" t="s">
        <v>189</v>
      </c>
      <c r="C107" s="35"/>
      <c r="I107" s="36"/>
      <c r="J107" s="36"/>
      <c r="K107" s="36"/>
    </row>
    <row r="108" spans="1:18" ht="12" customHeight="1">
      <c r="A108" s="22" t="s">
        <v>190</v>
      </c>
      <c r="B108" s="22" t="s">
        <v>191</v>
      </c>
      <c r="C108" s="35">
        <v>97.05</v>
      </c>
      <c r="D108" s="30">
        <v>97.05</v>
      </c>
      <c r="E108" s="31">
        <v>97.05</v>
      </c>
      <c r="F108" s="31">
        <v>792.30000000000007</v>
      </c>
      <c r="G108" s="31">
        <f t="shared" ref="G108:G114" si="20">SUM(E108:F108)</f>
        <v>889.35</v>
      </c>
      <c r="I108" s="31">
        <f t="shared" ref="I108:I128" si="21">IFERROR(E108/($C108),0)/4</f>
        <v>0.25</v>
      </c>
      <c r="J108" s="31">
        <f t="shared" ref="J108:J128" si="22">IFERROR(F108/($D108),0)/8</f>
        <v>1.0204791344667699</v>
      </c>
      <c r="K108" s="36">
        <f t="shared" ref="K108:K128" si="23">IFERROR(AVERAGEIF(I108:J108,"&lt;&gt;0"),0)</f>
        <v>0.63523956723338493</v>
      </c>
      <c r="M108" s="37">
        <f>$M$6*D108</f>
        <v>14.601603903708412</v>
      </c>
      <c r="N108" s="24"/>
      <c r="O108" s="25">
        <f>K108*SUM(M108:M108)*12</f>
        <v>111.30619853646044</v>
      </c>
      <c r="P108" s="24"/>
      <c r="Q108" s="32">
        <f t="shared" ref="Q108:Q128" si="24">ROUND((+D108+SUM(M108:M108)),2)</f>
        <v>111.65</v>
      </c>
      <c r="R108" s="38">
        <f>G108+O108</f>
        <v>1000.6561985364605</v>
      </c>
    </row>
    <row r="109" spans="1:18" ht="12" customHeight="1">
      <c r="A109" s="22" t="s">
        <v>192</v>
      </c>
      <c r="B109" s="22" t="s">
        <v>191</v>
      </c>
      <c r="C109" s="35">
        <v>155.28</v>
      </c>
      <c r="D109" s="30">
        <v>155.28</v>
      </c>
      <c r="E109" s="31">
        <v>1552.8</v>
      </c>
      <c r="F109" s="31">
        <v>2527.54</v>
      </c>
      <c r="G109" s="31">
        <f t="shared" si="20"/>
        <v>4080.34</v>
      </c>
      <c r="I109" s="31">
        <f t="shared" si="21"/>
        <v>2.5</v>
      </c>
      <c r="J109" s="31">
        <f t="shared" si="22"/>
        <v>2.0346631890777949</v>
      </c>
      <c r="K109" s="36">
        <f t="shared" si="23"/>
        <v>2.2673315945388977</v>
      </c>
      <c r="M109" s="37">
        <f t="shared" ref="M109:M128" si="25">$M$6*D109</f>
        <v>23.362566245933461</v>
      </c>
      <c r="N109" s="24"/>
      <c r="O109" s="25">
        <f>K109*SUM(M109:M109)*12</f>
        <v>635.64821494695536</v>
      </c>
      <c r="P109" s="24"/>
      <c r="Q109" s="32">
        <f t="shared" si="24"/>
        <v>178.64</v>
      </c>
      <c r="R109" s="38">
        <f t="shared" ref="R109:R128" si="26">G109+O109</f>
        <v>4715.9882149469558</v>
      </c>
    </row>
    <row r="110" spans="1:18" ht="12" customHeight="1">
      <c r="A110" s="22" t="s">
        <v>193</v>
      </c>
      <c r="B110" s="22" t="s">
        <v>194</v>
      </c>
      <c r="C110" s="35">
        <v>121.75</v>
      </c>
      <c r="D110" s="30">
        <v>121.75</v>
      </c>
      <c r="E110" s="31">
        <v>2191.5</v>
      </c>
      <c r="F110" s="31">
        <v>1339.25</v>
      </c>
      <c r="G110" s="31">
        <f t="shared" si="20"/>
        <v>3530.75</v>
      </c>
      <c r="I110" s="31">
        <f t="shared" si="21"/>
        <v>4.5</v>
      </c>
      <c r="J110" s="31">
        <f t="shared" si="22"/>
        <v>1.375</v>
      </c>
      <c r="K110" s="36">
        <f t="shared" si="23"/>
        <v>2.9375</v>
      </c>
      <c r="M110" s="37">
        <f t="shared" si="25"/>
        <v>18.317828699397211</v>
      </c>
      <c r="N110" s="24"/>
      <c r="O110" s="25">
        <f t="shared" ref="O110:O128" si="27">K110*SUM(M110:M110)*12</f>
        <v>645.70346165375167</v>
      </c>
      <c r="P110" s="24"/>
      <c r="Q110" s="32">
        <f t="shared" si="24"/>
        <v>140.07</v>
      </c>
      <c r="R110" s="38">
        <f t="shared" si="26"/>
        <v>4176.4534616537512</v>
      </c>
    </row>
    <row r="111" spans="1:18" ht="12" customHeight="1">
      <c r="A111" s="22" t="s">
        <v>195</v>
      </c>
      <c r="B111" s="22" t="s">
        <v>194</v>
      </c>
      <c r="C111" s="35">
        <v>280.56</v>
      </c>
      <c r="D111" s="30">
        <v>280.56</v>
      </c>
      <c r="E111" s="31">
        <v>4208.3999999999996</v>
      </c>
      <c r="F111" s="31">
        <v>9302.02</v>
      </c>
      <c r="G111" s="31">
        <f t="shared" si="20"/>
        <v>13510.42</v>
      </c>
      <c r="I111" s="31">
        <f t="shared" si="21"/>
        <v>3.7499999999999996</v>
      </c>
      <c r="J111" s="31">
        <f t="shared" si="22"/>
        <v>4.1443987025948106</v>
      </c>
      <c r="K111" s="36">
        <f t="shared" si="23"/>
        <v>3.9471993512974048</v>
      </c>
      <c r="M111" s="37">
        <f t="shared" si="25"/>
        <v>42.211499136779317</v>
      </c>
      <c r="N111" s="24"/>
      <c r="O111" s="25">
        <f t="shared" si="27"/>
        <v>1999.4064241198353</v>
      </c>
      <c r="P111" s="24"/>
      <c r="Q111" s="32">
        <f t="shared" si="24"/>
        <v>322.77</v>
      </c>
      <c r="R111" s="38">
        <f t="shared" si="26"/>
        <v>15509.826424119836</v>
      </c>
    </row>
    <row r="112" spans="1:18" ht="12" customHeight="1">
      <c r="A112" s="22" t="s">
        <v>196</v>
      </c>
      <c r="B112" s="22" t="s">
        <v>197</v>
      </c>
      <c r="C112" s="35">
        <v>97.05</v>
      </c>
      <c r="D112" s="30">
        <v>97.05</v>
      </c>
      <c r="E112" s="31">
        <v>-97.05</v>
      </c>
      <c r="F112" s="31">
        <v>97.05</v>
      </c>
      <c r="G112" s="31">
        <f t="shared" si="20"/>
        <v>0</v>
      </c>
      <c r="I112" s="31">
        <f t="shared" si="21"/>
        <v>-0.25</v>
      </c>
      <c r="J112" s="31">
        <f t="shared" si="22"/>
        <v>0.125</v>
      </c>
      <c r="K112" s="36">
        <f t="shared" si="23"/>
        <v>-6.25E-2</v>
      </c>
      <c r="M112" s="37">
        <f t="shared" si="25"/>
        <v>14.601603903708412</v>
      </c>
      <c r="N112" s="24"/>
      <c r="O112" s="25">
        <f t="shared" si="27"/>
        <v>-10.95120292778131</v>
      </c>
      <c r="P112" s="24"/>
      <c r="Q112" s="32">
        <f t="shared" si="24"/>
        <v>111.65</v>
      </c>
      <c r="R112" s="38">
        <f t="shared" si="26"/>
        <v>-10.95120292778131</v>
      </c>
    </row>
    <row r="113" spans="1:18" ht="12" customHeight="1">
      <c r="A113" s="22" t="s">
        <v>198</v>
      </c>
      <c r="B113" s="22" t="s">
        <v>199</v>
      </c>
      <c r="C113" s="35">
        <v>121.75</v>
      </c>
      <c r="D113" s="30">
        <v>121.75</v>
      </c>
      <c r="E113" s="31">
        <v>4261.25</v>
      </c>
      <c r="F113" s="31">
        <v>4261.25</v>
      </c>
      <c r="G113" s="31">
        <f t="shared" si="20"/>
        <v>8522.5</v>
      </c>
      <c r="I113" s="31">
        <f t="shared" si="21"/>
        <v>8.75</v>
      </c>
      <c r="J113" s="31">
        <f t="shared" si="22"/>
        <v>4.375</v>
      </c>
      <c r="K113" s="36">
        <f t="shared" si="23"/>
        <v>6.5625</v>
      </c>
      <c r="M113" s="37">
        <f t="shared" si="25"/>
        <v>18.317828699397211</v>
      </c>
      <c r="N113" s="24"/>
      <c r="O113" s="25">
        <f t="shared" si="27"/>
        <v>1442.5290100775305</v>
      </c>
      <c r="P113" s="24"/>
      <c r="Q113" s="32">
        <f t="shared" si="24"/>
        <v>140.07</v>
      </c>
      <c r="R113" s="38">
        <f t="shared" si="26"/>
        <v>9965.029010077531</v>
      </c>
    </row>
    <row r="114" spans="1:18" ht="12" customHeight="1">
      <c r="A114" s="62" t="s">
        <v>200</v>
      </c>
      <c r="B114" s="22" t="s">
        <v>201</v>
      </c>
      <c r="C114" s="35">
        <v>112.22</v>
      </c>
      <c r="D114" s="30">
        <v>112.22</v>
      </c>
      <c r="E114" s="31">
        <v>224.44</v>
      </c>
      <c r="F114" s="31">
        <v>336.66</v>
      </c>
      <c r="G114" s="31">
        <f t="shared" si="20"/>
        <v>561.1</v>
      </c>
      <c r="I114" s="31">
        <f t="shared" si="21"/>
        <v>0.5</v>
      </c>
      <c r="J114" s="31">
        <f t="shared" si="22"/>
        <v>0.37500000000000006</v>
      </c>
      <c r="K114" s="36">
        <f t="shared" si="23"/>
        <v>0.4375</v>
      </c>
      <c r="M114" s="37">
        <f t="shared" si="25"/>
        <v>16.883997836931048</v>
      </c>
      <c r="N114" s="24"/>
      <c r="O114" s="25">
        <f>K114*SUM(M114:M114)*12</f>
        <v>88.640988643888008</v>
      </c>
      <c r="P114" s="24"/>
      <c r="Q114" s="32">
        <f t="shared" si="24"/>
        <v>129.1</v>
      </c>
      <c r="R114" s="38">
        <f t="shared" si="26"/>
        <v>649.74098864388804</v>
      </c>
    </row>
    <row r="115" spans="1:18" ht="12" customHeight="1">
      <c r="A115" s="22" t="s">
        <v>202</v>
      </c>
      <c r="B115" s="22" t="s">
        <v>203</v>
      </c>
      <c r="C115" s="35">
        <v>112.22</v>
      </c>
      <c r="D115" s="30">
        <v>112.22</v>
      </c>
      <c r="E115" s="31">
        <v>2581.0600000000004</v>
      </c>
      <c r="F115" s="31">
        <v>11846.599999999999</v>
      </c>
      <c r="G115" s="31">
        <f>SUM(E115:F115)</f>
        <v>14427.66</v>
      </c>
      <c r="I115" s="31">
        <f t="shared" si="21"/>
        <v>5.7500000000000009</v>
      </c>
      <c r="J115" s="31">
        <f t="shared" si="22"/>
        <v>13.195731598645516</v>
      </c>
      <c r="K115" s="36">
        <f t="shared" si="23"/>
        <v>9.4728657993227579</v>
      </c>
      <c r="M115" s="37">
        <f t="shared" si="25"/>
        <v>16.883997836931048</v>
      </c>
      <c r="N115" s="24"/>
      <c r="O115" s="25">
        <f t="shared" si="27"/>
        <v>1919.2781479836426</v>
      </c>
      <c r="P115" s="24"/>
      <c r="Q115" s="32">
        <f t="shared" si="24"/>
        <v>129.1</v>
      </c>
      <c r="R115" s="38">
        <f t="shared" si="26"/>
        <v>16346.938147983643</v>
      </c>
    </row>
    <row r="116" spans="1:18" ht="12" customHeight="1">
      <c r="A116" s="22" t="s">
        <v>204</v>
      </c>
      <c r="B116" s="22" t="s">
        <v>205</v>
      </c>
      <c r="C116" s="35">
        <v>162.1</v>
      </c>
      <c r="D116" s="30">
        <v>162.1</v>
      </c>
      <c r="E116" s="31">
        <v>14684.64</v>
      </c>
      <c r="F116" s="31">
        <v>26958.400000000001</v>
      </c>
      <c r="G116" s="31">
        <f>SUM(E116:F116)</f>
        <v>41643.040000000001</v>
      </c>
      <c r="I116" s="31">
        <f t="shared" si="21"/>
        <v>22.647501542257867</v>
      </c>
      <c r="J116" s="31">
        <f t="shared" si="22"/>
        <v>20.788402220851328</v>
      </c>
      <c r="K116" s="36">
        <f t="shared" si="23"/>
        <v>21.717951881554598</v>
      </c>
      <c r="M116" s="37">
        <f t="shared" si="25"/>
        <v>24.388665561990042</v>
      </c>
      <c r="N116" s="24"/>
      <c r="O116" s="25">
        <f t="shared" si="27"/>
        <v>6356.0623815675299</v>
      </c>
      <c r="P116" s="24"/>
      <c r="Q116" s="32">
        <f t="shared" si="24"/>
        <v>186.49</v>
      </c>
      <c r="R116" s="38">
        <f t="shared" si="26"/>
        <v>47999.102381567529</v>
      </c>
    </row>
    <row r="117" spans="1:18" ht="12" customHeight="1">
      <c r="A117" s="22" t="s">
        <v>206</v>
      </c>
      <c r="B117" s="22" t="s">
        <v>207</v>
      </c>
      <c r="C117" s="35">
        <v>294.08999999999997</v>
      </c>
      <c r="D117" s="30">
        <v>294.08999999999997</v>
      </c>
      <c r="E117" s="31">
        <v>2632.27</v>
      </c>
      <c r="F117" s="31">
        <v>8690.43</v>
      </c>
      <c r="G117" s="31">
        <f>SUM(E117:F117)</f>
        <v>11322.7</v>
      </c>
      <c r="I117" s="31">
        <f t="shared" si="21"/>
        <v>2.2376398381447857</v>
      </c>
      <c r="J117" s="31">
        <f t="shared" si="22"/>
        <v>3.69377996531674</v>
      </c>
      <c r="K117" s="36">
        <f t="shared" si="23"/>
        <v>2.9657099017307629</v>
      </c>
      <c r="M117" s="37">
        <f t="shared" si="25"/>
        <v>44.247147779923822</v>
      </c>
      <c r="N117" s="24"/>
      <c r="O117" s="25">
        <f t="shared" si="27"/>
        <v>1574.690451531173</v>
      </c>
      <c r="P117" s="24"/>
      <c r="Q117" s="32">
        <f t="shared" si="24"/>
        <v>338.34</v>
      </c>
      <c r="R117" s="38">
        <f t="shared" si="26"/>
        <v>12897.390451531173</v>
      </c>
    </row>
    <row r="118" spans="1:18" ht="12" customHeight="1">
      <c r="A118" s="22" t="s">
        <v>208</v>
      </c>
      <c r="B118" s="22" t="s">
        <v>209</v>
      </c>
      <c r="C118" s="35">
        <v>582.29999999999995</v>
      </c>
      <c r="D118" s="30">
        <v>582.29999999999995</v>
      </c>
      <c r="E118" s="31">
        <v>0</v>
      </c>
      <c r="F118" s="31">
        <v>582.29999999999995</v>
      </c>
      <c r="G118" s="31">
        <f t="shared" ref="G118:G128" si="28">SUM(E118:F118)</f>
        <v>582.29999999999995</v>
      </c>
      <c r="I118" s="31">
        <f t="shared" si="21"/>
        <v>0</v>
      </c>
      <c r="J118" s="31">
        <f t="shared" si="22"/>
        <v>0.125</v>
      </c>
      <c r="K118" s="36">
        <f t="shared" si="23"/>
        <v>0.125</v>
      </c>
      <c r="M118" s="37">
        <f t="shared" si="25"/>
        <v>87.609623422250479</v>
      </c>
      <c r="N118" s="24"/>
      <c r="O118" s="25">
        <f t="shared" si="27"/>
        <v>131.41443513337572</v>
      </c>
      <c r="P118" s="24"/>
      <c r="Q118" s="32">
        <f t="shared" si="24"/>
        <v>669.91</v>
      </c>
      <c r="R118" s="38">
        <f t="shared" si="26"/>
        <v>713.71443513337567</v>
      </c>
    </row>
    <row r="119" spans="1:18" ht="12" customHeight="1">
      <c r="A119" s="22" t="s">
        <v>210</v>
      </c>
      <c r="B119" s="22" t="s">
        <v>211</v>
      </c>
      <c r="C119" s="35">
        <v>50.11</v>
      </c>
      <c r="D119" s="30">
        <v>50.11</v>
      </c>
      <c r="E119" s="31">
        <v>1102.42</v>
      </c>
      <c r="F119" s="31">
        <v>4008.7999999999997</v>
      </c>
      <c r="G119" s="31">
        <f t="shared" si="28"/>
        <v>5111.2199999999993</v>
      </c>
      <c r="I119" s="31">
        <f t="shared" si="21"/>
        <v>5.5</v>
      </c>
      <c r="J119" s="31">
        <f t="shared" si="22"/>
        <v>10</v>
      </c>
      <c r="K119" s="36">
        <f t="shared" si="23"/>
        <v>7.75</v>
      </c>
      <c r="M119" s="37">
        <f t="shared" si="25"/>
        <v>7.5392722474480021</v>
      </c>
      <c r="N119" s="24"/>
      <c r="O119" s="25">
        <f t="shared" si="27"/>
        <v>701.15231901266418</v>
      </c>
      <c r="P119" s="24"/>
      <c r="Q119" s="32">
        <f t="shared" si="24"/>
        <v>57.65</v>
      </c>
      <c r="R119" s="38">
        <f t="shared" si="26"/>
        <v>5812.3723190126639</v>
      </c>
    </row>
    <row r="120" spans="1:18" ht="12" customHeight="1">
      <c r="A120" s="22" t="s">
        <v>212</v>
      </c>
      <c r="B120" s="22" t="s">
        <v>213</v>
      </c>
      <c r="C120" s="35">
        <v>50.11</v>
      </c>
      <c r="D120" s="30">
        <v>50.11</v>
      </c>
      <c r="E120" s="31">
        <v>350.77</v>
      </c>
      <c r="F120" s="31">
        <v>1803.96</v>
      </c>
      <c r="G120" s="31">
        <f>SUM(E120:F120)</f>
        <v>2154.73</v>
      </c>
      <c r="I120" s="31">
        <f t="shared" si="21"/>
        <v>1.75</v>
      </c>
      <c r="J120" s="31">
        <f t="shared" si="22"/>
        <v>4.5</v>
      </c>
      <c r="K120" s="36">
        <f t="shared" si="23"/>
        <v>3.125</v>
      </c>
      <c r="M120" s="37">
        <f t="shared" si="25"/>
        <v>7.5392722474480021</v>
      </c>
      <c r="N120" s="24"/>
      <c r="O120" s="25">
        <f t="shared" si="27"/>
        <v>282.72270927930009</v>
      </c>
      <c r="P120" s="24"/>
      <c r="Q120" s="32">
        <f t="shared" si="24"/>
        <v>57.65</v>
      </c>
      <c r="R120" s="38">
        <f t="shared" si="26"/>
        <v>2437.4527092793001</v>
      </c>
    </row>
    <row r="121" spans="1:18" ht="12" customHeight="1">
      <c r="A121" s="22" t="s">
        <v>214</v>
      </c>
      <c r="B121" s="22" t="s">
        <v>215</v>
      </c>
      <c r="C121" s="35">
        <v>4.3499999999999996</v>
      </c>
      <c r="D121" s="30">
        <v>4.3499999999999996</v>
      </c>
      <c r="E121" s="31">
        <v>2240.25</v>
      </c>
      <c r="F121" s="31">
        <v>7407.18</v>
      </c>
      <c r="G121" s="31">
        <f t="shared" si="28"/>
        <v>9647.43</v>
      </c>
      <c r="I121" s="31">
        <f t="shared" si="21"/>
        <v>128.75</v>
      </c>
      <c r="J121" s="31">
        <f t="shared" si="22"/>
        <v>212.85000000000002</v>
      </c>
      <c r="K121" s="36">
        <f t="shared" si="23"/>
        <v>170.8</v>
      </c>
      <c r="M121" s="37">
        <f t="shared" si="25"/>
        <v>0.65447683648770316</v>
      </c>
      <c r="N121" s="24"/>
      <c r="O121" s="25">
        <f t="shared" si="27"/>
        <v>1341.4157240651964</v>
      </c>
      <c r="P121" s="24"/>
      <c r="Q121" s="32">
        <f t="shared" si="24"/>
        <v>5</v>
      </c>
      <c r="R121" s="38">
        <f t="shared" si="26"/>
        <v>10988.845724065197</v>
      </c>
    </row>
    <row r="122" spans="1:18" ht="12" customHeight="1">
      <c r="A122" s="22" t="s">
        <v>216</v>
      </c>
      <c r="B122" s="22" t="s">
        <v>217</v>
      </c>
      <c r="C122" s="35">
        <v>124.69</v>
      </c>
      <c r="D122" s="30">
        <v>124.69</v>
      </c>
      <c r="E122" s="31">
        <v>506.88</v>
      </c>
      <c r="F122" s="31">
        <v>748.14</v>
      </c>
      <c r="G122" s="31">
        <f t="shared" si="28"/>
        <v>1255.02</v>
      </c>
      <c r="I122" s="31">
        <f t="shared" si="21"/>
        <v>1.0162803753308205</v>
      </c>
      <c r="J122" s="31">
        <f t="shared" si="22"/>
        <v>0.75</v>
      </c>
      <c r="K122" s="36">
        <f t="shared" si="23"/>
        <v>0.88314018766541025</v>
      </c>
      <c r="M122" s="37">
        <f t="shared" si="25"/>
        <v>18.760164768195796</v>
      </c>
      <c r="N122" s="24"/>
      <c r="O122" s="25">
        <f t="shared" si="27"/>
        <v>198.81426520822146</v>
      </c>
      <c r="P122" s="24"/>
      <c r="Q122" s="32">
        <f t="shared" si="24"/>
        <v>143.44999999999999</v>
      </c>
      <c r="R122" s="38">
        <f t="shared" si="26"/>
        <v>1453.8342652082215</v>
      </c>
    </row>
    <row r="123" spans="1:18" ht="12" customHeight="1">
      <c r="A123" s="22" t="s">
        <v>218</v>
      </c>
      <c r="B123" s="22" t="s">
        <v>219</v>
      </c>
      <c r="C123" s="35">
        <v>8.1199999999999992</v>
      </c>
      <c r="D123" s="30">
        <v>8.1199999999999992</v>
      </c>
      <c r="E123" s="31">
        <v>1403.6000000000001</v>
      </c>
      <c r="F123" s="31">
        <v>10949.04</v>
      </c>
      <c r="G123" s="31">
        <f t="shared" si="28"/>
        <v>12352.640000000001</v>
      </c>
      <c r="I123" s="31">
        <f t="shared" si="21"/>
        <v>43.214285714285722</v>
      </c>
      <c r="J123" s="31">
        <f t="shared" si="22"/>
        <v>168.55049261083747</v>
      </c>
      <c r="K123" s="36">
        <f t="shared" si="23"/>
        <v>105.88238916256159</v>
      </c>
      <c r="M123" s="37">
        <f t="shared" si="25"/>
        <v>1.2216900947770459</v>
      </c>
      <c r="N123" s="24"/>
      <c r="O123" s="25">
        <f t="shared" si="27"/>
        <v>1552.2655926147593</v>
      </c>
      <c r="P123" s="24"/>
      <c r="Q123" s="32">
        <f t="shared" si="24"/>
        <v>9.34</v>
      </c>
      <c r="R123" s="38">
        <f t="shared" si="26"/>
        <v>13904.905592614761</v>
      </c>
    </row>
    <row r="124" spans="1:18" ht="12" customHeight="1">
      <c r="A124" s="22" t="s">
        <v>220</v>
      </c>
      <c r="B124" s="22" t="s">
        <v>219</v>
      </c>
      <c r="C124" s="35">
        <v>124.69</v>
      </c>
      <c r="D124" s="30">
        <v>124.69</v>
      </c>
      <c r="E124" s="31">
        <v>0</v>
      </c>
      <c r="F124" s="31">
        <v>2149.3200000000002</v>
      </c>
      <c r="G124" s="31">
        <f t="shared" si="28"/>
        <v>2149.3200000000002</v>
      </c>
      <c r="I124" s="31">
        <f t="shared" si="21"/>
        <v>0</v>
      </c>
      <c r="J124" s="31">
        <f t="shared" si="22"/>
        <v>2.1546635656427942</v>
      </c>
      <c r="K124" s="36">
        <f t="shared" si="23"/>
        <v>2.1546635656427942</v>
      </c>
      <c r="M124" s="37">
        <f t="shared" si="25"/>
        <v>18.760164768195796</v>
      </c>
      <c r="N124" s="24"/>
      <c r="O124" s="25">
        <f t="shared" si="27"/>
        <v>485.06212213784488</v>
      </c>
      <c r="P124" s="24"/>
      <c r="Q124" s="32">
        <f t="shared" si="24"/>
        <v>143.44999999999999</v>
      </c>
      <c r="R124" s="38">
        <f t="shared" si="26"/>
        <v>2634.3821221378448</v>
      </c>
    </row>
    <row r="125" spans="1:18" ht="12" customHeight="1">
      <c r="A125" s="22" t="s">
        <v>221</v>
      </c>
      <c r="B125" s="22" t="s">
        <v>222</v>
      </c>
      <c r="C125" s="35">
        <v>8.1199999999999992</v>
      </c>
      <c r="D125" s="30">
        <v>8.1199999999999992</v>
      </c>
      <c r="E125" s="31">
        <v>3239.88</v>
      </c>
      <c r="F125" s="31">
        <v>194.88</v>
      </c>
      <c r="G125" s="31">
        <f t="shared" si="28"/>
        <v>3434.76</v>
      </c>
      <c r="I125" s="31">
        <f t="shared" si="21"/>
        <v>99.750000000000014</v>
      </c>
      <c r="J125" s="31">
        <f t="shared" si="22"/>
        <v>3</v>
      </c>
      <c r="K125" s="36">
        <f t="shared" si="23"/>
        <v>51.375000000000007</v>
      </c>
      <c r="M125" s="37">
        <f t="shared" si="25"/>
        <v>1.2216900947770459</v>
      </c>
      <c r="N125" s="24"/>
      <c r="O125" s="25">
        <f t="shared" si="27"/>
        <v>753.17194343004894</v>
      </c>
      <c r="P125" s="24"/>
      <c r="Q125" s="32">
        <f t="shared" si="24"/>
        <v>9.34</v>
      </c>
      <c r="R125" s="38">
        <f t="shared" si="26"/>
        <v>4187.9319434300487</v>
      </c>
    </row>
    <row r="126" spans="1:18" ht="12" customHeight="1">
      <c r="A126" s="22" t="s">
        <v>223</v>
      </c>
      <c r="B126" s="22" t="s">
        <v>224</v>
      </c>
      <c r="C126" s="35">
        <v>58.230000000000004</v>
      </c>
      <c r="D126" s="30">
        <f>C126</f>
        <v>58.230000000000004</v>
      </c>
      <c r="E126" s="31">
        <v>1122.21</v>
      </c>
      <c r="F126" s="31">
        <v>12766.55</v>
      </c>
      <c r="G126" s="31">
        <f t="shared" si="28"/>
        <v>13888.759999999998</v>
      </c>
      <c r="I126" s="31">
        <f t="shared" si="21"/>
        <v>4.8180061823802163</v>
      </c>
      <c r="J126" s="31">
        <f t="shared" si="22"/>
        <v>27.405439635926495</v>
      </c>
      <c r="K126" s="36">
        <f t="shared" si="23"/>
        <v>16.111722909153357</v>
      </c>
      <c r="M126" s="37">
        <f t="shared" si="25"/>
        <v>8.7609623422250493</v>
      </c>
      <c r="N126" s="24"/>
      <c r="O126" s="25">
        <f t="shared" si="27"/>
        <v>1693.850372105486</v>
      </c>
      <c r="P126" s="24"/>
      <c r="Q126" s="32">
        <f t="shared" si="24"/>
        <v>66.989999999999995</v>
      </c>
      <c r="R126" s="38">
        <f t="shared" si="26"/>
        <v>15582.610372105484</v>
      </c>
    </row>
    <row r="127" spans="1:18" ht="12" customHeight="1">
      <c r="A127" s="22" t="s">
        <v>225</v>
      </c>
      <c r="B127" s="22" t="s">
        <v>226</v>
      </c>
      <c r="C127" s="35">
        <v>158.81</v>
      </c>
      <c r="D127" s="30">
        <f>C127</f>
        <v>158.81</v>
      </c>
      <c r="E127" s="31">
        <v>374.07</v>
      </c>
      <c r="F127" s="31">
        <v>1246.9000000000001</v>
      </c>
      <c r="G127" s="31">
        <f t="shared" si="28"/>
        <v>1620.97</v>
      </c>
      <c r="I127" s="31">
        <f t="shared" si="21"/>
        <v>0.58886405138215481</v>
      </c>
      <c r="J127" s="31">
        <f t="shared" si="22"/>
        <v>0.98144008563692464</v>
      </c>
      <c r="K127" s="36">
        <f t="shared" si="23"/>
        <v>0.78515206850953967</v>
      </c>
      <c r="M127" s="37">
        <f t="shared" si="25"/>
        <v>23.893670437382102</v>
      </c>
      <c r="N127" s="24"/>
      <c r="O127" s="25">
        <f t="shared" si="27"/>
        <v>225.12197721834957</v>
      </c>
      <c r="P127" s="24"/>
      <c r="Q127" s="32">
        <f t="shared" si="24"/>
        <v>182.7</v>
      </c>
      <c r="R127" s="38">
        <f t="shared" si="26"/>
        <v>1846.0919772183497</v>
      </c>
    </row>
    <row r="128" spans="1:18" ht="12" customHeight="1">
      <c r="A128" s="22" t="s">
        <v>227</v>
      </c>
      <c r="B128" s="22" t="s">
        <v>228</v>
      </c>
      <c r="C128" s="35"/>
      <c r="E128" s="31">
        <v>0</v>
      </c>
      <c r="F128" s="31">
        <v>-7.57</v>
      </c>
      <c r="G128" s="31">
        <f t="shared" si="28"/>
        <v>-7.57</v>
      </c>
      <c r="I128" s="31">
        <f t="shared" si="21"/>
        <v>0</v>
      </c>
      <c r="J128" s="31">
        <f t="shared" si="22"/>
        <v>0</v>
      </c>
      <c r="K128" s="36">
        <f t="shared" si="23"/>
        <v>0</v>
      </c>
      <c r="M128" s="37">
        <f t="shared" si="25"/>
        <v>0</v>
      </c>
      <c r="N128" s="24"/>
      <c r="O128" s="25">
        <f t="shared" si="27"/>
        <v>0</v>
      </c>
      <c r="P128" s="24"/>
      <c r="Q128" s="32">
        <f t="shared" si="24"/>
        <v>0</v>
      </c>
      <c r="R128" s="38">
        <f t="shared" si="26"/>
        <v>-7.57</v>
      </c>
    </row>
    <row r="129" spans="1:18" ht="7.5" customHeight="1" thickBot="1">
      <c r="A129" s="63"/>
      <c r="B129" s="63"/>
      <c r="C129" s="33"/>
      <c r="E129" s="31"/>
      <c r="F129" s="31"/>
      <c r="G129" s="36"/>
      <c r="I129" s="31"/>
      <c r="J129" s="31"/>
      <c r="K129" s="64"/>
    </row>
    <row r="130" spans="1:18" s="67" customFormat="1" ht="13.5" customHeight="1" thickBot="1">
      <c r="A130" s="65"/>
      <c r="B130" s="65"/>
      <c r="C130" s="65"/>
      <c r="D130" s="65"/>
      <c r="E130" s="45">
        <f>SUM(E108:E129)</f>
        <v>42676.439999999988</v>
      </c>
      <c r="F130" s="45">
        <f>SUM(F108:F129)</f>
        <v>108001.00000000001</v>
      </c>
      <c r="G130" s="45">
        <f>SUM(G108:G129)</f>
        <v>150677.44000000003</v>
      </c>
      <c r="H130" s="65"/>
      <c r="I130" s="66"/>
      <c r="J130" s="66"/>
      <c r="K130" s="47">
        <f>SUM(K126:K127)</f>
        <v>16.896874977662897</v>
      </c>
      <c r="L130" s="33"/>
      <c r="M130" s="33"/>
      <c r="N130" s="33"/>
      <c r="O130" s="48">
        <f>SUM(O108:P128)</f>
        <v>22127.305536338237</v>
      </c>
      <c r="P130" s="46"/>
      <c r="Q130" s="46"/>
      <c r="R130" s="49">
        <f>SUM(R108:S128)</f>
        <v>172804.74553633822</v>
      </c>
    </row>
    <row r="131" spans="1:18" s="67" customFormat="1" ht="7.5" customHeight="1">
      <c r="A131" s="68"/>
      <c r="B131" s="68"/>
      <c r="C131" s="68"/>
      <c r="D131" s="53"/>
      <c r="E131" s="69"/>
      <c r="F131" s="69"/>
      <c r="G131" s="3"/>
      <c r="H131" s="3"/>
      <c r="I131" s="70"/>
      <c r="J131" s="70"/>
      <c r="K131" s="70"/>
      <c r="L131" s="33"/>
      <c r="M131" s="33"/>
      <c r="N131" s="33"/>
      <c r="O131" s="71"/>
      <c r="P131" s="33"/>
      <c r="Q131" s="33"/>
      <c r="R131" s="33"/>
    </row>
    <row r="132" spans="1:18" s="67" customFormat="1" ht="12" customHeight="1">
      <c r="A132" s="61" t="s">
        <v>229</v>
      </c>
      <c r="B132" s="61" t="s">
        <v>229</v>
      </c>
      <c r="C132" s="61"/>
      <c r="D132" s="3"/>
      <c r="E132" s="3"/>
      <c r="F132" s="3"/>
      <c r="G132" s="3"/>
      <c r="H132" s="3"/>
      <c r="I132" s="70"/>
      <c r="J132" s="70"/>
      <c r="K132" s="70"/>
      <c r="L132" s="33"/>
      <c r="M132" s="22"/>
      <c r="N132" s="22"/>
      <c r="O132" s="72" t="s">
        <v>230</v>
      </c>
      <c r="P132" s="33"/>
      <c r="Q132" s="33"/>
      <c r="R132" s="33"/>
    </row>
    <row r="133" spans="1:18" s="67" customFormat="1" ht="12" customHeight="1">
      <c r="A133" s="22" t="s">
        <v>231</v>
      </c>
      <c r="B133" s="22" t="s">
        <v>232</v>
      </c>
      <c r="C133" s="35">
        <v>70</v>
      </c>
      <c r="D133" s="30">
        <v>71.16</v>
      </c>
      <c r="E133" s="31">
        <v>55339.9</v>
      </c>
      <c r="F133" s="31">
        <v>102504.25</v>
      </c>
      <c r="G133" s="31">
        <f t="shared" ref="G133" si="29">SUM(E133:F133)</f>
        <v>157844.15</v>
      </c>
      <c r="H133" s="3"/>
      <c r="I133" s="31"/>
      <c r="J133" s="31"/>
      <c r="K133" s="36"/>
      <c r="L133" s="3"/>
      <c r="M133" s="73" t="s">
        <v>233</v>
      </c>
      <c r="N133" s="33"/>
      <c r="O133" s="74">
        <f>O130+O103+O35</f>
        <v>154270.40435104613</v>
      </c>
      <c r="P133" s="24"/>
      <c r="Q133" s="32"/>
      <c r="R133" s="38"/>
    </row>
    <row r="134" spans="1:18" s="67" customFormat="1" ht="7.5" customHeight="1">
      <c r="A134" s="33"/>
      <c r="B134" s="33"/>
      <c r="C134" s="3"/>
      <c r="D134" s="3"/>
      <c r="E134" s="3"/>
      <c r="F134" s="3"/>
      <c r="G134" s="69"/>
      <c r="H134" s="3"/>
      <c r="I134" s="70"/>
      <c r="J134" s="70"/>
      <c r="K134" s="70"/>
      <c r="L134" s="33"/>
      <c r="M134" s="22"/>
      <c r="N134" s="22"/>
      <c r="O134" s="75">
        <f>SUM(O133:O133)</f>
        <v>154270.40435104613</v>
      </c>
      <c r="P134" s="33"/>
      <c r="Q134" s="33"/>
      <c r="R134" s="33"/>
    </row>
    <row r="135" spans="1:18" s="67" customFormat="1" ht="13.5" customHeight="1" thickBot="1">
      <c r="A135" s="57"/>
      <c r="B135" s="43" t="s">
        <v>234</v>
      </c>
      <c r="C135" s="43"/>
      <c r="D135" s="65"/>
      <c r="E135" s="45">
        <f>SUM(E133:E133)</f>
        <v>55339.9</v>
      </c>
      <c r="F135" s="45">
        <f>SUM(F133:F133)</f>
        <v>102504.25</v>
      </c>
      <c r="G135" s="45">
        <f>SUM(G133:G133)</f>
        <v>157844.15</v>
      </c>
      <c r="H135" s="65"/>
      <c r="I135" s="70"/>
      <c r="J135" s="70"/>
      <c r="K135" s="70"/>
      <c r="L135" s="33"/>
      <c r="M135" s="76" t="s">
        <v>235</v>
      </c>
      <c r="N135" s="77"/>
      <c r="O135" s="78">
        <v>154108.79683344738</v>
      </c>
      <c r="P135" s="33"/>
      <c r="Q135" s="33"/>
      <c r="R135" s="33"/>
    </row>
    <row r="136" spans="1:18" s="67" customFormat="1" ht="12" customHeight="1">
      <c r="A136" s="68"/>
      <c r="B136" s="79"/>
      <c r="C136" s="79"/>
      <c r="D136" s="53"/>
      <c r="E136" s="80"/>
      <c r="F136" s="80"/>
      <c r="G136" s="81"/>
      <c r="H136" s="3"/>
      <c r="I136" s="70"/>
      <c r="J136" s="70"/>
      <c r="K136" s="70"/>
      <c r="L136" s="33"/>
      <c r="M136" s="22"/>
      <c r="N136" s="22"/>
      <c r="O136" s="82">
        <f>O134-O135</f>
        <v>161.60751759874984</v>
      </c>
      <c r="P136" s="33"/>
      <c r="Q136" s="33"/>
      <c r="R136" s="33"/>
    </row>
    <row r="137" spans="1:18" s="58" customFormat="1" ht="12" customHeight="1">
      <c r="A137" s="83" t="s">
        <v>236</v>
      </c>
      <c r="B137" s="83" t="s">
        <v>236</v>
      </c>
      <c r="C137" s="52"/>
      <c r="D137" s="30"/>
      <c r="E137" s="54"/>
      <c r="F137" s="31" t="str">
        <f>IF(D137="","",(#REF!/D137)+(#REF!/#REF!))</f>
        <v/>
      </c>
      <c r="G137" s="32"/>
      <c r="H137" s="2"/>
      <c r="I137" s="66"/>
      <c r="J137" s="66"/>
      <c r="K137" s="70"/>
      <c r="L137" s="68"/>
      <c r="M137" s="68"/>
      <c r="N137" s="68"/>
      <c r="O137" s="68"/>
      <c r="P137" s="68"/>
      <c r="Q137" s="68"/>
      <c r="R137" s="68"/>
    </row>
    <row r="138" spans="1:18" s="58" customFormat="1" ht="12" customHeight="1">
      <c r="A138" s="33" t="s">
        <v>237</v>
      </c>
      <c r="B138" s="33" t="s">
        <v>238</v>
      </c>
      <c r="C138" s="35">
        <v>1</v>
      </c>
      <c r="D138" s="35">
        <v>1</v>
      </c>
      <c r="E138" s="31">
        <v>2220.66</v>
      </c>
      <c r="F138" s="31">
        <v>3335.7</v>
      </c>
      <c r="G138" s="31">
        <f t="shared" ref="G138" si="30">SUM(E138:F138)</f>
        <v>5556.36</v>
      </c>
      <c r="H138" s="2"/>
      <c r="I138" s="66"/>
      <c r="J138" s="66"/>
      <c r="K138" s="70"/>
      <c r="L138" s="68"/>
      <c r="M138" s="68"/>
      <c r="N138" s="68"/>
      <c r="O138" s="68"/>
      <c r="P138" s="68"/>
      <c r="Q138" s="68"/>
      <c r="R138" s="68"/>
    </row>
    <row r="139" spans="1:18" s="58" customFormat="1" ht="12" customHeight="1">
      <c r="A139" s="33" t="s">
        <v>239</v>
      </c>
      <c r="B139" s="33" t="s">
        <v>240</v>
      </c>
      <c r="C139" s="35">
        <v>29.41</v>
      </c>
      <c r="D139" s="35">
        <v>29.41</v>
      </c>
      <c r="E139" s="31">
        <v>0</v>
      </c>
      <c r="F139" s="31">
        <v>0</v>
      </c>
      <c r="G139" s="31">
        <f>SUM(E139:F139)</f>
        <v>0</v>
      </c>
      <c r="H139" s="2"/>
      <c r="I139" s="66"/>
      <c r="J139" s="66"/>
      <c r="K139" s="70"/>
      <c r="L139" s="68"/>
      <c r="M139" s="68"/>
      <c r="N139" s="68"/>
      <c r="O139" s="68"/>
      <c r="P139" s="68"/>
      <c r="Q139" s="68"/>
      <c r="R139" s="68"/>
    </row>
    <row r="140" spans="1:18" s="58" customFormat="1" ht="12" customHeight="1">
      <c r="A140" s="33" t="s">
        <v>241</v>
      </c>
      <c r="B140" s="33" t="s">
        <v>242</v>
      </c>
      <c r="C140" s="35">
        <v>29.41</v>
      </c>
      <c r="D140" s="35">
        <v>29.41</v>
      </c>
      <c r="E140" s="31">
        <v>0</v>
      </c>
      <c r="F140" s="31">
        <v>56.44</v>
      </c>
      <c r="G140" s="31">
        <f>SUM(E140:F140)</f>
        <v>56.44</v>
      </c>
      <c r="H140" s="2"/>
      <c r="I140" s="66"/>
      <c r="J140" s="66"/>
      <c r="K140" s="70"/>
      <c r="L140" s="68"/>
      <c r="M140" s="68"/>
      <c r="N140" s="68"/>
      <c r="O140" s="68"/>
      <c r="P140" s="68"/>
      <c r="Q140" s="68"/>
      <c r="R140" s="68"/>
    </row>
    <row r="141" spans="1:18" s="58" customFormat="1" ht="7.5" customHeight="1">
      <c r="A141" s="40"/>
      <c r="B141" s="40"/>
      <c r="C141" s="40"/>
      <c r="D141" s="30"/>
      <c r="E141" s="54"/>
      <c r="F141" s="31"/>
      <c r="G141" s="32"/>
      <c r="H141" s="2"/>
      <c r="I141" s="66"/>
      <c r="J141" s="66"/>
      <c r="K141" s="70"/>
      <c r="L141" s="68"/>
      <c r="M141" s="68"/>
      <c r="N141" s="68"/>
      <c r="O141" s="68"/>
      <c r="P141" s="68"/>
      <c r="Q141" s="68"/>
      <c r="R141" s="68"/>
    </row>
    <row r="142" spans="1:18" s="58" customFormat="1" ht="13.5" customHeight="1" thickBot="1">
      <c r="A142" s="57"/>
      <c r="B142" s="43" t="s">
        <v>243</v>
      </c>
      <c r="C142" s="43"/>
      <c r="D142" s="56"/>
      <c r="E142" s="45">
        <f t="shared" ref="E142:G142" si="31">SUM(E138:E141)</f>
        <v>2220.66</v>
      </c>
      <c r="F142" s="45">
        <f t="shared" si="31"/>
        <v>3392.14</v>
      </c>
      <c r="G142" s="45">
        <f t="shared" si="31"/>
        <v>5612.7999999999993</v>
      </c>
      <c r="H142" s="57"/>
      <c r="I142" s="66"/>
      <c r="J142" s="66"/>
      <c r="K142" s="70"/>
      <c r="L142" s="68"/>
      <c r="M142" s="68"/>
      <c r="N142" s="68"/>
      <c r="O142" s="68"/>
      <c r="P142" s="68"/>
      <c r="Q142" s="68"/>
      <c r="R142" s="68"/>
    </row>
    <row r="143" spans="1:18" s="67" customFormat="1" ht="7.5" customHeight="1">
      <c r="A143" s="68"/>
      <c r="B143" s="79"/>
      <c r="C143" s="79"/>
      <c r="D143" s="3"/>
      <c r="E143" s="84"/>
      <c r="F143" s="84"/>
      <c r="G143" s="84"/>
      <c r="H143" s="3"/>
      <c r="I143" s="70"/>
      <c r="J143" s="70"/>
      <c r="K143" s="70"/>
      <c r="L143" s="33"/>
      <c r="M143" s="33"/>
      <c r="N143" s="33"/>
      <c r="O143" s="33"/>
      <c r="P143" s="33"/>
      <c r="Q143" s="33"/>
      <c r="R143" s="33"/>
    </row>
    <row r="144" spans="1:18" s="67" customFormat="1" ht="13.5" customHeight="1" thickBot="1">
      <c r="A144" s="42"/>
      <c r="B144" s="43" t="s">
        <v>244</v>
      </c>
      <c r="C144" s="43"/>
      <c r="D144" s="65"/>
      <c r="E144" s="45">
        <f>SUM(E35,E103,E130,E135,E142)</f>
        <v>381276.41000000003</v>
      </c>
      <c r="F144" s="45">
        <f>SUM(F35,F103,F130,F135,F142)</f>
        <v>831324.93999999983</v>
      </c>
      <c r="G144" s="45">
        <f>SUM(G35,G103,G130,G135,G142)</f>
        <v>1212601.3500000001</v>
      </c>
      <c r="H144" s="65"/>
      <c r="I144" s="70"/>
      <c r="J144" s="70"/>
      <c r="K144" s="70"/>
      <c r="L144" s="33"/>
      <c r="M144" s="33"/>
      <c r="N144" s="33"/>
      <c r="O144" s="33"/>
      <c r="P144" s="33"/>
      <c r="Q144" s="33"/>
      <c r="R144" s="33"/>
    </row>
    <row r="145" spans="1:18" s="67" customFormat="1">
      <c r="A145" s="3"/>
      <c r="B145" s="3"/>
      <c r="C145" s="3"/>
      <c r="D145" s="53"/>
      <c r="E145" s="80"/>
      <c r="F145" s="80"/>
      <c r="G145" s="3"/>
      <c r="H145" s="3"/>
      <c r="I145" s="33"/>
      <c r="J145" s="33"/>
      <c r="K145" s="33"/>
      <c r="L145" s="33"/>
      <c r="M145" s="33"/>
      <c r="N145" s="33"/>
      <c r="O145" s="33"/>
      <c r="P145" s="33"/>
      <c r="Q145" s="33"/>
      <c r="R145" s="33"/>
    </row>
    <row r="146" spans="1:18">
      <c r="E146" s="85"/>
    </row>
  </sheetData>
  <mergeCells count="2">
    <mergeCell ref="O5:O6"/>
    <mergeCell ref="Q5:R5"/>
  </mergeCells>
  <pageMargins left="0.25" right="0.25" top="0.75" bottom="0.75" header="0.3" footer="0.3"/>
  <pageSetup scale="52" fitToHeight="3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R42"/>
  <sheetViews>
    <sheetView showGridLines="0" zoomScaleNormal="100" workbookViewId="0">
      <selection activeCell="N12" sqref="N12"/>
    </sheetView>
  </sheetViews>
  <sheetFormatPr defaultRowHeight="15"/>
  <cols>
    <col min="1" max="1" width="1.7109375" style="192" customWidth="1"/>
    <col min="2" max="2" width="22.7109375" style="192" customWidth="1"/>
    <col min="3" max="15" width="14.5703125" style="192" customWidth="1"/>
    <col min="16" max="16" width="9.140625" style="192"/>
    <col min="17" max="17" width="11.28515625" style="192" bestFit="1" customWidth="1"/>
    <col min="18" max="18" width="10.5703125" style="192" bestFit="1" customWidth="1"/>
    <col min="19" max="16384" width="9.140625" style="192"/>
  </cols>
  <sheetData>
    <row r="1" spans="1:18">
      <c r="B1" s="198" t="s">
        <v>290</v>
      </c>
      <c r="E1" s="5" t="s">
        <v>426</v>
      </c>
    </row>
    <row r="2" spans="1:18">
      <c r="B2" s="198" t="s">
        <v>291</v>
      </c>
    </row>
    <row r="4" spans="1:18">
      <c r="B4" s="122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53"/>
    </row>
    <row r="5" spans="1:18">
      <c r="B5" s="123" t="s">
        <v>292</v>
      </c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124"/>
    </row>
    <row r="6" spans="1:18">
      <c r="B6" s="125"/>
      <c r="C6" s="154"/>
      <c r="D6" s="154"/>
      <c r="E6" s="154"/>
      <c r="F6" s="154"/>
      <c r="G6" s="154"/>
      <c r="H6" s="154"/>
      <c r="I6" s="154"/>
      <c r="J6" s="154"/>
      <c r="K6" s="154"/>
      <c r="L6" s="154"/>
      <c r="M6" s="154"/>
      <c r="N6" s="154"/>
      <c r="O6" s="124"/>
    </row>
    <row r="7" spans="1:18" s="198" customFormat="1">
      <c r="B7" s="126"/>
      <c r="C7" s="127">
        <v>42736</v>
      </c>
      <c r="D7" s="127">
        <f t="shared" ref="D7:N7" si="0">+C7+31</f>
        <v>42767</v>
      </c>
      <c r="E7" s="127">
        <f t="shared" si="0"/>
        <v>42798</v>
      </c>
      <c r="F7" s="127">
        <f t="shared" si="0"/>
        <v>42829</v>
      </c>
      <c r="G7" s="127">
        <f t="shared" si="0"/>
        <v>42860</v>
      </c>
      <c r="H7" s="127">
        <f t="shared" si="0"/>
        <v>42891</v>
      </c>
      <c r="I7" s="127">
        <f t="shared" si="0"/>
        <v>42922</v>
      </c>
      <c r="J7" s="127">
        <f t="shared" si="0"/>
        <v>42953</v>
      </c>
      <c r="K7" s="127">
        <f t="shared" si="0"/>
        <v>42984</v>
      </c>
      <c r="L7" s="127">
        <f t="shared" si="0"/>
        <v>43015</v>
      </c>
      <c r="M7" s="127">
        <f t="shared" si="0"/>
        <v>43046</v>
      </c>
      <c r="N7" s="127">
        <f t="shared" si="0"/>
        <v>43077</v>
      </c>
      <c r="O7" s="163" t="s">
        <v>293</v>
      </c>
    </row>
    <row r="8" spans="1:18">
      <c r="A8" s="164"/>
      <c r="B8" s="126" t="s">
        <v>294</v>
      </c>
      <c r="C8" s="99">
        <f>+C12/70</f>
        <v>93.12</v>
      </c>
      <c r="D8" s="99">
        <f>+D12/70</f>
        <v>225.10999999999999</v>
      </c>
      <c r="E8" s="99">
        <f>+E12/70</f>
        <v>268.04999999999995</v>
      </c>
      <c r="F8" s="99">
        <f>+F12/70</f>
        <v>208.85</v>
      </c>
      <c r="G8" s="191">
        <f>+G12/71.16</f>
        <v>271.64137155705453</v>
      </c>
      <c r="H8" s="191">
        <f t="shared" ref="H8:N8" si="1">+H12/71.16</f>
        <v>329.40781337830248</v>
      </c>
      <c r="I8" s="191">
        <f t="shared" si="1"/>
        <v>166.57855536818437</v>
      </c>
      <c r="J8" s="191">
        <f t="shared" si="1"/>
        <v>123.75969645868466</v>
      </c>
      <c r="K8" s="191">
        <f t="shared" si="1"/>
        <v>117.42046093310852</v>
      </c>
      <c r="L8" s="191">
        <f t="shared" si="1"/>
        <v>201.67720629567177</v>
      </c>
      <c r="M8" s="191">
        <f t="shared" si="1"/>
        <v>136.46107363687463</v>
      </c>
      <c r="N8" s="191">
        <f t="shared" si="1"/>
        <v>79.364249578414857</v>
      </c>
      <c r="O8" s="143">
        <f>SUM(C8:N8)</f>
        <v>2221.4404272062957</v>
      </c>
    </row>
    <row r="9" spans="1:18">
      <c r="A9" s="164"/>
      <c r="B9" s="126" t="s">
        <v>295</v>
      </c>
      <c r="C9" s="99">
        <f>C13/70</f>
        <v>155.79571428571424</v>
      </c>
      <c r="D9" s="99">
        <f t="shared" ref="D9:F9" si="2">D13/70</f>
        <v>88.540142857142897</v>
      </c>
      <c r="E9" s="99">
        <f t="shared" si="2"/>
        <v>159.77571428571432</v>
      </c>
      <c r="F9" s="99">
        <f t="shared" si="2"/>
        <v>368.94357142857149</v>
      </c>
      <c r="G9" s="99">
        <f>G13/71.16</f>
        <v>128.82209106239461</v>
      </c>
      <c r="H9" s="99">
        <f t="shared" ref="H9:N9" si="3">H13/71.16</f>
        <v>224.34218662169752</v>
      </c>
      <c r="I9" s="99">
        <f t="shared" si="3"/>
        <v>322.61439010680164</v>
      </c>
      <c r="J9" s="99">
        <f t="shared" si="3"/>
        <v>269.420741989882</v>
      </c>
      <c r="K9" s="99">
        <f t="shared" si="3"/>
        <v>303.7377740303541</v>
      </c>
      <c r="L9" s="99">
        <f t="shared" si="3"/>
        <v>223.82363687464866</v>
      </c>
      <c r="M9" s="99">
        <f t="shared" si="3"/>
        <v>234.32813378302419</v>
      </c>
      <c r="N9" s="99">
        <f t="shared" si="3"/>
        <v>207.56661045531197</v>
      </c>
      <c r="O9" s="114">
        <f>SUM(C9:N9)</f>
        <v>2687.710707781258</v>
      </c>
    </row>
    <row r="10" spans="1:18">
      <c r="A10" s="164"/>
      <c r="B10" s="126"/>
      <c r="C10" s="165">
        <f>SUM(C8:C9)</f>
        <v>248.91571428571424</v>
      </c>
      <c r="D10" s="165">
        <f t="shared" ref="D10:N10" si="4">SUM(D8:D9)</f>
        <v>313.6501428571429</v>
      </c>
      <c r="E10" s="165">
        <f t="shared" si="4"/>
        <v>427.8257142857143</v>
      </c>
      <c r="F10" s="165">
        <f t="shared" si="4"/>
        <v>577.79357142857145</v>
      </c>
      <c r="G10" s="165">
        <f t="shared" si="4"/>
        <v>400.46346261944916</v>
      </c>
      <c r="H10" s="165">
        <f t="shared" si="4"/>
        <v>553.75</v>
      </c>
      <c r="I10" s="165">
        <f t="shared" si="4"/>
        <v>489.192945474986</v>
      </c>
      <c r="J10" s="165">
        <f t="shared" si="4"/>
        <v>393.18043844856663</v>
      </c>
      <c r="K10" s="165">
        <f t="shared" si="4"/>
        <v>421.15823496346263</v>
      </c>
      <c r="L10" s="165">
        <f t="shared" si="4"/>
        <v>425.50084317032042</v>
      </c>
      <c r="M10" s="165">
        <f t="shared" si="4"/>
        <v>370.78920741989884</v>
      </c>
      <c r="N10" s="165">
        <f t="shared" si="4"/>
        <v>286.93086003372684</v>
      </c>
      <c r="O10" s="144">
        <f>SUM(O8:O9)</f>
        <v>4909.1511349875536</v>
      </c>
    </row>
    <row r="11" spans="1:18">
      <c r="A11" s="164"/>
      <c r="B11" s="128" t="s">
        <v>287</v>
      </c>
      <c r="C11" s="100">
        <f>C14-(C10*70)</f>
        <v>0</v>
      </c>
      <c r="D11" s="100">
        <f t="shared" ref="D11:F11" si="5">D14-(D10*70)</f>
        <v>0</v>
      </c>
      <c r="E11" s="100">
        <f t="shared" si="5"/>
        <v>0</v>
      </c>
      <c r="F11" s="100">
        <f t="shared" si="5"/>
        <v>0</v>
      </c>
      <c r="G11" s="100">
        <f>G14-(G10*71.16)</f>
        <v>0</v>
      </c>
      <c r="H11" s="100">
        <f t="shared" ref="H11:N11" si="6">H14-(H10*71.16)</f>
        <v>0</v>
      </c>
      <c r="I11" s="100">
        <f t="shared" si="6"/>
        <v>0</v>
      </c>
      <c r="J11" s="100">
        <f t="shared" si="6"/>
        <v>0</v>
      </c>
      <c r="K11" s="100">
        <f t="shared" si="6"/>
        <v>0</v>
      </c>
      <c r="L11" s="100">
        <f t="shared" si="6"/>
        <v>0</v>
      </c>
      <c r="M11" s="100">
        <f t="shared" si="6"/>
        <v>0</v>
      </c>
      <c r="N11" s="100">
        <f t="shared" si="6"/>
        <v>0</v>
      </c>
      <c r="O11" s="124"/>
    </row>
    <row r="12" spans="1:18" ht="15.75" customHeight="1">
      <c r="B12" s="126" t="s">
        <v>296</v>
      </c>
      <c r="C12" s="207">
        <v>6518.4000000000005</v>
      </c>
      <c r="D12" s="207">
        <v>15757.699999999999</v>
      </c>
      <c r="E12" s="207">
        <v>18763.499999999996</v>
      </c>
      <c r="F12" s="207">
        <v>14619.5</v>
      </c>
      <c r="G12" s="207">
        <v>19330</v>
      </c>
      <c r="H12" s="207">
        <v>23440.660000000003</v>
      </c>
      <c r="I12" s="207">
        <v>11853.73</v>
      </c>
      <c r="J12" s="207">
        <v>8806.74</v>
      </c>
      <c r="K12" s="207">
        <v>8355.6400000000012</v>
      </c>
      <c r="L12" s="207">
        <v>14351.350000000002</v>
      </c>
      <c r="M12" s="207">
        <v>9710.5699999999979</v>
      </c>
      <c r="N12" s="207">
        <v>5647.5600000000013</v>
      </c>
      <c r="O12" s="166">
        <f>SUM(C12:N12)</f>
        <v>157155.35</v>
      </c>
      <c r="Q12" s="145"/>
      <c r="R12" s="145"/>
    </row>
    <row r="13" spans="1:18">
      <c r="B13" s="126" t="s">
        <v>297</v>
      </c>
      <c r="C13" s="146">
        <f>C14-C12</f>
        <v>10905.699999999997</v>
      </c>
      <c r="D13" s="146">
        <f>D14-D12</f>
        <v>6197.8100000000031</v>
      </c>
      <c r="E13" s="146">
        <f>E14-E12</f>
        <v>11184.300000000003</v>
      </c>
      <c r="F13" s="146">
        <f t="shared" ref="F13" si="7">F14-F12</f>
        <v>25826.050000000003</v>
      </c>
      <c r="G13" s="146">
        <f>G14-G12</f>
        <v>9166.98</v>
      </c>
      <c r="H13" s="146">
        <f t="shared" ref="H13" si="8">H14-H12</f>
        <v>15964.189999999995</v>
      </c>
      <c r="I13" s="146">
        <f>I14-I12</f>
        <v>22957.24</v>
      </c>
      <c r="J13" s="146">
        <f t="shared" ref="J13:K13" si="9">J14-J12</f>
        <v>19171.980000000003</v>
      </c>
      <c r="K13" s="146">
        <f t="shared" si="9"/>
        <v>21613.979999999996</v>
      </c>
      <c r="L13" s="146">
        <f>L14-L12</f>
        <v>15927.289999999997</v>
      </c>
      <c r="M13" s="146">
        <f>M14-M12</f>
        <v>16674.79</v>
      </c>
      <c r="N13" s="146">
        <f>N14-N12</f>
        <v>14770.439999999999</v>
      </c>
      <c r="O13" s="167">
        <f>SUM(C13:N13)</f>
        <v>190360.75</v>
      </c>
    </row>
    <row r="14" spans="1:18">
      <c r="B14" s="126" t="s">
        <v>298</v>
      </c>
      <c r="C14" s="168">
        <v>17424.099999999999</v>
      </c>
      <c r="D14" s="168">
        <v>21955.510000000002</v>
      </c>
      <c r="E14" s="168">
        <v>29947.8</v>
      </c>
      <c r="F14" s="168">
        <v>40445.550000000003</v>
      </c>
      <c r="G14" s="168">
        <v>28496.98</v>
      </c>
      <c r="H14" s="168">
        <v>39404.85</v>
      </c>
      <c r="I14" s="168">
        <v>34810.97</v>
      </c>
      <c r="J14" s="168">
        <v>27978.720000000001</v>
      </c>
      <c r="K14" s="168">
        <v>29969.62</v>
      </c>
      <c r="L14" s="168">
        <v>30278.639999999999</v>
      </c>
      <c r="M14" s="168">
        <v>26385.360000000001</v>
      </c>
      <c r="N14" s="168">
        <v>20418</v>
      </c>
      <c r="O14" s="166">
        <f>SUM(O12:O13)</f>
        <v>347516.1</v>
      </c>
      <c r="Q14" s="145"/>
    </row>
    <row r="15" spans="1:18">
      <c r="B15" s="101"/>
      <c r="C15" s="155"/>
      <c r="D15" s="155"/>
      <c r="E15" s="155"/>
      <c r="F15" s="155"/>
      <c r="G15" s="155"/>
      <c r="H15" s="155"/>
      <c r="I15" s="155"/>
      <c r="J15" s="155"/>
      <c r="K15" s="155"/>
      <c r="L15" s="155"/>
      <c r="M15" s="155"/>
      <c r="N15" s="155"/>
      <c r="O15" s="169"/>
    </row>
    <row r="16" spans="1:18">
      <c r="B16" s="126"/>
      <c r="C16" s="154"/>
      <c r="D16" s="154"/>
      <c r="E16" s="154"/>
      <c r="F16" s="154"/>
      <c r="G16" s="154"/>
      <c r="H16" s="154"/>
      <c r="I16" s="154"/>
      <c r="J16" s="154"/>
      <c r="K16" s="154"/>
      <c r="L16" s="154"/>
      <c r="M16" s="154"/>
      <c r="N16" s="154"/>
      <c r="O16" s="124"/>
    </row>
    <row r="17" spans="2:18">
      <c r="B17" s="156" t="s">
        <v>299</v>
      </c>
      <c r="C17" s="154"/>
      <c r="D17" s="154"/>
      <c r="E17" s="154"/>
      <c r="F17" s="154"/>
      <c r="G17" s="154"/>
      <c r="H17" s="154"/>
      <c r="I17" s="154"/>
      <c r="J17" s="154"/>
      <c r="K17" s="154"/>
      <c r="L17" s="154"/>
      <c r="M17" s="154"/>
      <c r="N17" s="154"/>
      <c r="O17" s="124"/>
    </row>
    <row r="18" spans="2:18">
      <c r="B18" s="126"/>
      <c r="C18" s="154"/>
      <c r="D18" s="154"/>
      <c r="E18" s="154"/>
      <c r="F18" s="154"/>
      <c r="G18" s="154"/>
      <c r="H18" s="154"/>
      <c r="I18" s="154"/>
      <c r="J18" s="154"/>
      <c r="K18" s="154"/>
      <c r="L18" s="154"/>
      <c r="M18" s="154"/>
      <c r="N18" s="154"/>
      <c r="O18" s="124"/>
    </row>
    <row r="19" spans="2:18" s="198" customFormat="1">
      <c r="B19" s="102"/>
      <c r="C19" s="127">
        <f>C7</f>
        <v>42736</v>
      </c>
      <c r="D19" s="127">
        <f t="shared" ref="D19:N19" si="10">+C19+31</f>
        <v>42767</v>
      </c>
      <c r="E19" s="127">
        <f t="shared" si="10"/>
        <v>42798</v>
      </c>
      <c r="F19" s="127">
        <f t="shared" si="10"/>
        <v>42829</v>
      </c>
      <c r="G19" s="127">
        <f t="shared" si="10"/>
        <v>42860</v>
      </c>
      <c r="H19" s="127">
        <f t="shared" si="10"/>
        <v>42891</v>
      </c>
      <c r="I19" s="127">
        <f t="shared" si="10"/>
        <v>42922</v>
      </c>
      <c r="J19" s="127">
        <f t="shared" si="10"/>
        <v>42953</v>
      </c>
      <c r="K19" s="127">
        <f t="shared" si="10"/>
        <v>42984</v>
      </c>
      <c r="L19" s="127">
        <f t="shared" si="10"/>
        <v>43015</v>
      </c>
      <c r="M19" s="127">
        <f t="shared" si="10"/>
        <v>43046</v>
      </c>
      <c r="N19" s="127">
        <f t="shared" si="10"/>
        <v>43077</v>
      </c>
      <c r="O19" s="170" t="s">
        <v>293</v>
      </c>
    </row>
    <row r="20" spans="2:18">
      <c r="B20" s="102" t="s">
        <v>300</v>
      </c>
      <c r="C20" s="210">
        <f>+C24/3.11</f>
        <v>0</v>
      </c>
      <c r="D20" s="210">
        <f t="shared" ref="D20:N21" si="11">+D24/3.11</f>
        <v>0</v>
      </c>
      <c r="E20" s="210">
        <f t="shared" si="11"/>
        <v>20</v>
      </c>
      <c r="F20" s="210">
        <f t="shared" si="11"/>
        <v>20</v>
      </c>
      <c r="G20" s="210">
        <f t="shared" si="11"/>
        <v>88</v>
      </c>
      <c r="H20" s="210">
        <f t="shared" si="11"/>
        <v>288.29903536977497</v>
      </c>
      <c r="I20" s="210">
        <f t="shared" si="11"/>
        <v>67</v>
      </c>
      <c r="J20" s="210">
        <f t="shared" si="11"/>
        <v>159.43729903536979</v>
      </c>
      <c r="K20" s="210">
        <f t="shared" si="11"/>
        <v>100</v>
      </c>
      <c r="L20" s="210">
        <f t="shared" si="11"/>
        <v>135</v>
      </c>
      <c r="M20" s="210">
        <f t="shared" si="11"/>
        <v>130</v>
      </c>
      <c r="N20" s="210">
        <f t="shared" si="11"/>
        <v>100</v>
      </c>
      <c r="O20" s="143">
        <f>SUM(C20:N20)</f>
        <v>1107.7363344051448</v>
      </c>
      <c r="P20" s="145"/>
    </row>
    <row r="21" spans="2:18">
      <c r="B21" s="102" t="s">
        <v>301</v>
      </c>
      <c r="C21" s="210">
        <f>+C25/3.11</f>
        <v>120.77170418006429</v>
      </c>
      <c r="D21" s="210">
        <f t="shared" si="11"/>
        <v>174.17041800643085</v>
      </c>
      <c r="E21" s="210">
        <f t="shared" si="11"/>
        <v>-39.501607717041793</v>
      </c>
      <c r="F21" s="210">
        <f t="shared" si="11"/>
        <v>90.000000000000014</v>
      </c>
      <c r="G21" s="210">
        <f t="shared" si="11"/>
        <v>47.999999999999993</v>
      </c>
      <c r="H21" s="210">
        <f t="shared" si="11"/>
        <v>7.7009646302250223</v>
      </c>
      <c r="I21" s="210">
        <f t="shared" si="11"/>
        <v>95.000000000000043</v>
      </c>
      <c r="J21" s="210">
        <f>+J25/3.11</f>
        <v>-47.03215434083603</v>
      </c>
      <c r="K21" s="210">
        <f>+K25/3.11</f>
        <v>40.594855305466261</v>
      </c>
      <c r="L21" s="210">
        <f>+L25/3.11</f>
        <v>108.14469453376208</v>
      </c>
      <c r="M21" s="210">
        <f>+M25/3.11</f>
        <v>74.855305466237908</v>
      </c>
      <c r="N21" s="210">
        <f>+N25/3.11</f>
        <v>86.000000000000014</v>
      </c>
      <c r="O21" s="114">
        <f>SUM(C21:N21)</f>
        <v>758.70418006430862</v>
      </c>
    </row>
    <row r="22" spans="2:18">
      <c r="B22" s="102"/>
      <c r="C22" s="137">
        <f>SUM(C20:C21)</f>
        <v>120.77170418006429</v>
      </c>
      <c r="D22" s="137">
        <f>SUM(D20:D21)</f>
        <v>174.17041800643085</v>
      </c>
      <c r="E22" s="137">
        <f t="shared" ref="E22:N22" si="12">SUM(E20:E21)</f>
        <v>-19.501607717041793</v>
      </c>
      <c r="F22" s="137">
        <f t="shared" si="12"/>
        <v>110.00000000000001</v>
      </c>
      <c r="G22" s="137">
        <f t="shared" si="12"/>
        <v>136</v>
      </c>
      <c r="H22" s="137">
        <f t="shared" si="12"/>
        <v>296</v>
      </c>
      <c r="I22" s="137">
        <f t="shared" si="12"/>
        <v>162.00000000000006</v>
      </c>
      <c r="J22" s="137">
        <f t="shared" si="12"/>
        <v>112.40514469453376</v>
      </c>
      <c r="K22" s="137">
        <f t="shared" si="12"/>
        <v>140.59485530546627</v>
      </c>
      <c r="L22" s="137">
        <f t="shared" si="12"/>
        <v>243.14469453376208</v>
      </c>
      <c r="M22" s="137">
        <f t="shared" si="12"/>
        <v>204.85530546623789</v>
      </c>
      <c r="N22" s="137">
        <f t="shared" si="12"/>
        <v>186</v>
      </c>
      <c r="O22" s="115">
        <f>SUM(O20:O21)</f>
        <v>1866.4405144694533</v>
      </c>
    </row>
    <row r="23" spans="2:18">
      <c r="B23" s="128" t="s">
        <v>287</v>
      </c>
      <c r="C23" s="171">
        <f>C26-(C22*3.11)</f>
        <v>0</v>
      </c>
      <c r="D23" s="171">
        <f t="shared" ref="D23:N23" si="13">D26-(D22*3.11)</f>
        <v>0</v>
      </c>
      <c r="E23" s="171">
        <f t="shared" si="13"/>
        <v>0</v>
      </c>
      <c r="F23" s="171">
        <f t="shared" si="13"/>
        <v>0</v>
      </c>
      <c r="G23" s="171">
        <f t="shared" si="13"/>
        <v>0</v>
      </c>
      <c r="H23" s="171">
        <f t="shared" si="13"/>
        <v>0</v>
      </c>
      <c r="I23" s="171">
        <f t="shared" si="13"/>
        <v>0</v>
      </c>
      <c r="J23" s="171">
        <f t="shared" si="13"/>
        <v>0</v>
      </c>
      <c r="K23" s="171">
        <f t="shared" si="13"/>
        <v>0</v>
      </c>
      <c r="L23" s="171">
        <f t="shared" si="13"/>
        <v>0</v>
      </c>
      <c r="M23" s="171">
        <f t="shared" si="13"/>
        <v>0</v>
      </c>
      <c r="N23" s="171">
        <f t="shared" si="13"/>
        <v>0</v>
      </c>
      <c r="O23" s="172"/>
    </row>
    <row r="24" spans="2:18">
      <c r="B24" s="126" t="s">
        <v>296</v>
      </c>
      <c r="C24" s="103">
        <v>0</v>
      </c>
      <c r="D24" s="103">
        <v>0</v>
      </c>
      <c r="E24" s="103">
        <v>62.2</v>
      </c>
      <c r="F24" s="103">
        <v>62.2</v>
      </c>
      <c r="G24" s="103">
        <v>273.68</v>
      </c>
      <c r="H24" s="103">
        <v>896.61000000000013</v>
      </c>
      <c r="I24" s="103">
        <v>208.37</v>
      </c>
      <c r="J24" s="103">
        <v>495.85</v>
      </c>
      <c r="K24" s="103">
        <v>311</v>
      </c>
      <c r="L24" s="103">
        <v>419.85</v>
      </c>
      <c r="M24" s="103">
        <v>404.3</v>
      </c>
      <c r="N24" s="103">
        <v>311</v>
      </c>
      <c r="O24" s="134">
        <f>SUM(C24:N24)</f>
        <v>3445.06</v>
      </c>
      <c r="Q24" s="145"/>
      <c r="R24" s="145"/>
    </row>
    <row r="25" spans="2:18">
      <c r="B25" s="126" t="s">
        <v>297</v>
      </c>
      <c r="C25" s="138">
        <f>+C26-C24</f>
        <v>375.59999999999991</v>
      </c>
      <c r="D25" s="138">
        <f>+D26-D24</f>
        <v>541.66999999999996</v>
      </c>
      <c r="E25" s="138">
        <f>+E26-E24</f>
        <v>-122.84999999999998</v>
      </c>
      <c r="F25" s="138">
        <f t="shared" ref="F25:N25" si="14">+F26-F24</f>
        <v>279.90000000000003</v>
      </c>
      <c r="G25" s="138">
        <f t="shared" si="14"/>
        <v>149.27999999999997</v>
      </c>
      <c r="H25" s="138">
        <f t="shared" si="14"/>
        <v>23.949999999999818</v>
      </c>
      <c r="I25" s="138">
        <f t="shared" si="14"/>
        <v>295.4500000000001</v>
      </c>
      <c r="J25" s="138">
        <f t="shared" si="14"/>
        <v>-146.27000000000004</v>
      </c>
      <c r="K25" s="138">
        <f t="shared" si="14"/>
        <v>126.25000000000006</v>
      </c>
      <c r="L25" s="138">
        <f t="shared" si="14"/>
        <v>336.33000000000004</v>
      </c>
      <c r="M25" s="138">
        <f t="shared" si="14"/>
        <v>232.7999999999999</v>
      </c>
      <c r="N25" s="138">
        <f t="shared" si="14"/>
        <v>267.46000000000004</v>
      </c>
      <c r="O25" s="173">
        <f>SUM(C25:N25)</f>
        <v>2359.5699999999997</v>
      </c>
      <c r="Q25" s="145"/>
    </row>
    <row r="26" spans="2:18">
      <c r="B26" s="102" t="s">
        <v>298</v>
      </c>
      <c r="C26" s="103">
        <v>375.59999999999991</v>
      </c>
      <c r="D26" s="103">
        <v>541.66999999999996</v>
      </c>
      <c r="E26" s="103">
        <v>-60.649999999999977</v>
      </c>
      <c r="F26" s="103">
        <v>342.1</v>
      </c>
      <c r="G26" s="103">
        <v>422.96</v>
      </c>
      <c r="H26" s="103">
        <v>920.56</v>
      </c>
      <c r="I26" s="103">
        <v>503.82000000000011</v>
      </c>
      <c r="J26" s="103">
        <v>349.58</v>
      </c>
      <c r="K26" s="103">
        <v>437.25000000000006</v>
      </c>
      <c r="L26" s="103">
        <v>756.18000000000006</v>
      </c>
      <c r="M26" s="103">
        <v>637.09999999999991</v>
      </c>
      <c r="N26" s="103">
        <v>578.46</v>
      </c>
      <c r="O26" s="134">
        <f>SUM(O24:O25)</f>
        <v>5804.6299999999992</v>
      </c>
    </row>
    <row r="27" spans="2:18">
      <c r="B27" s="174"/>
      <c r="C27" s="175"/>
      <c r="D27" s="175"/>
      <c r="E27" s="175"/>
      <c r="F27" s="175"/>
      <c r="G27" s="175"/>
      <c r="H27" s="175"/>
      <c r="I27" s="175"/>
      <c r="J27" s="175"/>
      <c r="K27" s="175"/>
      <c r="L27" s="175"/>
      <c r="M27" s="175"/>
      <c r="N27" s="175"/>
      <c r="O27" s="173"/>
    </row>
    <row r="28" spans="2:18">
      <c r="B28" s="129"/>
      <c r="C28" s="147"/>
      <c r="D28" s="147"/>
      <c r="E28" s="147"/>
      <c r="F28" s="147"/>
      <c r="G28" s="147"/>
      <c r="H28" s="147"/>
      <c r="I28" s="147"/>
      <c r="J28" s="147"/>
      <c r="K28" s="147"/>
      <c r="L28" s="147"/>
      <c r="M28" s="147"/>
      <c r="N28" s="147"/>
      <c r="O28" s="104"/>
    </row>
    <row r="29" spans="2:18">
      <c r="B29" s="176" t="s">
        <v>6</v>
      </c>
      <c r="C29" s="105"/>
      <c r="D29" s="105"/>
      <c r="E29" s="105"/>
      <c r="F29" s="105"/>
      <c r="G29" s="105"/>
      <c r="H29" s="105"/>
      <c r="I29" s="105"/>
      <c r="J29" s="105"/>
      <c r="K29" s="105"/>
      <c r="L29" s="105"/>
      <c r="M29" s="105"/>
      <c r="N29" s="105"/>
      <c r="O29" s="172"/>
    </row>
    <row r="30" spans="2:18">
      <c r="B30" s="148"/>
      <c r="C30" s="105"/>
      <c r="D30" s="105"/>
      <c r="E30" s="105"/>
      <c r="F30" s="105"/>
      <c r="G30" s="105"/>
      <c r="H30" s="105"/>
      <c r="I30" s="105"/>
      <c r="J30" s="105"/>
      <c r="K30" s="105"/>
      <c r="L30" s="105"/>
      <c r="M30" s="105"/>
      <c r="N30" s="105"/>
      <c r="O30" s="172"/>
    </row>
    <row r="31" spans="2:18">
      <c r="B31" s="102" t="s">
        <v>302</v>
      </c>
      <c r="C31" s="177">
        <f>+C12+C24</f>
        <v>6518.4000000000005</v>
      </c>
      <c r="D31" s="177">
        <f t="shared" ref="D31:N31" si="15">+D12+D24</f>
        <v>15757.699999999999</v>
      </c>
      <c r="E31" s="177">
        <f t="shared" si="15"/>
        <v>18825.699999999997</v>
      </c>
      <c r="F31" s="177">
        <f t="shared" si="15"/>
        <v>14681.7</v>
      </c>
      <c r="G31" s="177">
        <f t="shared" si="15"/>
        <v>19603.68</v>
      </c>
      <c r="H31" s="177">
        <f t="shared" si="15"/>
        <v>24337.270000000004</v>
      </c>
      <c r="I31" s="177">
        <f t="shared" si="15"/>
        <v>12062.1</v>
      </c>
      <c r="J31" s="177">
        <f t="shared" si="15"/>
        <v>9302.59</v>
      </c>
      <c r="K31" s="177">
        <f t="shared" si="15"/>
        <v>8666.6400000000012</v>
      </c>
      <c r="L31" s="177">
        <f t="shared" si="15"/>
        <v>14771.200000000003</v>
      </c>
      <c r="M31" s="177">
        <f t="shared" si="15"/>
        <v>10114.869999999997</v>
      </c>
      <c r="N31" s="177">
        <f t="shared" si="15"/>
        <v>5958.5600000000013</v>
      </c>
      <c r="O31" s="134">
        <f>SUM(C31:N31)</f>
        <v>160600.41</v>
      </c>
    </row>
    <row r="32" spans="2:18">
      <c r="B32" s="102" t="s">
        <v>303</v>
      </c>
      <c r="C32" s="177">
        <f t="shared" ref="C32:N32" si="16">+C13+C25</f>
        <v>11281.299999999997</v>
      </c>
      <c r="D32" s="177">
        <f t="shared" si="16"/>
        <v>6739.4800000000032</v>
      </c>
      <c r="E32" s="177">
        <f t="shared" si="16"/>
        <v>11061.450000000003</v>
      </c>
      <c r="F32" s="177">
        <f t="shared" si="16"/>
        <v>26105.950000000004</v>
      </c>
      <c r="G32" s="177">
        <f t="shared" si="16"/>
        <v>9316.26</v>
      </c>
      <c r="H32" s="177">
        <f t="shared" si="16"/>
        <v>15988.139999999996</v>
      </c>
      <c r="I32" s="177">
        <f t="shared" si="16"/>
        <v>23252.690000000002</v>
      </c>
      <c r="J32" s="177">
        <f t="shared" si="16"/>
        <v>19025.710000000003</v>
      </c>
      <c r="K32" s="177">
        <f t="shared" si="16"/>
        <v>21740.229999999996</v>
      </c>
      <c r="L32" s="177">
        <f t="shared" si="16"/>
        <v>16263.619999999997</v>
      </c>
      <c r="M32" s="177">
        <f t="shared" si="16"/>
        <v>16907.59</v>
      </c>
      <c r="N32" s="177">
        <f t="shared" si="16"/>
        <v>15037.899999999998</v>
      </c>
      <c r="O32" s="134">
        <f>SUM(C32:N32)</f>
        <v>192720.32</v>
      </c>
    </row>
    <row r="33" spans="2:16">
      <c r="B33" s="102" t="s">
        <v>304</v>
      </c>
      <c r="C33" s="133">
        <f t="shared" ref="C33:N33" si="17">+SUM(C31:C32)</f>
        <v>17799.699999999997</v>
      </c>
      <c r="D33" s="133">
        <f t="shared" si="17"/>
        <v>22497.18</v>
      </c>
      <c r="E33" s="133">
        <f t="shared" si="17"/>
        <v>29887.15</v>
      </c>
      <c r="F33" s="133">
        <f t="shared" si="17"/>
        <v>40787.650000000009</v>
      </c>
      <c r="G33" s="133">
        <f t="shared" si="17"/>
        <v>28919.940000000002</v>
      </c>
      <c r="H33" s="133">
        <f t="shared" si="17"/>
        <v>40325.410000000003</v>
      </c>
      <c r="I33" s="133">
        <f t="shared" si="17"/>
        <v>35314.79</v>
      </c>
      <c r="J33" s="133">
        <f t="shared" si="17"/>
        <v>28328.300000000003</v>
      </c>
      <c r="K33" s="133">
        <f t="shared" si="17"/>
        <v>30406.869999999995</v>
      </c>
      <c r="L33" s="133">
        <f t="shared" si="17"/>
        <v>31034.82</v>
      </c>
      <c r="M33" s="133">
        <f t="shared" si="17"/>
        <v>27022.46</v>
      </c>
      <c r="N33" s="133">
        <f t="shared" si="17"/>
        <v>20996.46</v>
      </c>
      <c r="O33" s="149">
        <f t="shared" ref="O33" si="18">SUM(O31:O32)</f>
        <v>353320.73</v>
      </c>
      <c r="P33" s="214">
        <v>0</v>
      </c>
    </row>
    <row r="34" spans="2:16">
      <c r="B34" s="106"/>
      <c r="C34" s="107"/>
      <c r="D34" s="107"/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73"/>
    </row>
    <row r="35" spans="2:16">
      <c r="B35" s="139"/>
      <c r="C35" s="139"/>
      <c r="D35" s="139"/>
      <c r="E35" s="139"/>
      <c r="F35" s="139"/>
      <c r="G35" s="139"/>
      <c r="H35" s="139"/>
      <c r="I35" s="139"/>
      <c r="J35" s="139"/>
      <c r="K35" s="139"/>
      <c r="L35" s="139"/>
      <c r="M35" s="139"/>
      <c r="N35" s="139"/>
      <c r="O35" s="139"/>
    </row>
    <row r="36" spans="2:16">
      <c r="B36" s="108" t="s">
        <v>305</v>
      </c>
      <c r="C36" s="140">
        <v>17799.699999999997</v>
      </c>
      <c r="D36" s="140">
        <v>22497.18</v>
      </c>
      <c r="E36" s="140">
        <v>29887.149999999998</v>
      </c>
      <c r="F36" s="140">
        <v>40787.65</v>
      </c>
      <c r="G36" s="140">
        <v>28919.94</v>
      </c>
      <c r="H36" s="140">
        <v>40325.409999999996</v>
      </c>
      <c r="I36" s="140">
        <v>35314.790000000008</v>
      </c>
      <c r="J36" s="140">
        <v>28328.300000000003</v>
      </c>
      <c r="K36" s="140">
        <v>30406.869999999995</v>
      </c>
      <c r="L36" s="140">
        <v>31034.82</v>
      </c>
      <c r="M36" s="140">
        <v>27022.46</v>
      </c>
      <c r="N36" s="140">
        <v>20996.46</v>
      </c>
      <c r="O36" s="209">
        <f>SUM(C36:N36)</f>
        <v>353320.73000000004</v>
      </c>
    </row>
    <row r="37" spans="2:16">
      <c r="B37" s="108" t="s">
        <v>306</v>
      </c>
      <c r="C37" s="140">
        <v>6518.4000000000005</v>
      </c>
      <c r="D37" s="140">
        <v>15757.699999999999</v>
      </c>
      <c r="E37" s="140">
        <v>18825.699999999997</v>
      </c>
      <c r="F37" s="140">
        <v>14681.7</v>
      </c>
      <c r="G37" s="140">
        <v>19603.68</v>
      </c>
      <c r="H37" s="140">
        <v>24337.270000000004</v>
      </c>
      <c r="I37" s="140">
        <v>12062.1</v>
      </c>
      <c r="J37" s="140">
        <v>9302.59</v>
      </c>
      <c r="K37" s="140">
        <v>8666.6400000000012</v>
      </c>
      <c r="L37" s="140">
        <v>14771.2</v>
      </c>
      <c r="M37" s="140">
        <v>10114.870000000001</v>
      </c>
      <c r="N37" s="140">
        <v>5958.5599999999995</v>
      </c>
      <c r="O37" s="209">
        <f>SUM(C37:N37)</f>
        <v>160600.41</v>
      </c>
    </row>
    <row r="38" spans="2:16">
      <c r="B38" s="108" t="s">
        <v>307</v>
      </c>
      <c r="C38" s="150">
        <f>+C36-C37</f>
        <v>11281.299999999996</v>
      </c>
      <c r="D38" s="150">
        <f>+D36-D37</f>
        <v>6739.4800000000014</v>
      </c>
      <c r="E38" s="150">
        <f t="shared" ref="E38:N38" si="19">+E36-E37</f>
        <v>11061.45</v>
      </c>
      <c r="F38" s="150">
        <f t="shared" si="19"/>
        <v>26105.95</v>
      </c>
      <c r="G38" s="150">
        <f t="shared" si="19"/>
        <v>9316.2599999999984</v>
      </c>
      <c r="H38" s="150">
        <f t="shared" si="19"/>
        <v>15988.139999999992</v>
      </c>
      <c r="I38" s="150">
        <f t="shared" si="19"/>
        <v>23252.69000000001</v>
      </c>
      <c r="J38" s="150">
        <f t="shared" si="19"/>
        <v>19025.710000000003</v>
      </c>
      <c r="K38" s="150">
        <f t="shared" si="19"/>
        <v>21740.229999999996</v>
      </c>
      <c r="L38" s="150">
        <f t="shared" si="19"/>
        <v>16263.619999999999</v>
      </c>
      <c r="M38" s="150">
        <f t="shared" si="19"/>
        <v>16907.589999999997</v>
      </c>
      <c r="N38" s="150">
        <f t="shared" si="19"/>
        <v>15037.9</v>
      </c>
      <c r="O38" s="209">
        <f>SUM(C38:N38)</f>
        <v>192720.31999999998</v>
      </c>
    </row>
    <row r="39" spans="2:16">
      <c r="B39" s="139"/>
      <c r="C39" s="139"/>
      <c r="D39" s="139"/>
      <c r="E39" s="139"/>
      <c r="F39" s="139"/>
      <c r="G39" s="139"/>
      <c r="H39" s="139"/>
      <c r="I39" s="139"/>
      <c r="J39" s="139"/>
      <c r="K39" s="139"/>
      <c r="L39" s="139"/>
      <c r="M39" s="139"/>
      <c r="N39" s="139"/>
      <c r="O39" s="105"/>
    </row>
    <row r="40" spans="2:16">
      <c r="B40" s="108" t="s">
        <v>308</v>
      </c>
      <c r="C40" s="109">
        <f>+C31-C37</f>
        <v>0</v>
      </c>
      <c r="D40" s="109">
        <f t="shared" ref="D40:N40" si="20">+D31-D37</f>
        <v>0</v>
      </c>
      <c r="E40" s="109">
        <f t="shared" si="20"/>
        <v>0</v>
      </c>
      <c r="F40" s="109">
        <f t="shared" si="20"/>
        <v>0</v>
      </c>
      <c r="G40" s="109">
        <f t="shared" si="20"/>
        <v>0</v>
      </c>
      <c r="H40" s="109">
        <f t="shared" si="20"/>
        <v>0</v>
      </c>
      <c r="I40" s="109">
        <f t="shared" si="20"/>
        <v>0</v>
      </c>
      <c r="J40" s="109">
        <f t="shared" si="20"/>
        <v>0</v>
      </c>
      <c r="K40" s="109">
        <f t="shared" si="20"/>
        <v>0</v>
      </c>
      <c r="L40" s="109">
        <f t="shared" si="20"/>
        <v>0</v>
      </c>
      <c r="M40" s="109">
        <f t="shared" si="20"/>
        <v>0</v>
      </c>
      <c r="N40" s="109">
        <f t="shared" si="20"/>
        <v>0</v>
      </c>
      <c r="O40" s="209">
        <f>SUM(C40:N40)</f>
        <v>0</v>
      </c>
    </row>
    <row r="41" spans="2:16">
      <c r="B41" s="108" t="s">
        <v>309</v>
      </c>
      <c r="C41" s="109">
        <f>+C33-C36</f>
        <v>0</v>
      </c>
      <c r="D41" s="109">
        <f t="shared" ref="D41:N41" si="21">+D33-D36</f>
        <v>0</v>
      </c>
      <c r="E41" s="109">
        <f t="shared" si="21"/>
        <v>0</v>
      </c>
      <c r="F41" s="109">
        <f t="shared" si="21"/>
        <v>0</v>
      </c>
      <c r="G41" s="109">
        <f t="shared" si="21"/>
        <v>0</v>
      </c>
      <c r="H41" s="109">
        <f t="shared" si="21"/>
        <v>0</v>
      </c>
      <c r="I41" s="109">
        <f t="shared" si="21"/>
        <v>0</v>
      </c>
      <c r="J41" s="109">
        <f t="shared" si="21"/>
        <v>0</v>
      </c>
      <c r="K41" s="109">
        <f t="shared" si="21"/>
        <v>0</v>
      </c>
      <c r="L41" s="109">
        <f t="shared" si="21"/>
        <v>0</v>
      </c>
      <c r="M41" s="109">
        <f t="shared" si="21"/>
        <v>0</v>
      </c>
      <c r="N41" s="109">
        <f t="shared" si="21"/>
        <v>0</v>
      </c>
      <c r="O41" s="209">
        <f>SUM(C41:N41)</f>
        <v>0</v>
      </c>
    </row>
    <row r="42" spans="2:16">
      <c r="B42" s="139"/>
      <c r="C42" s="139"/>
      <c r="D42" s="139"/>
      <c r="E42" s="139"/>
      <c r="F42" s="139"/>
      <c r="G42" s="139"/>
      <c r="H42" s="139"/>
      <c r="I42" s="139"/>
      <c r="J42" s="139"/>
      <c r="K42" s="139"/>
      <c r="L42" s="139"/>
      <c r="M42" s="139"/>
      <c r="N42" s="139"/>
      <c r="O42" s="105"/>
    </row>
  </sheetData>
  <pageMargins left="0.7" right="0.7" top="0.75" bottom="0.75" header="0.3" footer="0.3"/>
  <pageSetup scale="57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M195"/>
  <sheetViews>
    <sheetView zoomScale="85" zoomScaleNormal="85" workbookViewId="0">
      <selection activeCell="N12" sqref="N12"/>
    </sheetView>
  </sheetViews>
  <sheetFormatPr defaultRowHeight="15"/>
  <cols>
    <col min="1" max="1" width="32.42578125" style="342" bestFit="1" customWidth="1"/>
    <col min="2" max="2" width="9" style="342" customWidth="1"/>
    <col min="3" max="3" width="10.140625" style="342" bestFit="1" customWidth="1"/>
    <col min="4" max="4" width="13.28515625" style="342" customWidth="1"/>
    <col min="5" max="5" width="11.85546875" style="342" customWidth="1"/>
    <col min="6" max="6" width="9.5703125" style="342" bestFit="1" customWidth="1"/>
    <col min="7" max="7" width="10.85546875" style="343" customWidth="1"/>
    <col min="8" max="8" width="1.85546875" style="342" customWidth="1"/>
    <col min="9" max="9" width="14.85546875" style="342" customWidth="1"/>
    <col min="10" max="11" width="9.140625" style="342"/>
    <col min="12" max="12" width="16.42578125" style="342" customWidth="1"/>
    <col min="13" max="16384" width="9.140625" style="342"/>
  </cols>
  <sheetData>
    <row r="1" spans="1:13">
      <c r="A1" s="86" t="s">
        <v>245</v>
      </c>
      <c r="B1" s="87"/>
      <c r="C1" s="88"/>
      <c r="D1" s="88"/>
      <c r="E1" s="88"/>
      <c r="F1" s="89"/>
      <c r="G1" s="90"/>
      <c r="H1" s="343"/>
    </row>
    <row r="2" spans="1:13">
      <c r="A2" s="86" t="s">
        <v>455</v>
      </c>
      <c r="B2" s="87"/>
      <c r="C2" s="93"/>
      <c r="D2" s="93"/>
      <c r="E2" s="93"/>
      <c r="F2" s="89"/>
      <c r="G2" s="90"/>
      <c r="H2" s="343"/>
    </row>
    <row r="3" spans="1:13">
      <c r="B3" s="87"/>
      <c r="C3" s="88"/>
      <c r="D3" s="88"/>
      <c r="E3" s="88"/>
      <c r="F3" s="89"/>
      <c r="G3" s="90"/>
      <c r="H3" s="343"/>
    </row>
    <row r="4" spans="1:13">
      <c r="A4" s="86"/>
      <c r="B4" s="87"/>
      <c r="C4" s="88"/>
      <c r="D4" s="88"/>
      <c r="E4" s="88"/>
      <c r="F4" s="89"/>
      <c r="G4" s="90"/>
      <c r="H4" s="343"/>
    </row>
    <row r="5" spans="1:13" ht="45">
      <c r="A5" s="374"/>
      <c r="B5" s="375"/>
      <c r="C5" s="376" t="s">
        <v>427</v>
      </c>
      <c r="D5" s="376" t="s">
        <v>428</v>
      </c>
      <c r="E5" s="376" t="s">
        <v>454</v>
      </c>
      <c r="F5" s="376"/>
      <c r="G5" s="376"/>
      <c r="H5" s="377"/>
      <c r="I5" s="378"/>
      <c r="J5" s="378"/>
      <c r="K5" s="378"/>
      <c r="L5" s="343"/>
      <c r="M5" s="379"/>
    </row>
    <row r="6" spans="1:13">
      <c r="A6" s="94" t="s">
        <v>429</v>
      </c>
      <c r="B6" s="380"/>
      <c r="C6" s="95"/>
      <c r="D6" s="95"/>
      <c r="E6" s="95"/>
      <c r="F6" s="95"/>
      <c r="G6" s="95"/>
    </row>
    <row r="7" spans="1:13">
      <c r="A7" s="96" t="s">
        <v>246</v>
      </c>
      <c r="B7" s="97" t="s">
        <v>430</v>
      </c>
      <c r="C7" s="390">
        <v>4.8899999999999997</v>
      </c>
      <c r="D7" s="381">
        <f>+'G-48 DF Calc'!J8</f>
        <v>2.7098222961205665E-2</v>
      </c>
      <c r="E7" s="381">
        <f>C7+D7</f>
        <v>4.9170982229612052</v>
      </c>
      <c r="F7" s="95"/>
      <c r="G7" s="95"/>
    </row>
    <row r="8" spans="1:13">
      <c r="A8" s="96"/>
      <c r="B8" s="97"/>
      <c r="C8" s="95"/>
      <c r="D8" s="95"/>
      <c r="E8" s="95"/>
      <c r="F8" s="95"/>
      <c r="G8" s="95"/>
    </row>
    <row r="9" spans="1:13">
      <c r="A9" s="94" t="s">
        <v>431</v>
      </c>
      <c r="B9" s="380"/>
      <c r="C9" s="95"/>
      <c r="D9" s="95"/>
      <c r="E9" s="95"/>
      <c r="F9" s="95"/>
      <c r="G9" s="95"/>
    </row>
    <row r="10" spans="1:13">
      <c r="A10" s="96" t="s">
        <v>432</v>
      </c>
      <c r="B10" s="97" t="s">
        <v>433</v>
      </c>
      <c r="C10" s="390">
        <v>18.95</v>
      </c>
      <c r="D10" s="381">
        <f>+'G-48 DF Calc'!J11</f>
        <v>6.9073901665818366E-2</v>
      </c>
      <c r="E10" s="95">
        <f>C10+D10</f>
        <v>19.019073901665816</v>
      </c>
      <c r="F10" s="95"/>
      <c r="G10" s="95"/>
      <c r="J10" s="96"/>
    </row>
    <row r="11" spans="1:13">
      <c r="A11" s="96" t="s">
        <v>434</v>
      </c>
      <c r="B11" s="97" t="s">
        <v>435</v>
      </c>
      <c r="C11" s="390">
        <v>6.94</v>
      </c>
      <c r="D11" s="381">
        <f>+'G-48 DF Calc'!J12</f>
        <v>2.7098222961205662E-2</v>
      </c>
      <c r="E11" s="95">
        <f t="shared" ref="E11:E23" si="0">C11+D11</f>
        <v>6.967098222961206</v>
      </c>
      <c r="F11" s="95"/>
      <c r="G11" s="95"/>
      <c r="J11" s="96"/>
    </row>
    <row r="12" spans="1:13">
      <c r="A12" s="96" t="s">
        <v>434</v>
      </c>
      <c r="B12" s="97" t="s">
        <v>436</v>
      </c>
      <c r="C12" s="390">
        <v>13.89</v>
      </c>
      <c r="D12" s="381">
        <f>+'G-48 DF Calc'!J13</f>
        <v>5.8712816415945598E-2</v>
      </c>
      <c r="E12" s="95">
        <f t="shared" si="0"/>
        <v>13.948712816415947</v>
      </c>
      <c r="F12" s="95"/>
      <c r="G12" s="95"/>
      <c r="J12" s="96"/>
    </row>
    <row r="13" spans="1:13">
      <c r="A13" s="96" t="s">
        <v>434</v>
      </c>
      <c r="B13" s="97" t="s">
        <v>433</v>
      </c>
      <c r="C13" s="390">
        <v>22.04</v>
      </c>
      <c r="D13" s="381">
        <f>+'G-48 DF Calc'!J14</f>
        <v>0.1174256328318912</v>
      </c>
      <c r="E13" s="95">
        <f t="shared" si="0"/>
        <v>22.157425632831892</v>
      </c>
      <c r="F13" s="95"/>
      <c r="G13" s="95"/>
      <c r="J13" s="96"/>
    </row>
    <row r="14" spans="1:13">
      <c r="A14" s="96" t="s">
        <v>437</v>
      </c>
      <c r="B14" s="97" t="s">
        <v>433</v>
      </c>
      <c r="C14" s="390">
        <v>30.23</v>
      </c>
      <c r="D14" s="381">
        <f>+'G-48 DF Calc'!J15</f>
        <v>0.17613844924783681</v>
      </c>
      <c r="E14" s="95">
        <f t="shared" si="0"/>
        <v>30.406138449247837</v>
      </c>
      <c r="F14" s="95"/>
      <c r="G14" s="95"/>
      <c r="J14" s="96"/>
    </row>
    <row r="15" spans="1:13">
      <c r="A15" s="96" t="s">
        <v>438</v>
      </c>
      <c r="B15" s="97" t="s">
        <v>433</v>
      </c>
      <c r="C15" s="390">
        <v>39.479999999999997</v>
      </c>
      <c r="D15" s="381">
        <f>+'G-48 DF Calc'!J16</f>
        <v>0.26593452141340068</v>
      </c>
      <c r="E15" s="95">
        <f t="shared" si="0"/>
        <v>39.745934521413396</v>
      </c>
      <c r="F15" s="95"/>
      <c r="G15" s="95"/>
      <c r="J15" s="96"/>
    </row>
    <row r="16" spans="1:13">
      <c r="A16" s="96" t="s">
        <v>439</v>
      </c>
      <c r="B16" s="97" t="s">
        <v>433</v>
      </c>
      <c r="C16" s="390">
        <v>48.11</v>
      </c>
      <c r="D16" s="381">
        <f>+'G-48 DF Calc'!J17</f>
        <v>0.33500842307921902</v>
      </c>
      <c r="E16" s="95">
        <f t="shared" si="0"/>
        <v>48.445008423079216</v>
      </c>
      <c r="F16" s="95"/>
      <c r="G16" s="95"/>
      <c r="J16" s="96"/>
    </row>
    <row r="17" spans="1:10">
      <c r="A17" s="96" t="s">
        <v>440</v>
      </c>
      <c r="B17" s="97" t="s">
        <v>433</v>
      </c>
      <c r="C17" s="390">
        <v>58.3</v>
      </c>
      <c r="D17" s="381">
        <f>+'G-48 DF Calc'!J18</f>
        <v>0.40408232474503741</v>
      </c>
      <c r="E17" s="95">
        <f t="shared" si="0"/>
        <v>58.704082324745038</v>
      </c>
      <c r="F17" s="95"/>
      <c r="G17" s="95"/>
    </row>
    <row r="18" spans="1:10">
      <c r="A18" s="96" t="s">
        <v>441</v>
      </c>
      <c r="B18" s="97" t="s">
        <v>433</v>
      </c>
      <c r="C18" s="390">
        <v>69.19</v>
      </c>
      <c r="D18" s="381">
        <f>+'G-48 DF Calc'!J19</f>
        <v>0.47315622641085575</v>
      </c>
      <c r="E18" s="95">
        <f t="shared" si="0"/>
        <v>69.663156226410848</v>
      </c>
      <c r="F18" s="95"/>
      <c r="G18" s="95"/>
      <c r="J18" s="96"/>
    </row>
    <row r="19" spans="1:10">
      <c r="A19" s="96"/>
      <c r="B19" s="97"/>
      <c r="C19" s="95"/>
      <c r="E19" s="95"/>
      <c r="F19" s="95"/>
      <c r="G19" s="95"/>
    </row>
    <row r="20" spans="1:10">
      <c r="A20" s="96" t="s">
        <v>442</v>
      </c>
      <c r="B20" s="97" t="s">
        <v>433</v>
      </c>
      <c r="C20" s="390">
        <v>35.5</v>
      </c>
      <c r="D20" s="381">
        <f>+'G-48 DF Calc'!J21</f>
        <v>0.1381478033316367</v>
      </c>
      <c r="E20" s="95">
        <f t="shared" si="0"/>
        <v>35.638147803331634</v>
      </c>
      <c r="F20" s="95"/>
      <c r="G20" s="95"/>
    </row>
    <row r="21" spans="1:10">
      <c r="A21" s="96" t="s">
        <v>443</v>
      </c>
      <c r="B21" s="97" t="s">
        <v>433</v>
      </c>
      <c r="C21" s="390">
        <v>70.98</v>
      </c>
      <c r="D21" s="381">
        <f>+'G-48 DF Calc'!J22</f>
        <v>0.27629560666327341</v>
      </c>
      <c r="E21" s="95">
        <f t="shared" si="0"/>
        <v>71.256295606663272</v>
      </c>
      <c r="F21" s="95"/>
      <c r="G21" s="95"/>
      <c r="H21" s="382"/>
    </row>
    <row r="22" spans="1:10">
      <c r="A22" s="96" t="s">
        <v>444</v>
      </c>
      <c r="B22" s="97" t="s">
        <v>433</v>
      </c>
      <c r="C22" s="390">
        <v>44.27</v>
      </c>
      <c r="D22" s="381">
        <f>+'G-48 DF Calc'!J23</f>
        <v>0.16232366891467315</v>
      </c>
      <c r="E22" s="95">
        <f t="shared" si="0"/>
        <v>44.432323668914677</v>
      </c>
      <c r="F22" s="95"/>
      <c r="G22" s="95"/>
    </row>
    <row r="23" spans="1:10">
      <c r="A23" s="96" t="s">
        <v>444</v>
      </c>
      <c r="B23" s="97" t="s">
        <v>435</v>
      </c>
      <c r="C23" s="390">
        <v>37.97</v>
      </c>
      <c r="D23" s="381">
        <f>+'G-48 DF Calc'!J24</f>
        <v>7.4918616422156831E-2</v>
      </c>
      <c r="E23" s="95">
        <f t="shared" si="0"/>
        <v>38.044918616422159</v>
      </c>
      <c r="F23" s="95"/>
      <c r="G23" s="95"/>
    </row>
    <row r="24" spans="1:10">
      <c r="A24" s="96"/>
      <c r="B24" s="97"/>
      <c r="C24" s="95"/>
      <c r="D24" s="381"/>
      <c r="E24" s="95"/>
      <c r="F24" s="95"/>
      <c r="G24" s="95"/>
    </row>
    <row r="25" spans="1:10">
      <c r="A25" s="94" t="s">
        <v>445</v>
      </c>
      <c r="B25" s="97"/>
      <c r="C25" s="95"/>
      <c r="D25" s="95"/>
      <c r="E25" s="95"/>
      <c r="F25" s="95"/>
      <c r="G25" s="95"/>
    </row>
    <row r="26" spans="1:10">
      <c r="A26" s="96" t="s">
        <v>247</v>
      </c>
      <c r="B26" s="97" t="s">
        <v>446</v>
      </c>
      <c r="C26" s="390">
        <v>5.1100000000000003</v>
      </c>
      <c r="D26" s="381">
        <f>+'G-48 DF Calc'!J27</f>
        <v>2.7098222961205669E-2</v>
      </c>
      <c r="E26" s="95">
        <f t="shared" ref="E26:E29" si="1">C26+D26</f>
        <v>5.1370982229612059</v>
      </c>
      <c r="F26" s="95"/>
      <c r="G26" s="95"/>
    </row>
    <row r="27" spans="1:10">
      <c r="A27" s="96" t="s">
        <v>248</v>
      </c>
      <c r="B27" s="97" t="s">
        <v>446</v>
      </c>
      <c r="C27" s="390">
        <v>9.48</v>
      </c>
      <c r="D27" s="381">
        <f>+'G-48 DF Calc'!J28</f>
        <v>3.1880262307300782E-2</v>
      </c>
      <c r="E27" s="95">
        <f t="shared" si="1"/>
        <v>9.5118802623073009</v>
      </c>
      <c r="F27" s="95"/>
      <c r="G27" s="95"/>
    </row>
    <row r="28" spans="1:10">
      <c r="A28" s="96" t="s">
        <v>249</v>
      </c>
      <c r="B28" s="97" t="s">
        <v>446</v>
      </c>
      <c r="C28" s="390">
        <v>11.5</v>
      </c>
      <c r="D28" s="381">
        <f>+'G-48 DF Calc'!J29</f>
        <v>3.7459308211078415E-2</v>
      </c>
      <c r="E28" s="95">
        <f t="shared" si="1"/>
        <v>11.537459308211078</v>
      </c>
      <c r="F28" s="95"/>
      <c r="G28" s="95"/>
    </row>
    <row r="29" spans="1:10">
      <c r="A29" s="96" t="s">
        <v>250</v>
      </c>
      <c r="B29" s="97" t="s">
        <v>446</v>
      </c>
      <c r="C29" s="390">
        <v>6.94</v>
      </c>
      <c r="D29" s="381">
        <f>+'G-48 DF Calc'!J30</f>
        <v>2.7098222961205658E-2</v>
      </c>
      <c r="E29" s="95">
        <f t="shared" si="1"/>
        <v>6.967098222961206</v>
      </c>
      <c r="F29" s="95"/>
      <c r="G29" s="95"/>
    </row>
    <row r="30" spans="1:10">
      <c r="A30" s="96"/>
      <c r="B30" s="97"/>
      <c r="C30" s="95"/>
      <c r="D30" s="95"/>
      <c r="E30" s="95"/>
      <c r="F30" s="95"/>
      <c r="G30" s="95"/>
    </row>
    <row r="31" spans="1:10">
      <c r="A31" s="94" t="s">
        <v>447</v>
      </c>
      <c r="B31" s="97"/>
      <c r="C31" s="95"/>
      <c r="D31" s="95"/>
      <c r="E31" s="95"/>
      <c r="F31" s="95"/>
      <c r="G31" s="95"/>
    </row>
    <row r="32" spans="1:10">
      <c r="A32" s="96" t="s">
        <v>251</v>
      </c>
      <c r="B32" s="97" t="s">
        <v>446</v>
      </c>
      <c r="C32" s="390">
        <v>19.98</v>
      </c>
      <c r="D32" s="381">
        <f>+'G-48 DF Calc'!J36</f>
        <v>9.962581971031495E-2</v>
      </c>
      <c r="E32" s="95">
        <f t="shared" ref="E32:E37" si="2">C32+D32</f>
        <v>20.079625819710316</v>
      </c>
      <c r="F32" s="95"/>
      <c r="G32" s="95"/>
    </row>
    <row r="33" spans="1:7">
      <c r="A33" s="96" t="s">
        <v>252</v>
      </c>
      <c r="B33" s="97" t="s">
        <v>446</v>
      </c>
      <c r="C33" s="390">
        <f>+C32</f>
        <v>19.98</v>
      </c>
      <c r="D33" s="381">
        <f>D32</f>
        <v>9.962581971031495E-2</v>
      </c>
      <c r="E33" s="95">
        <f t="shared" si="2"/>
        <v>20.079625819710316</v>
      </c>
      <c r="F33" s="95"/>
      <c r="G33" s="95"/>
    </row>
    <row r="34" spans="1:7">
      <c r="A34" s="96" t="s">
        <v>253</v>
      </c>
      <c r="B34" s="97" t="s">
        <v>446</v>
      </c>
      <c r="C34" s="390">
        <f>+C33</f>
        <v>19.98</v>
      </c>
      <c r="D34" s="381">
        <f t="shared" ref="D34:D37" si="3">D33</f>
        <v>9.962581971031495E-2</v>
      </c>
      <c r="E34" s="95">
        <f t="shared" si="2"/>
        <v>20.079625819710316</v>
      </c>
      <c r="F34" s="95"/>
      <c r="G34" s="95"/>
    </row>
    <row r="35" spans="1:7">
      <c r="A35" s="96" t="s">
        <v>254</v>
      </c>
      <c r="B35" s="97" t="s">
        <v>446</v>
      </c>
      <c r="C35" s="390">
        <f>+C34</f>
        <v>19.98</v>
      </c>
      <c r="D35" s="381">
        <f t="shared" si="3"/>
        <v>9.962581971031495E-2</v>
      </c>
      <c r="E35" s="95">
        <f t="shared" si="2"/>
        <v>20.079625819710316</v>
      </c>
      <c r="F35" s="95"/>
      <c r="G35" s="95"/>
    </row>
    <row r="36" spans="1:7">
      <c r="A36" s="96" t="s">
        <v>255</v>
      </c>
      <c r="B36" s="97" t="s">
        <v>446</v>
      </c>
      <c r="C36" s="390">
        <f>+C35</f>
        <v>19.98</v>
      </c>
      <c r="D36" s="381">
        <f t="shared" si="3"/>
        <v>9.962581971031495E-2</v>
      </c>
      <c r="E36" s="95">
        <f t="shared" si="2"/>
        <v>20.079625819710316</v>
      </c>
      <c r="F36" s="95"/>
      <c r="G36" s="95"/>
    </row>
    <row r="37" spans="1:7">
      <c r="A37" s="96" t="s">
        <v>255</v>
      </c>
      <c r="B37" s="97" t="s">
        <v>446</v>
      </c>
      <c r="C37" s="390">
        <f>+C36</f>
        <v>19.98</v>
      </c>
      <c r="D37" s="381">
        <f t="shared" si="3"/>
        <v>9.962581971031495E-2</v>
      </c>
      <c r="E37" s="95">
        <f t="shared" si="2"/>
        <v>20.079625819710316</v>
      </c>
      <c r="F37" s="95"/>
      <c r="G37" s="95"/>
    </row>
    <row r="38" spans="1:7">
      <c r="A38" s="96"/>
      <c r="B38" s="97"/>
      <c r="C38" s="95"/>
      <c r="D38" s="95"/>
      <c r="E38" s="95"/>
      <c r="F38" s="95"/>
      <c r="G38" s="95"/>
    </row>
    <row r="39" spans="1:7">
      <c r="A39" s="94" t="s">
        <v>448</v>
      </c>
      <c r="B39" s="97"/>
      <c r="C39" s="95"/>
      <c r="D39" s="95"/>
      <c r="E39" s="95"/>
      <c r="F39" s="95"/>
      <c r="G39" s="95"/>
    </row>
    <row r="40" spans="1:7">
      <c r="A40" s="96" t="s">
        <v>449</v>
      </c>
      <c r="B40" s="97" t="s">
        <v>450</v>
      </c>
      <c r="C40" s="390">
        <v>76.67</v>
      </c>
      <c r="D40" s="95">
        <f>References!C61</f>
        <v>2.019999999999996</v>
      </c>
      <c r="E40" s="95">
        <f t="shared" ref="E40" si="4">C40+D40</f>
        <v>78.69</v>
      </c>
      <c r="F40" s="95"/>
      <c r="G40" s="95"/>
    </row>
    <row r="41" spans="1:7">
      <c r="A41" s="96"/>
      <c r="B41" s="97"/>
      <c r="C41" s="95"/>
      <c r="D41" s="95"/>
      <c r="E41" s="95"/>
      <c r="F41" s="95"/>
      <c r="G41" s="95"/>
    </row>
    <row r="42" spans="1:7">
      <c r="A42" s="94" t="s">
        <v>256</v>
      </c>
      <c r="B42" s="97"/>
      <c r="C42" s="95"/>
      <c r="D42" s="95"/>
      <c r="E42" s="95"/>
      <c r="F42" s="95"/>
      <c r="G42" s="95"/>
    </row>
    <row r="43" spans="1:7">
      <c r="A43" s="96" t="s">
        <v>257</v>
      </c>
      <c r="B43" s="97"/>
      <c r="C43" s="95"/>
      <c r="D43" s="95"/>
      <c r="E43" s="95"/>
      <c r="F43" s="95"/>
      <c r="G43" s="95"/>
    </row>
    <row r="44" spans="1:7">
      <c r="A44" s="96" t="s">
        <v>258</v>
      </c>
      <c r="B44" s="97" t="s">
        <v>446</v>
      </c>
      <c r="C44" s="390">
        <v>19.04</v>
      </c>
      <c r="D44" s="382">
        <f>+'G-48 DF Calc'!J45</f>
        <v>0.13947614759444091</v>
      </c>
      <c r="E44" s="95">
        <f t="shared" ref="E44:E48" si="5">C44+D44</f>
        <v>19.179476147594439</v>
      </c>
      <c r="F44" s="95"/>
      <c r="G44" s="95"/>
    </row>
    <row r="45" spans="1:7">
      <c r="A45" s="96" t="s">
        <v>259</v>
      </c>
      <c r="B45" s="97" t="s">
        <v>446</v>
      </c>
      <c r="C45" s="390">
        <v>28.05</v>
      </c>
      <c r="D45" s="382">
        <f>+'G-48 DF Calc'!J46</f>
        <v>0.19925163942062987</v>
      </c>
      <c r="E45" s="95">
        <f t="shared" si="5"/>
        <v>28.249251639420631</v>
      </c>
      <c r="F45" s="95"/>
      <c r="G45" s="95"/>
    </row>
    <row r="46" spans="1:7">
      <c r="A46" s="96" t="s">
        <v>260</v>
      </c>
      <c r="B46" s="97" t="s">
        <v>446</v>
      </c>
      <c r="C46" s="390">
        <v>36.630000000000003</v>
      </c>
      <c r="D46" s="382">
        <f>+'G-48 DF Calc'!J47</f>
        <v>0.25823012468913631</v>
      </c>
      <c r="E46" s="95">
        <f t="shared" si="5"/>
        <v>36.888230124689137</v>
      </c>
      <c r="F46" s="95"/>
      <c r="G46" s="95"/>
    </row>
    <row r="47" spans="1:7">
      <c r="A47" s="96" t="s">
        <v>261</v>
      </c>
      <c r="B47" s="97" t="s">
        <v>446</v>
      </c>
      <c r="C47" s="390">
        <v>49.97</v>
      </c>
      <c r="D47" s="382">
        <f>+'G-48 DF Calc'!J48</f>
        <v>0.37698410178383179</v>
      </c>
      <c r="E47" s="95">
        <f t="shared" si="5"/>
        <v>50.346984101783832</v>
      </c>
      <c r="F47" s="95"/>
      <c r="G47" s="95"/>
    </row>
    <row r="48" spans="1:7">
      <c r="A48" s="96" t="s">
        <v>262</v>
      </c>
      <c r="B48" s="97" t="s">
        <v>446</v>
      </c>
      <c r="C48" s="390">
        <v>61.83</v>
      </c>
      <c r="D48" s="382">
        <f>+'G-48 DF Calc'!J49</f>
        <v>0.4885650198593845</v>
      </c>
      <c r="E48" s="95">
        <f t="shared" si="5"/>
        <v>62.318565019859385</v>
      </c>
      <c r="F48" s="95"/>
      <c r="G48" s="95"/>
    </row>
    <row r="49" spans="1:7">
      <c r="A49" s="96"/>
      <c r="B49" s="97"/>
      <c r="C49" s="95"/>
      <c r="D49" s="95"/>
      <c r="E49" s="95"/>
      <c r="F49" s="95"/>
      <c r="G49" s="95"/>
    </row>
    <row r="50" spans="1:7">
      <c r="A50" s="96" t="s">
        <v>263</v>
      </c>
      <c r="B50" s="97"/>
      <c r="C50" s="95"/>
      <c r="D50" s="95"/>
      <c r="E50" s="95"/>
      <c r="F50" s="95"/>
      <c r="G50" s="95"/>
    </row>
    <row r="51" spans="1:7">
      <c r="A51" s="96" t="s">
        <v>258</v>
      </c>
      <c r="B51" s="97" t="s">
        <v>446</v>
      </c>
      <c r="C51" s="390">
        <v>26.25</v>
      </c>
      <c r="D51" s="382">
        <f>D44</f>
        <v>0.13947614759444091</v>
      </c>
      <c r="E51" s="95">
        <f t="shared" ref="E51:E55" si="6">C51+D51</f>
        <v>26.38947614759444</v>
      </c>
      <c r="F51" s="95"/>
      <c r="G51" s="95"/>
    </row>
    <row r="52" spans="1:7">
      <c r="A52" s="96" t="s">
        <v>259</v>
      </c>
      <c r="B52" s="97" t="s">
        <v>446</v>
      </c>
      <c r="C52" s="390">
        <v>38.590000000000003</v>
      </c>
      <c r="D52" s="382">
        <f t="shared" ref="D52:D55" si="7">D45</f>
        <v>0.19925163942062987</v>
      </c>
      <c r="E52" s="95">
        <f t="shared" si="6"/>
        <v>38.789251639420634</v>
      </c>
      <c r="F52" s="95"/>
      <c r="G52" s="95"/>
    </row>
    <row r="53" spans="1:7">
      <c r="A53" s="96" t="s">
        <v>260</v>
      </c>
      <c r="B53" s="97" t="s">
        <v>446</v>
      </c>
      <c r="C53" s="390">
        <v>50.79</v>
      </c>
      <c r="D53" s="382">
        <f t="shared" si="7"/>
        <v>0.25823012468913631</v>
      </c>
      <c r="E53" s="95">
        <f t="shared" si="6"/>
        <v>51.048230124689134</v>
      </c>
      <c r="F53" s="95"/>
      <c r="G53" s="95"/>
    </row>
    <row r="54" spans="1:7">
      <c r="A54" s="96" t="s">
        <v>261</v>
      </c>
      <c r="B54" s="97" t="s">
        <v>446</v>
      </c>
      <c r="C54" s="390">
        <v>65.66</v>
      </c>
      <c r="D54" s="382">
        <f t="shared" si="7"/>
        <v>0.37698410178383179</v>
      </c>
      <c r="E54" s="95">
        <f t="shared" si="6"/>
        <v>66.03698410178383</v>
      </c>
      <c r="F54" s="95"/>
      <c r="G54" s="95"/>
    </row>
    <row r="55" spans="1:7">
      <c r="A55" s="96" t="s">
        <v>262</v>
      </c>
      <c r="B55" s="97" t="s">
        <v>446</v>
      </c>
      <c r="C55" s="390">
        <v>78.59</v>
      </c>
      <c r="D55" s="382">
        <f t="shared" si="7"/>
        <v>0.4885650198593845</v>
      </c>
      <c r="E55" s="95">
        <f t="shared" si="6"/>
        <v>79.078565019859383</v>
      </c>
      <c r="F55" s="95"/>
      <c r="G55" s="95"/>
    </row>
    <row r="56" spans="1:7">
      <c r="A56" s="96"/>
      <c r="B56" s="97"/>
      <c r="C56" s="95"/>
      <c r="D56" s="95"/>
      <c r="E56" s="95"/>
      <c r="F56" s="95"/>
      <c r="G56" s="95"/>
    </row>
    <row r="57" spans="1:7">
      <c r="A57" s="96" t="s">
        <v>264</v>
      </c>
      <c r="B57" s="97"/>
      <c r="C57" s="95"/>
      <c r="D57" s="95"/>
      <c r="E57" s="95"/>
      <c r="F57" s="95"/>
      <c r="G57" s="95"/>
    </row>
    <row r="58" spans="1:7">
      <c r="A58" s="96" t="s">
        <v>258</v>
      </c>
      <c r="B58" s="97" t="s">
        <v>446</v>
      </c>
      <c r="C58" s="390">
        <f>C51</f>
        <v>26.25</v>
      </c>
      <c r="D58" s="95">
        <f>D51</f>
        <v>0.13947614759444091</v>
      </c>
      <c r="E58" s="95">
        <f t="shared" ref="E58:E62" si="8">C58+D58</f>
        <v>26.38947614759444</v>
      </c>
      <c r="F58" s="95"/>
      <c r="G58" s="95"/>
    </row>
    <row r="59" spans="1:7">
      <c r="A59" s="96" t="s">
        <v>259</v>
      </c>
      <c r="B59" s="97" t="s">
        <v>446</v>
      </c>
      <c r="C59" s="390">
        <f t="shared" ref="C59:C62" si="9">C52</f>
        <v>38.590000000000003</v>
      </c>
      <c r="D59" s="95">
        <f t="shared" ref="D59:D62" si="10">D52</f>
        <v>0.19925163942062987</v>
      </c>
      <c r="E59" s="95">
        <f t="shared" si="8"/>
        <v>38.789251639420634</v>
      </c>
      <c r="F59" s="95"/>
      <c r="G59" s="95"/>
    </row>
    <row r="60" spans="1:7">
      <c r="A60" s="96" t="s">
        <v>260</v>
      </c>
      <c r="B60" s="97" t="s">
        <v>446</v>
      </c>
      <c r="C60" s="390">
        <f t="shared" si="9"/>
        <v>50.79</v>
      </c>
      <c r="D60" s="95">
        <f t="shared" si="10"/>
        <v>0.25823012468913631</v>
      </c>
      <c r="E60" s="95">
        <f t="shared" si="8"/>
        <v>51.048230124689134</v>
      </c>
      <c r="F60" s="95"/>
      <c r="G60" s="95"/>
    </row>
    <row r="61" spans="1:7">
      <c r="A61" s="96" t="s">
        <v>261</v>
      </c>
      <c r="B61" s="97" t="s">
        <v>446</v>
      </c>
      <c r="C61" s="390">
        <f t="shared" si="9"/>
        <v>65.66</v>
      </c>
      <c r="D61" s="95">
        <f t="shared" si="10"/>
        <v>0.37698410178383179</v>
      </c>
      <c r="E61" s="95">
        <f t="shared" si="8"/>
        <v>66.03698410178383</v>
      </c>
      <c r="F61" s="95"/>
      <c r="G61" s="95"/>
    </row>
    <row r="62" spans="1:7">
      <c r="A62" s="96" t="s">
        <v>262</v>
      </c>
      <c r="B62" s="97" t="s">
        <v>446</v>
      </c>
      <c r="C62" s="390">
        <f t="shared" si="9"/>
        <v>78.59</v>
      </c>
      <c r="D62" s="95">
        <f t="shared" si="10"/>
        <v>0.4885650198593845</v>
      </c>
      <c r="E62" s="95">
        <f t="shared" si="8"/>
        <v>79.078565019859383</v>
      </c>
      <c r="F62" s="95"/>
      <c r="G62" s="95"/>
    </row>
    <row r="63" spans="1:7">
      <c r="A63" s="96"/>
      <c r="B63" s="97"/>
      <c r="C63" s="95"/>
      <c r="D63" s="95"/>
      <c r="E63" s="95"/>
      <c r="F63" s="95"/>
      <c r="G63" s="95"/>
    </row>
    <row r="64" spans="1:7">
      <c r="A64" s="94" t="s">
        <v>265</v>
      </c>
      <c r="B64" s="97"/>
      <c r="C64" s="95"/>
      <c r="D64" s="95"/>
      <c r="E64" s="95"/>
      <c r="F64" s="95"/>
      <c r="G64" s="95"/>
    </row>
    <row r="65" spans="1:7">
      <c r="A65" s="96" t="s">
        <v>451</v>
      </c>
      <c r="B65" s="97" t="s">
        <v>446</v>
      </c>
      <c r="C65" s="390">
        <v>4.97</v>
      </c>
      <c r="D65" s="381">
        <f>+'G-48 DF Calc'!J66</f>
        <v>2.3113190172793067E-2</v>
      </c>
      <c r="E65" s="95">
        <f t="shared" ref="E65:E81" si="11">C65+D65</f>
        <v>4.9931131901727932</v>
      </c>
      <c r="F65" s="95"/>
      <c r="G65" s="95"/>
    </row>
    <row r="66" spans="1:7">
      <c r="A66" s="96" t="s">
        <v>452</v>
      </c>
      <c r="B66" s="97" t="s">
        <v>446</v>
      </c>
      <c r="C66" s="390">
        <v>4.97</v>
      </c>
      <c r="D66" s="381">
        <f>D65</f>
        <v>2.3113190172793067E-2</v>
      </c>
      <c r="E66" s="95">
        <f t="shared" si="11"/>
        <v>4.9931131901727932</v>
      </c>
      <c r="F66" s="95"/>
      <c r="G66" s="95"/>
    </row>
    <row r="67" spans="1:7">
      <c r="A67" s="96" t="s">
        <v>266</v>
      </c>
      <c r="B67" s="97" t="s">
        <v>453</v>
      </c>
      <c r="C67" s="390">
        <v>21.57</v>
      </c>
      <c r="D67" s="381">
        <f>+'G-48 DF Calc'!J68</f>
        <v>0.10015715741543663</v>
      </c>
      <c r="E67" s="95">
        <f t="shared" si="11"/>
        <v>21.670157157415439</v>
      </c>
      <c r="F67" s="95"/>
      <c r="G67" s="95"/>
    </row>
    <row r="68" spans="1:7">
      <c r="A68" s="96" t="s">
        <v>267</v>
      </c>
      <c r="B68" s="97" t="s">
        <v>446</v>
      </c>
      <c r="C68" s="390">
        <v>6</v>
      </c>
      <c r="D68" s="381">
        <f>D65</f>
        <v>2.3113190172793067E-2</v>
      </c>
      <c r="E68" s="95">
        <f t="shared" si="11"/>
        <v>6.0231131901727935</v>
      </c>
      <c r="F68" s="95"/>
      <c r="G68" s="95"/>
    </row>
    <row r="69" spans="1:7">
      <c r="A69" s="96" t="s">
        <v>268</v>
      </c>
      <c r="B69" s="97" t="s">
        <v>446</v>
      </c>
      <c r="C69" s="390">
        <v>4.97</v>
      </c>
      <c r="D69" s="381">
        <f>D65</f>
        <v>2.3113190172793067E-2</v>
      </c>
      <c r="E69" s="95">
        <f t="shared" si="11"/>
        <v>4.9931131901727932</v>
      </c>
      <c r="F69" s="95"/>
      <c r="G69" s="95"/>
    </row>
    <row r="70" spans="1:7">
      <c r="A70" s="96" t="s">
        <v>269</v>
      </c>
      <c r="B70" s="97" t="s">
        <v>446</v>
      </c>
      <c r="C70" s="390">
        <v>4.97</v>
      </c>
      <c r="D70" s="381">
        <f>D65</f>
        <v>2.3113190172793067E-2</v>
      </c>
      <c r="E70" s="95">
        <f t="shared" si="11"/>
        <v>4.9931131901727932</v>
      </c>
      <c r="F70" s="95"/>
      <c r="G70" s="95"/>
    </row>
    <row r="71" spans="1:7">
      <c r="A71" s="94"/>
      <c r="B71" s="97"/>
      <c r="C71" s="95"/>
      <c r="D71" s="95"/>
      <c r="E71" s="95"/>
      <c r="F71" s="95"/>
      <c r="G71" s="95"/>
    </row>
    <row r="72" spans="1:7">
      <c r="A72" s="96" t="s">
        <v>270</v>
      </c>
      <c r="B72" s="97" t="s">
        <v>446</v>
      </c>
      <c r="C72" s="390">
        <v>5.74</v>
      </c>
      <c r="D72" s="95">
        <f>+'G-48 DF Calc'!J73</f>
        <v>2.7098222961205669E-2</v>
      </c>
      <c r="E72" s="95">
        <f t="shared" si="11"/>
        <v>5.7670982229612058</v>
      </c>
      <c r="F72" s="95"/>
      <c r="G72" s="95"/>
    </row>
    <row r="73" spans="1:7">
      <c r="A73" s="96" t="s">
        <v>266</v>
      </c>
      <c r="B73" s="97" t="s">
        <v>453</v>
      </c>
      <c r="C73" s="390">
        <v>24.86</v>
      </c>
      <c r="D73" s="95">
        <f>D72*References!C10</f>
        <v>0.11742563283189122</v>
      </c>
      <c r="E73" s="95">
        <f t="shared" si="11"/>
        <v>24.977425632831892</v>
      </c>
      <c r="F73" s="95"/>
      <c r="G73" s="95"/>
    </row>
    <row r="74" spans="1:7">
      <c r="A74" s="96" t="s">
        <v>267</v>
      </c>
      <c r="B74" s="97" t="s">
        <v>446</v>
      </c>
      <c r="C74" s="390">
        <v>7.24</v>
      </c>
      <c r="D74" s="95">
        <f>+'G-48 DF Calc'!J75</f>
        <v>2.7098222961205669E-2</v>
      </c>
      <c r="E74" s="95">
        <f t="shared" si="11"/>
        <v>7.2670982229612058</v>
      </c>
      <c r="F74" s="95"/>
      <c r="G74" s="95"/>
    </row>
    <row r="75" spans="1:7">
      <c r="A75" s="96" t="s">
        <v>268</v>
      </c>
      <c r="B75" s="97" t="s">
        <v>446</v>
      </c>
      <c r="C75" s="390">
        <v>5.74</v>
      </c>
      <c r="D75" s="95">
        <f>D74*References!C12</f>
        <v>2.7098222961205669E-2</v>
      </c>
      <c r="E75" s="95">
        <f t="shared" si="11"/>
        <v>5.7670982229612058</v>
      </c>
      <c r="F75" s="95"/>
      <c r="G75" s="95"/>
    </row>
    <row r="76" spans="1:7">
      <c r="A76" s="96" t="s">
        <v>271</v>
      </c>
      <c r="B76" s="97" t="s">
        <v>446</v>
      </c>
      <c r="C76" s="390">
        <v>8.19</v>
      </c>
      <c r="D76" s="95">
        <f>+'G-48 DF Calc'!J78</f>
        <v>3.1880262307300782E-2</v>
      </c>
      <c r="E76" s="95">
        <f t="shared" si="11"/>
        <v>8.2218802623073</v>
      </c>
      <c r="F76" s="95"/>
      <c r="G76" s="95"/>
    </row>
    <row r="77" spans="1:7">
      <c r="A77" s="96" t="s">
        <v>266</v>
      </c>
      <c r="B77" s="97" t="s">
        <v>453</v>
      </c>
      <c r="C77" s="390">
        <v>35.479999999999997</v>
      </c>
      <c r="D77" s="95">
        <f>D76*References!C10</f>
        <v>0.1381478033316367</v>
      </c>
      <c r="E77" s="95">
        <f t="shared" si="11"/>
        <v>35.618147803331631</v>
      </c>
      <c r="F77" s="95"/>
      <c r="G77" s="95"/>
    </row>
    <row r="78" spans="1:7">
      <c r="A78" s="96" t="s">
        <v>267</v>
      </c>
      <c r="B78" s="97" t="s">
        <v>446</v>
      </c>
      <c r="C78" s="390">
        <v>9.69</v>
      </c>
      <c r="D78" s="95">
        <f>+D76</f>
        <v>3.1880262307300782E-2</v>
      </c>
      <c r="E78" s="95">
        <f t="shared" ref="E78:E79" si="12">C78+D78</f>
        <v>9.7218802623073</v>
      </c>
      <c r="F78" s="95"/>
      <c r="G78" s="95"/>
    </row>
    <row r="79" spans="1:7">
      <c r="A79" s="96" t="s">
        <v>268</v>
      </c>
      <c r="B79" s="97" t="s">
        <v>446</v>
      </c>
      <c r="C79" s="390">
        <v>8.19</v>
      </c>
      <c r="D79" s="95">
        <f>+D76</f>
        <v>3.1880262307300782E-2</v>
      </c>
      <c r="E79" s="95">
        <f t="shared" si="12"/>
        <v>8.2218802623073</v>
      </c>
      <c r="F79" s="95"/>
      <c r="G79" s="95"/>
    </row>
    <row r="80" spans="1:7">
      <c r="A80" s="96" t="s">
        <v>272</v>
      </c>
      <c r="B80" s="97" t="s">
        <v>446</v>
      </c>
      <c r="C80" s="390">
        <v>10.199999999999999</v>
      </c>
      <c r="D80" s="95">
        <f>+'G-48 DF Calc'!J83</f>
        <v>3.7459308211078415E-2</v>
      </c>
      <c r="E80" s="95">
        <f t="shared" si="11"/>
        <v>10.237459308211077</v>
      </c>
      <c r="F80" s="95"/>
      <c r="G80" s="95"/>
    </row>
    <row r="81" spans="1:7">
      <c r="A81" s="96" t="s">
        <v>266</v>
      </c>
      <c r="B81" s="97" t="s">
        <v>453</v>
      </c>
      <c r="C81" s="390">
        <v>44.17</v>
      </c>
      <c r="D81" s="95">
        <f>D80*References!C10</f>
        <v>0.16232366891467312</v>
      </c>
      <c r="E81" s="95">
        <f t="shared" si="11"/>
        <v>44.332323668914675</v>
      </c>
      <c r="F81" s="95"/>
      <c r="G81" s="95"/>
    </row>
    <row r="82" spans="1:7">
      <c r="A82" s="96" t="s">
        <v>267</v>
      </c>
      <c r="B82" s="97" t="s">
        <v>446</v>
      </c>
      <c r="C82" s="390">
        <v>11.7</v>
      </c>
      <c r="D82" s="95">
        <f>+D80</f>
        <v>3.7459308211078415E-2</v>
      </c>
      <c r="E82" s="95">
        <f t="shared" ref="E82:E83" si="13">C82+D82</f>
        <v>11.737459308211077</v>
      </c>
      <c r="F82" s="95"/>
      <c r="G82" s="95"/>
    </row>
    <row r="83" spans="1:7">
      <c r="A83" s="96" t="s">
        <v>268</v>
      </c>
      <c r="B83" s="97" t="s">
        <v>446</v>
      </c>
      <c r="C83" s="390">
        <v>10.199999999999999</v>
      </c>
      <c r="D83" s="95">
        <f>+D80</f>
        <v>3.7459308211078415E-2</v>
      </c>
      <c r="E83" s="95">
        <f t="shared" si="13"/>
        <v>10.237459308211077</v>
      </c>
      <c r="F83" s="95"/>
      <c r="G83" s="95"/>
    </row>
    <row r="84" spans="1:7">
      <c r="A84" s="96"/>
      <c r="B84" s="97"/>
      <c r="C84" s="95"/>
      <c r="D84" s="95"/>
      <c r="E84" s="95"/>
      <c r="F84" s="95"/>
      <c r="G84" s="95"/>
    </row>
    <row r="85" spans="1:7">
      <c r="A85" s="96"/>
      <c r="B85" s="97"/>
      <c r="C85" s="95"/>
      <c r="D85" s="95"/>
      <c r="E85" s="95"/>
      <c r="F85" s="95"/>
      <c r="G85" s="95"/>
    </row>
    <row r="86" spans="1:7">
      <c r="A86" s="96"/>
      <c r="B86" s="97"/>
      <c r="C86" s="95"/>
      <c r="D86" s="95"/>
      <c r="E86" s="95"/>
      <c r="F86" s="95"/>
      <c r="G86" s="95"/>
    </row>
    <row r="87" spans="1:7">
      <c r="A87" s="96"/>
      <c r="B87" s="97"/>
      <c r="C87" s="95"/>
      <c r="D87" s="95"/>
      <c r="E87" s="95"/>
      <c r="F87" s="95"/>
      <c r="G87" s="95"/>
    </row>
    <row r="88" spans="1:7">
      <c r="A88" s="96"/>
      <c r="B88" s="97"/>
      <c r="C88" s="95"/>
      <c r="D88" s="95"/>
      <c r="E88" s="95"/>
      <c r="F88" s="95"/>
      <c r="G88" s="95"/>
    </row>
    <row r="89" spans="1:7">
      <c r="A89" s="94"/>
      <c r="B89" s="97"/>
      <c r="C89" s="95"/>
      <c r="D89" s="95"/>
      <c r="E89" s="95"/>
      <c r="F89" s="95"/>
      <c r="G89" s="95"/>
    </row>
    <row r="90" spans="1:7">
      <c r="A90" s="96"/>
      <c r="B90" s="97"/>
      <c r="C90" s="95"/>
      <c r="D90" s="95"/>
      <c r="E90" s="95"/>
      <c r="F90" s="95"/>
      <c r="G90" s="95"/>
    </row>
    <row r="91" spans="1:7">
      <c r="A91" s="94"/>
      <c r="B91" s="97"/>
      <c r="C91" s="95"/>
      <c r="D91" s="95"/>
      <c r="E91" s="95"/>
      <c r="F91" s="95"/>
      <c r="G91" s="95"/>
    </row>
    <row r="92" spans="1:7">
      <c r="A92" s="94"/>
      <c r="B92" s="97"/>
      <c r="C92" s="95"/>
      <c r="D92" s="95"/>
      <c r="E92" s="95"/>
      <c r="F92" s="95"/>
      <c r="G92" s="95"/>
    </row>
    <row r="93" spans="1:7">
      <c r="A93" s="96"/>
      <c r="B93" s="97"/>
      <c r="C93" s="95"/>
      <c r="D93" s="95"/>
      <c r="E93" s="95"/>
      <c r="F93" s="95"/>
      <c r="G93" s="95"/>
    </row>
    <row r="94" spans="1:7">
      <c r="A94" s="96"/>
      <c r="B94" s="97"/>
      <c r="C94" s="95"/>
      <c r="D94" s="95"/>
      <c r="E94" s="95"/>
      <c r="F94" s="95"/>
      <c r="G94" s="95"/>
    </row>
    <row r="95" spans="1:7">
      <c r="A95" s="96"/>
      <c r="B95" s="97"/>
      <c r="C95" s="95"/>
      <c r="D95" s="95"/>
      <c r="E95" s="95"/>
      <c r="F95" s="95"/>
      <c r="G95" s="95"/>
    </row>
    <row r="96" spans="1:7">
      <c r="A96" s="96"/>
      <c r="B96" s="97"/>
      <c r="C96" s="95"/>
      <c r="D96" s="95"/>
      <c r="E96" s="95"/>
      <c r="F96" s="95"/>
      <c r="G96" s="95"/>
    </row>
    <row r="97" spans="1:7">
      <c r="A97" s="96"/>
      <c r="B97" s="97"/>
      <c r="C97" s="95"/>
      <c r="D97" s="95"/>
      <c r="E97" s="95"/>
      <c r="F97" s="95"/>
      <c r="G97" s="95"/>
    </row>
    <row r="98" spans="1:7">
      <c r="A98" s="96"/>
      <c r="B98" s="97"/>
      <c r="C98" s="95"/>
      <c r="D98" s="95"/>
      <c r="E98" s="95"/>
      <c r="F98" s="95"/>
      <c r="G98" s="95"/>
    </row>
    <row r="99" spans="1:7">
      <c r="A99" s="96"/>
      <c r="B99" s="97"/>
      <c r="C99" s="95"/>
      <c r="D99" s="95"/>
      <c r="E99" s="95"/>
      <c r="F99" s="95"/>
      <c r="G99" s="95"/>
    </row>
    <row r="100" spans="1:7">
      <c r="A100" s="96"/>
      <c r="B100" s="97"/>
      <c r="C100" s="95"/>
      <c r="D100" s="95"/>
      <c r="E100" s="95"/>
      <c r="F100" s="95"/>
      <c r="G100" s="95"/>
    </row>
    <row r="101" spans="1:7">
      <c r="A101" s="96"/>
      <c r="B101" s="97"/>
      <c r="C101" s="95"/>
      <c r="D101" s="95"/>
      <c r="E101" s="95"/>
      <c r="F101" s="95"/>
      <c r="G101" s="95"/>
    </row>
    <row r="102" spans="1:7">
      <c r="A102" s="94"/>
      <c r="B102" s="97"/>
      <c r="C102" s="95"/>
      <c r="D102" s="95"/>
      <c r="E102" s="95"/>
      <c r="F102" s="95"/>
      <c r="G102" s="95"/>
    </row>
    <row r="103" spans="1:7">
      <c r="A103" s="96"/>
      <c r="B103" s="97"/>
      <c r="C103" s="95"/>
      <c r="D103" s="95"/>
      <c r="E103" s="95"/>
      <c r="F103" s="95"/>
      <c r="G103" s="95"/>
    </row>
    <row r="104" spans="1:7">
      <c r="A104" s="96"/>
      <c r="B104" s="97"/>
      <c r="C104" s="95"/>
      <c r="D104" s="95"/>
      <c r="E104" s="95"/>
      <c r="F104" s="95"/>
      <c r="G104" s="95"/>
    </row>
    <row r="105" spans="1:7">
      <c r="A105" s="96"/>
      <c r="B105" s="97"/>
      <c r="C105" s="95"/>
      <c r="D105" s="95"/>
      <c r="E105" s="95"/>
      <c r="F105" s="95"/>
      <c r="G105" s="95"/>
    </row>
    <row r="106" spans="1:7">
      <c r="A106" s="96"/>
      <c r="B106" s="97"/>
      <c r="C106" s="95"/>
      <c r="D106" s="95"/>
      <c r="E106" s="95"/>
      <c r="F106" s="95"/>
      <c r="G106" s="95"/>
    </row>
    <row r="107" spans="1:7">
      <c r="A107" s="96"/>
      <c r="B107" s="97"/>
      <c r="C107" s="95"/>
      <c r="D107" s="95"/>
      <c r="E107" s="95"/>
      <c r="F107" s="95"/>
      <c r="G107" s="95"/>
    </row>
    <row r="108" spans="1:7">
      <c r="A108" s="96"/>
      <c r="B108" s="97"/>
      <c r="C108" s="95"/>
      <c r="D108" s="95"/>
      <c r="E108" s="95"/>
      <c r="F108" s="95"/>
      <c r="G108" s="95"/>
    </row>
    <row r="109" spans="1:7">
      <c r="A109" s="96"/>
      <c r="B109" s="97"/>
      <c r="C109" s="95"/>
      <c r="D109" s="95"/>
      <c r="E109" s="95"/>
      <c r="F109" s="95"/>
      <c r="G109" s="95"/>
    </row>
    <row r="110" spans="1:7">
      <c r="A110" s="96"/>
      <c r="B110" s="97"/>
      <c r="C110" s="95"/>
      <c r="D110" s="95"/>
      <c r="E110" s="95"/>
      <c r="F110" s="95"/>
      <c r="G110" s="95"/>
    </row>
    <row r="111" spans="1:7">
      <c r="A111" s="96"/>
      <c r="B111" s="97"/>
      <c r="C111" s="95"/>
      <c r="D111" s="95"/>
      <c r="E111" s="95"/>
      <c r="F111" s="95"/>
      <c r="G111" s="95"/>
    </row>
    <row r="112" spans="1:7">
      <c r="A112" s="96"/>
      <c r="B112" s="97"/>
      <c r="C112" s="95"/>
      <c r="D112" s="95"/>
      <c r="E112" s="95"/>
      <c r="F112" s="95"/>
      <c r="G112" s="95"/>
    </row>
    <row r="113" spans="1:7">
      <c r="A113" s="96"/>
      <c r="B113" s="97"/>
      <c r="C113" s="95"/>
      <c r="D113" s="95"/>
      <c r="E113" s="95"/>
      <c r="F113" s="95"/>
      <c r="G113" s="95"/>
    </row>
    <row r="114" spans="1:7">
      <c r="A114" s="96"/>
      <c r="B114" s="97"/>
      <c r="C114" s="95"/>
      <c r="D114" s="95"/>
      <c r="E114" s="95"/>
      <c r="F114" s="95"/>
      <c r="G114" s="95"/>
    </row>
    <row r="115" spans="1:7">
      <c r="A115" s="96"/>
      <c r="B115" s="97"/>
      <c r="C115" s="95"/>
      <c r="D115" s="95"/>
      <c r="E115" s="95"/>
      <c r="F115" s="95"/>
      <c r="G115" s="95"/>
    </row>
    <row r="116" spans="1:7">
      <c r="A116" s="96"/>
      <c r="B116" s="97"/>
      <c r="C116" s="95"/>
      <c r="D116" s="95"/>
      <c r="E116" s="95"/>
      <c r="F116" s="95"/>
      <c r="G116" s="95"/>
    </row>
    <row r="117" spans="1:7">
      <c r="A117" s="96"/>
      <c r="B117" s="97"/>
      <c r="C117" s="95"/>
      <c r="D117" s="95"/>
      <c r="E117" s="95"/>
      <c r="F117" s="95"/>
      <c r="G117" s="95"/>
    </row>
    <row r="118" spans="1:7">
      <c r="A118" s="96"/>
      <c r="B118" s="97"/>
      <c r="C118" s="95"/>
      <c r="D118" s="95"/>
      <c r="E118" s="95"/>
      <c r="F118" s="95"/>
      <c r="G118" s="95"/>
    </row>
    <row r="119" spans="1:7">
      <c r="A119" s="96"/>
      <c r="B119" s="97"/>
      <c r="C119" s="95"/>
      <c r="D119" s="95"/>
      <c r="E119" s="95"/>
      <c r="F119" s="95"/>
      <c r="G119" s="95"/>
    </row>
    <row r="120" spans="1:7">
      <c r="A120" s="96"/>
      <c r="B120" s="97"/>
      <c r="C120" s="95"/>
      <c r="D120" s="95"/>
      <c r="E120" s="95"/>
      <c r="F120" s="95"/>
      <c r="G120" s="95"/>
    </row>
    <row r="121" spans="1:7">
      <c r="A121" s="96"/>
      <c r="B121" s="97"/>
      <c r="C121" s="95"/>
      <c r="D121" s="95"/>
      <c r="E121" s="95"/>
      <c r="F121" s="95"/>
      <c r="G121" s="95"/>
    </row>
    <row r="122" spans="1:7">
      <c r="A122" s="94"/>
      <c r="B122" s="97"/>
      <c r="C122" s="95"/>
      <c r="D122" s="95"/>
      <c r="E122" s="95"/>
      <c r="F122" s="95"/>
      <c r="G122" s="95"/>
    </row>
    <row r="123" spans="1:7">
      <c r="A123" s="94"/>
      <c r="B123" s="97"/>
      <c r="C123" s="95"/>
      <c r="D123" s="95"/>
      <c r="E123" s="95"/>
      <c r="F123" s="95"/>
      <c r="G123" s="95"/>
    </row>
    <row r="124" spans="1:7">
      <c r="A124" s="96"/>
      <c r="B124" s="97"/>
      <c r="C124" s="95"/>
      <c r="D124" s="95"/>
      <c r="E124" s="95"/>
      <c r="F124" s="95"/>
      <c r="G124" s="95"/>
    </row>
    <row r="125" spans="1:7">
      <c r="A125" s="96"/>
      <c r="B125" s="97"/>
      <c r="C125" s="95"/>
      <c r="D125" s="95"/>
      <c r="E125" s="95"/>
      <c r="F125" s="95"/>
      <c r="G125" s="95"/>
    </row>
    <row r="126" spans="1:7">
      <c r="A126" s="96"/>
      <c r="B126" s="97"/>
      <c r="C126" s="95"/>
      <c r="D126" s="95"/>
      <c r="E126" s="95"/>
      <c r="F126" s="95"/>
      <c r="G126" s="95"/>
    </row>
    <row r="127" spans="1:7">
      <c r="A127" s="96"/>
      <c r="B127" s="97"/>
      <c r="C127" s="95"/>
      <c r="D127" s="95"/>
      <c r="E127" s="95"/>
      <c r="F127" s="95"/>
      <c r="G127" s="95"/>
    </row>
    <row r="128" spans="1:7">
      <c r="A128" s="96"/>
      <c r="B128" s="97"/>
      <c r="C128" s="95"/>
      <c r="D128" s="95"/>
      <c r="E128" s="95"/>
      <c r="F128" s="95"/>
      <c r="G128" s="95"/>
    </row>
    <row r="129" spans="1:13">
      <c r="A129" s="96"/>
      <c r="B129" s="97"/>
      <c r="C129" s="95"/>
      <c r="D129" s="95"/>
      <c r="E129" s="95"/>
      <c r="F129" s="95"/>
      <c r="G129" s="95"/>
    </row>
    <row r="130" spans="1:13">
      <c r="F130" s="343"/>
    </row>
    <row r="131" spans="1:13">
      <c r="F131" s="343"/>
    </row>
    <row r="132" spans="1:13">
      <c r="F132" s="343"/>
    </row>
    <row r="133" spans="1:13" s="343" customFormat="1">
      <c r="A133" s="342"/>
      <c r="B133" s="342"/>
      <c r="C133" s="342"/>
      <c r="D133" s="342"/>
      <c r="E133" s="342"/>
      <c r="H133" s="342"/>
      <c r="I133" s="342"/>
      <c r="J133" s="342"/>
      <c r="K133" s="342"/>
      <c r="L133" s="342"/>
      <c r="M133" s="342"/>
    </row>
    <row r="134" spans="1:13" s="343" customFormat="1">
      <c r="A134" s="342"/>
      <c r="B134" s="342"/>
      <c r="C134" s="342"/>
      <c r="D134" s="342"/>
      <c r="E134" s="342"/>
      <c r="H134" s="342"/>
      <c r="I134" s="342"/>
      <c r="J134" s="342"/>
      <c r="K134" s="342"/>
      <c r="L134" s="342"/>
      <c r="M134" s="342"/>
    </row>
    <row r="135" spans="1:13" s="343" customFormat="1">
      <c r="A135" s="342"/>
      <c r="B135" s="342"/>
      <c r="C135" s="342"/>
      <c r="D135" s="342"/>
      <c r="E135" s="342"/>
      <c r="H135" s="342"/>
      <c r="I135" s="342"/>
      <c r="J135" s="342"/>
      <c r="K135" s="342"/>
      <c r="L135" s="342"/>
      <c r="M135" s="342"/>
    </row>
    <row r="136" spans="1:13" s="343" customFormat="1">
      <c r="A136" s="342"/>
      <c r="B136" s="342"/>
      <c r="C136" s="342"/>
      <c r="D136" s="342"/>
      <c r="E136" s="342"/>
      <c r="H136" s="342"/>
      <c r="I136" s="342"/>
      <c r="J136" s="342"/>
      <c r="K136" s="342"/>
      <c r="L136" s="342"/>
      <c r="M136" s="342"/>
    </row>
    <row r="137" spans="1:13" s="343" customFormat="1">
      <c r="A137" s="342"/>
      <c r="B137" s="342"/>
      <c r="C137" s="342"/>
      <c r="D137" s="342"/>
      <c r="E137" s="342"/>
      <c r="H137" s="342"/>
      <c r="I137" s="342"/>
      <c r="J137" s="342"/>
      <c r="K137" s="342"/>
      <c r="L137" s="342"/>
      <c r="M137" s="342"/>
    </row>
    <row r="138" spans="1:13" s="343" customFormat="1">
      <c r="A138" s="342"/>
      <c r="B138" s="342"/>
      <c r="C138" s="342"/>
      <c r="D138" s="342"/>
      <c r="E138" s="342"/>
      <c r="H138" s="342"/>
      <c r="I138" s="342"/>
      <c r="J138" s="342"/>
      <c r="K138" s="342"/>
      <c r="L138" s="342"/>
      <c r="M138" s="342"/>
    </row>
    <row r="139" spans="1:13" s="343" customFormat="1">
      <c r="A139" s="342"/>
      <c r="B139" s="342"/>
      <c r="C139" s="342"/>
      <c r="D139" s="342"/>
      <c r="E139" s="342"/>
      <c r="H139" s="342"/>
      <c r="I139" s="342"/>
      <c r="J139" s="342"/>
      <c r="K139" s="342"/>
      <c r="L139" s="342"/>
      <c r="M139" s="342"/>
    </row>
    <row r="140" spans="1:13" s="343" customFormat="1">
      <c r="A140" s="342"/>
      <c r="B140" s="342"/>
      <c r="C140" s="342"/>
      <c r="D140" s="342"/>
      <c r="E140" s="342"/>
      <c r="H140" s="342"/>
      <c r="I140" s="342"/>
      <c r="J140" s="342"/>
      <c r="K140" s="342"/>
      <c r="L140" s="342"/>
      <c r="M140" s="342"/>
    </row>
    <row r="141" spans="1:13" s="343" customFormat="1">
      <c r="A141" s="342"/>
      <c r="B141" s="342"/>
      <c r="C141" s="342"/>
      <c r="D141" s="342"/>
      <c r="E141" s="342"/>
      <c r="H141" s="342"/>
      <c r="I141" s="342"/>
      <c r="J141" s="342"/>
      <c r="K141" s="342"/>
      <c r="L141" s="342"/>
      <c r="M141" s="342"/>
    </row>
    <row r="142" spans="1:13" s="343" customFormat="1">
      <c r="A142" s="342"/>
      <c r="B142" s="342"/>
      <c r="C142" s="342"/>
      <c r="D142" s="342"/>
      <c r="E142" s="342"/>
      <c r="H142" s="342"/>
      <c r="I142" s="342"/>
      <c r="J142" s="342"/>
      <c r="K142" s="342"/>
      <c r="L142" s="342"/>
      <c r="M142" s="342"/>
    </row>
    <row r="143" spans="1:13" s="343" customFormat="1">
      <c r="A143" s="342"/>
      <c r="B143" s="342"/>
      <c r="C143" s="342"/>
      <c r="D143" s="342"/>
      <c r="E143" s="342"/>
      <c r="H143" s="342"/>
      <c r="I143" s="342"/>
      <c r="J143" s="342"/>
      <c r="K143" s="342"/>
      <c r="L143" s="342"/>
      <c r="M143" s="342"/>
    </row>
    <row r="144" spans="1:13" s="343" customFormat="1">
      <c r="A144" s="342"/>
      <c r="B144" s="342"/>
      <c r="C144" s="342"/>
      <c r="D144" s="342"/>
      <c r="E144" s="342"/>
      <c r="H144" s="342"/>
      <c r="I144" s="342"/>
      <c r="J144" s="342"/>
      <c r="K144" s="342"/>
      <c r="L144" s="342"/>
      <c r="M144" s="342"/>
    </row>
    <row r="145" spans="1:13" s="343" customFormat="1">
      <c r="A145" s="342"/>
      <c r="B145" s="342"/>
      <c r="C145" s="342"/>
      <c r="D145" s="342"/>
      <c r="E145" s="342"/>
      <c r="H145" s="342"/>
      <c r="I145" s="342"/>
      <c r="J145" s="342"/>
      <c r="K145" s="342"/>
      <c r="L145" s="342"/>
      <c r="M145" s="342"/>
    </row>
    <row r="146" spans="1:13" s="343" customFormat="1">
      <c r="A146" s="342"/>
      <c r="B146" s="342"/>
      <c r="C146" s="342"/>
      <c r="D146" s="342"/>
      <c r="E146" s="342"/>
      <c r="H146" s="342"/>
      <c r="I146" s="342"/>
      <c r="J146" s="342"/>
      <c r="K146" s="342"/>
      <c r="L146" s="342"/>
      <c r="M146" s="342"/>
    </row>
    <row r="147" spans="1:13" s="343" customFormat="1">
      <c r="A147" s="342"/>
      <c r="B147" s="342"/>
      <c r="C147" s="342"/>
      <c r="D147" s="342"/>
      <c r="E147" s="342"/>
      <c r="H147" s="342"/>
      <c r="I147" s="342"/>
      <c r="J147" s="342"/>
      <c r="K147" s="342"/>
      <c r="L147" s="342"/>
      <c r="M147" s="342"/>
    </row>
    <row r="148" spans="1:13" s="343" customFormat="1">
      <c r="A148" s="342"/>
      <c r="B148" s="342"/>
      <c r="C148" s="342"/>
      <c r="D148" s="342"/>
      <c r="E148" s="342"/>
      <c r="H148" s="342"/>
      <c r="I148" s="342"/>
      <c r="J148" s="342"/>
      <c r="K148" s="342"/>
      <c r="L148" s="342"/>
      <c r="M148" s="342"/>
    </row>
    <row r="149" spans="1:13" s="343" customFormat="1">
      <c r="A149" s="342"/>
      <c r="B149" s="342"/>
      <c r="C149" s="342"/>
      <c r="D149" s="342"/>
      <c r="E149" s="342"/>
      <c r="H149" s="342"/>
      <c r="I149" s="342"/>
      <c r="J149" s="342"/>
      <c r="K149" s="342"/>
      <c r="L149" s="342"/>
      <c r="M149" s="342"/>
    </row>
    <row r="150" spans="1:13" s="343" customFormat="1">
      <c r="A150" s="342"/>
      <c r="B150" s="342"/>
      <c r="C150" s="342"/>
      <c r="D150" s="342"/>
      <c r="E150" s="342"/>
      <c r="H150" s="342"/>
      <c r="I150" s="342"/>
      <c r="J150" s="342"/>
      <c r="K150" s="342"/>
      <c r="L150" s="342"/>
      <c r="M150" s="342"/>
    </row>
    <row r="151" spans="1:13" s="343" customFormat="1">
      <c r="A151" s="342"/>
      <c r="B151" s="342"/>
      <c r="C151" s="342"/>
      <c r="D151" s="342"/>
      <c r="E151" s="342"/>
      <c r="H151" s="342"/>
      <c r="I151" s="342"/>
      <c r="J151" s="342"/>
      <c r="K151" s="342"/>
      <c r="L151" s="342"/>
      <c r="M151" s="342"/>
    </row>
    <row r="152" spans="1:13" s="343" customFormat="1">
      <c r="A152" s="342"/>
      <c r="B152" s="342"/>
      <c r="C152" s="342"/>
      <c r="D152" s="342"/>
      <c r="E152" s="342"/>
      <c r="H152" s="342"/>
      <c r="I152" s="342"/>
      <c r="J152" s="342"/>
      <c r="K152" s="342"/>
      <c r="L152" s="342"/>
      <c r="M152" s="342"/>
    </row>
    <row r="153" spans="1:13" s="343" customFormat="1">
      <c r="A153" s="342"/>
      <c r="B153" s="342"/>
      <c r="C153" s="342"/>
      <c r="D153" s="342"/>
      <c r="E153" s="342"/>
      <c r="H153" s="342"/>
      <c r="I153" s="342"/>
      <c r="J153" s="342"/>
      <c r="K153" s="342"/>
      <c r="L153" s="342"/>
      <c r="M153" s="342"/>
    </row>
    <row r="154" spans="1:13" s="343" customFormat="1">
      <c r="A154" s="342"/>
      <c r="B154" s="342"/>
      <c r="C154" s="342"/>
      <c r="D154" s="342"/>
      <c r="E154" s="342"/>
      <c r="H154" s="342"/>
      <c r="I154" s="342"/>
      <c r="J154" s="342"/>
      <c r="K154" s="342"/>
      <c r="L154" s="342"/>
      <c r="M154" s="342"/>
    </row>
    <row r="155" spans="1:13" s="343" customFormat="1">
      <c r="A155" s="342"/>
      <c r="B155" s="342"/>
      <c r="C155" s="342"/>
      <c r="D155" s="342"/>
      <c r="E155" s="342"/>
      <c r="H155" s="342"/>
      <c r="I155" s="342"/>
      <c r="J155" s="342"/>
      <c r="K155" s="342"/>
      <c r="L155" s="342"/>
      <c r="M155" s="342"/>
    </row>
    <row r="156" spans="1:13" s="343" customFormat="1">
      <c r="A156" s="342"/>
      <c r="B156" s="342"/>
      <c r="C156" s="342"/>
      <c r="D156" s="342"/>
      <c r="E156" s="342"/>
      <c r="H156" s="342"/>
      <c r="I156" s="342"/>
      <c r="J156" s="342"/>
      <c r="K156" s="342"/>
      <c r="L156" s="342"/>
      <c r="M156" s="342"/>
    </row>
    <row r="157" spans="1:13" s="343" customFormat="1">
      <c r="A157" s="342"/>
      <c r="B157" s="342"/>
      <c r="C157" s="342"/>
      <c r="D157" s="342"/>
      <c r="E157" s="342"/>
      <c r="H157" s="342"/>
      <c r="I157" s="342"/>
      <c r="J157" s="342"/>
      <c r="K157" s="342"/>
      <c r="L157" s="342"/>
      <c r="M157" s="342"/>
    </row>
    <row r="158" spans="1:13" s="343" customFormat="1">
      <c r="A158" s="342"/>
      <c r="B158" s="342"/>
      <c r="C158" s="342"/>
      <c r="D158" s="342"/>
      <c r="E158" s="342"/>
      <c r="H158" s="342"/>
      <c r="I158" s="342"/>
      <c r="J158" s="342"/>
      <c r="K158" s="342"/>
      <c r="L158" s="342"/>
      <c r="M158" s="342"/>
    </row>
    <row r="159" spans="1:13" s="343" customFormat="1">
      <c r="A159" s="342"/>
      <c r="B159" s="342"/>
      <c r="C159" s="342"/>
      <c r="D159" s="342"/>
      <c r="E159" s="342"/>
      <c r="H159" s="342"/>
      <c r="I159" s="342"/>
      <c r="J159" s="342"/>
      <c r="K159" s="342"/>
      <c r="L159" s="342"/>
      <c r="M159" s="342"/>
    </row>
    <row r="160" spans="1:13" s="343" customFormat="1">
      <c r="A160" s="342"/>
      <c r="B160" s="342"/>
      <c r="C160" s="342"/>
      <c r="D160" s="342"/>
      <c r="E160" s="342"/>
      <c r="H160" s="342"/>
      <c r="I160" s="342"/>
      <c r="J160" s="342"/>
      <c r="K160" s="342"/>
      <c r="L160" s="342"/>
      <c r="M160" s="342"/>
    </row>
    <row r="161" spans="1:13" s="343" customFormat="1">
      <c r="A161" s="342"/>
      <c r="B161" s="342"/>
      <c r="C161" s="342"/>
      <c r="D161" s="342"/>
      <c r="E161" s="342"/>
      <c r="H161" s="342"/>
      <c r="I161" s="342"/>
      <c r="J161" s="342"/>
      <c r="K161" s="342"/>
      <c r="L161" s="342"/>
      <c r="M161" s="342"/>
    </row>
    <row r="162" spans="1:13" s="343" customFormat="1">
      <c r="A162" s="342"/>
      <c r="B162" s="342"/>
      <c r="C162" s="342"/>
      <c r="D162" s="342"/>
      <c r="E162" s="342"/>
      <c r="H162" s="342"/>
      <c r="I162" s="342"/>
      <c r="J162" s="342"/>
      <c r="K162" s="342"/>
      <c r="L162" s="342"/>
      <c r="M162" s="342"/>
    </row>
    <row r="163" spans="1:13" s="343" customFormat="1">
      <c r="A163" s="342"/>
      <c r="B163" s="342"/>
      <c r="C163" s="342"/>
      <c r="D163" s="342"/>
      <c r="E163" s="342"/>
      <c r="H163" s="342"/>
      <c r="I163" s="342"/>
      <c r="J163" s="342"/>
      <c r="K163" s="342"/>
      <c r="L163" s="342"/>
      <c r="M163" s="342"/>
    </row>
    <row r="164" spans="1:13" s="343" customFormat="1">
      <c r="A164" s="342"/>
      <c r="B164" s="342"/>
      <c r="C164" s="342"/>
      <c r="D164" s="342"/>
      <c r="E164" s="342"/>
      <c r="H164" s="342"/>
      <c r="I164" s="342"/>
      <c r="J164" s="342"/>
      <c r="K164" s="342"/>
      <c r="L164" s="342"/>
      <c r="M164" s="342"/>
    </row>
    <row r="165" spans="1:13" s="343" customFormat="1">
      <c r="A165" s="342"/>
      <c r="B165" s="342"/>
      <c r="C165" s="342"/>
      <c r="D165" s="342"/>
      <c r="E165" s="342"/>
      <c r="H165" s="342"/>
      <c r="I165" s="342"/>
      <c r="J165" s="342"/>
      <c r="K165" s="342"/>
      <c r="L165" s="342"/>
      <c r="M165" s="342"/>
    </row>
    <row r="166" spans="1:13" s="343" customFormat="1">
      <c r="A166" s="342"/>
      <c r="B166" s="342"/>
      <c r="C166" s="342"/>
      <c r="D166" s="342"/>
      <c r="E166" s="342"/>
      <c r="H166" s="342"/>
      <c r="I166" s="342"/>
      <c r="J166" s="342"/>
      <c r="K166" s="342"/>
      <c r="L166" s="342"/>
      <c r="M166" s="342"/>
    </row>
    <row r="167" spans="1:13" s="343" customFormat="1">
      <c r="A167" s="342"/>
      <c r="B167" s="342"/>
      <c r="C167" s="342"/>
      <c r="D167" s="342"/>
      <c r="E167" s="342"/>
      <c r="H167" s="342"/>
      <c r="I167" s="342"/>
      <c r="J167" s="342"/>
      <c r="K167" s="342"/>
      <c r="L167" s="342"/>
      <c r="M167" s="342"/>
    </row>
    <row r="168" spans="1:13" s="343" customFormat="1">
      <c r="A168" s="342"/>
      <c r="B168" s="342"/>
      <c r="C168" s="342"/>
      <c r="D168" s="342"/>
      <c r="E168" s="342"/>
      <c r="H168" s="342"/>
      <c r="I168" s="342"/>
      <c r="J168" s="342"/>
      <c r="K168" s="342"/>
      <c r="L168" s="342"/>
      <c r="M168" s="342"/>
    </row>
    <row r="169" spans="1:13" s="343" customFormat="1">
      <c r="A169" s="342"/>
      <c r="B169" s="342"/>
      <c r="C169" s="342"/>
      <c r="D169" s="342"/>
      <c r="E169" s="342"/>
      <c r="H169" s="342"/>
      <c r="I169" s="342"/>
      <c r="J169" s="342"/>
      <c r="K169" s="342"/>
      <c r="L169" s="342"/>
      <c r="M169" s="342"/>
    </row>
    <row r="170" spans="1:13" s="343" customFormat="1">
      <c r="A170" s="342"/>
      <c r="B170" s="342"/>
      <c r="C170" s="342"/>
      <c r="D170" s="342"/>
      <c r="E170" s="342"/>
      <c r="H170" s="342"/>
      <c r="I170" s="342"/>
      <c r="J170" s="342"/>
      <c r="K170" s="342"/>
      <c r="L170" s="342"/>
      <c r="M170" s="342"/>
    </row>
    <row r="171" spans="1:13" s="343" customFormat="1">
      <c r="A171" s="342"/>
      <c r="B171" s="342"/>
      <c r="C171" s="342"/>
      <c r="D171" s="342"/>
      <c r="E171" s="342"/>
      <c r="H171" s="342"/>
      <c r="I171" s="342"/>
      <c r="J171" s="342"/>
      <c r="K171" s="342"/>
      <c r="L171" s="342"/>
      <c r="M171" s="342"/>
    </row>
    <row r="172" spans="1:13" s="343" customFormat="1">
      <c r="A172" s="342"/>
      <c r="B172" s="342"/>
      <c r="C172" s="342"/>
      <c r="D172" s="342"/>
      <c r="E172" s="342"/>
      <c r="H172" s="342"/>
      <c r="I172" s="342"/>
      <c r="J172" s="342"/>
      <c r="K172" s="342"/>
      <c r="L172" s="342"/>
      <c r="M172" s="342"/>
    </row>
    <row r="173" spans="1:13" s="343" customFormat="1">
      <c r="A173" s="342"/>
      <c r="B173" s="342"/>
      <c r="C173" s="342"/>
      <c r="D173" s="342"/>
      <c r="E173" s="342"/>
      <c r="H173" s="342"/>
      <c r="I173" s="342"/>
      <c r="J173" s="342"/>
      <c r="K173" s="342"/>
      <c r="L173" s="342"/>
      <c r="M173" s="342"/>
    </row>
    <row r="174" spans="1:13" s="343" customFormat="1">
      <c r="A174" s="342"/>
      <c r="B174" s="342"/>
      <c r="C174" s="342"/>
      <c r="D174" s="342"/>
      <c r="E174" s="342"/>
      <c r="H174" s="342"/>
      <c r="I174" s="342"/>
      <c r="J174" s="342"/>
      <c r="K174" s="342"/>
      <c r="L174" s="342"/>
      <c r="M174" s="342"/>
    </row>
    <row r="175" spans="1:13" s="343" customFormat="1">
      <c r="A175" s="342"/>
      <c r="B175" s="342"/>
      <c r="C175" s="342"/>
      <c r="D175" s="342"/>
      <c r="E175" s="342"/>
      <c r="H175" s="342"/>
      <c r="I175" s="342"/>
      <c r="J175" s="342"/>
      <c r="K175" s="342"/>
      <c r="L175" s="342"/>
      <c r="M175" s="342"/>
    </row>
    <row r="176" spans="1:13" s="343" customFormat="1">
      <c r="A176" s="342"/>
      <c r="B176" s="342"/>
      <c r="C176" s="342"/>
      <c r="D176" s="342"/>
      <c r="E176" s="342"/>
      <c r="H176" s="342"/>
      <c r="I176" s="342"/>
      <c r="J176" s="342"/>
      <c r="K176" s="342"/>
      <c r="L176" s="342"/>
      <c r="M176" s="342"/>
    </row>
    <row r="177" spans="1:13" s="343" customFormat="1">
      <c r="A177" s="342"/>
      <c r="B177" s="342"/>
      <c r="C177" s="342"/>
      <c r="D177" s="342"/>
      <c r="E177" s="342"/>
      <c r="H177" s="342"/>
      <c r="I177" s="342"/>
      <c r="J177" s="342"/>
      <c r="K177" s="342"/>
      <c r="L177" s="342"/>
      <c r="M177" s="342"/>
    </row>
    <row r="178" spans="1:13" s="343" customFormat="1">
      <c r="A178" s="342"/>
      <c r="B178" s="342"/>
      <c r="C178" s="342"/>
      <c r="D178" s="342"/>
      <c r="E178" s="342"/>
      <c r="H178" s="342"/>
      <c r="I178" s="342"/>
      <c r="J178" s="342"/>
      <c r="K178" s="342"/>
      <c r="L178" s="342"/>
      <c r="M178" s="342"/>
    </row>
    <row r="179" spans="1:13" s="343" customFormat="1">
      <c r="A179" s="342"/>
      <c r="B179" s="342"/>
      <c r="C179" s="342"/>
      <c r="D179" s="342"/>
      <c r="E179" s="342"/>
      <c r="H179" s="342"/>
      <c r="I179" s="342"/>
      <c r="J179" s="342"/>
      <c r="K179" s="342"/>
      <c r="L179" s="342"/>
      <c r="M179" s="342"/>
    </row>
    <row r="180" spans="1:13" s="343" customFormat="1">
      <c r="A180" s="342"/>
      <c r="B180" s="342"/>
      <c r="C180" s="342"/>
      <c r="D180" s="342"/>
      <c r="E180" s="342"/>
      <c r="H180" s="342"/>
      <c r="I180" s="342"/>
      <c r="J180" s="342"/>
      <c r="K180" s="342"/>
      <c r="L180" s="342"/>
      <c r="M180" s="342"/>
    </row>
    <row r="181" spans="1:13" s="343" customFormat="1">
      <c r="A181" s="342"/>
      <c r="B181" s="342"/>
      <c r="C181" s="342"/>
      <c r="D181" s="342"/>
      <c r="E181" s="342"/>
      <c r="H181" s="342"/>
      <c r="I181" s="342"/>
      <c r="J181" s="342"/>
      <c r="K181" s="342"/>
      <c r="L181" s="342"/>
      <c r="M181" s="342"/>
    </row>
    <row r="182" spans="1:13" s="343" customFormat="1">
      <c r="A182" s="342"/>
      <c r="B182" s="342"/>
      <c r="C182" s="342"/>
      <c r="D182" s="342"/>
      <c r="E182" s="342"/>
      <c r="H182" s="342"/>
      <c r="I182" s="342"/>
      <c r="J182" s="342"/>
      <c r="K182" s="342"/>
      <c r="L182" s="342"/>
      <c r="M182" s="342"/>
    </row>
    <row r="183" spans="1:13" s="343" customFormat="1">
      <c r="A183" s="342"/>
      <c r="B183" s="342"/>
      <c r="C183" s="342"/>
      <c r="D183" s="342"/>
      <c r="E183" s="342"/>
      <c r="H183" s="342"/>
      <c r="I183" s="342"/>
      <c r="J183" s="342"/>
      <c r="K183" s="342"/>
      <c r="L183" s="342"/>
      <c r="M183" s="342"/>
    </row>
    <row r="184" spans="1:13" s="343" customFormat="1">
      <c r="A184" s="342"/>
      <c r="B184" s="342"/>
      <c r="C184" s="342"/>
      <c r="D184" s="342"/>
      <c r="E184" s="342"/>
      <c r="H184" s="342"/>
      <c r="I184" s="342"/>
      <c r="J184" s="342"/>
      <c r="K184" s="342"/>
      <c r="L184" s="342"/>
      <c r="M184" s="342"/>
    </row>
    <row r="185" spans="1:13" s="343" customFormat="1">
      <c r="A185" s="342"/>
      <c r="B185" s="342"/>
      <c r="C185" s="342"/>
      <c r="D185" s="342"/>
      <c r="E185" s="342"/>
      <c r="H185" s="342"/>
      <c r="I185" s="342"/>
      <c r="J185" s="342"/>
      <c r="K185" s="342"/>
      <c r="L185" s="342"/>
      <c r="M185" s="342"/>
    </row>
    <row r="186" spans="1:13" s="343" customFormat="1">
      <c r="A186" s="342"/>
      <c r="B186" s="342"/>
      <c r="C186" s="342"/>
      <c r="D186" s="342"/>
      <c r="E186" s="342"/>
      <c r="H186" s="342"/>
      <c r="I186" s="342"/>
      <c r="J186" s="342"/>
      <c r="K186" s="342"/>
      <c r="L186" s="342"/>
      <c r="M186" s="342"/>
    </row>
    <row r="187" spans="1:13" s="343" customFormat="1">
      <c r="A187" s="342"/>
      <c r="B187" s="342"/>
      <c r="C187" s="342"/>
      <c r="D187" s="342"/>
      <c r="E187" s="342"/>
      <c r="H187" s="342"/>
      <c r="I187" s="342"/>
      <c r="J187" s="342"/>
      <c r="K187" s="342"/>
      <c r="L187" s="342"/>
      <c r="M187" s="342"/>
    </row>
    <row r="188" spans="1:13" s="343" customFormat="1">
      <c r="A188" s="342"/>
      <c r="B188" s="342"/>
      <c r="C188" s="342"/>
      <c r="D188" s="342"/>
      <c r="E188" s="342"/>
      <c r="H188" s="342"/>
      <c r="I188" s="342"/>
      <c r="J188" s="342"/>
      <c r="K188" s="342"/>
      <c r="L188" s="342"/>
      <c r="M188" s="342"/>
    </row>
    <row r="189" spans="1:13" s="343" customFormat="1">
      <c r="A189" s="342"/>
      <c r="B189" s="342"/>
      <c r="C189" s="342"/>
      <c r="D189" s="342"/>
      <c r="E189" s="342"/>
      <c r="H189" s="342"/>
      <c r="I189" s="342"/>
      <c r="J189" s="342"/>
      <c r="K189" s="342"/>
      <c r="L189" s="342"/>
      <c r="M189" s="342"/>
    </row>
    <row r="190" spans="1:13" s="343" customFormat="1">
      <c r="A190" s="342"/>
      <c r="B190" s="342"/>
      <c r="C190" s="342"/>
      <c r="D190" s="342"/>
      <c r="E190" s="342"/>
      <c r="H190" s="342"/>
      <c r="I190" s="342"/>
      <c r="J190" s="342"/>
      <c r="K190" s="342"/>
      <c r="L190" s="342"/>
      <c r="M190" s="342"/>
    </row>
    <row r="191" spans="1:13" s="343" customFormat="1">
      <c r="A191" s="342"/>
      <c r="B191" s="342"/>
      <c r="C191" s="342"/>
      <c r="D191" s="342"/>
      <c r="E191" s="342"/>
      <c r="H191" s="342"/>
      <c r="I191" s="342"/>
      <c r="J191" s="342"/>
      <c r="K191" s="342"/>
      <c r="L191" s="342"/>
      <c r="M191" s="342"/>
    </row>
    <row r="192" spans="1:13" s="343" customFormat="1">
      <c r="A192" s="342"/>
      <c r="B192" s="342"/>
      <c r="C192" s="342"/>
      <c r="D192" s="342"/>
      <c r="E192" s="342"/>
      <c r="H192" s="342"/>
      <c r="I192" s="342"/>
      <c r="J192" s="342"/>
      <c r="K192" s="342"/>
      <c r="L192" s="342"/>
      <c r="M192" s="342"/>
    </row>
    <row r="193" spans="1:13" s="343" customFormat="1">
      <c r="A193" s="342"/>
      <c r="B193" s="342"/>
      <c r="C193" s="342"/>
      <c r="D193" s="342"/>
      <c r="E193" s="342"/>
      <c r="H193" s="342"/>
      <c r="I193" s="342"/>
      <c r="J193" s="342"/>
      <c r="K193" s="342"/>
      <c r="L193" s="342"/>
      <c r="M193" s="342"/>
    </row>
    <row r="194" spans="1:13" s="343" customFormat="1">
      <c r="A194" s="342"/>
      <c r="B194" s="342"/>
      <c r="C194" s="342"/>
      <c r="D194" s="342"/>
      <c r="E194" s="342"/>
      <c r="H194" s="342"/>
      <c r="I194" s="342"/>
      <c r="J194" s="342"/>
      <c r="K194" s="342"/>
      <c r="L194" s="342"/>
      <c r="M194" s="342"/>
    </row>
    <row r="195" spans="1:13" s="343" customFormat="1">
      <c r="A195" s="342"/>
      <c r="B195" s="342"/>
      <c r="C195" s="342"/>
      <c r="D195" s="342"/>
      <c r="E195" s="342"/>
      <c r="H195" s="342"/>
      <c r="I195" s="342"/>
      <c r="J195" s="342"/>
      <c r="K195" s="342"/>
      <c r="L195" s="342"/>
      <c r="M195" s="342"/>
    </row>
  </sheetData>
  <pageMargins left="0.7" right="0.7" top="0.75" bottom="0.75" header="0.3" footer="0.3"/>
  <pageSetup scale="54" orientation="portrait" r:id="rId1"/>
  <headerFooter>
    <oddHeader xml:space="preserve">&amp;C&amp;"-,Bold"&amp;12
</oddHeader>
    <oddFooter>&amp;L&amp;F - &amp;A&amp;R&amp;P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4C1A47E59DBA24D92B7D7939FD0CEDE" ma:contentTypeVersion="56" ma:contentTypeDescription="" ma:contentTypeScope="" ma:versionID="b8343f02b02372a3495a783c224a0b8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2019-11-12T08:00:00+00:00</OpenedDate>
    <SignificantOrder xmlns="dc463f71-b30c-4ab2-9473-d307f9d35888">false</SignificantOrder>
    <Date1 xmlns="dc463f71-b30c-4ab2-9473-d307f9d35888">2019-11-12T08:00:00+00:00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Columbia River Disposal, Inc.</CaseCompanyNames>
    <Nickname xmlns="http://schemas.microsoft.com/sharepoint/v3" xsi:nil="true"/>
    <DocketNumber xmlns="dc463f71-b30c-4ab2-9473-d307f9d35888">190935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7B9FCF02-C714-425C-800F-4A93A73376A5}"/>
</file>

<file path=customXml/itemProps2.xml><?xml version="1.0" encoding="utf-8"?>
<ds:datastoreItem xmlns:ds="http://schemas.openxmlformats.org/officeDocument/2006/customXml" ds:itemID="{23F22787-287C-4EB8-B271-A1C40A652380}"/>
</file>

<file path=customXml/itemProps3.xml><?xml version="1.0" encoding="utf-8"?>
<ds:datastoreItem xmlns:ds="http://schemas.openxmlformats.org/officeDocument/2006/customXml" ds:itemID="{E6FD6510-A5D2-4BF9-AB3A-3D69385AD948}"/>
</file>

<file path=customXml/itemProps4.xml><?xml version="1.0" encoding="utf-8"?>
<ds:datastoreItem xmlns:ds="http://schemas.openxmlformats.org/officeDocument/2006/customXml" ds:itemID="{E2B7ABCE-8639-4046-A0DE-C196ADDA58C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7</vt:i4>
      </vt:variant>
    </vt:vector>
  </HeadingPairs>
  <TitlesOfParts>
    <vt:vector size="12" baseType="lpstr">
      <vt:lpstr>References</vt:lpstr>
      <vt:lpstr>G-48 DF Calc</vt:lpstr>
      <vt:lpstr>G-48 Price Out</vt:lpstr>
      <vt:lpstr>DF Schedule</vt:lpstr>
      <vt:lpstr>Rate Schedule G-48</vt:lpstr>
      <vt:lpstr>'DF Schedule'!Print_Area</vt:lpstr>
      <vt:lpstr>'G-48 DF Calc'!Print_Area</vt:lpstr>
      <vt:lpstr>'G-48 Price Out'!Print_Area</vt:lpstr>
      <vt:lpstr>'Rate Schedule G-48'!Print_Area</vt:lpstr>
      <vt:lpstr>'G-48 DF Calc'!Print_Titles</vt:lpstr>
      <vt:lpstr>'G-48 Price Out'!Print_Titles</vt:lpstr>
      <vt:lpstr>'Rate Schedule G-48'!Print_Titles</vt:lpstr>
    </vt:vector>
  </TitlesOfParts>
  <Company>R360 Environmental Solutions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Heather Garland</dc:creator>
  <cp:lastModifiedBy>Heather Garland</cp:lastModifiedBy>
  <cp:lastPrinted>2019-11-09T18:14:08Z</cp:lastPrinted>
  <dcterms:created xsi:type="dcterms:W3CDTF">2018-03-14T15:25:51Z</dcterms:created>
  <dcterms:modified xsi:type="dcterms:W3CDTF">2019-11-09T18:23:32Z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0x0101006E56B4D1795A2E4DB2F0B01679ED314A0094C1A47E59DBA24D92B7D7939FD0CEDE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