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19\Filing for October 1\Submission\"/>
    </mc:Choice>
  </mc:AlternateContent>
  <xr:revisionPtr revIDLastSave="0" documentId="13_ncr:1_{842A6376-B9D3-4B32-A192-CE71F4EBAB8B}" xr6:coauthVersionLast="43" xr6:coauthVersionMax="43" xr10:uidLastSave="{00000000-0000-0000-0000-000000000000}"/>
  <bookViews>
    <workbookView xWindow="-28920" yWindow="1800" windowWidth="29040" windowHeight="15840" tabRatio="770" xr2:uid="{00000000-000D-0000-FFFF-FFFF00000000}"/>
  </bookViews>
  <sheets>
    <sheet name="Analysis" sheetId="13" r:id="rId1"/>
    <sheet name="All 2019" sheetId="20" r:id="rId2"/>
    <sheet name="Commodity Debit" sheetId="19" r:id="rId3"/>
    <sheet name="Calcs revised method" sheetId="21" r:id="rId4"/>
  </sheets>
  <externalReferences>
    <externalReference r:id="rId5"/>
  </externalReferences>
  <definedNames>
    <definedName name="BREMAIR_COST_of_SERVICE_STUDY" localSheetId="1">#REF!</definedName>
    <definedName name="BREMAIR_COST_of_SERVICE_STUDY" localSheetId="0">#REF!</definedName>
    <definedName name="BREMAIR_COST_of_SERVICE_STUDY" localSheetId="2">#REF!</definedName>
    <definedName name="BREMAIR_COST_of_SERVICE_STUDY">#REF!</definedName>
    <definedName name="_xlnm.Print_Area" localSheetId="0">Analysis!$A:$F</definedName>
    <definedName name="_xlnm.Print_Area" localSheetId="3">'Calcs revised method'!$A$1:$R$60</definedName>
    <definedName name="_xlnm.Print_Area" localSheetId="2">'Commodity Debit'!$A:$J</definedName>
    <definedName name="Print1" localSheetId="1">#REF!</definedName>
    <definedName name="Print1" localSheetId="0">#REF!</definedName>
    <definedName name="Print1" localSheetId="2">#REF!</definedName>
    <definedName name="Print1">#REF!</definedName>
    <definedName name="Print2" localSheetId="1">#REF!</definedName>
    <definedName name="Print2" localSheetId="0">#REF!</definedName>
    <definedName name="Print2" localSheetId="2">#REF!</definedName>
    <definedName name="Prin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3" l="1"/>
  <c r="D11" i="13"/>
  <c r="J11" i="13"/>
  <c r="E23" i="13" l="1"/>
  <c r="E15" i="13"/>
  <c r="G26" i="20" l="1"/>
  <c r="M17" i="21" l="1"/>
  <c r="N17" i="21" s="1"/>
  <c r="O17" i="21" s="1"/>
  <c r="G17" i="21"/>
  <c r="H17" i="21" s="1"/>
  <c r="I17" i="21" s="1"/>
  <c r="J17" i="21" s="1"/>
  <c r="K17" i="21" s="1"/>
  <c r="E16" i="20"/>
  <c r="F16" i="20" s="1"/>
  <c r="E15" i="20"/>
  <c r="F15" i="20" s="1"/>
  <c r="E14" i="20"/>
  <c r="F14" i="20" s="1"/>
  <c r="E13" i="20"/>
  <c r="F13" i="20" s="1"/>
  <c r="E12" i="20"/>
  <c r="F12" i="20" s="1"/>
  <c r="E11" i="20"/>
  <c r="F11" i="20" s="1"/>
  <c r="E22" i="20"/>
  <c r="F22" i="20" s="1"/>
  <c r="E21" i="20"/>
  <c r="F21" i="20" s="1"/>
  <c r="E20" i="20"/>
  <c r="F20" i="20" s="1"/>
  <c r="E19" i="20"/>
  <c r="F19" i="20" s="1"/>
  <c r="E18" i="20"/>
  <c r="F18" i="20" s="1"/>
  <c r="E17" i="20"/>
  <c r="F17" i="20" s="1"/>
  <c r="A50" i="13" l="1"/>
  <c r="C40" i="13"/>
  <c r="E46" i="13" s="1"/>
  <c r="E51" i="13" s="1"/>
  <c r="F52" i="13" s="1"/>
  <c r="E39" i="13"/>
  <c r="E38" i="13"/>
  <c r="A38" i="13"/>
  <c r="A37" i="13"/>
  <c r="E40" i="13" l="1"/>
  <c r="E44" i="13" s="1"/>
  <c r="F48" i="13"/>
  <c r="F54" i="13" s="1"/>
  <c r="O20" i="21" l="1"/>
  <c r="C24" i="20"/>
  <c r="G24" i="20"/>
  <c r="D24" i="20"/>
  <c r="O14" i="21"/>
  <c r="O8" i="21" l="1"/>
  <c r="M50" i="13" l="1"/>
  <c r="O40" i="13"/>
  <c r="Q46" i="13" s="1"/>
  <c r="Q51" i="13" s="1"/>
  <c r="R52" i="13" s="1"/>
  <c r="Q39" i="13"/>
  <c r="Q38" i="13"/>
  <c r="M38" i="13"/>
  <c r="M37" i="13"/>
  <c r="Q12" i="13"/>
  <c r="O11" i="13"/>
  <c r="O13" i="13" s="1"/>
  <c r="Q19" i="13" s="1"/>
  <c r="Q40" i="13" l="1"/>
  <c r="Q44" i="13" s="1"/>
  <c r="R48" i="13" s="1"/>
  <c r="R54" i="13" s="1"/>
  <c r="R25" i="13"/>
  <c r="R27" i="13" s="1"/>
  <c r="Q11" i="13"/>
  <c r="Q13" i="13" s="1"/>
  <c r="Q17" i="13" s="1"/>
  <c r="R21" i="13" s="1"/>
  <c r="J12" i="13" l="1"/>
  <c r="M20" i="21"/>
  <c r="N20" i="21"/>
  <c r="D20" i="21"/>
  <c r="E20" i="21"/>
  <c r="F20" i="21"/>
  <c r="G20" i="21"/>
  <c r="H20" i="21"/>
  <c r="I20" i="21"/>
  <c r="J20" i="21"/>
  <c r="K20" i="21"/>
  <c r="L20" i="21"/>
  <c r="R20" i="21" l="1"/>
  <c r="Q20" i="21"/>
  <c r="L14" i="21" l="1"/>
  <c r="L8" i="21"/>
  <c r="K14" i="21"/>
  <c r="K8" i="21"/>
  <c r="N14" i="21"/>
  <c r="N8" i="21"/>
  <c r="J14" i="21"/>
  <c r="J8" i="21"/>
  <c r="M14" i="21"/>
  <c r="M8" i="21"/>
  <c r="G11" i="19" l="1"/>
  <c r="I14" i="21" l="1"/>
  <c r="I8" i="2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G18" i="19" l="1"/>
  <c r="G19" i="19"/>
  <c r="G14" i="19"/>
  <c r="G15" i="19"/>
  <c r="G16" i="19"/>
  <c r="G17" i="19"/>
  <c r="D23" i="19"/>
  <c r="G13" i="19" l="1"/>
  <c r="G23" i="19" s="1"/>
  <c r="O10" i="21" s="1"/>
  <c r="E23" i="19"/>
  <c r="K39" i="13"/>
  <c r="O12" i="21" l="1"/>
  <c r="O16" i="21" s="1"/>
  <c r="O19" i="21"/>
  <c r="O21" i="21" s="1"/>
  <c r="G25" i="19"/>
  <c r="E10" i="21"/>
  <c r="E19" i="21" s="1"/>
  <c r="E21" i="21" s="1"/>
  <c r="I10" i="21"/>
  <c r="M10" i="21"/>
  <c r="G10" i="21"/>
  <c r="G19" i="21" s="1"/>
  <c r="G21" i="21" s="1"/>
  <c r="K10" i="21"/>
  <c r="D10" i="21"/>
  <c r="H10" i="21"/>
  <c r="H19" i="21" s="1"/>
  <c r="H21" i="21" s="1"/>
  <c r="L10" i="21"/>
  <c r="F10" i="21"/>
  <c r="J10" i="21"/>
  <c r="N10" i="21"/>
  <c r="C12" i="13" l="1"/>
  <c r="C11" i="13"/>
  <c r="C13" i="13" s="1"/>
  <c r="E19" i="13" s="1"/>
  <c r="L25" i="13"/>
  <c r="E24" i="13"/>
  <c r="F25" i="13" s="1"/>
  <c r="F19" i="21"/>
  <c r="F21" i="21" s="1"/>
  <c r="R10" i="21"/>
  <c r="D19" i="21"/>
  <c r="Q10" i="21"/>
  <c r="E24" i="20"/>
  <c r="N19" i="21"/>
  <c r="N21" i="21" s="1"/>
  <c r="N12" i="21"/>
  <c r="N16" i="21" s="1"/>
  <c r="Q23" i="21"/>
  <c r="I19" i="21"/>
  <c r="I21" i="21" s="1"/>
  <c r="I12" i="21"/>
  <c r="I16" i="21" s="1"/>
  <c r="G14" i="21"/>
  <c r="G8" i="21"/>
  <c r="G12" i="21" s="1"/>
  <c r="J19" i="21"/>
  <c r="J12" i="21"/>
  <c r="J16" i="21" s="1"/>
  <c r="D14" i="21"/>
  <c r="D8" i="21"/>
  <c r="H14" i="21"/>
  <c r="H8" i="21"/>
  <c r="H12" i="21" s="1"/>
  <c r="K19" i="21"/>
  <c r="K21" i="21" s="1"/>
  <c r="K12" i="21"/>
  <c r="K16" i="21" s="1"/>
  <c r="F14" i="21"/>
  <c r="F8" i="21"/>
  <c r="F12" i="21" s="1"/>
  <c r="M19" i="21"/>
  <c r="M21" i="21" s="1"/>
  <c r="M12" i="21"/>
  <c r="M16" i="21" s="1"/>
  <c r="E14" i="21"/>
  <c r="E8" i="21"/>
  <c r="E12" i="21" s="1"/>
  <c r="K12" i="13"/>
  <c r="L19" i="21"/>
  <c r="L12" i="21"/>
  <c r="L16" i="21" s="1"/>
  <c r="C23" i="19"/>
  <c r="D21" i="21" l="1"/>
  <c r="Q19" i="21"/>
  <c r="J21" i="21"/>
  <c r="R19" i="21"/>
  <c r="D12" i="21"/>
  <c r="Q12" i="21" s="1"/>
  <c r="Q8" i="21"/>
  <c r="L21" i="21"/>
  <c r="R21" i="21" s="1"/>
  <c r="E16" i="21"/>
  <c r="F16" i="21"/>
  <c r="H16" i="21"/>
  <c r="G16" i="21"/>
  <c r="I40" i="13"/>
  <c r="K46" i="13" s="1"/>
  <c r="K51" i="13" s="1"/>
  <c r="G50" i="13"/>
  <c r="G38" i="13"/>
  <c r="G37" i="13"/>
  <c r="D16" i="21" l="1"/>
  <c r="Q21" i="21"/>
  <c r="I13" i="13"/>
  <c r="K19" i="13" s="1"/>
  <c r="L52" i="13" l="1"/>
  <c r="K38" i="13" l="1"/>
  <c r="K40" i="13" s="1"/>
  <c r="K44" i="13" s="1"/>
  <c r="L48" i="13" s="1"/>
  <c r="L54" i="13" s="1"/>
  <c r="K11" i="13"/>
  <c r="K13" i="13" s="1"/>
  <c r="K17" i="13" l="1"/>
  <c r="L21" i="13" l="1"/>
  <c r="L27" i="13" l="1"/>
  <c r="E11" i="13" l="1"/>
  <c r="E12" i="13"/>
  <c r="E13" i="13" l="1"/>
  <c r="E17" i="13" s="1"/>
  <c r="F21" i="13" l="1"/>
  <c r="J27" i="19"/>
  <c r="F27" i="13" l="1"/>
  <c r="Q24" i="21"/>
  <c r="Q26" i="21" s="1"/>
  <c r="Q30" i="21" s="1"/>
  <c r="I11" i="19" l="1"/>
  <c r="J11" i="19" s="1"/>
  <c r="I17" i="19"/>
  <c r="J17" i="19" s="1"/>
  <c r="I14" i="19"/>
  <c r="J14" i="19" s="1"/>
  <c r="I13" i="19"/>
  <c r="J13" i="19" s="1"/>
  <c r="I19" i="19"/>
  <c r="J19" i="19" s="1"/>
  <c r="I18" i="19"/>
  <c r="J18" i="19" s="1"/>
  <c r="I16" i="19"/>
  <c r="J16" i="19" s="1"/>
  <c r="I15" i="19"/>
  <c r="J15" i="19" s="1"/>
  <c r="J23" i="19" l="1"/>
  <c r="J25" i="19" s="1"/>
  <c r="J28" i="19" s="1"/>
</calcChain>
</file>

<file path=xl/sharedStrings.xml><?xml version="1.0" encoding="utf-8"?>
<sst xmlns="http://schemas.openxmlformats.org/spreadsheetml/2006/main" count="171" uniqueCount="88">
  <si>
    <t xml:space="preserve"> </t>
  </si>
  <si>
    <t>MO/YR</t>
  </si>
  <si>
    <t>CUSTOMERS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</si>
  <si>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</si>
  <si>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</si>
  <si>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</si>
  <si>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</si>
  <si>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</si>
  <si>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</si>
  <si>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</si>
  <si>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</si>
  <si>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</si>
  <si>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</si>
  <si>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</si>
  <si>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</si>
  <si>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</si>
  <si>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</si>
  <si>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</si>
  <si>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</si>
  <si>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</si>
  <si>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</si>
  <si>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</si>
  <si>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</si>
  <si>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Pullman Disposal Services Residential Curbside</t>
  </si>
  <si>
    <t>Pullman Disposal Services Multi-Family</t>
  </si>
  <si>
    <t>We do not know the breakdown between the residential and multi-family, reporting all tons here.</t>
  </si>
  <si>
    <t>Projected Revenue - NA</t>
  </si>
  <si>
    <t>Type</t>
  </si>
  <si>
    <t>MF</t>
  </si>
  <si>
    <t>1yd</t>
  </si>
  <si>
    <t>1.5 yd</t>
  </si>
  <si>
    <t>2yd</t>
  </si>
  <si>
    <t>3yd</t>
  </si>
  <si>
    <t>4yd</t>
  </si>
  <si>
    <t>6yd</t>
  </si>
  <si>
    <t>8yd</t>
  </si>
  <si>
    <t>Charge</t>
  </si>
  <si>
    <t>Residential &amp; Multi-Family Commodity Adjustment per 95 gallon toter</t>
  </si>
  <si>
    <t>Residential &amp; Multi Family</t>
  </si>
  <si>
    <t>Divided by 95 gal rate to get equivalent to 95 gallon</t>
  </si>
  <si>
    <t>Container Equivalents</t>
  </si>
  <si>
    <t>Proposed</t>
  </si>
  <si>
    <t>proof</t>
  </si>
  <si>
    <t>Aug 18</t>
  </si>
  <si>
    <t>Sep 18</t>
  </si>
  <si>
    <t>Oct 18</t>
  </si>
  <si>
    <t>Nov 18</t>
  </si>
  <si>
    <t>Dec 18</t>
  </si>
  <si>
    <t>Projected Revenue Apr 2019 - Sep 2019</t>
  </si>
  <si>
    <t>Multi-Family (DNU)</t>
  </si>
  <si>
    <t xml:space="preserve">Monthly </t>
  </si>
  <si>
    <t>per Tariff</t>
  </si>
  <si>
    <t>Annual</t>
  </si>
  <si>
    <t>6 months</t>
  </si>
  <si>
    <t>Tonnage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</si>
  <si>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</si>
  <si>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</si>
  <si>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</si>
  <si>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</si>
  <si>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</si>
  <si>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</si>
  <si>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</si>
  <si>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</si>
  <si>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</si>
  <si>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</si>
  <si>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</si>
  <si>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Residential and Multi-Family</t>
  </si>
  <si>
    <t>Tons/Container</t>
  </si>
  <si>
    <t>Oct - Dec 2018 with adjustment factor</t>
  </si>
  <si>
    <t>^used from prior filing</t>
  </si>
  <si>
    <t>Jul-Jun projected value without adjustment factor</t>
  </si>
  <si>
    <t>Projected Revenue Oct 2018 - Mar 2019</t>
  </si>
  <si>
    <t>Jan 19</t>
  </si>
  <si>
    <t>Cost of one time mailing</t>
  </si>
  <si>
    <t>Jan - Sept 2019 with adjustment factor</t>
  </si>
  <si>
    <t>Actual Commodity Revenue Aug 18-Jan19</t>
  </si>
  <si>
    <t>rounding</t>
  </si>
  <si>
    <t>Feb 19</t>
  </si>
  <si>
    <t>Mar 19</t>
  </si>
  <si>
    <t>Apr 19</t>
  </si>
  <si>
    <t>May 19</t>
  </si>
  <si>
    <t>Jun 19</t>
  </si>
  <si>
    <t>Jul 19</t>
  </si>
  <si>
    <t>February 2019 - July 2019</t>
  </si>
  <si>
    <t>Feb - Mar 2019 with adjustment factor</t>
  </si>
  <si>
    <t>Apr - July 2019 with adjustment factor</t>
  </si>
  <si>
    <t>Projected Revenue Oct 2019 - Mar 2020</t>
  </si>
  <si>
    <t>Actual Commodity Revenue Feb-July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</si>
</sst>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2" fillId="0" borderId="0"/>
    <xf numFmtId="0" fontId="2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>
      <alignment vertical="top"/>
    </xf>
    <xf numFmtId="0" fontId="24" fillId="0" borderId="0" applyNumberFormat="0" applyBorder="0" applyAlignment="0"/>
    <xf numFmtId="0" fontId="28" fillId="0" borderId="0"/>
    <xf numFmtId="0" fontId="28" fillId="0" borderId="0"/>
    <xf numFmtId="43" fontId="28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0" fontId="10" fillId="0" borderId="1" xfId="0" applyFont="1" applyBorder="1" applyAlignment="1">
      <alignment horizontal="center"/>
    </xf>
    <xf numFmtId="43" fontId="9" fillId="0" borderId="1" xfId="3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164" fontId="9" fillId="0" borderId="0" xfId="3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/>
    <xf numFmtId="164" fontId="9" fillId="0" borderId="0" xfId="0" applyNumberFormat="1" applyFont="1" applyAlignment="1">
      <alignment horizontal="center"/>
    </xf>
    <xf numFmtId="16" fontId="9" fillId="0" borderId="0" xfId="0" quotePrefix="1" applyNumberFormat="1" applyFont="1" applyAlignment="1">
      <alignment horizontal="center"/>
    </xf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3" fontId="9" fillId="0" borderId="0" xfId="0" applyNumberFormat="1" applyFont="1" applyAlignment="1">
      <alignment horizontal="right"/>
    </xf>
    <xf numFmtId="165" fontId="10" fillId="0" borderId="0" xfId="0" applyNumberFormat="1" applyFont="1"/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12" fillId="2" borderId="3" xfId="23" applyFont="1" applyFill="1" applyBorder="1"/>
    <xf numFmtId="0" fontId="12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 applyBorder="1"/>
    <xf numFmtId="0" fontId="13" fillId="2" borderId="0" xfId="23" applyFont="1" applyFill="1" applyBorder="1"/>
    <xf numFmtId="0" fontId="2" fillId="2" borderId="0" xfId="23" applyFill="1" applyBorder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 applyBorder="1"/>
    <xf numFmtId="0" fontId="2" fillId="2" borderId="6" xfId="23" applyFill="1" applyBorder="1"/>
    <xf numFmtId="0" fontId="8" fillId="2" borderId="0" xfId="23" applyFont="1" applyFill="1" applyBorder="1" applyAlignment="1">
      <alignment horizontal="center"/>
    </xf>
    <xf numFmtId="0" fontId="16" fillId="2" borderId="0" xfId="23" applyFont="1" applyFill="1" applyBorder="1" applyAlignment="1">
      <alignment horizontal="center"/>
    </xf>
    <xf numFmtId="0" fontId="17" fillId="2" borderId="8" xfId="23" applyFont="1" applyFill="1" applyBorder="1"/>
    <xf numFmtId="0" fontId="17" fillId="2" borderId="0" xfId="23" applyFont="1" applyFill="1" applyBorder="1"/>
    <xf numFmtId="0" fontId="2" fillId="2" borderId="0" xfId="23" applyFill="1" applyBorder="1" applyAlignment="1">
      <alignment horizontal="center"/>
    </xf>
    <xf numFmtId="41" fontId="2" fillId="2" borderId="0" xfId="23" applyNumberFormat="1" applyFill="1" applyBorder="1"/>
    <xf numFmtId="44" fontId="18" fillId="2" borderId="0" xfId="14" applyFont="1" applyFill="1" applyBorder="1"/>
    <xf numFmtId="0" fontId="2" fillId="2" borderId="6" xfId="23" applyFont="1" applyFill="1" applyBorder="1"/>
    <xf numFmtId="0" fontId="6" fillId="2" borderId="0" xfId="23" applyFont="1" applyFill="1" applyBorder="1"/>
    <xf numFmtId="44" fontId="2" fillId="2" borderId="7" xfId="14" applyFont="1" applyFill="1" applyBorder="1"/>
    <xf numFmtId="44" fontId="19" fillId="2" borderId="7" xfId="14" applyNumberFormat="1" applyFont="1" applyFill="1" applyBorder="1"/>
    <xf numFmtId="44" fontId="20" fillId="2" borderId="9" xfId="14" applyNumberFormat="1" applyFont="1" applyFill="1" applyBorder="1"/>
    <xf numFmtId="44" fontId="20" fillId="2" borderId="9" xfId="14" applyFont="1" applyFill="1" applyBorder="1"/>
    <xf numFmtId="44" fontId="2" fillId="2" borderId="0" xfId="23" applyNumberFormat="1" applyFill="1" applyBorder="1"/>
    <xf numFmtId="44" fontId="21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4" fontId="2" fillId="2" borderId="7" xfId="14" applyNumberFormat="1" applyFont="1" applyFill="1" applyBorder="1"/>
    <xf numFmtId="43" fontId="19" fillId="2" borderId="7" xfId="23" applyNumberFormat="1" applyFont="1" applyFill="1" applyBorder="1"/>
    <xf numFmtId="44" fontId="20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2" fillId="0" borderId="0" xfId="23" applyFont="1" applyFill="1" applyBorder="1" applyAlignment="1"/>
    <xf numFmtId="0" fontId="2" fillId="0" borderId="0" xfId="23" applyFill="1" applyBorder="1" applyAlignment="1"/>
    <xf numFmtId="0" fontId="8" fillId="0" borderId="0" xfId="23" applyFont="1" applyFill="1" applyBorder="1" applyAlignment="1"/>
    <xf numFmtId="0" fontId="13" fillId="0" borderId="0" xfId="23" applyFont="1" applyFill="1" applyBorder="1" applyAlignment="1"/>
    <xf numFmtId="15" fontId="8" fillId="0" borderId="0" xfId="23" applyNumberFormat="1" applyFont="1" applyFill="1" applyBorder="1" applyAlignment="1"/>
    <xf numFmtId="0" fontId="14" fillId="0" borderId="0" xfId="23" applyFont="1" applyFill="1" applyBorder="1" applyAlignment="1">
      <alignment horizontal="center"/>
    </xf>
    <xf numFmtId="0" fontId="15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center"/>
    </xf>
    <xf numFmtId="0" fontId="16" fillId="0" borderId="0" xfId="23" applyFont="1" applyFill="1" applyBorder="1" applyAlignment="1">
      <alignment horizontal="center"/>
    </xf>
    <xf numFmtId="0" fontId="17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18" fillId="0" borderId="0" xfId="14" applyFont="1" applyFill="1" applyBorder="1" applyAlignment="1"/>
    <xf numFmtId="0" fontId="2" fillId="0" borderId="0" xfId="23" applyFont="1" applyFill="1" applyBorder="1" applyAlignment="1"/>
    <xf numFmtId="0" fontId="6" fillId="0" borderId="0" xfId="23" applyFont="1" applyFill="1" applyBorder="1" applyAlignment="1"/>
    <xf numFmtId="41" fontId="19" fillId="0" borderId="0" xfId="23" applyNumberFormat="1" applyFont="1" applyFill="1" applyBorder="1" applyAlignme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9" fillId="0" borderId="0" xfId="14" applyFont="1" applyFill="1" applyBorder="1" applyAlignment="1"/>
    <xf numFmtId="44" fontId="20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8" fillId="0" borderId="0" xfId="23" applyNumberFormat="1" applyFont="1" applyFill="1" applyBorder="1" applyAlignment="1"/>
    <xf numFmtId="0" fontId="10" fillId="0" borderId="0" xfId="0" applyFont="1" applyFill="1" applyBorder="1" applyAlignment="1">
      <alignment horizontal="left"/>
    </xf>
    <xf numFmtId="39" fontId="0" fillId="0" borderId="0" xfId="0" applyNumberFormat="1"/>
    <xf numFmtId="3" fontId="10" fillId="0" borderId="0" xfId="0" applyNumberFormat="1" applyFont="1" applyAlignment="1"/>
    <xf numFmtId="165" fontId="10" fillId="0" borderId="0" xfId="11" applyNumberFormat="1" applyFont="1" applyFill="1" applyAlignment="1">
      <alignment horizontal="right"/>
    </xf>
    <xf numFmtId="165" fontId="9" fillId="0" borderId="0" xfId="11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/>
    <xf numFmtId="165" fontId="0" fillId="0" borderId="0" xfId="0" applyNumberFormat="1"/>
    <xf numFmtId="165" fontId="9" fillId="0" borderId="0" xfId="0" quotePrefix="1" applyNumberFormat="1" applyFont="1" applyAlignment="1">
      <alignment horizontal="center"/>
    </xf>
    <xf numFmtId="41" fontId="2" fillId="0" borderId="0" xfId="23" applyNumberFormat="1" applyFill="1" applyBorder="1"/>
    <xf numFmtId="41" fontId="19" fillId="0" borderId="0" xfId="23" applyNumberFormat="1" applyFont="1" applyFill="1" applyBorder="1"/>
    <xf numFmtId="166" fontId="2" fillId="3" borderId="0" xfId="14" applyNumberFormat="1" applyFont="1" applyFill="1" applyBorder="1"/>
    <xf numFmtId="0" fontId="17" fillId="3" borderId="8" xfId="23" applyFont="1" applyFill="1" applyBorder="1"/>
    <xf numFmtId="0" fontId="10" fillId="0" borderId="0" xfId="0" quotePrefix="1" applyFont="1" applyBorder="1" applyAlignment="1">
      <alignment horizontal="center"/>
    </xf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/>
    <xf numFmtId="3" fontId="10" fillId="0" borderId="0" xfId="0" applyNumberFormat="1" applyFont="1" applyFill="1" applyAlignment="1"/>
    <xf numFmtId="3" fontId="9" fillId="0" borderId="0" xfId="3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2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165" fontId="10" fillId="0" borderId="0" xfId="11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/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165" fontId="10" fillId="0" borderId="2" xfId="11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39" fontId="26" fillId="0" borderId="0" xfId="0" applyNumberFormat="1" applyFont="1" applyFill="1" applyBorder="1"/>
    <xf numFmtId="166" fontId="26" fillId="0" borderId="0" xfId="11" applyNumberFormat="1" applyFont="1" applyFill="1" applyBorder="1"/>
    <xf numFmtId="4" fontId="9" fillId="0" borderId="0" xfId="3" applyNumberFormat="1" applyFont="1" applyFill="1" applyAlignment="1">
      <alignment horizontal="right"/>
    </xf>
    <xf numFmtId="0" fontId="26" fillId="0" borderId="0" xfId="0" applyFont="1" applyFill="1" applyBorder="1"/>
    <xf numFmtId="166" fontId="26" fillId="0" borderId="0" xfId="0" applyNumberFormat="1" applyFont="1" applyFill="1" applyBorder="1"/>
    <xf numFmtId="3" fontId="10" fillId="0" borderId="0" xfId="11" applyNumberFormat="1" applyFont="1" applyFill="1" applyAlignment="1">
      <alignment horizontal="right"/>
    </xf>
    <xf numFmtId="0" fontId="0" fillId="0" borderId="1" xfId="0" applyBorder="1"/>
    <xf numFmtId="0" fontId="10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165" fontId="9" fillId="0" borderId="0" xfId="0" applyNumberFormat="1" applyFont="1"/>
    <xf numFmtId="167" fontId="30" fillId="0" borderId="0" xfId="29" applyNumberFormat="1" applyFont="1" applyAlignment="1">
      <alignment horizontal="center"/>
    </xf>
    <xf numFmtId="168" fontId="30" fillId="0" borderId="0" xfId="29" applyNumberFormat="1" applyFont="1" applyAlignment="1">
      <alignment horizontal="center"/>
    </xf>
    <xf numFmtId="0" fontId="29" fillId="0" borderId="0" xfId="29" applyFont="1" applyAlignment="1">
      <alignment horizontal="center"/>
    </xf>
    <xf numFmtId="0" fontId="29" fillId="0" borderId="0" xfId="30" applyFont="1"/>
    <xf numFmtId="0" fontId="28" fillId="0" borderId="0" xfId="29"/>
    <xf numFmtId="0" fontId="28" fillId="0" borderId="0" xfId="30"/>
    <xf numFmtId="0" fontId="29" fillId="0" borderId="0" xfId="29" applyFont="1"/>
    <xf numFmtId="43" fontId="0" fillId="0" borderId="0" xfId="31" applyFont="1"/>
    <xf numFmtId="3" fontId="28" fillId="0" borderId="0" xfId="29" applyNumberFormat="1"/>
    <xf numFmtId="3" fontId="28" fillId="0" borderId="0" xfId="30" applyNumberFormat="1"/>
    <xf numFmtId="169" fontId="0" fillId="0" borderId="0" xfId="31" applyNumberFormat="1" applyFont="1"/>
    <xf numFmtId="169" fontId="28" fillId="0" borderId="0" xfId="29" applyNumberFormat="1"/>
    <xf numFmtId="164" fontId="0" fillId="0" borderId="0" xfId="31" applyNumberFormat="1" applyFont="1"/>
    <xf numFmtId="164" fontId="28" fillId="0" borderId="0" xfId="29" applyNumberFormat="1"/>
    <xf numFmtId="164" fontId="28" fillId="0" borderId="0" xfId="30" applyNumberFormat="1"/>
    <xf numFmtId="43" fontId="28" fillId="0" borderId="0" xfId="29" applyNumberFormat="1"/>
    <xf numFmtId="0" fontId="0" fillId="0" borderId="0" xfId="30" applyFont="1"/>
    <xf numFmtId="0" fontId="0" fillId="0" borderId="0" xfId="29" applyFont="1"/>
    <xf numFmtId="164" fontId="28" fillId="0" borderId="0" xfId="4" applyNumberFormat="1" applyFont="1"/>
    <xf numFmtId="2" fontId="9" fillId="0" borderId="0" xfId="3" applyNumberFormat="1" applyFont="1" applyAlignment="1">
      <alignment horizontal="right"/>
    </xf>
    <xf numFmtId="0" fontId="29" fillId="0" borderId="0" xfId="0" applyFont="1" applyAlignment="1">
      <alignment horizontal="center"/>
    </xf>
    <xf numFmtId="164" fontId="0" fillId="0" borderId="0" xfId="0" applyNumberFormat="1"/>
    <xf numFmtId="43" fontId="0" fillId="0" borderId="1" xfId="3" applyFont="1" applyBorder="1"/>
    <xf numFmtId="0" fontId="31" fillId="0" borderId="0" xfId="0" applyFont="1" applyFill="1" applyBorder="1" applyAlignment="1">
      <alignment horizontal="left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8" fillId="4" borderId="0" xfId="14" applyFont="1" applyFill="1" applyBorder="1"/>
    <xf numFmtId="164" fontId="2" fillId="2" borderId="0" xfId="3" applyNumberFormat="1" applyFont="1" applyFill="1" applyBorder="1"/>
    <xf numFmtId="41" fontId="0" fillId="0" borderId="0" xfId="0" applyNumberFormat="1"/>
    <xf numFmtId="43" fontId="0" fillId="0" borderId="0" xfId="0" applyNumberFormat="1"/>
    <xf numFmtId="0" fontId="28" fillId="0" borderId="0" xfId="29" applyFill="1"/>
    <xf numFmtId="0" fontId="28" fillId="0" borderId="0" xfId="30" applyFill="1"/>
    <xf numFmtId="43" fontId="0" fillId="0" borderId="0" xfId="31" applyFont="1" applyFill="1"/>
    <xf numFmtId="0" fontId="29" fillId="0" borderId="0" xfId="29" applyFont="1" applyFill="1"/>
    <xf numFmtId="3" fontId="28" fillId="0" borderId="0" xfId="29" applyNumberFormat="1" applyFill="1"/>
    <xf numFmtId="3" fontId="28" fillId="0" borderId="0" xfId="30" applyNumberFormat="1" applyFill="1"/>
    <xf numFmtId="169" fontId="0" fillId="0" borderId="0" xfId="31" applyNumberFormat="1" applyFont="1" applyFill="1"/>
    <xf numFmtId="169" fontId="28" fillId="0" borderId="0" xfId="29" applyNumberFormat="1" applyFill="1"/>
    <xf numFmtId="164" fontId="0" fillId="0" borderId="0" xfId="31" applyNumberFormat="1" applyFont="1" applyFill="1"/>
    <xf numFmtId="164" fontId="28" fillId="0" borderId="0" xfId="29" applyNumberFormat="1" applyFill="1"/>
    <xf numFmtId="164" fontId="28" fillId="0" borderId="0" xfId="30" applyNumberFormat="1" applyFill="1"/>
    <xf numFmtId="0" fontId="0" fillId="0" borderId="0" xfId="0" applyFill="1" applyAlignment="1">
      <alignment horizontal="center"/>
    </xf>
    <xf numFmtId="0" fontId="32" fillId="0" borderId="0" xfId="0" applyFont="1" applyFill="1" applyAlignment="1"/>
    <xf numFmtId="164" fontId="2" fillId="0" borderId="0" xfId="3" applyNumberFormat="1" applyFont="1" applyFill="1" applyAlignment="1">
      <alignment horizontal="center"/>
    </xf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Border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5" fillId="2" borderId="6" xfId="23" applyFont="1" applyFill="1" applyBorder="1" applyAlignment="1">
      <alignment horizontal="center"/>
    </xf>
    <xf numFmtId="0" fontId="15" fillId="2" borderId="0" xfId="23" applyFont="1" applyFill="1" applyBorder="1" applyAlignment="1">
      <alignment horizontal="center"/>
    </xf>
    <xf numFmtId="0" fontId="15" fillId="2" borderId="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7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_TO_S/PUD0783%20-%20Pullman%20Disposal%20Services/Commodity%20Credit/2018/Submission%20081518/Pullman%20Disposal%20Commodity%20Credit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ll 2017-2018"/>
      <sheetName val="Commodity Debit"/>
    </sheetNames>
    <sheetDataSet>
      <sheetData sheetId="0"/>
      <sheetData sheetId="1"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zoomScaleNormal="100" workbookViewId="0">
      <selection activeCell="F25" sqref="F25"/>
    </sheetView>
  </sheetViews>
  <sheetFormatPr defaultColWidth="8.85546875" defaultRowHeight="12.75" x14ac:dyDescent="0.2"/>
  <cols>
    <col min="1" max="1" width="40.28515625" style="29" customWidth="1"/>
    <col min="2" max="2" width="6.28515625" style="29" customWidth="1"/>
    <col min="3" max="3" width="12.42578125" style="29" customWidth="1"/>
    <col min="4" max="4" width="14.85546875" style="29" bestFit="1" customWidth="1"/>
    <col min="5" max="5" width="12.7109375" style="29" customWidth="1"/>
    <col min="6" max="6" width="10.5703125" style="29" bestFit="1" customWidth="1"/>
    <col min="7" max="7" width="40.28515625" style="29" customWidth="1"/>
    <col min="8" max="8" width="6.28515625" style="29" customWidth="1"/>
    <col min="9" max="9" width="12.42578125" style="29" customWidth="1"/>
    <col min="10" max="10" width="14.85546875" style="29" bestFit="1" customWidth="1"/>
    <col min="11" max="11" width="12.7109375" style="29" customWidth="1"/>
    <col min="12" max="12" width="12.7109375" style="29" bestFit="1" customWidth="1"/>
    <col min="13" max="13" width="40.28515625" style="29" customWidth="1"/>
    <col min="14" max="14" width="6.28515625" style="29" customWidth="1"/>
    <col min="15" max="15" width="12.42578125" style="29" customWidth="1"/>
    <col min="16" max="16" width="14.85546875" style="29" bestFit="1" customWidth="1"/>
    <col min="17" max="17" width="12.7109375" style="29" customWidth="1"/>
    <col min="18" max="18" width="10.5703125" style="29" bestFit="1" customWidth="1"/>
    <col min="19" max="19" width="11" style="61" customWidth="1"/>
    <col min="20" max="20" width="41.5703125" style="61" customWidth="1"/>
    <col min="21" max="21" width="10.42578125" style="61" bestFit="1" customWidth="1"/>
    <col min="22" max="22" width="13.42578125" style="61" customWidth="1"/>
    <col min="23" max="23" width="11" style="61" customWidth="1"/>
    <col min="24" max="24" width="11.85546875" style="61" customWidth="1"/>
    <col min="25" max="25" width="35.85546875" style="61" customWidth="1"/>
    <col min="26" max="26" width="8.85546875" style="61"/>
    <col min="27" max="27" width="24.140625" style="61" customWidth="1"/>
    <col min="28" max="28" width="11" style="61" bestFit="1" customWidth="1"/>
    <col min="29" max="29" width="10.5703125" style="61" bestFit="1" customWidth="1"/>
    <col min="30" max="30" width="10.42578125" style="61" customWidth="1"/>
    <col min="31" max="16384" width="8.85546875" style="29"/>
  </cols>
  <sheetData>
    <row r="1" spans="1:30" ht="19.5" customHeight="1" x14ac:dyDescent="0.4">
      <c r="A1" s="25" t="s">
        <v>21</v>
      </c>
      <c r="B1" s="26"/>
      <c r="C1" s="27"/>
      <c r="D1" s="27"/>
      <c r="E1" s="27"/>
      <c r="F1" s="28"/>
      <c r="G1" s="25" t="s">
        <v>21</v>
      </c>
      <c r="H1" s="26"/>
      <c r="I1" s="27"/>
      <c r="J1" s="27"/>
      <c r="K1" s="27"/>
      <c r="L1" s="28"/>
      <c r="M1" s="25" t="s">
        <v>21</v>
      </c>
      <c r="N1" s="26"/>
      <c r="O1" s="27"/>
      <c r="P1" s="27"/>
      <c r="Q1" s="27"/>
      <c r="R1" s="28"/>
      <c r="S1" s="60"/>
      <c r="T1" s="60"/>
      <c r="Y1" s="60"/>
      <c r="Z1" s="60"/>
    </row>
    <row r="2" spans="1:30" ht="18" x14ac:dyDescent="0.35">
      <c r="A2" s="30"/>
      <c r="B2" s="31"/>
      <c r="C2" s="32"/>
      <c r="D2" s="33"/>
      <c r="E2" s="33"/>
      <c r="F2" s="34"/>
      <c r="G2" s="30"/>
      <c r="H2" s="31"/>
      <c r="I2" s="32"/>
      <c r="J2" s="33"/>
      <c r="K2" s="33"/>
      <c r="L2" s="34"/>
      <c r="M2" s="30"/>
      <c r="N2" s="31"/>
      <c r="O2" s="32"/>
      <c r="P2" s="33"/>
      <c r="Q2" s="33"/>
      <c r="R2" s="34"/>
      <c r="S2" s="62"/>
      <c r="T2" s="62"/>
      <c r="U2" s="63"/>
      <c r="Y2" s="62"/>
      <c r="Z2" s="62"/>
      <c r="AA2" s="63"/>
    </row>
    <row r="3" spans="1:30" x14ac:dyDescent="0.2">
      <c r="A3" s="35"/>
      <c r="B3" s="36"/>
      <c r="C3" s="33"/>
      <c r="D3" s="33"/>
      <c r="E3" s="33"/>
      <c r="F3" s="34"/>
      <c r="G3" s="35"/>
      <c r="H3" s="36"/>
      <c r="I3" s="33"/>
      <c r="J3" s="33"/>
      <c r="K3" s="33"/>
      <c r="L3" s="34"/>
      <c r="M3" s="35"/>
      <c r="N3" s="36"/>
      <c r="O3" s="33"/>
      <c r="P3" s="33"/>
      <c r="Q3" s="33"/>
      <c r="R3" s="34"/>
      <c r="S3" s="64"/>
      <c r="T3" s="64"/>
      <c r="Y3" s="64"/>
      <c r="Z3" s="64"/>
    </row>
    <row r="4" spans="1:30" ht="20.25" x14ac:dyDescent="0.3">
      <c r="A4" s="171">
        <v>2019</v>
      </c>
      <c r="B4" s="172"/>
      <c r="C4" s="172"/>
      <c r="D4" s="172"/>
      <c r="E4" s="172"/>
      <c r="F4" s="173"/>
      <c r="G4" s="171">
        <v>2019</v>
      </c>
      <c r="H4" s="172"/>
      <c r="I4" s="172"/>
      <c r="J4" s="172"/>
      <c r="K4" s="172"/>
      <c r="L4" s="173"/>
      <c r="M4" s="171" t="s">
        <v>20</v>
      </c>
      <c r="N4" s="172"/>
      <c r="O4" s="172"/>
      <c r="P4" s="172"/>
      <c r="Q4" s="172"/>
      <c r="R4" s="173"/>
      <c r="T4" s="65"/>
      <c r="U4" s="65"/>
      <c r="V4" s="65"/>
      <c r="W4" s="65"/>
      <c r="Z4" s="65"/>
      <c r="AA4" s="65"/>
      <c r="AB4" s="65"/>
      <c r="AC4" s="65"/>
    </row>
    <row r="5" spans="1:30" x14ac:dyDescent="0.2">
      <c r="A5" s="37"/>
      <c r="B5" s="33"/>
      <c r="C5" s="33"/>
      <c r="D5" s="33"/>
      <c r="E5" s="33"/>
      <c r="F5" s="34"/>
      <c r="G5" s="37"/>
      <c r="H5" s="33"/>
      <c r="I5" s="33"/>
      <c r="J5" s="33"/>
      <c r="K5" s="33"/>
      <c r="L5" s="34"/>
      <c r="M5" s="37"/>
      <c r="N5" s="33"/>
      <c r="O5" s="33"/>
      <c r="P5" s="33"/>
      <c r="Q5" s="33"/>
      <c r="R5" s="34"/>
    </row>
    <row r="6" spans="1:30" ht="19.5" x14ac:dyDescent="0.4">
      <c r="A6" s="174" t="s">
        <v>38</v>
      </c>
      <c r="B6" s="175"/>
      <c r="C6" s="175"/>
      <c r="D6" s="175"/>
      <c r="E6" s="175"/>
      <c r="F6" s="176"/>
      <c r="G6" s="174" t="s">
        <v>38</v>
      </c>
      <c r="H6" s="175"/>
      <c r="I6" s="175"/>
      <c r="J6" s="175"/>
      <c r="K6" s="175"/>
      <c r="L6" s="176"/>
      <c r="M6" s="174" t="s">
        <v>38</v>
      </c>
      <c r="N6" s="175"/>
      <c r="O6" s="175"/>
      <c r="P6" s="175"/>
      <c r="Q6" s="175"/>
      <c r="R6" s="17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">
      <c r="A7" s="37"/>
      <c r="B7" s="33"/>
      <c r="C7" s="33"/>
      <c r="D7" s="33"/>
      <c r="E7" s="33"/>
      <c r="F7" s="34"/>
      <c r="G7" s="37"/>
      <c r="H7" s="33"/>
      <c r="I7" s="33"/>
      <c r="J7" s="33"/>
      <c r="K7" s="33"/>
      <c r="L7" s="34"/>
      <c r="M7" s="37"/>
      <c r="N7" s="33"/>
      <c r="O7" s="33"/>
      <c r="P7" s="33"/>
      <c r="Q7" s="33"/>
      <c r="R7" s="34"/>
    </row>
    <row r="8" spans="1:30" x14ac:dyDescent="0.2">
      <c r="A8" s="37"/>
      <c r="B8" s="33"/>
      <c r="C8" s="38"/>
      <c r="D8" s="38" t="s">
        <v>10</v>
      </c>
      <c r="E8" s="38" t="s">
        <v>11</v>
      </c>
      <c r="F8" s="34"/>
      <c r="G8" s="37"/>
      <c r="H8" s="33"/>
      <c r="I8" s="38"/>
      <c r="J8" s="38" t="s">
        <v>10</v>
      </c>
      <c r="K8" s="38" t="s">
        <v>11</v>
      </c>
      <c r="L8" s="34"/>
      <c r="M8" s="37"/>
      <c r="N8" s="33"/>
      <c r="O8" s="38"/>
      <c r="P8" s="38" t="s">
        <v>10</v>
      </c>
      <c r="Q8" s="38" t="s">
        <v>11</v>
      </c>
      <c r="R8" s="34"/>
      <c r="U8" s="67"/>
      <c r="V8" s="67"/>
      <c r="W8" s="67"/>
      <c r="AA8" s="67"/>
      <c r="AB8" s="67"/>
      <c r="AC8" s="67"/>
    </row>
    <row r="9" spans="1:30" x14ac:dyDescent="0.2">
      <c r="A9" s="37"/>
      <c r="B9" s="33"/>
      <c r="C9" s="39" t="s">
        <v>7</v>
      </c>
      <c r="D9" s="39" t="s">
        <v>12</v>
      </c>
      <c r="E9" s="39" t="s">
        <v>13</v>
      </c>
      <c r="F9" s="34"/>
      <c r="G9" s="37"/>
      <c r="H9" s="33"/>
      <c r="I9" s="39" t="s">
        <v>7</v>
      </c>
      <c r="J9" s="39" t="s">
        <v>12</v>
      </c>
      <c r="K9" s="39" t="s">
        <v>13</v>
      </c>
      <c r="L9" s="34"/>
      <c r="M9" s="37"/>
      <c r="N9" s="33"/>
      <c r="O9" s="39" t="s">
        <v>7</v>
      </c>
      <c r="P9" s="39" t="s">
        <v>12</v>
      </c>
      <c r="Q9" s="39" t="s">
        <v>13</v>
      </c>
      <c r="R9" s="34"/>
      <c r="U9" s="68"/>
      <c r="V9" s="68"/>
      <c r="W9" s="68"/>
      <c r="AA9" s="68"/>
      <c r="AB9" s="68"/>
      <c r="AC9" s="68"/>
    </row>
    <row r="10" spans="1:30" ht="16.5" x14ac:dyDescent="0.35">
      <c r="A10" s="40" t="s">
        <v>26</v>
      </c>
      <c r="B10" s="41"/>
      <c r="C10" s="42"/>
      <c r="D10" s="42"/>
      <c r="E10" s="42"/>
      <c r="F10" s="34"/>
      <c r="G10" s="40" t="s">
        <v>26</v>
      </c>
      <c r="H10" s="41"/>
      <c r="I10" s="42"/>
      <c r="J10" s="42"/>
      <c r="K10" s="42"/>
      <c r="L10" s="34"/>
      <c r="M10" s="40" t="s">
        <v>26</v>
      </c>
      <c r="N10" s="41"/>
      <c r="O10" s="42"/>
      <c r="P10" s="42"/>
      <c r="Q10" s="42"/>
      <c r="R10" s="34"/>
      <c r="S10" s="69"/>
      <c r="T10" s="69"/>
      <c r="U10" s="70"/>
      <c r="V10" s="70"/>
      <c r="W10" s="70"/>
      <c r="Y10" s="69"/>
      <c r="Z10" s="69"/>
      <c r="AA10" s="70"/>
      <c r="AB10" s="70"/>
      <c r="AC10" s="70"/>
    </row>
    <row r="11" spans="1:30" x14ac:dyDescent="0.2">
      <c r="A11" s="37" t="s">
        <v>84</v>
      </c>
      <c r="B11" s="33"/>
      <c r="C11" s="95">
        <f>+'Calcs revised method'!J10+'Calcs revised method'!K10</f>
        <v>15485.41186440678</v>
      </c>
      <c r="D11" s="153">
        <f>ROUND(R27,2)</f>
        <v>-1.59</v>
      </c>
      <c r="E11" s="43">
        <f>C11*D11</f>
        <v>-24621.804864406782</v>
      </c>
      <c r="F11" s="34"/>
      <c r="G11" s="37" t="s">
        <v>68</v>
      </c>
      <c r="H11" s="33"/>
      <c r="I11" s="95">
        <v>23216</v>
      </c>
      <c r="J11" s="153">
        <f>+R27</f>
        <v>-1.59</v>
      </c>
      <c r="K11" s="43">
        <f>I11*J11</f>
        <v>-36913.440000000002</v>
      </c>
      <c r="L11" s="34"/>
      <c r="M11" s="37" t="s">
        <v>70</v>
      </c>
      <c r="N11" s="33"/>
      <c r="O11" s="95">
        <f>SUM('[1]All 2017-2018'!I11:I22)</f>
        <v>0</v>
      </c>
      <c r="P11" s="44">
        <v>0</v>
      </c>
      <c r="Q11" s="43">
        <f>O11*P11</f>
        <v>0</v>
      </c>
      <c r="R11" s="34"/>
      <c r="U11" s="71"/>
      <c r="V11" s="72"/>
      <c r="W11" s="71"/>
      <c r="AA11" s="71"/>
      <c r="AB11" s="72"/>
      <c r="AC11" s="71"/>
    </row>
    <row r="12" spans="1:30" ht="15" x14ac:dyDescent="0.35">
      <c r="A12" s="45" t="s">
        <v>85</v>
      </c>
      <c r="B12" s="46"/>
      <c r="C12" s="96">
        <f>+'Calcs revised method'!L10+'Calcs revised method'!M10+'Calcs revised method'!N10+'Calcs revised method'!O10</f>
        <v>30970.823728813561</v>
      </c>
      <c r="D12" s="44">
        <f>+ROUND(L25,2)</f>
        <v>-1.47</v>
      </c>
      <c r="E12" s="43">
        <f>C12*D12</f>
        <v>-45527.110881355933</v>
      </c>
      <c r="F12" s="34"/>
      <c r="G12" s="45" t="s">
        <v>74</v>
      </c>
      <c r="H12" s="46"/>
      <c r="I12" s="96">
        <v>23216</v>
      </c>
      <c r="J12" s="44">
        <f>+R27</f>
        <v>-1.59</v>
      </c>
      <c r="K12" s="43">
        <f>I12*J12</f>
        <v>-36913.440000000002</v>
      </c>
      <c r="L12" s="34"/>
      <c r="M12" s="45"/>
      <c r="N12" s="46"/>
      <c r="O12" s="96">
        <v>0</v>
      </c>
      <c r="P12" s="44">
        <v>0</v>
      </c>
      <c r="Q12" s="43">
        <f>O12*P12</f>
        <v>0</v>
      </c>
      <c r="R12" s="34"/>
      <c r="S12" s="73"/>
      <c r="T12" s="74"/>
      <c r="U12" s="75"/>
      <c r="V12" s="72"/>
      <c r="W12" s="75"/>
      <c r="Y12" s="73"/>
      <c r="Z12" s="74"/>
      <c r="AA12" s="75"/>
      <c r="AB12" s="72"/>
      <c r="AC12" s="75"/>
    </row>
    <row r="13" spans="1:30" x14ac:dyDescent="0.2">
      <c r="A13" s="37" t="s">
        <v>11</v>
      </c>
      <c r="B13" s="33"/>
      <c r="C13" s="43">
        <f>SUM(C11:C12)</f>
        <v>46456.235593220343</v>
      </c>
      <c r="D13" s="43"/>
      <c r="E13" s="43">
        <f>SUM(E11:E12)</f>
        <v>-70148.915745762715</v>
      </c>
      <c r="F13" s="34"/>
      <c r="G13" s="37" t="s">
        <v>11</v>
      </c>
      <c r="H13" s="33"/>
      <c r="I13" s="43">
        <f>SUM(I11:I12)</f>
        <v>46432</v>
      </c>
      <c r="J13" s="43"/>
      <c r="K13" s="43">
        <f>SUM(K11:K12)</f>
        <v>-73826.880000000005</v>
      </c>
      <c r="L13" s="34"/>
      <c r="M13" s="37" t="s">
        <v>11</v>
      </c>
      <c r="N13" s="33"/>
      <c r="O13" s="43">
        <f>SUM(O11:O12)</f>
        <v>0</v>
      </c>
      <c r="P13" s="43"/>
      <c r="Q13" s="43">
        <f>SUM(Q11:Q12)</f>
        <v>0</v>
      </c>
      <c r="R13" s="34"/>
      <c r="U13" s="71"/>
      <c r="W13" s="71"/>
      <c r="AA13" s="71"/>
      <c r="AC13" s="71"/>
    </row>
    <row r="14" spans="1:30" x14ac:dyDescent="0.2">
      <c r="A14" s="37"/>
      <c r="B14" s="33"/>
      <c r="C14" s="33"/>
      <c r="D14" s="33"/>
      <c r="E14" s="33"/>
      <c r="F14" s="34"/>
      <c r="G14" s="37"/>
      <c r="H14" s="33"/>
      <c r="I14" s="33"/>
      <c r="J14" s="33"/>
      <c r="K14" s="33"/>
      <c r="L14" s="34"/>
      <c r="M14" s="37"/>
      <c r="N14" s="33"/>
      <c r="O14" s="33"/>
      <c r="P14" s="33"/>
      <c r="Q14" s="33"/>
      <c r="R14" s="34"/>
    </row>
    <row r="15" spans="1:30" x14ac:dyDescent="0.2">
      <c r="A15" s="37" t="s">
        <v>87</v>
      </c>
      <c r="B15" s="33"/>
      <c r="C15" s="33"/>
      <c r="D15" s="33"/>
      <c r="E15" s="95">
        <f>SUM('All 2019'!G17:G22)</f>
        <v>-78148.320000000007</v>
      </c>
      <c r="F15" s="34"/>
      <c r="G15" s="37" t="s">
        <v>75</v>
      </c>
      <c r="H15" s="33"/>
      <c r="I15" s="33"/>
      <c r="J15" s="33"/>
      <c r="K15" s="95">
        <v>-68442</v>
      </c>
      <c r="L15" s="34"/>
      <c r="M15" s="37" t="s">
        <v>14</v>
      </c>
      <c r="N15" s="33"/>
      <c r="O15" s="33"/>
      <c r="P15" s="33"/>
      <c r="Q15" s="95">
        <v>-122720</v>
      </c>
      <c r="R15" s="34"/>
      <c r="S15" s="62"/>
      <c r="W15" s="71"/>
      <c r="Y15" s="62"/>
      <c r="AC15" s="71"/>
    </row>
    <row r="16" spans="1:30" x14ac:dyDescent="0.2">
      <c r="A16" s="37"/>
      <c r="B16" s="33"/>
      <c r="C16" s="33"/>
      <c r="D16" s="33"/>
      <c r="E16" s="154"/>
      <c r="F16" s="34"/>
      <c r="G16" s="37" t="s">
        <v>73</v>
      </c>
      <c r="H16" s="33"/>
      <c r="I16" s="33"/>
      <c r="J16" s="33"/>
      <c r="K16" s="154">
        <v>2688</v>
      </c>
      <c r="L16" s="34"/>
      <c r="M16" s="37"/>
      <c r="N16" s="33"/>
      <c r="O16" s="33"/>
      <c r="P16" s="33"/>
      <c r="Q16" s="33"/>
      <c r="R16" s="34"/>
    </row>
    <row r="17" spans="1:30" x14ac:dyDescent="0.2">
      <c r="A17" s="37" t="s">
        <v>15</v>
      </c>
      <c r="B17" s="33"/>
      <c r="C17" s="33"/>
      <c r="D17" s="33"/>
      <c r="E17" s="43">
        <f>-E13+E15-E16</f>
        <v>-7999.4042542372918</v>
      </c>
      <c r="F17" s="34"/>
      <c r="G17" s="37" t="s">
        <v>15</v>
      </c>
      <c r="H17" s="33"/>
      <c r="I17" s="33"/>
      <c r="J17" s="33"/>
      <c r="K17" s="43">
        <f>-K13+K15-K16</f>
        <v>2696.8800000000047</v>
      </c>
      <c r="L17" s="34"/>
      <c r="M17" s="37" t="s">
        <v>15</v>
      </c>
      <c r="N17" s="33"/>
      <c r="O17" s="33"/>
      <c r="P17" s="33"/>
      <c r="Q17" s="43">
        <f>Q15-Q13</f>
        <v>-122720</v>
      </c>
      <c r="R17" s="34"/>
      <c r="W17" s="71"/>
      <c r="AC17" s="71"/>
    </row>
    <row r="18" spans="1:30" x14ac:dyDescent="0.2">
      <c r="A18" s="37"/>
      <c r="B18" s="33"/>
      <c r="C18" s="33"/>
      <c r="D18" s="33"/>
      <c r="E18" s="33"/>
      <c r="F18" s="34"/>
      <c r="G18" s="37"/>
      <c r="H18" s="33"/>
      <c r="I18" s="33"/>
      <c r="J18" s="33"/>
      <c r="K18" s="33"/>
      <c r="L18" s="34"/>
      <c r="M18" s="37"/>
      <c r="N18" s="33"/>
      <c r="O18" s="33"/>
      <c r="P18" s="33"/>
      <c r="Q18" s="33"/>
      <c r="R18" s="34"/>
    </row>
    <row r="19" spans="1:30" x14ac:dyDescent="0.2">
      <c r="A19" s="37" t="s">
        <v>16</v>
      </c>
      <c r="B19" s="33"/>
      <c r="C19" s="33"/>
      <c r="D19" s="33"/>
      <c r="E19" s="43">
        <f>+C13</f>
        <v>46456.235593220343</v>
      </c>
      <c r="F19" s="34"/>
      <c r="G19" s="37" t="s">
        <v>16</v>
      </c>
      <c r="H19" s="33"/>
      <c r="I19" s="33"/>
      <c r="J19" s="33"/>
      <c r="K19" s="43">
        <f>+I13</f>
        <v>46432</v>
      </c>
      <c r="L19" s="34"/>
      <c r="M19" s="37" t="s">
        <v>16</v>
      </c>
      <c r="N19" s="33"/>
      <c r="O19" s="33"/>
      <c r="P19" s="33"/>
      <c r="Q19" s="43">
        <f>+O13</f>
        <v>0</v>
      </c>
      <c r="R19" s="34"/>
      <c r="S19" s="73"/>
      <c r="W19" s="71"/>
      <c r="Y19" s="73"/>
      <c r="AC19" s="71"/>
    </row>
    <row r="20" spans="1:30" x14ac:dyDescent="0.2">
      <c r="A20" s="37"/>
      <c r="B20" s="33"/>
      <c r="C20" s="33"/>
      <c r="D20" s="33"/>
      <c r="E20" s="33"/>
      <c r="F20" s="34"/>
      <c r="G20" s="37"/>
      <c r="H20" s="33"/>
      <c r="I20" s="33"/>
      <c r="J20" s="33"/>
      <c r="K20" s="33"/>
      <c r="L20" s="34"/>
      <c r="M20" s="37"/>
      <c r="N20" s="33"/>
      <c r="O20" s="33"/>
      <c r="P20" s="33"/>
      <c r="Q20" s="33"/>
      <c r="R20" s="34"/>
    </row>
    <row r="21" spans="1:30" x14ac:dyDescent="0.2">
      <c r="A21" s="37" t="s">
        <v>17</v>
      </c>
      <c r="B21" s="33"/>
      <c r="C21" s="33"/>
      <c r="D21" s="33"/>
      <c r="E21" s="33"/>
      <c r="F21" s="47">
        <f>ROUND((E17/E19),2)</f>
        <v>-0.17</v>
      </c>
      <c r="G21" s="37" t="s">
        <v>17</v>
      </c>
      <c r="H21" s="33"/>
      <c r="I21" s="33"/>
      <c r="J21" s="33"/>
      <c r="K21" s="33"/>
      <c r="L21" s="47">
        <f>ROUND((K17/K19),2)</f>
        <v>0.06</v>
      </c>
      <c r="M21" s="37" t="s">
        <v>17</v>
      </c>
      <c r="N21" s="33"/>
      <c r="O21" s="33"/>
      <c r="P21" s="33"/>
      <c r="Q21" s="33"/>
      <c r="R21" s="47" t="e">
        <f>ROUND((Q17/Q19),2)</f>
        <v>#DIV/0!</v>
      </c>
      <c r="X21" s="76"/>
      <c r="AD21" s="76"/>
    </row>
    <row r="22" spans="1:30" x14ac:dyDescent="0.2">
      <c r="A22" s="37"/>
      <c r="B22" s="33"/>
      <c r="C22" s="33"/>
      <c r="D22" s="33"/>
      <c r="E22" s="33"/>
      <c r="F22" s="47"/>
      <c r="G22" s="37"/>
      <c r="H22" s="33"/>
      <c r="I22" s="33"/>
      <c r="J22" s="33"/>
      <c r="K22" s="33"/>
      <c r="L22" s="47"/>
      <c r="M22" s="37"/>
      <c r="N22" s="33"/>
      <c r="O22" s="33"/>
      <c r="P22" s="33"/>
      <c r="Q22" s="33"/>
      <c r="R22" s="47"/>
      <c r="X22" s="76"/>
      <c r="AD22" s="76"/>
    </row>
    <row r="23" spans="1:30" ht="16.5" x14ac:dyDescent="0.35">
      <c r="A23" s="40" t="s">
        <v>86</v>
      </c>
      <c r="B23" s="41"/>
      <c r="C23" s="33"/>
      <c r="D23" s="33"/>
      <c r="E23" s="95">
        <f>SUM('All 2019'!G17:G22)</f>
        <v>-78148.320000000007</v>
      </c>
      <c r="F23" s="47"/>
      <c r="G23" s="40" t="s">
        <v>48</v>
      </c>
      <c r="H23" s="41"/>
      <c r="I23" s="33"/>
      <c r="J23" s="33"/>
      <c r="K23" s="95">
        <v>-68442</v>
      </c>
      <c r="L23" s="47"/>
      <c r="M23" s="98" t="s">
        <v>71</v>
      </c>
      <c r="N23" s="41"/>
      <c r="O23" s="33"/>
      <c r="P23" s="33"/>
      <c r="Q23" s="97">
        <v>-73974</v>
      </c>
      <c r="R23" s="47"/>
      <c r="S23" s="69"/>
      <c r="T23" s="69"/>
      <c r="W23" s="77"/>
      <c r="X23" s="76"/>
      <c r="Y23" s="69"/>
      <c r="Z23" s="69"/>
      <c r="AC23" s="78"/>
      <c r="AD23" s="76"/>
    </row>
    <row r="24" spans="1:30" x14ac:dyDescent="0.2">
      <c r="A24" s="37" t="s">
        <v>16</v>
      </c>
      <c r="B24" s="33"/>
      <c r="C24" s="33"/>
      <c r="D24" s="33"/>
      <c r="E24" s="95">
        <f>+'Commodity Debit'!G25*6</f>
        <v>46456.235593220343</v>
      </c>
      <c r="F24" s="47"/>
      <c r="G24" s="37" t="s">
        <v>16</v>
      </c>
      <c r="H24" s="33"/>
      <c r="I24" s="33"/>
      <c r="J24" s="33"/>
      <c r="K24" s="95">
        <v>46432</v>
      </c>
      <c r="L24" s="47"/>
      <c r="M24" s="37" t="s">
        <v>16</v>
      </c>
      <c r="N24" s="33"/>
      <c r="O24" s="33"/>
      <c r="P24" s="33"/>
      <c r="Q24" s="43">
        <v>46432</v>
      </c>
      <c r="R24" s="47"/>
      <c r="W24" s="71"/>
      <c r="X24" s="76"/>
      <c r="AC24" s="71"/>
      <c r="AD24" s="76"/>
    </row>
    <row r="25" spans="1:30" ht="15" x14ac:dyDescent="0.35">
      <c r="A25" s="37" t="s">
        <v>18</v>
      </c>
      <c r="B25" s="33"/>
      <c r="C25" s="33"/>
      <c r="D25" s="33"/>
      <c r="E25" s="33"/>
      <c r="F25" s="48">
        <f>(E23/E24)</f>
        <v>-1.6821922612129316</v>
      </c>
      <c r="G25" s="37" t="s">
        <v>18</v>
      </c>
      <c r="H25" s="33"/>
      <c r="I25" s="33"/>
      <c r="J25" s="33"/>
      <c r="K25" s="33"/>
      <c r="L25" s="48">
        <f>(K23/K24)</f>
        <v>-1.4740265334252241</v>
      </c>
      <c r="M25" s="37" t="s">
        <v>18</v>
      </c>
      <c r="N25" s="33"/>
      <c r="O25" s="33"/>
      <c r="P25" s="33"/>
      <c r="Q25" s="33"/>
      <c r="R25" s="48">
        <f>(Q23/Q24)</f>
        <v>-1.5931685044796693</v>
      </c>
      <c r="X25" s="79"/>
      <c r="AD25" s="79"/>
    </row>
    <row r="26" spans="1:30" x14ac:dyDescent="0.2">
      <c r="A26" s="37"/>
      <c r="B26" s="33"/>
      <c r="C26" s="33"/>
      <c r="D26" s="33"/>
      <c r="E26" s="33"/>
      <c r="F26" s="47"/>
      <c r="G26" s="37"/>
      <c r="H26" s="33"/>
      <c r="I26" s="33"/>
      <c r="J26" s="33"/>
      <c r="K26" s="33"/>
      <c r="L26" s="47"/>
      <c r="M26" s="37"/>
      <c r="N26" s="33"/>
      <c r="O26" s="33"/>
      <c r="P26" s="33"/>
      <c r="Q26" s="33"/>
      <c r="R26" s="47"/>
      <c r="X26" s="76"/>
      <c r="AD26" s="76"/>
    </row>
    <row r="27" spans="1:30" ht="18.75" thickBot="1" x14ac:dyDescent="0.4">
      <c r="A27" s="30" t="s">
        <v>37</v>
      </c>
      <c r="B27" s="31"/>
      <c r="C27" s="33"/>
      <c r="D27" s="33"/>
      <c r="E27" s="33"/>
      <c r="F27" s="49">
        <f>+F21+F25</f>
        <v>-1.8521922612129316</v>
      </c>
      <c r="G27" s="30" t="s">
        <v>37</v>
      </c>
      <c r="H27" s="31"/>
      <c r="I27" s="33"/>
      <c r="J27" s="33"/>
      <c r="K27" s="33"/>
      <c r="L27" s="49">
        <f>+L21+L25</f>
        <v>-1.414026533425224</v>
      </c>
      <c r="M27" s="30" t="s">
        <v>37</v>
      </c>
      <c r="N27" s="31"/>
      <c r="O27" s="33"/>
      <c r="P27" s="33"/>
      <c r="Q27" s="33"/>
      <c r="R27" s="49">
        <f>+ROUND(R25,2)</f>
        <v>-1.59</v>
      </c>
      <c r="S27" s="62"/>
      <c r="T27" s="62"/>
      <c r="X27" s="80"/>
      <c r="Y27" s="62"/>
      <c r="Z27" s="62"/>
      <c r="AD27" s="80"/>
    </row>
    <row r="28" spans="1:30" ht="13.5" thickTop="1" x14ac:dyDescent="0.2">
      <c r="A28" s="37"/>
      <c r="B28" s="33"/>
      <c r="C28" s="33"/>
      <c r="D28" s="33"/>
      <c r="E28" s="33"/>
      <c r="F28" s="47"/>
      <c r="G28" s="37"/>
      <c r="H28" s="33"/>
      <c r="I28" s="33"/>
      <c r="J28" s="33"/>
      <c r="K28" s="33"/>
      <c r="L28" s="47"/>
      <c r="M28" s="37"/>
      <c r="N28" s="33"/>
      <c r="O28" s="33"/>
      <c r="P28" s="33"/>
      <c r="Q28" s="33"/>
      <c r="R28" s="47"/>
      <c r="X28" s="76"/>
      <c r="AD28" s="76"/>
    </row>
    <row r="29" spans="1:30" x14ac:dyDescent="0.2">
      <c r="A29" s="37"/>
      <c r="B29" s="33"/>
      <c r="C29" s="33"/>
      <c r="D29" s="33"/>
      <c r="E29" s="33"/>
      <c r="F29" s="34"/>
      <c r="G29" s="37"/>
      <c r="H29" s="33"/>
      <c r="I29" s="33"/>
      <c r="J29" s="33"/>
      <c r="K29" s="33"/>
      <c r="L29" s="34"/>
      <c r="M29" s="37"/>
      <c r="N29" s="33"/>
      <c r="O29" s="33"/>
      <c r="P29" s="33"/>
      <c r="Q29" s="33"/>
      <c r="R29" s="34"/>
      <c r="AC29" s="81"/>
    </row>
    <row r="30" spans="1:30" ht="15" x14ac:dyDescent="0.35">
      <c r="A30" s="45"/>
      <c r="B30" s="33"/>
      <c r="C30" s="33"/>
      <c r="D30" s="51"/>
      <c r="E30" s="33"/>
      <c r="F30" s="52"/>
      <c r="G30" s="45"/>
      <c r="H30" s="33"/>
      <c r="I30" s="33"/>
      <c r="J30" s="51"/>
      <c r="K30" s="33"/>
      <c r="L30" s="52"/>
      <c r="M30" s="45"/>
      <c r="N30" s="33"/>
      <c r="O30" s="33"/>
      <c r="P30" s="51"/>
      <c r="Q30" s="33"/>
      <c r="R30" s="52"/>
    </row>
    <row r="31" spans="1:30" x14ac:dyDescent="0.2">
      <c r="A31" s="37"/>
      <c r="B31" s="33"/>
      <c r="C31" s="33"/>
      <c r="D31" s="51"/>
      <c r="E31" s="33"/>
      <c r="F31" s="34"/>
      <c r="G31" s="37"/>
      <c r="H31" s="33"/>
      <c r="I31" s="33"/>
      <c r="J31" s="51"/>
      <c r="K31" s="33"/>
      <c r="L31" s="34"/>
      <c r="M31" s="37"/>
      <c r="N31" s="33"/>
      <c r="O31" s="33"/>
      <c r="P31" s="51"/>
      <c r="Q31" s="33"/>
      <c r="R31" s="34"/>
      <c r="W31" s="73"/>
      <c r="AC31" s="81"/>
      <c r="AD31" s="82"/>
    </row>
    <row r="32" spans="1:30" x14ac:dyDescent="0.2">
      <c r="A32" s="37"/>
      <c r="B32" s="33"/>
      <c r="C32" s="33"/>
      <c r="D32" s="33"/>
      <c r="E32" s="33"/>
      <c r="F32" s="34"/>
      <c r="G32" s="37"/>
      <c r="H32" s="33"/>
      <c r="I32" s="33"/>
      <c r="J32" s="33"/>
      <c r="K32" s="33"/>
      <c r="L32" s="34"/>
      <c r="M32" s="37"/>
      <c r="N32" s="33"/>
      <c r="O32" s="33"/>
      <c r="P32" s="33"/>
      <c r="Q32" s="33"/>
      <c r="R32" s="34"/>
    </row>
    <row r="33" spans="1:30" ht="19.5" x14ac:dyDescent="0.4">
      <c r="A33" s="174" t="s">
        <v>49</v>
      </c>
      <c r="B33" s="175"/>
      <c r="C33" s="175"/>
      <c r="D33" s="175"/>
      <c r="E33" s="175"/>
      <c r="F33" s="176"/>
      <c r="G33" s="174" t="s">
        <v>49</v>
      </c>
      <c r="H33" s="175"/>
      <c r="I33" s="175"/>
      <c r="J33" s="175"/>
      <c r="K33" s="175"/>
      <c r="L33" s="176"/>
      <c r="M33" s="174" t="s">
        <v>49</v>
      </c>
      <c r="N33" s="175"/>
      <c r="O33" s="175"/>
      <c r="P33" s="175"/>
      <c r="Q33" s="175"/>
      <c r="R33" s="17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</row>
    <row r="34" spans="1:30" x14ac:dyDescent="0.2">
      <c r="A34" s="30"/>
      <c r="B34" s="33"/>
      <c r="C34" s="33"/>
      <c r="D34" s="33"/>
      <c r="E34" s="33"/>
      <c r="F34" s="34"/>
      <c r="G34" s="30"/>
      <c r="H34" s="33"/>
      <c r="I34" s="33"/>
      <c r="J34" s="33"/>
      <c r="K34" s="33"/>
      <c r="L34" s="34"/>
      <c r="M34" s="30"/>
      <c r="N34" s="33"/>
      <c r="O34" s="33"/>
      <c r="P34" s="33"/>
      <c r="Q34" s="33"/>
      <c r="R34" s="34"/>
    </row>
    <row r="35" spans="1:30" x14ac:dyDescent="0.2">
      <c r="A35" s="35"/>
      <c r="B35" s="33"/>
      <c r="C35" s="38"/>
      <c r="D35" s="38" t="s">
        <v>10</v>
      </c>
      <c r="E35" s="38" t="s">
        <v>11</v>
      </c>
      <c r="F35" s="34"/>
      <c r="G35" s="35"/>
      <c r="H35" s="33"/>
      <c r="I35" s="38"/>
      <c r="J35" s="38" t="s">
        <v>10</v>
      </c>
      <c r="K35" s="38" t="s">
        <v>11</v>
      </c>
      <c r="L35" s="34"/>
      <c r="M35" s="35"/>
      <c r="N35" s="33"/>
      <c r="O35" s="38"/>
      <c r="P35" s="38" t="s">
        <v>10</v>
      </c>
      <c r="Q35" s="38" t="s">
        <v>11</v>
      </c>
      <c r="R35" s="34"/>
      <c r="U35" s="67"/>
      <c r="V35" s="67"/>
      <c r="W35" s="67"/>
      <c r="AA35" s="67"/>
      <c r="AB35" s="67"/>
      <c r="AC35" s="67"/>
    </row>
    <row r="36" spans="1:30" x14ac:dyDescent="0.2">
      <c r="A36" s="37"/>
      <c r="B36" s="33"/>
      <c r="C36" s="53" t="s">
        <v>7</v>
      </c>
      <c r="D36" s="53" t="s">
        <v>12</v>
      </c>
      <c r="E36" s="53" t="s">
        <v>13</v>
      </c>
      <c r="F36" s="34"/>
      <c r="G36" s="37"/>
      <c r="H36" s="33"/>
      <c r="I36" s="53" t="s">
        <v>7</v>
      </c>
      <c r="J36" s="53" t="s">
        <v>12</v>
      </c>
      <c r="K36" s="53" t="s">
        <v>13</v>
      </c>
      <c r="L36" s="34"/>
      <c r="M36" s="37"/>
      <c r="N36" s="33"/>
      <c r="O36" s="53" t="s">
        <v>7</v>
      </c>
      <c r="P36" s="53" t="s">
        <v>12</v>
      </c>
      <c r="Q36" s="53" t="s">
        <v>13</v>
      </c>
      <c r="R36" s="34"/>
      <c r="U36" s="67"/>
      <c r="V36" s="67"/>
      <c r="W36" s="67"/>
      <c r="AA36" s="67"/>
      <c r="AB36" s="67"/>
      <c r="AC36" s="67"/>
    </row>
    <row r="37" spans="1:30" ht="16.5" x14ac:dyDescent="0.35">
      <c r="A37" s="40" t="str">
        <f>A10</f>
        <v>Projected Revenue - NA</v>
      </c>
      <c r="B37" s="41"/>
      <c r="C37" s="42"/>
      <c r="D37" s="42"/>
      <c r="E37" s="42"/>
      <c r="F37" s="34"/>
      <c r="G37" s="40" t="str">
        <f>G10</f>
        <v>Projected Revenue - NA</v>
      </c>
      <c r="H37" s="41"/>
      <c r="I37" s="42"/>
      <c r="J37" s="42"/>
      <c r="K37" s="42"/>
      <c r="L37" s="34"/>
      <c r="M37" s="40" t="str">
        <f>M10</f>
        <v>Projected Revenue - NA</v>
      </c>
      <c r="N37" s="41"/>
      <c r="O37" s="42"/>
      <c r="P37" s="42"/>
      <c r="Q37" s="42"/>
      <c r="R37" s="34"/>
      <c r="S37" s="69"/>
      <c r="T37" s="69"/>
      <c r="U37" s="70"/>
      <c r="V37" s="70"/>
      <c r="W37" s="70"/>
      <c r="Y37" s="69"/>
      <c r="Z37" s="69"/>
      <c r="AA37" s="70"/>
      <c r="AB37" s="70"/>
      <c r="AC37" s="70"/>
    </row>
    <row r="38" spans="1:30" x14ac:dyDescent="0.2">
      <c r="A38" s="37" t="str">
        <f>A11</f>
        <v>Feb - Mar 2019 with adjustment factor</v>
      </c>
      <c r="B38" s="46"/>
      <c r="C38" s="95"/>
      <c r="D38" s="44">
        <v>0</v>
      </c>
      <c r="E38" s="43">
        <f>D38*C38</f>
        <v>0</v>
      </c>
      <c r="F38" s="34"/>
      <c r="G38" s="37" t="str">
        <f>G11</f>
        <v>Oct - Dec 2018 with adjustment factor</v>
      </c>
      <c r="H38" s="46"/>
      <c r="I38" s="95"/>
      <c r="J38" s="44">
        <v>0</v>
      </c>
      <c r="K38" s="43">
        <f>J38*I38</f>
        <v>0</v>
      </c>
      <c r="L38" s="34"/>
      <c r="M38" s="37" t="str">
        <f>M11</f>
        <v>Jul-Jun projected value without adjustment factor</v>
      </c>
      <c r="N38" s="46"/>
      <c r="O38" s="95"/>
      <c r="P38" s="44">
        <v>0</v>
      </c>
      <c r="Q38" s="43">
        <f>P38*O38</f>
        <v>0</v>
      </c>
      <c r="R38" s="34"/>
      <c r="T38" s="74"/>
      <c r="U38" s="71"/>
      <c r="V38" s="72"/>
      <c r="W38" s="71"/>
      <c r="Z38" s="74"/>
      <c r="AA38" s="71"/>
      <c r="AB38" s="72"/>
      <c r="AC38" s="71"/>
    </row>
    <row r="39" spans="1:30" ht="15" x14ac:dyDescent="0.35">
      <c r="A39" s="45"/>
      <c r="B39" s="46"/>
      <c r="C39" s="96">
        <v>0</v>
      </c>
      <c r="D39" s="44">
        <v>0</v>
      </c>
      <c r="E39" s="43">
        <f>D39*C39</f>
        <v>0</v>
      </c>
      <c r="F39" s="34"/>
      <c r="G39" s="45"/>
      <c r="H39" s="46"/>
      <c r="I39" s="96">
        <v>0</v>
      </c>
      <c r="J39" s="44">
        <v>0</v>
      </c>
      <c r="K39" s="43">
        <f>J39*I39</f>
        <v>0</v>
      </c>
      <c r="L39" s="34"/>
      <c r="M39" s="45"/>
      <c r="N39" s="46"/>
      <c r="O39" s="96">
        <v>0</v>
      </c>
      <c r="P39" s="44">
        <v>0</v>
      </c>
      <c r="Q39" s="43">
        <f>P39*O39</f>
        <v>0</v>
      </c>
      <c r="R39" s="34"/>
      <c r="S39" s="73"/>
      <c r="T39" s="74"/>
      <c r="U39" s="75"/>
      <c r="V39" s="72"/>
      <c r="W39" s="75"/>
      <c r="Y39" s="73"/>
      <c r="Z39" s="74"/>
      <c r="AA39" s="75"/>
      <c r="AB39" s="72"/>
      <c r="AC39" s="75"/>
    </row>
    <row r="40" spans="1:30" x14ac:dyDescent="0.2">
      <c r="A40" s="37" t="s">
        <v>11</v>
      </c>
      <c r="B40" s="33"/>
      <c r="C40" s="43">
        <f>SUM(C38:C39)</f>
        <v>0</v>
      </c>
      <c r="D40" s="43"/>
      <c r="E40" s="43">
        <f>SUM(E38:E39)</f>
        <v>0</v>
      </c>
      <c r="F40" s="34"/>
      <c r="G40" s="37" t="s">
        <v>11</v>
      </c>
      <c r="H40" s="33"/>
      <c r="I40" s="43">
        <f>SUM(I38:I39)</f>
        <v>0</v>
      </c>
      <c r="J40" s="43"/>
      <c r="K40" s="43">
        <f>SUM(K38:K39)</f>
        <v>0</v>
      </c>
      <c r="L40" s="34"/>
      <c r="M40" s="37" t="s">
        <v>11</v>
      </c>
      <c r="N40" s="33"/>
      <c r="O40" s="43">
        <f>SUM(O38:O39)</f>
        <v>0</v>
      </c>
      <c r="P40" s="43"/>
      <c r="Q40" s="43">
        <f>SUM(Q38:Q39)</f>
        <v>0</v>
      </c>
      <c r="R40" s="34"/>
      <c r="U40" s="71"/>
      <c r="W40" s="71"/>
      <c r="AA40" s="71"/>
      <c r="AC40" s="71"/>
    </row>
    <row r="41" spans="1:30" x14ac:dyDescent="0.2">
      <c r="A41" s="37"/>
      <c r="B41" s="33"/>
      <c r="C41" s="33"/>
      <c r="D41" s="33"/>
      <c r="E41" s="33"/>
      <c r="F41" s="34"/>
      <c r="G41" s="37"/>
      <c r="H41" s="33"/>
      <c r="I41" s="33"/>
      <c r="J41" s="33"/>
      <c r="K41" s="33"/>
      <c r="L41" s="34"/>
      <c r="M41" s="37"/>
      <c r="N41" s="33"/>
      <c r="O41" s="33"/>
      <c r="P41" s="33"/>
      <c r="Q41" s="33"/>
      <c r="R41" s="34"/>
    </row>
    <row r="42" spans="1:30" x14ac:dyDescent="0.2">
      <c r="A42" s="37" t="s">
        <v>14</v>
      </c>
      <c r="B42" s="33"/>
      <c r="C42" s="33"/>
      <c r="D42" s="33"/>
      <c r="E42" s="95"/>
      <c r="F42" s="34"/>
      <c r="G42" s="37" t="s">
        <v>14</v>
      </c>
      <c r="H42" s="33"/>
      <c r="I42" s="33"/>
      <c r="J42" s="33"/>
      <c r="K42" s="95"/>
      <c r="L42" s="34"/>
      <c r="M42" s="37" t="s">
        <v>14</v>
      </c>
      <c r="N42" s="33"/>
      <c r="O42" s="33"/>
      <c r="P42" s="33"/>
      <c r="Q42" s="95"/>
      <c r="R42" s="34"/>
      <c r="W42" s="71"/>
      <c r="AC42" s="71"/>
    </row>
    <row r="43" spans="1:30" x14ac:dyDescent="0.2">
      <c r="A43" s="37"/>
      <c r="B43" s="33"/>
      <c r="C43" s="33"/>
      <c r="D43" s="33"/>
      <c r="E43" s="33"/>
      <c r="F43" s="34"/>
      <c r="G43" s="37"/>
      <c r="H43" s="33"/>
      <c r="I43" s="33"/>
      <c r="J43" s="33"/>
      <c r="K43" s="33"/>
      <c r="L43" s="34"/>
      <c r="M43" s="37"/>
      <c r="N43" s="33"/>
      <c r="O43" s="33"/>
      <c r="P43" s="33"/>
      <c r="Q43" s="33"/>
      <c r="R43" s="34"/>
    </row>
    <row r="44" spans="1:30" x14ac:dyDescent="0.2">
      <c r="A44" s="37" t="s">
        <v>15</v>
      </c>
      <c r="B44" s="33"/>
      <c r="C44" s="33"/>
      <c r="D44" s="33"/>
      <c r="E44" s="43">
        <f>E42-E40</f>
        <v>0</v>
      </c>
      <c r="F44" s="34"/>
      <c r="G44" s="37" t="s">
        <v>15</v>
      </c>
      <c r="H44" s="33"/>
      <c r="I44" s="33"/>
      <c r="J44" s="33"/>
      <c r="K44" s="43">
        <f>K42-K40</f>
        <v>0</v>
      </c>
      <c r="L44" s="34"/>
      <c r="M44" s="37" t="s">
        <v>15</v>
      </c>
      <c r="N44" s="33"/>
      <c r="O44" s="33"/>
      <c r="P44" s="33"/>
      <c r="Q44" s="43">
        <f>Q42-Q40</f>
        <v>0</v>
      </c>
      <c r="R44" s="34"/>
      <c r="W44" s="71"/>
      <c r="AC44" s="71"/>
    </row>
    <row r="45" spans="1:30" x14ac:dyDescent="0.2">
      <c r="A45" s="37"/>
      <c r="B45" s="33"/>
      <c r="C45" s="33"/>
      <c r="D45" s="33"/>
      <c r="E45" s="33"/>
      <c r="F45" s="34"/>
      <c r="G45" s="37"/>
      <c r="H45" s="33"/>
      <c r="I45" s="33"/>
      <c r="J45" s="33"/>
      <c r="K45" s="33"/>
      <c r="L45" s="34"/>
      <c r="M45" s="37"/>
      <c r="N45" s="33"/>
      <c r="O45" s="33"/>
      <c r="P45" s="33"/>
      <c r="Q45" s="33"/>
      <c r="R45" s="34"/>
    </row>
    <row r="46" spans="1:30" x14ac:dyDescent="0.2">
      <c r="A46" s="37" t="s">
        <v>16</v>
      </c>
      <c r="B46" s="33"/>
      <c r="C46" s="33"/>
      <c r="D46" s="33"/>
      <c r="E46" s="43">
        <f>+C40</f>
        <v>0</v>
      </c>
      <c r="F46" s="34"/>
      <c r="G46" s="37" t="s">
        <v>16</v>
      </c>
      <c r="H46" s="33"/>
      <c r="I46" s="33"/>
      <c r="J46" s="33"/>
      <c r="K46" s="43">
        <f>+I40</f>
        <v>0</v>
      </c>
      <c r="L46" s="34"/>
      <c r="M46" s="37" t="s">
        <v>16</v>
      </c>
      <c r="N46" s="33"/>
      <c r="O46" s="33"/>
      <c r="P46" s="33"/>
      <c r="Q46" s="43">
        <f>+O40</f>
        <v>0</v>
      </c>
      <c r="R46" s="34"/>
      <c r="W46" s="71"/>
      <c r="AC46" s="71"/>
    </row>
    <row r="47" spans="1:30" x14ac:dyDescent="0.2">
      <c r="A47" s="37"/>
      <c r="B47" s="33"/>
      <c r="C47" s="33"/>
      <c r="D47" s="33"/>
      <c r="E47" s="33"/>
      <c r="F47" s="34"/>
      <c r="G47" s="37"/>
      <c r="H47" s="33"/>
      <c r="I47" s="33"/>
      <c r="J47" s="33"/>
      <c r="K47" s="33"/>
      <c r="L47" s="34"/>
      <c r="M47" s="37"/>
      <c r="N47" s="33"/>
      <c r="O47" s="33"/>
      <c r="P47" s="33"/>
      <c r="Q47" s="33"/>
      <c r="R47" s="34"/>
    </row>
    <row r="48" spans="1:30" x14ac:dyDescent="0.2">
      <c r="A48" s="37" t="s">
        <v>17</v>
      </c>
      <c r="B48" s="33"/>
      <c r="C48" s="33"/>
      <c r="D48" s="33"/>
      <c r="E48" s="33"/>
      <c r="F48" s="54" t="e">
        <f>ROUND((E44/E46),2)</f>
        <v>#DIV/0!</v>
      </c>
      <c r="G48" s="37" t="s">
        <v>17</v>
      </c>
      <c r="H48" s="33"/>
      <c r="I48" s="33"/>
      <c r="J48" s="33"/>
      <c r="K48" s="33"/>
      <c r="L48" s="54" t="e">
        <f>ROUND((K44/K46),2)</f>
        <v>#DIV/0!</v>
      </c>
      <c r="M48" s="37" t="s">
        <v>17</v>
      </c>
      <c r="N48" s="33"/>
      <c r="O48" s="33"/>
      <c r="P48" s="33"/>
      <c r="Q48" s="33"/>
      <c r="R48" s="54" t="e">
        <f>ROUND((Q44/Q46),2)</f>
        <v>#DIV/0!</v>
      </c>
      <c r="X48" s="83"/>
      <c r="AD48" s="83"/>
    </row>
    <row r="49" spans="1:30" x14ac:dyDescent="0.2">
      <c r="A49" s="37"/>
      <c r="B49" s="33"/>
      <c r="C49" s="33"/>
      <c r="D49" s="33"/>
      <c r="E49" s="43"/>
      <c r="F49" s="34"/>
      <c r="G49" s="37"/>
      <c r="H49" s="33"/>
      <c r="I49" s="33"/>
      <c r="J49" s="33"/>
      <c r="K49" s="43"/>
      <c r="L49" s="34"/>
      <c r="M49" s="37"/>
      <c r="N49" s="33"/>
      <c r="O49" s="33"/>
      <c r="P49" s="33"/>
      <c r="Q49" s="43"/>
      <c r="R49" s="34"/>
      <c r="W49" s="71"/>
      <c r="AC49" s="71"/>
    </row>
    <row r="50" spans="1:30" ht="16.5" x14ac:dyDescent="0.35">
      <c r="A50" s="98" t="str">
        <f>A23</f>
        <v>Projected Revenue Oct 2019 - Mar 2020</v>
      </c>
      <c r="B50" s="41"/>
      <c r="C50" s="33"/>
      <c r="D50" s="33"/>
      <c r="E50" s="97"/>
      <c r="F50" s="34"/>
      <c r="G50" s="98" t="str">
        <f>G23</f>
        <v>Projected Revenue Apr 2019 - Sep 2019</v>
      </c>
      <c r="H50" s="41"/>
      <c r="I50" s="33"/>
      <c r="J50" s="33"/>
      <c r="K50" s="97"/>
      <c r="L50" s="34"/>
      <c r="M50" s="98" t="str">
        <f>M23</f>
        <v>Projected Revenue Oct 2018 - Mar 2019</v>
      </c>
      <c r="N50" s="41"/>
      <c r="O50" s="33"/>
      <c r="P50" s="33"/>
      <c r="Q50" s="97"/>
      <c r="R50" s="34"/>
      <c r="S50" s="69"/>
      <c r="T50" s="69"/>
      <c r="W50" s="77"/>
      <c r="Y50" s="69"/>
      <c r="Z50" s="69"/>
      <c r="AC50" s="77"/>
    </row>
    <row r="51" spans="1:30" x14ac:dyDescent="0.2">
      <c r="A51" s="37" t="s">
        <v>16</v>
      </c>
      <c r="B51" s="33"/>
      <c r="C51" s="33"/>
      <c r="D51" s="33"/>
      <c r="E51" s="43">
        <f>E46</f>
        <v>0</v>
      </c>
      <c r="F51" s="34"/>
      <c r="G51" s="37" t="s">
        <v>16</v>
      </c>
      <c r="H51" s="33"/>
      <c r="I51" s="33"/>
      <c r="J51" s="33"/>
      <c r="K51" s="43">
        <f>K46</f>
        <v>0</v>
      </c>
      <c r="L51" s="34"/>
      <c r="M51" s="37" t="s">
        <v>16</v>
      </c>
      <c r="N51" s="33"/>
      <c r="O51" s="33"/>
      <c r="P51" s="33"/>
      <c r="Q51" s="43">
        <f>Q46</f>
        <v>0</v>
      </c>
      <c r="R51" s="34"/>
      <c r="W51" s="71"/>
      <c r="AC51" s="71"/>
    </row>
    <row r="52" spans="1:30" ht="15" x14ac:dyDescent="0.35">
      <c r="A52" s="37" t="s">
        <v>18</v>
      </c>
      <c r="B52" s="33"/>
      <c r="C52" s="33"/>
      <c r="D52" s="33"/>
      <c r="E52" s="33"/>
      <c r="F52" s="55" t="e">
        <f>ROUND((E50/E51),2)</f>
        <v>#DIV/0!</v>
      </c>
      <c r="G52" s="37" t="s">
        <v>18</v>
      </c>
      <c r="H52" s="33"/>
      <c r="I52" s="33"/>
      <c r="J52" s="33"/>
      <c r="K52" s="33"/>
      <c r="L52" s="55" t="e">
        <f>ROUND((K50/K51),2)</f>
        <v>#DIV/0!</v>
      </c>
      <c r="M52" s="37" t="s">
        <v>18</v>
      </c>
      <c r="N52" s="33"/>
      <c r="O52" s="33"/>
      <c r="P52" s="33"/>
      <c r="Q52" s="33"/>
      <c r="R52" s="55" t="e">
        <f>ROUND((Q50/Q51),2)</f>
        <v>#DIV/0!</v>
      </c>
      <c r="X52" s="79"/>
      <c r="AD52" s="79"/>
    </row>
    <row r="53" spans="1:30" x14ac:dyDescent="0.2">
      <c r="A53" s="37"/>
      <c r="B53" s="33"/>
      <c r="C53" s="33"/>
      <c r="D53" s="33"/>
      <c r="E53" s="33"/>
      <c r="F53" s="34"/>
      <c r="G53" s="37"/>
      <c r="H53" s="33"/>
      <c r="I53" s="33"/>
      <c r="J53" s="33"/>
      <c r="K53" s="33"/>
      <c r="L53" s="34"/>
      <c r="M53" s="37"/>
      <c r="N53" s="33"/>
      <c r="O53" s="33"/>
      <c r="P53" s="33"/>
      <c r="Q53" s="33"/>
      <c r="R53" s="34"/>
    </row>
    <row r="54" spans="1:30" ht="18.75" thickBot="1" x14ac:dyDescent="0.4">
      <c r="A54" s="30" t="s">
        <v>19</v>
      </c>
      <c r="B54" s="31"/>
      <c r="C54" s="33"/>
      <c r="D54" s="33"/>
      <c r="E54" s="33"/>
      <c r="F54" s="50" t="e">
        <f>+F52+F48</f>
        <v>#DIV/0!</v>
      </c>
      <c r="G54" s="30" t="s">
        <v>19</v>
      </c>
      <c r="H54" s="31"/>
      <c r="I54" s="33"/>
      <c r="J54" s="33"/>
      <c r="K54" s="33"/>
      <c r="L54" s="50" t="e">
        <f>+L52+L48</f>
        <v>#DIV/0!</v>
      </c>
      <c r="M54" s="30" t="s">
        <v>19</v>
      </c>
      <c r="N54" s="31"/>
      <c r="O54" s="33"/>
      <c r="P54" s="33"/>
      <c r="Q54" s="33"/>
      <c r="R54" s="50" t="e">
        <f>+R52+R48</f>
        <v>#DIV/0!</v>
      </c>
      <c r="S54" s="62"/>
      <c r="T54" s="62"/>
      <c r="X54" s="80"/>
      <c r="Y54" s="62"/>
      <c r="Z54" s="62"/>
      <c r="AD54" s="80"/>
    </row>
    <row r="55" spans="1:30" ht="18.75" thickTop="1" x14ac:dyDescent="0.35">
      <c r="A55" s="30"/>
      <c r="B55" s="31"/>
      <c r="C55" s="33"/>
      <c r="D55" s="33"/>
      <c r="E55" s="33"/>
      <c r="F55" s="56"/>
      <c r="G55" s="30"/>
      <c r="H55" s="31"/>
      <c r="I55" s="33"/>
      <c r="J55" s="33"/>
      <c r="K55" s="33"/>
      <c r="L55" s="56"/>
      <c r="M55" s="30"/>
      <c r="N55" s="31"/>
      <c r="O55" s="33"/>
      <c r="P55" s="33"/>
      <c r="Q55" s="33"/>
      <c r="R55" s="56"/>
      <c r="S55" s="62"/>
      <c r="T55" s="62"/>
      <c r="X55" s="80"/>
      <c r="Y55" s="62"/>
      <c r="Z55" s="62"/>
      <c r="AB55" s="81"/>
      <c r="AD55" s="80"/>
    </row>
    <row r="56" spans="1:30" ht="15" x14ac:dyDescent="0.35">
      <c r="A56" s="45"/>
      <c r="B56" s="33"/>
      <c r="C56" s="33"/>
      <c r="D56" s="33"/>
      <c r="E56" s="33"/>
      <c r="F56" s="52"/>
      <c r="G56" s="45"/>
      <c r="H56" s="33"/>
      <c r="I56" s="33"/>
      <c r="J56" s="33"/>
      <c r="K56" s="33"/>
      <c r="L56" s="52"/>
      <c r="M56" s="45"/>
      <c r="N56" s="33"/>
      <c r="O56" s="33"/>
      <c r="P56" s="33"/>
      <c r="Q56" s="33"/>
      <c r="R56" s="52"/>
    </row>
    <row r="57" spans="1:30" ht="13.5" thickBot="1" x14ac:dyDescent="0.25">
      <c r="A57" s="57"/>
      <c r="B57" s="58"/>
      <c r="C57" s="58"/>
      <c r="D57" s="58"/>
      <c r="E57" s="58"/>
      <c r="F57" s="59"/>
      <c r="G57" s="57"/>
      <c r="H57" s="58"/>
      <c r="I57" s="58"/>
      <c r="J57" s="58"/>
      <c r="K57" s="58"/>
      <c r="L57" s="59"/>
      <c r="M57" s="57"/>
      <c r="N57" s="58"/>
      <c r="O57" s="58"/>
      <c r="P57" s="58"/>
      <c r="Q57" s="58"/>
      <c r="R57" s="59"/>
      <c r="AB57" s="81"/>
      <c r="AD57" s="84"/>
    </row>
  </sheetData>
  <mergeCells count="9">
    <mergeCell ref="M4:R4"/>
    <mergeCell ref="M6:R6"/>
    <mergeCell ref="M33:R33"/>
    <mergeCell ref="A4:F4"/>
    <mergeCell ref="A6:F6"/>
    <mergeCell ref="A33:F33"/>
    <mergeCell ref="G4:L4"/>
    <mergeCell ref="G6:L6"/>
    <mergeCell ref="G33:L33"/>
  </mergeCells>
  <phoneticPr fontId="7" type="noConversion"/>
  <pageMargins left="0.92" right="0.25" top="0.45" bottom="0.37" header="0.3" footer="0.3"/>
  <pageSetup scale="94" fitToWidth="0" orientation="portrait" horizontalDpi="300" verticalDpi="300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opLeftCell="A7" workbookViewId="0">
      <selection activeCell="J14" sqref="J14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  <col min="15" max="15" width="12.140625" bestFit="1" customWidth="1"/>
  </cols>
  <sheetData>
    <row r="1" spans="1:10" ht="23.25" x14ac:dyDescent="0.35">
      <c r="A1" s="177" t="s">
        <v>22</v>
      </c>
      <c r="B1" s="177"/>
      <c r="C1" s="177"/>
      <c r="D1" s="177"/>
      <c r="E1" s="177"/>
      <c r="F1" s="177"/>
      <c r="G1" s="177"/>
    </row>
    <row r="2" spans="1:10" ht="18" x14ac:dyDescent="0.25">
      <c r="A2" s="178" t="s">
        <v>23</v>
      </c>
      <c r="B2" s="178"/>
      <c r="C2" s="178"/>
      <c r="D2" s="178"/>
      <c r="E2" s="178"/>
      <c r="F2" s="178"/>
      <c r="G2" s="178"/>
    </row>
    <row r="3" spans="1:10" ht="15.75" x14ac:dyDescent="0.25">
      <c r="A3" s="179" t="s">
        <v>83</v>
      </c>
      <c r="B3" s="179"/>
      <c r="C3" s="179"/>
      <c r="D3" s="179"/>
      <c r="E3" s="179"/>
      <c r="F3" s="179"/>
      <c r="G3" s="179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  <c r="G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4" t="s">
        <v>1</v>
      </c>
      <c r="C8" s="5" t="s">
        <v>2</v>
      </c>
      <c r="D8" s="4" t="s">
        <v>3</v>
      </c>
      <c r="E8" s="4" t="s">
        <v>4</v>
      </c>
      <c r="F8" s="4" t="s">
        <v>5</v>
      </c>
      <c r="G8" s="4" t="s">
        <v>5</v>
      </c>
    </row>
    <row r="9" spans="1:10" ht="16.5" thickBot="1" x14ac:dyDescent="0.3">
      <c r="B9" s="6"/>
      <c r="C9" s="7"/>
      <c r="D9" s="6"/>
      <c r="E9" s="8"/>
      <c r="F9" s="6" t="s">
        <v>6</v>
      </c>
      <c r="G9" s="6"/>
    </row>
    <row r="10" spans="1:10" ht="16.5" thickTop="1" x14ac:dyDescent="0.25">
      <c r="B10" s="9"/>
      <c r="C10" s="10"/>
      <c r="D10" s="10"/>
      <c r="E10" s="9"/>
      <c r="F10" s="11"/>
      <c r="G10" s="122"/>
    </row>
    <row r="11" spans="1:10" ht="15.75" x14ac:dyDescent="0.25">
      <c r="B11" s="19" t="s">
        <v>43</v>
      </c>
      <c r="C11" s="107">
        <v>0</v>
      </c>
      <c r="D11" s="107">
        <v>280920</v>
      </c>
      <c r="E11" s="108">
        <f t="shared" ref="E11:E16" si="0">D11/2000</f>
        <v>140.46</v>
      </c>
      <c r="F11" s="100">
        <f t="shared" ref="F11:F16" si="1">G11/E11</f>
        <v>-68.020432863448661</v>
      </c>
      <c r="G11" s="109">
        <v>-9554.15</v>
      </c>
      <c r="I11" s="93"/>
      <c r="J11" s="94"/>
    </row>
    <row r="12" spans="1:10" ht="15.75" x14ac:dyDescent="0.25">
      <c r="B12" s="20" t="s">
        <v>44</v>
      </c>
      <c r="C12" s="107">
        <v>0</v>
      </c>
      <c r="D12" s="107">
        <v>237400</v>
      </c>
      <c r="E12" s="108">
        <f t="shared" si="0"/>
        <v>118.7</v>
      </c>
      <c r="F12" s="100">
        <f t="shared" si="1"/>
        <v>-82.125779275484419</v>
      </c>
      <c r="G12" s="109">
        <v>-9748.33</v>
      </c>
      <c r="I12" s="93"/>
      <c r="J12" s="94"/>
    </row>
    <row r="13" spans="1:10" ht="15.75" x14ac:dyDescent="0.25">
      <c r="B13" s="20" t="s">
        <v>45</v>
      </c>
      <c r="C13" s="107">
        <v>0</v>
      </c>
      <c r="D13" s="107">
        <v>292420</v>
      </c>
      <c r="E13" s="108">
        <f t="shared" si="0"/>
        <v>146.21</v>
      </c>
      <c r="F13" s="100">
        <f t="shared" si="1"/>
        <v>-59.954859448738112</v>
      </c>
      <c r="G13" s="109">
        <v>-8766</v>
      </c>
      <c r="I13" s="93"/>
      <c r="J13" s="94"/>
    </row>
    <row r="14" spans="1:10" ht="15.75" x14ac:dyDescent="0.25">
      <c r="B14" s="20" t="s">
        <v>46</v>
      </c>
      <c r="C14" s="107">
        <v>0</v>
      </c>
      <c r="D14" s="107">
        <v>300220</v>
      </c>
      <c r="E14" s="108">
        <f t="shared" si="0"/>
        <v>150.11000000000001</v>
      </c>
      <c r="F14" s="100">
        <f t="shared" si="1"/>
        <v>-94.944773832522813</v>
      </c>
      <c r="G14" s="109">
        <v>-14252.16</v>
      </c>
      <c r="I14" s="93"/>
      <c r="J14" s="94"/>
    </row>
    <row r="15" spans="1:10" ht="15.75" x14ac:dyDescent="0.25">
      <c r="B15" s="20" t="s">
        <v>47</v>
      </c>
      <c r="C15" s="107">
        <v>0</v>
      </c>
      <c r="D15" s="107">
        <v>252560</v>
      </c>
      <c r="E15" s="108">
        <f t="shared" si="0"/>
        <v>126.28</v>
      </c>
      <c r="F15" s="100">
        <f t="shared" si="1"/>
        <v>-66.74208108964207</v>
      </c>
      <c r="G15" s="109">
        <v>-8428.19</v>
      </c>
      <c r="I15" s="93"/>
      <c r="J15" s="94"/>
    </row>
    <row r="16" spans="1:10" ht="15.75" x14ac:dyDescent="0.25">
      <c r="B16" s="20" t="s">
        <v>72</v>
      </c>
      <c r="C16" s="107">
        <v>0</v>
      </c>
      <c r="D16" s="107">
        <v>290880</v>
      </c>
      <c r="E16" s="108">
        <f t="shared" si="0"/>
        <v>145.44</v>
      </c>
      <c r="F16" s="100">
        <f t="shared" si="1"/>
        <v>-121.65291529152915</v>
      </c>
      <c r="G16" s="109">
        <v>-17693.2</v>
      </c>
      <c r="I16" s="93"/>
      <c r="J16" s="94"/>
    </row>
    <row r="17" spans="1:15" ht="15.75" x14ac:dyDescent="0.25">
      <c r="B17" s="19" t="s">
        <v>77</v>
      </c>
      <c r="C17" s="107">
        <v>0</v>
      </c>
      <c r="D17" s="107">
        <v>218920</v>
      </c>
      <c r="E17" s="106">
        <f t="shared" ref="E17:E22" si="2">D17/2000</f>
        <v>109.46</v>
      </c>
      <c r="F17" s="100">
        <f t="shared" ref="F17:F22" si="3">G17/E17</f>
        <v>-115.04969852000731</v>
      </c>
      <c r="G17" s="109">
        <v>-12593.34</v>
      </c>
      <c r="I17" s="93"/>
      <c r="J17" s="19"/>
      <c r="K17" s="107"/>
      <c r="L17" s="107"/>
      <c r="M17" s="108"/>
      <c r="N17" s="100"/>
      <c r="O17" s="109"/>
    </row>
    <row r="18" spans="1:15" ht="15.75" x14ac:dyDescent="0.25">
      <c r="B18" s="19" t="s">
        <v>78</v>
      </c>
      <c r="C18" s="107">
        <v>0</v>
      </c>
      <c r="D18" s="107">
        <v>245000</v>
      </c>
      <c r="E18" s="108">
        <f t="shared" si="2"/>
        <v>122.5</v>
      </c>
      <c r="F18" s="100">
        <f t="shared" si="3"/>
        <v>-108.17134693877551</v>
      </c>
      <c r="G18" s="109">
        <v>-13250.99</v>
      </c>
      <c r="I18" s="93"/>
      <c r="J18" s="20"/>
      <c r="K18" s="107"/>
      <c r="L18" s="107"/>
      <c r="M18" s="108"/>
      <c r="N18" s="100"/>
      <c r="O18" s="109"/>
    </row>
    <row r="19" spans="1:15" ht="15.75" x14ac:dyDescent="0.25">
      <c r="B19" s="19" t="s">
        <v>79</v>
      </c>
      <c r="C19" s="107">
        <v>0</v>
      </c>
      <c r="D19" s="107">
        <v>279480</v>
      </c>
      <c r="E19" s="108">
        <f t="shared" si="2"/>
        <v>139.74</v>
      </c>
      <c r="F19" s="100">
        <f t="shared" si="3"/>
        <v>-78.060326320309144</v>
      </c>
      <c r="G19" s="109">
        <v>-10908.15</v>
      </c>
      <c r="I19" s="93"/>
      <c r="J19" s="20"/>
      <c r="K19" s="107"/>
      <c r="L19" s="107"/>
      <c r="M19" s="108"/>
      <c r="N19" s="100"/>
      <c r="O19" s="109"/>
    </row>
    <row r="20" spans="1:15" ht="15.75" x14ac:dyDescent="0.25">
      <c r="B20" s="19" t="s">
        <v>80</v>
      </c>
      <c r="C20" s="107">
        <v>0</v>
      </c>
      <c r="D20" s="107">
        <v>252680</v>
      </c>
      <c r="E20" s="108">
        <f t="shared" si="2"/>
        <v>126.34</v>
      </c>
      <c r="F20" s="100">
        <f t="shared" si="3"/>
        <v>-127.74046224473642</v>
      </c>
      <c r="G20" s="109">
        <v>-16138.73</v>
      </c>
      <c r="I20" s="93"/>
      <c r="J20" s="20"/>
      <c r="K20" s="107"/>
      <c r="L20" s="107"/>
      <c r="M20" s="108"/>
      <c r="N20" s="100"/>
      <c r="O20" s="109"/>
    </row>
    <row r="21" spans="1:15" ht="15.75" x14ac:dyDescent="0.25">
      <c r="B21" s="20" t="s">
        <v>81</v>
      </c>
      <c r="C21" s="107">
        <v>0</v>
      </c>
      <c r="D21" s="107">
        <v>214880</v>
      </c>
      <c r="E21" s="108">
        <f t="shared" si="2"/>
        <v>107.44</v>
      </c>
      <c r="F21" s="100">
        <f t="shared" si="3"/>
        <v>-121.07092330603128</v>
      </c>
      <c r="G21" s="109">
        <v>-13007.86</v>
      </c>
      <c r="I21" s="93"/>
      <c r="J21" s="20"/>
      <c r="K21" s="107"/>
      <c r="L21" s="107"/>
      <c r="M21" s="108"/>
      <c r="N21" s="100"/>
      <c r="O21" s="109"/>
    </row>
    <row r="22" spans="1:15" ht="15.75" x14ac:dyDescent="0.25">
      <c r="B22" s="20" t="s">
        <v>82</v>
      </c>
      <c r="C22" s="107">
        <v>0</v>
      </c>
      <c r="D22" s="107">
        <v>237840</v>
      </c>
      <c r="E22" s="108">
        <f t="shared" si="2"/>
        <v>118.92</v>
      </c>
      <c r="F22" s="100">
        <f t="shared" si="3"/>
        <v>-103.00412041708712</v>
      </c>
      <c r="G22" s="109">
        <v>-12249.25</v>
      </c>
      <c r="I22" s="93"/>
      <c r="J22" s="20"/>
      <c r="K22" s="107"/>
      <c r="L22" s="107"/>
      <c r="M22" s="108"/>
      <c r="N22" s="100"/>
      <c r="O22" s="109"/>
    </row>
    <row r="23" spans="1:15" ht="15.75" x14ac:dyDescent="0.25">
      <c r="B23" s="20"/>
      <c r="C23" s="111"/>
      <c r="D23" s="111"/>
      <c r="E23" s="112"/>
      <c r="F23" s="101"/>
      <c r="G23" s="113"/>
      <c r="I23" s="93"/>
      <c r="J23" s="94"/>
    </row>
    <row r="24" spans="1:15" ht="15.75" x14ac:dyDescent="0.25">
      <c r="A24" t="s">
        <v>8</v>
      </c>
      <c r="B24" s="4"/>
      <c r="C24" s="21">
        <f>SUM(C11:C22)</f>
        <v>0</v>
      </c>
      <c r="D24" s="21">
        <f>SUM(D11:D22)</f>
        <v>3103200</v>
      </c>
      <c r="E24" s="24">
        <f>SUM(E11:E22)</f>
        <v>1551.6000000000001</v>
      </c>
      <c r="F24" s="90"/>
      <c r="G24" s="22">
        <f>SUM(G11:G22)</f>
        <v>-146590.34999999998</v>
      </c>
    </row>
    <row r="25" spans="1:15" ht="15.75" x14ac:dyDescent="0.25">
      <c r="B25" s="14"/>
      <c r="C25" s="15"/>
      <c r="D25" s="16"/>
      <c r="E25" s="17" t="s">
        <v>0</v>
      </c>
      <c r="F25" s="91"/>
      <c r="G25" s="13"/>
    </row>
    <row r="26" spans="1:15" ht="15.75" x14ac:dyDescent="0.25">
      <c r="B26" s="14"/>
      <c r="C26" s="15"/>
      <c r="D26" s="16"/>
      <c r="E26" s="17"/>
      <c r="F26" s="91"/>
      <c r="G26" s="126">
        <f>SUM(G17:G22)</f>
        <v>-78148.320000000007</v>
      </c>
    </row>
    <row r="27" spans="1:15" ht="15.75" x14ac:dyDescent="0.25">
      <c r="B27" s="14"/>
      <c r="C27" s="15"/>
      <c r="D27" s="16"/>
      <c r="E27" s="17"/>
      <c r="F27" s="91"/>
      <c r="G27" s="13"/>
    </row>
    <row r="28" spans="1:15" x14ac:dyDescent="0.25">
      <c r="A28" t="s">
        <v>25</v>
      </c>
      <c r="E28" s="86"/>
      <c r="F28" s="92"/>
    </row>
    <row r="29" spans="1:15" x14ac:dyDescent="0.25">
      <c r="E29" s="86"/>
      <c r="F29" s="92"/>
    </row>
    <row r="30" spans="1:15" x14ac:dyDescent="0.25">
      <c r="E30" s="86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topLeftCell="A7" workbookViewId="0">
      <selection activeCell="E23" sqref="E23"/>
    </sheetView>
  </sheetViews>
  <sheetFormatPr defaultRowHeight="15" x14ac:dyDescent="0.25"/>
  <cols>
    <col min="1" max="1" width="3.28515625" customWidth="1"/>
    <col min="2" max="2" width="11.5703125" customWidth="1"/>
    <col min="3" max="3" width="16.42578125" customWidth="1"/>
    <col min="4" max="7" width="12.7109375" customWidth="1"/>
    <col min="8" max="8" width="5.7109375" customWidth="1"/>
    <col min="10" max="10" width="12.28515625" bestFit="1" customWidth="1"/>
  </cols>
  <sheetData>
    <row r="1" spans="1:10" ht="23.25" x14ac:dyDescent="0.35">
      <c r="A1" s="177" t="s">
        <v>22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8" x14ac:dyDescent="0.25">
      <c r="A2" s="178" t="s">
        <v>24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5.75" x14ac:dyDescent="0.25">
      <c r="A3" s="179" t="s">
        <v>83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169"/>
      <c r="D5" s="168"/>
      <c r="E5" s="168"/>
      <c r="F5" s="170"/>
      <c r="G5" s="1"/>
    </row>
    <row r="6" spans="1:10" x14ac:dyDescent="0.25">
      <c r="A6" s="1"/>
      <c r="B6" s="1"/>
      <c r="C6" s="2"/>
      <c r="D6" s="1"/>
      <c r="E6" s="180" t="s">
        <v>39</v>
      </c>
      <c r="F6" s="3"/>
      <c r="G6" s="1"/>
    </row>
    <row r="7" spans="1:10" ht="15" customHeight="1" x14ac:dyDescent="0.25">
      <c r="A7" s="1"/>
      <c r="B7" s="1"/>
      <c r="C7" s="2"/>
      <c r="D7" s="1" t="s">
        <v>50</v>
      </c>
      <c r="E7" s="180"/>
      <c r="F7" s="3"/>
      <c r="G7" s="182" t="s">
        <v>40</v>
      </c>
    </row>
    <row r="8" spans="1:10" ht="15.75" x14ac:dyDescent="0.25">
      <c r="B8" s="4" t="s">
        <v>27</v>
      </c>
      <c r="C8" s="5" t="s">
        <v>7</v>
      </c>
      <c r="D8" s="4" t="s">
        <v>36</v>
      </c>
      <c r="E8" s="180"/>
      <c r="F8" s="4"/>
      <c r="G8" s="182"/>
      <c r="I8" t="s">
        <v>36</v>
      </c>
    </row>
    <row r="9" spans="1:10" ht="16.5" thickBot="1" x14ac:dyDescent="0.3">
      <c r="B9" s="6"/>
      <c r="C9" s="7"/>
      <c r="D9" s="6" t="s">
        <v>51</v>
      </c>
      <c r="E9" s="181"/>
      <c r="F9" s="6"/>
      <c r="G9" s="183"/>
      <c r="I9" s="121" t="s">
        <v>41</v>
      </c>
      <c r="J9" s="123" t="s">
        <v>42</v>
      </c>
    </row>
    <row r="10" spans="1:10" ht="16.5" thickTop="1" x14ac:dyDescent="0.25">
      <c r="B10" s="9"/>
      <c r="C10" s="10"/>
      <c r="D10" s="10"/>
      <c r="E10" s="9"/>
      <c r="F10" s="11"/>
      <c r="G10" s="9"/>
    </row>
    <row r="11" spans="1:10" ht="15.75" x14ac:dyDescent="0.25">
      <c r="B11" s="20" t="s">
        <v>9</v>
      </c>
      <c r="C11" s="103">
        <v>5137</v>
      </c>
      <c r="D11" s="117">
        <v>5.31</v>
      </c>
      <c r="E11" s="105">
        <v>1</v>
      </c>
      <c r="F11" s="88"/>
      <c r="G11" s="120">
        <f>+C11*E11</f>
        <v>5137</v>
      </c>
      <c r="I11" s="93">
        <f>+E11*Analysis!F$27</f>
        <v>-1.8521922612129316</v>
      </c>
      <c r="J11" s="93">
        <f>+I11*C11</f>
        <v>-9514.7116458508299</v>
      </c>
    </row>
    <row r="12" spans="1:10" ht="15.75" x14ac:dyDescent="0.25">
      <c r="B12" s="20" t="s">
        <v>28</v>
      </c>
      <c r="C12" s="103"/>
      <c r="D12" s="104"/>
      <c r="E12" s="106"/>
      <c r="F12" s="89"/>
      <c r="G12" s="88"/>
      <c r="I12" s="93"/>
      <c r="J12" s="93"/>
    </row>
    <row r="13" spans="1:10" ht="15.75" x14ac:dyDescent="0.25">
      <c r="B13" s="20" t="s">
        <v>29</v>
      </c>
      <c r="C13" s="103">
        <v>94</v>
      </c>
      <c r="D13" s="117">
        <f>1.83*4.33</f>
        <v>7.9239000000000006</v>
      </c>
      <c r="E13" s="106">
        <f>+D13/D$11</f>
        <v>1.49225988700565</v>
      </c>
      <c r="F13" s="89"/>
      <c r="G13" s="120">
        <f>+C13*E13</f>
        <v>140.27242937853111</v>
      </c>
      <c r="I13" s="93">
        <f>+E13*Analysis!F$27</f>
        <v>-2.7639522144303488</v>
      </c>
      <c r="J13" s="93">
        <f t="shared" ref="J13:J19" si="0">+I13*C13</f>
        <v>-259.81150815645276</v>
      </c>
    </row>
    <row r="14" spans="1:10" ht="15.75" x14ac:dyDescent="0.25">
      <c r="B14" s="20" t="s">
        <v>30</v>
      </c>
      <c r="C14" s="103">
        <v>11</v>
      </c>
      <c r="D14" s="117">
        <f>2.52*4.33</f>
        <v>10.9116</v>
      </c>
      <c r="E14" s="106">
        <f t="shared" ref="E14:E19" si="1">+D14/D$11</f>
        <v>2.0549152542372884</v>
      </c>
      <c r="F14" s="89"/>
      <c r="G14" s="120">
        <f t="shared" ref="G14:G19" si="2">+C14*E14</f>
        <v>22.604067796610174</v>
      </c>
      <c r="I14" s="93">
        <f>+E14*Analysis!F$27</f>
        <v>-3.8060981313467095</v>
      </c>
      <c r="J14" s="93">
        <f t="shared" si="0"/>
        <v>-41.867079444813804</v>
      </c>
    </row>
    <row r="15" spans="1:10" ht="15.75" x14ac:dyDescent="0.25">
      <c r="B15" s="20" t="s">
        <v>31</v>
      </c>
      <c r="C15" s="103">
        <v>82</v>
      </c>
      <c r="D15" s="117">
        <f>3.24*4.33</f>
        <v>14.029200000000001</v>
      </c>
      <c r="E15" s="106">
        <f t="shared" si="1"/>
        <v>2.6420338983050851</v>
      </c>
      <c r="F15" s="89"/>
      <c r="G15" s="120">
        <f t="shared" si="2"/>
        <v>216.64677966101698</v>
      </c>
      <c r="I15" s="93">
        <f>+E15*Analysis!F$27</f>
        <v>-4.8935547403029123</v>
      </c>
      <c r="J15" s="93">
        <f t="shared" si="0"/>
        <v>-401.27148870483882</v>
      </c>
    </row>
    <row r="16" spans="1:10" ht="15.75" x14ac:dyDescent="0.25">
      <c r="B16" s="99" t="s">
        <v>32</v>
      </c>
      <c r="C16" s="103">
        <v>44</v>
      </c>
      <c r="D16" s="117">
        <f>4.47*4.33</f>
        <v>19.3551</v>
      </c>
      <c r="E16" s="106">
        <f t="shared" si="1"/>
        <v>3.6450282485875709</v>
      </c>
      <c r="F16" s="89"/>
      <c r="G16" s="120">
        <f t="shared" si="2"/>
        <v>160.38124293785313</v>
      </c>
      <c r="I16" s="93">
        <f>+E16*Analysis!F$27</f>
        <v>-6.7512931139364243</v>
      </c>
      <c r="J16" s="93">
        <f t="shared" si="0"/>
        <v>-297.05689701320267</v>
      </c>
    </row>
    <row r="17" spans="1:10" ht="15.75" x14ac:dyDescent="0.25">
      <c r="B17" s="18" t="s">
        <v>33</v>
      </c>
      <c r="C17" s="103">
        <v>55</v>
      </c>
      <c r="D17" s="117">
        <f>5.75*4.33</f>
        <v>24.897500000000001</v>
      </c>
      <c r="E17" s="106">
        <f t="shared" si="1"/>
        <v>4.688794726930321</v>
      </c>
      <c r="F17" s="89"/>
      <c r="G17" s="120">
        <f t="shared" si="2"/>
        <v>257.88370998116767</v>
      </c>
      <c r="I17" s="93">
        <f>+E17*Analysis!F$27</f>
        <v>-8.6845493076363418</v>
      </c>
      <c r="J17" s="93">
        <f t="shared" si="0"/>
        <v>-477.65021191999881</v>
      </c>
    </row>
    <row r="18" spans="1:10" ht="15.75" x14ac:dyDescent="0.25">
      <c r="B18" s="19" t="s">
        <v>34</v>
      </c>
      <c r="C18" s="103">
        <v>135</v>
      </c>
      <c r="D18" s="117">
        <f>8.1*4.33</f>
        <v>35.073</v>
      </c>
      <c r="E18" s="106">
        <f t="shared" si="1"/>
        <v>6.6050847457627127</v>
      </c>
      <c r="F18" s="89"/>
      <c r="G18" s="120">
        <f t="shared" si="2"/>
        <v>891.68644067796617</v>
      </c>
      <c r="I18" s="93">
        <f>+E18*Analysis!F$27</f>
        <v>-12.23388685075728</v>
      </c>
      <c r="J18" s="93">
        <f t="shared" si="0"/>
        <v>-1651.5747248522327</v>
      </c>
    </row>
    <row r="19" spans="1:10" ht="15.75" x14ac:dyDescent="0.25">
      <c r="B19" s="19" t="s">
        <v>35</v>
      </c>
      <c r="C19" s="103">
        <v>106</v>
      </c>
      <c r="D19" s="117">
        <f>10.6*4.33</f>
        <v>45.897999999999996</v>
      </c>
      <c r="E19" s="106">
        <f t="shared" si="1"/>
        <v>8.6436911487758952</v>
      </c>
      <c r="F19" s="89"/>
      <c r="G19" s="120">
        <f t="shared" si="2"/>
        <v>916.23126177024494</v>
      </c>
      <c r="I19" s="93">
        <f>+E19*Analysis!F$27</f>
        <v>-16.009777854077427</v>
      </c>
      <c r="J19" s="93">
        <f t="shared" si="0"/>
        <v>-1697.0364525322072</v>
      </c>
    </row>
    <row r="20" spans="1:10" ht="15.75" x14ac:dyDescent="0.25">
      <c r="B20" s="19"/>
      <c r="C20" s="103"/>
      <c r="D20" s="117"/>
      <c r="E20" s="106"/>
      <c r="F20" s="89"/>
      <c r="G20" s="88"/>
      <c r="I20" s="93"/>
      <c r="J20" s="93"/>
    </row>
    <row r="21" spans="1:10" ht="15.75" x14ac:dyDescent="0.25">
      <c r="B21" s="19"/>
      <c r="C21" s="103"/>
      <c r="D21" s="117"/>
      <c r="E21" s="106"/>
      <c r="F21" s="89"/>
      <c r="G21" s="88"/>
      <c r="I21" s="93"/>
      <c r="J21" s="93"/>
    </row>
    <row r="22" spans="1:10" ht="15.75" x14ac:dyDescent="0.25">
      <c r="B22" s="20"/>
      <c r="C22" s="110"/>
      <c r="D22" s="117"/>
      <c r="E22" s="112"/>
      <c r="F22" s="101"/>
      <c r="G22" s="113"/>
      <c r="I22" s="93"/>
      <c r="J22" s="125"/>
    </row>
    <row r="23" spans="1:10" ht="15.75" x14ac:dyDescent="0.25">
      <c r="A23" t="s">
        <v>8</v>
      </c>
      <c r="B23" s="12"/>
      <c r="C23" s="87">
        <f>SUM(C13:C22)</f>
        <v>527</v>
      </c>
      <c r="D23" s="21">
        <f>SUM(D13:D22)</f>
        <v>158.0883</v>
      </c>
      <c r="E23" s="23">
        <f>SUM(E13:E22)</f>
        <v>29.771807909604526</v>
      </c>
      <c r="F23" s="90"/>
      <c r="G23" s="120">
        <f>SUM(G11:G22)</f>
        <v>7742.7059322033901</v>
      </c>
      <c r="I23" s="93"/>
      <c r="J23" s="93">
        <f>SUM(J11:J22)</f>
        <v>-14340.980008474577</v>
      </c>
    </row>
    <row r="24" spans="1:10" ht="15.75" x14ac:dyDescent="0.25">
      <c r="B24" s="9"/>
      <c r="C24" s="14"/>
      <c r="D24" s="15"/>
      <c r="E24" s="16"/>
      <c r="F24" s="17" t="s">
        <v>0</v>
      </c>
      <c r="J24" s="124">
        <v>6</v>
      </c>
    </row>
    <row r="25" spans="1:10" ht="16.5" thickBot="1" x14ac:dyDescent="0.3">
      <c r="B25" s="85">
        <v>2019</v>
      </c>
      <c r="C25" s="14"/>
      <c r="D25" s="15"/>
      <c r="E25" s="102"/>
      <c r="F25" s="17" t="s">
        <v>0</v>
      </c>
      <c r="G25" s="120">
        <f>+G23</f>
        <v>7742.7059322033901</v>
      </c>
      <c r="J25" s="149">
        <f>+J23*J24</f>
        <v>-86045.880050847452</v>
      </c>
    </row>
    <row r="26" spans="1:10" ht="15.75" thickTop="1" x14ac:dyDescent="0.25">
      <c r="C26" s="118"/>
      <c r="D26" s="118"/>
      <c r="E26" s="115"/>
      <c r="F26" s="116"/>
      <c r="G26" s="118"/>
    </row>
    <row r="27" spans="1:10" x14ac:dyDescent="0.25">
      <c r="C27" s="150" t="s">
        <v>69</v>
      </c>
      <c r="D27" s="114"/>
      <c r="E27" s="115"/>
      <c r="F27" s="116"/>
      <c r="G27" s="118"/>
      <c r="J27" s="155">
        <f>+Analysis!E17+Analysis!E23</f>
        <v>-86147.724254237299</v>
      </c>
    </row>
    <row r="28" spans="1:10" x14ac:dyDescent="0.25">
      <c r="C28" s="118"/>
      <c r="D28" s="114"/>
      <c r="E28" s="115"/>
      <c r="F28" s="116"/>
      <c r="G28" s="118"/>
      <c r="I28" t="s">
        <v>76</v>
      </c>
      <c r="J28" s="156">
        <f>+J25-J27</f>
        <v>101.84420338984637</v>
      </c>
    </row>
    <row r="29" spans="1:10" x14ac:dyDescent="0.25">
      <c r="C29" s="118"/>
      <c r="D29" s="114"/>
      <c r="E29" s="115"/>
      <c r="F29" s="119"/>
      <c r="G29" s="118"/>
    </row>
    <row r="30" spans="1:10" ht="15.75" x14ac:dyDescent="0.25">
      <c r="C30" s="14"/>
      <c r="D30" s="15"/>
      <c r="E30" s="16"/>
      <c r="F30" s="17" t="s">
        <v>0</v>
      </c>
    </row>
    <row r="31" spans="1:10" ht="15.75" x14ac:dyDescent="0.25">
      <c r="C31" s="14"/>
      <c r="D31" s="15"/>
      <c r="E31" s="16"/>
      <c r="F31" s="17" t="s">
        <v>0</v>
      </c>
    </row>
  </sheetData>
  <mergeCells count="5">
    <mergeCell ref="E6:E9"/>
    <mergeCell ref="G7:G9"/>
    <mergeCell ref="A1:J1"/>
    <mergeCell ref="A2:J2"/>
    <mergeCell ref="A3:J3"/>
  </mergeCells>
  <pageMargins left="0.75" right="0.75" top="1" bottom="1" header="0.5" footer="0.5"/>
  <pageSetup scale="8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T61"/>
  <sheetViews>
    <sheetView zoomScaleNormal="100" workbookViewId="0">
      <selection activeCell="L17" sqref="L17"/>
    </sheetView>
  </sheetViews>
  <sheetFormatPr defaultRowHeight="15" x14ac:dyDescent="0.25"/>
  <cols>
    <col min="11" max="11" width="9.42578125" customWidth="1"/>
    <col min="12" max="12" width="9.5703125" bestFit="1" customWidth="1"/>
    <col min="17" max="17" width="16" customWidth="1"/>
    <col min="18" max="18" width="9.7109375" bestFit="1" customWidth="1"/>
    <col min="20" max="20" width="9.7109375" bestFit="1" customWidth="1"/>
  </cols>
  <sheetData>
    <row r="4" spans="1:19" x14ac:dyDescent="0.25">
      <c r="F4" s="147" t="s">
        <v>66</v>
      </c>
      <c r="G4" s="147"/>
      <c r="H4" s="147"/>
      <c r="I4" s="147"/>
      <c r="J4" s="147"/>
      <c r="K4" s="147"/>
      <c r="L4" s="147"/>
      <c r="M4" s="147"/>
      <c r="N4" s="147"/>
      <c r="O4" s="151"/>
    </row>
    <row r="5" spans="1:19" x14ac:dyDescent="0.25">
      <c r="F5" s="1"/>
      <c r="G5" s="1"/>
      <c r="H5" s="1"/>
      <c r="I5" s="1"/>
      <c r="J5" s="168"/>
      <c r="K5" s="168"/>
      <c r="L5" s="168"/>
      <c r="M5" s="1"/>
    </row>
    <row r="6" spans="1:19" x14ac:dyDescent="0.25">
      <c r="A6" s="127"/>
      <c r="B6" s="127"/>
      <c r="C6" s="127"/>
      <c r="D6" s="128">
        <v>43313</v>
      </c>
      <c r="E6" s="128">
        <v>43344</v>
      </c>
      <c r="F6" s="128">
        <v>43374</v>
      </c>
      <c r="G6" s="128">
        <v>43405</v>
      </c>
      <c r="H6" s="128">
        <v>43435</v>
      </c>
      <c r="I6" s="128">
        <v>43466</v>
      </c>
      <c r="J6" s="128">
        <v>43497</v>
      </c>
      <c r="K6" s="128">
        <v>43525</v>
      </c>
      <c r="L6" s="128">
        <v>43556</v>
      </c>
      <c r="M6" s="128">
        <v>43586</v>
      </c>
      <c r="N6" s="128">
        <v>43617</v>
      </c>
      <c r="O6" s="128">
        <v>43647</v>
      </c>
      <c r="P6" s="128"/>
      <c r="Q6" s="129" t="s">
        <v>52</v>
      </c>
      <c r="R6" s="130" t="s">
        <v>53</v>
      </c>
    </row>
    <row r="7" spans="1:19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57"/>
      <c r="P7" s="157"/>
      <c r="Q7" s="157"/>
      <c r="R7" s="158"/>
      <c r="S7" s="92"/>
    </row>
    <row r="8" spans="1:19" x14ac:dyDescent="0.25">
      <c r="A8" s="133" t="s">
        <v>54</v>
      </c>
      <c r="B8" s="133"/>
      <c r="C8" s="133"/>
      <c r="D8" s="134">
        <f>+'All 2019'!E11</f>
        <v>140.46</v>
      </c>
      <c r="E8" s="134">
        <f>+'All 2019'!E12</f>
        <v>118.7</v>
      </c>
      <c r="F8" s="134">
        <f>+'All 2019'!E13</f>
        <v>146.21</v>
      </c>
      <c r="G8" s="134">
        <f>+'All 2019'!E14</f>
        <v>150.11000000000001</v>
      </c>
      <c r="H8" s="134">
        <f>+'All 2019'!E15</f>
        <v>126.28</v>
      </c>
      <c r="I8" s="134">
        <f>+'All 2019'!E16</f>
        <v>145.44</v>
      </c>
      <c r="J8" s="134">
        <f>+'All 2019'!E17</f>
        <v>109.46</v>
      </c>
      <c r="K8" s="134">
        <f>+'All 2019'!E18</f>
        <v>122.5</v>
      </c>
      <c r="L8" s="134">
        <f>+'All 2019'!E19</f>
        <v>139.74</v>
      </c>
      <c r="M8" s="134">
        <f>+'All 2019'!E20</f>
        <v>126.34</v>
      </c>
      <c r="N8" s="134">
        <f>+'All 2019'!E21</f>
        <v>107.44</v>
      </c>
      <c r="O8" s="159">
        <f>+'All 2019'!E22</f>
        <v>118.92</v>
      </c>
      <c r="P8" s="159"/>
      <c r="Q8" s="159">
        <f>SUM(D8:O8)</f>
        <v>1551.6000000000001</v>
      </c>
      <c r="R8" s="158"/>
      <c r="S8" s="92"/>
    </row>
    <row r="9" spans="1:19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60"/>
      <c r="P9" s="157"/>
      <c r="Q9" s="157"/>
      <c r="R9" s="158"/>
      <c r="S9" s="92"/>
    </row>
    <row r="10" spans="1:19" x14ac:dyDescent="0.25">
      <c r="A10" s="133" t="s">
        <v>40</v>
      </c>
      <c r="B10" s="133"/>
      <c r="C10" s="133"/>
      <c r="D10" s="135">
        <f>+'Commodity Debit'!$G23</f>
        <v>7742.7059322033901</v>
      </c>
      <c r="E10" s="135">
        <f>+'Commodity Debit'!$G23</f>
        <v>7742.7059322033901</v>
      </c>
      <c r="F10" s="135">
        <f>+'Commodity Debit'!$G23</f>
        <v>7742.7059322033901</v>
      </c>
      <c r="G10" s="135">
        <f>+'Commodity Debit'!$G23</f>
        <v>7742.7059322033901</v>
      </c>
      <c r="H10" s="135">
        <f>+'Commodity Debit'!$G23</f>
        <v>7742.7059322033901</v>
      </c>
      <c r="I10" s="135">
        <f>+'Commodity Debit'!$G23</f>
        <v>7742.7059322033901</v>
      </c>
      <c r="J10" s="135">
        <f>+'Commodity Debit'!$G23</f>
        <v>7742.7059322033901</v>
      </c>
      <c r="K10" s="135">
        <f>+'Commodity Debit'!$G23</f>
        <v>7742.7059322033901</v>
      </c>
      <c r="L10" s="135">
        <f>+'Commodity Debit'!$G23</f>
        <v>7742.7059322033901</v>
      </c>
      <c r="M10" s="135">
        <f>+'Commodity Debit'!$G23</f>
        <v>7742.7059322033901</v>
      </c>
      <c r="N10" s="135">
        <f>+'Commodity Debit'!$G23</f>
        <v>7742.7059322033901</v>
      </c>
      <c r="O10" s="161">
        <f>+'Commodity Debit'!$G23</f>
        <v>7742.7059322033901</v>
      </c>
      <c r="P10" s="161"/>
      <c r="Q10" s="159">
        <f>SUM(D10:O10)</f>
        <v>92912.471186440685</v>
      </c>
      <c r="R10" s="162">
        <f>SUM(J10:O10)</f>
        <v>46456.235593220343</v>
      </c>
      <c r="S10" s="92"/>
    </row>
    <row r="11" spans="1:19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60"/>
      <c r="P11" s="157"/>
      <c r="Q11" s="157"/>
      <c r="R11" s="158"/>
      <c r="S11" s="92"/>
    </row>
    <row r="12" spans="1:19" x14ac:dyDescent="0.25">
      <c r="A12" s="133" t="s">
        <v>67</v>
      </c>
      <c r="B12" s="133"/>
      <c r="C12" s="133"/>
      <c r="D12" s="137">
        <f t="shared" ref="D12:E12" si="0">D8/D10</f>
        <v>1.8140944681341968E-2</v>
      </c>
      <c r="E12" s="137">
        <f t="shared" si="0"/>
        <v>1.5330557693829501E-2</v>
      </c>
      <c r="F12" s="137">
        <f t="shared" ref="F12" si="1">F8/F10</f>
        <v>1.8883579110487037E-2</v>
      </c>
      <c r="G12" s="137">
        <f t="shared" ref="G12" si="2">G8/G10</f>
        <v>1.9387278984168043E-2</v>
      </c>
      <c r="H12" s="137">
        <f t="shared" ref="H12" si="3">H8/H10</f>
        <v>1.6309543602163346E-2</v>
      </c>
      <c r="I12" s="137">
        <f t="shared" ref="I12" si="4">I8/I10</f>
        <v>1.8784130673888479E-2</v>
      </c>
      <c r="J12" s="137">
        <f t="shared" ref="J12" si="5">J8/J10</f>
        <v>1.4137176454646816E-2</v>
      </c>
      <c r="K12" s="137">
        <f t="shared" ref="K12" si="6">K8/K10</f>
        <v>1.5821342186134069E-2</v>
      </c>
      <c r="L12" s="137">
        <f t="shared" ref="L12:O12" si="7">L8/L10</f>
        <v>1.804795393543163E-2</v>
      </c>
      <c r="M12" s="137">
        <f t="shared" si="7"/>
        <v>1.6317292830989209E-2</v>
      </c>
      <c r="N12" s="137">
        <f t="shared" si="7"/>
        <v>1.387628575084281E-2</v>
      </c>
      <c r="O12" s="163">
        <f t="shared" si="7"/>
        <v>1.535897153285766E-2</v>
      </c>
      <c r="P12" s="163"/>
      <c r="Q12" s="164">
        <f>SUM(D12:O12)/12</f>
        <v>1.6699588119731715E-2</v>
      </c>
      <c r="R12" s="158"/>
      <c r="S12" s="92"/>
    </row>
    <row r="13" spans="1:19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60"/>
      <c r="P13" s="157"/>
      <c r="Q13" s="157"/>
      <c r="R13" s="158"/>
      <c r="S13" s="92"/>
    </row>
    <row r="14" spans="1:19" x14ac:dyDescent="0.25">
      <c r="A14" s="133" t="s">
        <v>55</v>
      </c>
      <c r="B14" s="133"/>
      <c r="C14" s="133"/>
      <c r="D14" s="134">
        <f>+'All 2019'!F11</f>
        <v>-68.020432863448661</v>
      </c>
      <c r="E14" s="134">
        <f>+'All 2019'!F12</f>
        <v>-82.125779275484419</v>
      </c>
      <c r="F14" s="134">
        <f>+'All 2019'!F13</f>
        <v>-59.954859448738112</v>
      </c>
      <c r="G14" s="134">
        <f>+'All 2019'!F14</f>
        <v>-94.944773832522813</v>
      </c>
      <c r="H14" s="134">
        <f>+'All 2019'!F15</f>
        <v>-66.74208108964207</v>
      </c>
      <c r="I14" s="134">
        <f>+'All 2019'!F16</f>
        <v>-121.65291529152915</v>
      </c>
      <c r="J14" s="134">
        <f>+'All 2019'!F17</f>
        <v>-115.04969852000731</v>
      </c>
      <c r="K14" s="134">
        <f>+'All 2019'!F18</f>
        <v>-108.17134693877551</v>
      </c>
      <c r="L14" s="134">
        <f>+'All 2019'!F19</f>
        <v>-78.060326320309144</v>
      </c>
      <c r="M14" s="134">
        <f>+'All 2019'!F20</f>
        <v>-127.74046224473642</v>
      </c>
      <c r="N14" s="134">
        <f>+'All 2019'!F21</f>
        <v>-121.07092330603128</v>
      </c>
      <c r="O14" s="159">
        <f>+'All 2019'!F22</f>
        <v>-103.00412041708712</v>
      </c>
      <c r="P14" s="159"/>
      <c r="Q14" s="157"/>
      <c r="R14" s="158"/>
      <c r="S14" s="92"/>
    </row>
    <row r="15" spans="1:19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60"/>
      <c r="P15" s="159"/>
      <c r="Q15" s="157"/>
      <c r="R15" s="158"/>
      <c r="S15" s="92"/>
    </row>
    <row r="16" spans="1:19" x14ac:dyDescent="0.25">
      <c r="A16" s="133" t="s">
        <v>56</v>
      </c>
      <c r="B16" s="133"/>
      <c r="C16" s="133"/>
      <c r="D16" s="134">
        <f t="shared" ref="D16:E16" si="8">D12*D14</f>
        <v>-1.2339549097767575</v>
      </c>
      <c r="E16" s="134">
        <f t="shared" si="8"/>
        <v>-1.2590339973335209</v>
      </c>
      <c r="F16" s="134">
        <f t="shared" ref="F16" si="9">F12*F14</f>
        <v>-1.1321623314583773</v>
      </c>
      <c r="G16" s="134">
        <f t="shared" ref="G16" si="10">G12*G14</f>
        <v>-1.8407208183798576</v>
      </c>
      <c r="H16" s="134">
        <f t="shared" ref="H16" si="11">H12*H14</f>
        <v>-1.088532881630639</v>
      </c>
      <c r="I16" s="134">
        <f t="shared" ref="I16" si="12">I12*I14</f>
        <v>-2.2851442576955696</v>
      </c>
      <c r="J16" s="134">
        <f t="shared" ref="J16" si="13">J12*J14</f>
        <v>-1.6264778890312621</v>
      </c>
      <c r="K16" s="134">
        <f t="shared" ref="K16" si="14">K12*K14</f>
        <v>-1.7114158946533933</v>
      </c>
      <c r="L16" s="134">
        <f t="shared" ref="L16:O16" si="15">L12*L14</f>
        <v>-1.4088291736137006</v>
      </c>
      <c r="M16" s="134">
        <f t="shared" si="15"/>
        <v>-2.0843785288132852</v>
      </c>
      <c r="N16" s="134">
        <f t="shared" si="15"/>
        <v>-1.6800147279128645</v>
      </c>
      <c r="O16" s="159">
        <f t="shared" si="15"/>
        <v>-1.5820373532530836</v>
      </c>
      <c r="P16" s="159"/>
      <c r="Q16" s="157"/>
      <c r="R16" s="158"/>
      <c r="S16" s="92"/>
    </row>
    <row r="17" spans="1:20" x14ac:dyDescent="0.25">
      <c r="A17" s="133" t="s">
        <v>57</v>
      </c>
      <c r="B17" s="133"/>
      <c r="C17" s="133"/>
      <c r="D17" s="134">
        <v>0</v>
      </c>
      <c r="E17" s="134">
        <v>0</v>
      </c>
      <c r="F17" s="134">
        <v>-1.59</v>
      </c>
      <c r="G17" s="134">
        <f>+F17</f>
        <v>-1.59</v>
      </c>
      <c r="H17" s="134">
        <f t="shared" ref="H17:K17" si="16">+G17</f>
        <v>-1.59</v>
      </c>
      <c r="I17" s="134">
        <f t="shared" si="16"/>
        <v>-1.59</v>
      </c>
      <c r="J17" s="134">
        <f t="shared" si="16"/>
        <v>-1.59</v>
      </c>
      <c r="K17" s="134">
        <f t="shared" si="16"/>
        <v>-1.59</v>
      </c>
      <c r="L17" s="134">
        <v>-1.47</v>
      </c>
      <c r="M17" s="134">
        <f>+L17</f>
        <v>-1.47</v>
      </c>
      <c r="N17" s="134">
        <f t="shared" ref="N17:O17" si="17">+M17</f>
        <v>-1.47</v>
      </c>
      <c r="O17" s="134">
        <f t="shared" si="17"/>
        <v>-1.47</v>
      </c>
      <c r="P17" s="159"/>
      <c r="Q17" s="157"/>
      <c r="R17" s="158"/>
      <c r="S17" s="92"/>
    </row>
    <row r="18" spans="1:20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57"/>
      <c r="P18" s="159"/>
      <c r="Q18" s="157"/>
      <c r="R18" s="158"/>
      <c r="S18" s="92"/>
    </row>
    <row r="19" spans="1:20" x14ac:dyDescent="0.25">
      <c r="A19" s="133" t="s">
        <v>58</v>
      </c>
      <c r="B19" s="133"/>
      <c r="C19" s="133"/>
      <c r="D19" s="139">
        <f t="shared" ref="D19:K19" si="18">+D17*D10</f>
        <v>0</v>
      </c>
      <c r="E19" s="139">
        <f t="shared" si="18"/>
        <v>0</v>
      </c>
      <c r="F19" s="139">
        <f t="shared" si="18"/>
        <v>-12310.902432203391</v>
      </c>
      <c r="G19" s="139">
        <f t="shared" si="18"/>
        <v>-12310.902432203391</v>
      </c>
      <c r="H19" s="139">
        <f t="shared" si="18"/>
        <v>-12310.902432203391</v>
      </c>
      <c r="I19" s="139">
        <f t="shared" si="18"/>
        <v>-12310.902432203391</v>
      </c>
      <c r="J19" s="139">
        <f t="shared" si="18"/>
        <v>-12310.902432203391</v>
      </c>
      <c r="K19" s="139">
        <f t="shared" si="18"/>
        <v>-12310.902432203391</v>
      </c>
      <c r="L19" s="139">
        <f>+L17*L10</f>
        <v>-11381.777720338983</v>
      </c>
      <c r="M19" s="139">
        <f>+M17*M10</f>
        <v>-11381.777720338983</v>
      </c>
      <c r="N19" s="139">
        <f>+N17*N10</f>
        <v>-11381.777720338983</v>
      </c>
      <c r="O19" s="165">
        <f>+O17*O10</f>
        <v>-11381.777720338983</v>
      </c>
      <c r="P19" s="165"/>
      <c r="Q19" s="166">
        <f>SUM(D19:O19)</f>
        <v>-119392.52547457629</v>
      </c>
      <c r="R19" s="167">
        <f>SUM(J19:O19)</f>
        <v>-70148.915745762715</v>
      </c>
      <c r="S19" s="92"/>
    </row>
    <row r="20" spans="1:20" x14ac:dyDescent="0.25">
      <c r="A20" s="133" t="s">
        <v>59</v>
      </c>
      <c r="B20" s="133"/>
      <c r="C20" s="133"/>
      <c r="D20" s="139">
        <f>+'All 2019'!G11</f>
        <v>-9554.15</v>
      </c>
      <c r="E20" s="139">
        <f>+'All 2019'!G12</f>
        <v>-9748.33</v>
      </c>
      <c r="F20" s="139">
        <f>+'All 2019'!G13</f>
        <v>-8766</v>
      </c>
      <c r="G20" s="139">
        <f>+'All 2019'!G14</f>
        <v>-14252.16</v>
      </c>
      <c r="H20" s="139">
        <f>+'All 2019'!G15</f>
        <v>-8428.19</v>
      </c>
      <c r="I20" s="139">
        <f>+'All 2019'!G16</f>
        <v>-17693.2</v>
      </c>
      <c r="J20" s="139">
        <f>+'All 2019'!G17</f>
        <v>-12593.34</v>
      </c>
      <c r="K20" s="139">
        <f>+'All 2019'!G18</f>
        <v>-13250.99</v>
      </c>
      <c r="L20" s="139">
        <f>+'All 2019'!G19</f>
        <v>-10908.15</v>
      </c>
      <c r="M20" s="139">
        <f>+'All 2019'!G20</f>
        <v>-16138.73</v>
      </c>
      <c r="N20" s="139">
        <f>+'All 2019'!G21</f>
        <v>-13007.86</v>
      </c>
      <c r="O20" s="165">
        <f>+'All 2019'!G22</f>
        <v>-12249.25</v>
      </c>
      <c r="P20" s="165"/>
      <c r="Q20" s="166">
        <f>SUM(D20:O20)</f>
        <v>-146590.34999999998</v>
      </c>
      <c r="R20" s="167">
        <f>SUM(J20:O20)</f>
        <v>-78148.320000000007</v>
      </c>
      <c r="S20" s="92"/>
      <c r="T20" s="148"/>
    </row>
    <row r="21" spans="1:20" x14ac:dyDescent="0.25">
      <c r="A21" s="133" t="s">
        <v>60</v>
      </c>
      <c r="B21" s="133"/>
      <c r="C21" s="133"/>
      <c r="D21" s="139">
        <f t="shared" ref="D21:E21" si="19">+D19-D20</f>
        <v>9554.15</v>
      </c>
      <c r="E21" s="139">
        <f t="shared" si="19"/>
        <v>9748.33</v>
      </c>
      <c r="F21" s="139">
        <f t="shared" ref="F21" si="20">+F19-F20</f>
        <v>-3544.9024322033911</v>
      </c>
      <c r="G21" s="139">
        <f t="shared" ref="G21" si="21">+G19-G20</f>
        <v>1941.2575677966088</v>
      </c>
      <c r="H21" s="139">
        <f t="shared" ref="H21" si="22">+H19-H20</f>
        <v>-3882.7124322033906</v>
      </c>
      <c r="I21" s="139">
        <f t="shared" ref="I21" si="23">+I19-I20</f>
        <v>5382.2975677966097</v>
      </c>
      <c r="J21" s="139">
        <f t="shared" ref="J21" si="24">+J19-J20</f>
        <v>282.43756779660907</v>
      </c>
      <c r="K21" s="139">
        <f t="shared" ref="K21" si="25">+K19-K20</f>
        <v>940.08756779660871</v>
      </c>
      <c r="L21" s="139">
        <f t="shared" ref="L21:O21" si="26">+L19-L20</f>
        <v>-473.62772033898364</v>
      </c>
      <c r="M21" s="139">
        <f t="shared" si="26"/>
        <v>4756.9522796610163</v>
      </c>
      <c r="N21" s="139">
        <f t="shared" si="26"/>
        <v>1626.0822796610173</v>
      </c>
      <c r="O21" s="139">
        <f t="shared" si="26"/>
        <v>867.47227966101673</v>
      </c>
      <c r="P21" s="139"/>
      <c r="Q21" s="140">
        <f>SUM(D21:O21)</f>
        <v>27197.824525423719</v>
      </c>
      <c r="R21" s="167">
        <f>SUM(J21:O21)</f>
        <v>7999.4042542372845</v>
      </c>
      <c r="T21" s="140"/>
    </row>
    <row r="22" spans="1:20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9"/>
      <c r="Q22" s="131"/>
      <c r="R22" s="141"/>
      <c r="T22" s="148"/>
    </row>
    <row r="23" spans="1:20" x14ac:dyDescent="0.25">
      <c r="A23" s="133" t="s">
        <v>61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4"/>
      <c r="Q23" s="134">
        <f>+R20/R10</f>
        <v>-1.6821922612129316</v>
      </c>
      <c r="R23" s="132"/>
    </row>
    <row r="24" spans="1:20" x14ac:dyDescent="0.25">
      <c r="A24" s="133" t="s">
        <v>62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  <c r="Q24" s="134">
        <f>+Analysis!F21</f>
        <v>-0.17</v>
      </c>
      <c r="R24" s="132"/>
    </row>
    <row r="25" spans="1:20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9"/>
      <c r="Q25" s="131"/>
      <c r="R25" s="132"/>
    </row>
    <row r="26" spans="1:20" x14ac:dyDescent="0.25">
      <c r="A26" s="133" t="s">
        <v>63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1"/>
      <c r="Q26" s="142">
        <f>+Q23+Q24</f>
        <v>-1.8521922612129316</v>
      </c>
      <c r="R26" s="143"/>
    </row>
    <row r="27" spans="1:20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2"/>
    </row>
    <row r="28" spans="1:20" x14ac:dyDescent="0.25">
      <c r="A28" s="144" t="s">
        <v>64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31"/>
      <c r="Q28" s="142">
        <v>-1.59</v>
      </c>
      <c r="R28" s="132"/>
    </row>
    <row r="29" spans="1:20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2"/>
    </row>
    <row r="30" spans="1:20" x14ac:dyDescent="0.25">
      <c r="A30" s="144" t="s">
        <v>65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31"/>
      <c r="Q30" s="145">
        <f>+(Q26-Q28)*Q10</f>
        <v>-24360.930915254226</v>
      </c>
      <c r="R30" s="132"/>
    </row>
    <row r="31" spans="1:20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</row>
    <row r="32" spans="1:20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</row>
    <row r="34" spans="1:18" x14ac:dyDescent="0.25">
      <c r="L34" s="184"/>
      <c r="M34" s="184"/>
      <c r="N34" s="184"/>
      <c r="O34" s="184"/>
      <c r="P34" s="184"/>
    </row>
    <row r="35" spans="1:18" x14ac:dyDescent="0.25">
      <c r="L35" s="185"/>
      <c r="M35" s="185"/>
      <c r="N35" s="185"/>
      <c r="O35" s="152"/>
    </row>
    <row r="36" spans="1:18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8"/>
      <c r="M36" s="128"/>
      <c r="N36" s="128"/>
      <c r="O36" s="128"/>
      <c r="P36" s="128"/>
      <c r="Q36" s="129"/>
      <c r="R36" s="130"/>
    </row>
    <row r="37" spans="1:18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2"/>
    </row>
    <row r="38" spans="1:18" ht="15.75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  <c r="N38" s="134"/>
      <c r="O38" s="134"/>
      <c r="P38" s="134"/>
      <c r="Q38" s="146"/>
      <c r="R38" s="132"/>
    </row>
    <row r="39" spans="1:18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1"/>
      <c r="R39" s="132"/>
    </row>
    <row r="40" spans="1:18" ht="15.75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5"/>
      <c r="M40" s="135"/>
      <c r="N40" s="135"/>
      <c r="O40" s="135"/>
      <c r="P40" s="135"/>
      <c r="Q40" s="87"/>
      <c r="R40" s="136"/>
    </row>
    <row r="41" spans="1:18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1"/>
      <c r="R41" s="132"/>
    </row>
    <row r="42" spans="1:18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7"/>
      <c r="M42" s="137"/>
      <c r="N42" s="137"/>
      <c r="O42" s="137"/>
      <c r="P42" s="137"/>
      <c r="Q42" s="138"/>
      <c r="R42" s="132"/>
    </row>
    <row r="43" spans="1:18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1"/>
      <c r="Q43" s="131"/>
      <c r="R43" s="132"/>
    </row>
    <row r="44" spans="1:18" x14ac:dyDescent="0.25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4"/>
      <c r="M44" s="134"/>
      <c r="N44" s="134"/>
      <c r="O44" s="134"/>
      <c r="P44" s="134"/>
      <c r="Q44" s="131"/>
      <c r="R44" s="132"/>
    </row>
    <row r="45" spans="1:18" x14ac:dyDescent="0.25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4"/>
      <c r="Q45" s="131"/>
      <c r="R45" s="132"/>
    </row>
    <row r="46" spans="1:18" x14ac:dyDescent="0.25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4"/>
      <c r="M46" s="134"/>
      <c r="N46" s="134"/>
      <c r="O46" s="134"/>
      <c r="P46" s="134"/>
      <c r="Q46" s="131"/>
      <c r="R46" s="132"/>
    </row>
    <row r="47" spans="1:18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4"/>
      <c r="M47" s="134"/>
      <c r="N47" s="134"/>
      <c r="O47" s="134"/>
      <c r="P47" s="134"/>
      <c r="Q47" s="131"/>
      <c r="R47" s="132"/>
    </row>
    <row r="48" spans="1:18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4"/>
      <c r="Q48" s="131"/>
      <c r="R48" s="132"/>
    </row>
    <row r="49" spans="1:20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9"/>
      <c r="M49" s="139"/>
      <c r="N49" s="139"/>
      <c r="O49" s="139"/>
      <c r="P49" s="139"/>
      <c r="Q49" s="140"/>
      <c r="R49" s="132"/>
    </row>
    <row r="50" spans="1:20" x14ac:dyDescent="0.2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9"/>
      <c r="M50" s="139"/>
      <c r="N50" s="139"/>
      <c r="O50" s="139"/>
      <c r="P50" s="139"/>
      <c r="Q50" s="140"/>
      <c r="R50" s="141"/>
      <c r="T50" s="140"/>
    </row>
    <row r="51" spans="1:20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9"/>
      <c r="M51" s="139"/>
      <c r="N51" s="139"/>
      <c r="O51" s="139"/>
      <c r="P51" s="139"/>
      <c r="Q51" s="140"/>
      <c r="R51" s="132"/>
      <c r="T51" s="140"/>
    </row>
    <row r="52" spans="1:20" x14ac:dyDescent="0.25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9"/>
      <c r="Q52" s="131"/>
      <c r="R52" s="141"/>
      <c r="T52" s="140"/>
    </row>
    <row r="53" spans="1:20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4"/>
      <c r="Q53" s="134"/>
      <c r="R53" s="132"/>
    </row>
    <row r="54" spans="1:20" x14ac:dyDescent="0.25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4"/>
      <c r="Q54" s="134"/>
      <c r="R54" s="132"/>
    </row>
    <row r="55" spans="1:20" x14ac:dyDescent="0.2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9"/>
      <c r="Q55" s="131"/>
      <c r="R55" s="132"/>
    </row>
    <row r="56" spans="1:20" x14ac:dyDescent="0.25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1"/>
      <c r="Q56" s="142"/>
      <c r="R56" s="143"/>
    </row>
    <row r="57" spans="1:20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</row>
    <row r="58" spans="1:20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31"/>
      <c r="Q58" s="142"/>
      <c r="R58" s="132"/>
    </row>
    <row r="59" spans="1:20" x14ac:dyDescent="0.25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2"/>
    </row>
    <row r="60" spans="1:20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31"/>
      <c r="Q60" s="145"/>
      <c r="R60" s="132"/>
    </row>
    <row r="61" spans="1:20" x14ac:dyDescent="0.25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</row>
  </sheetData>
  <mergeCells count="2">
    <mergeCell ref="L34:P34"/>
    <mergeCell ref="L35:N35"/>
  </mergeCells>
  <pageMargins left="0.7" right="0.7" top="0.75" bottom="0.75" header="0.3" footer="0.3"/>
  <pageSetup scale="52" fitToHeight="0" orientation="portrait" r:id="rId1"/>
  <colBreaks count="1" manualBreakCount="1">
    <brk id="18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190682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A42639433C234D9CFA5C62FC6A9909" ma:contentTypeVersion="56" ma:contentTypeDescription="" ma:contentTypeScope="" ma:versionID="54fee15eea6a810f0db9c90a08a0f69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1058B3-E82E-4DB1-B475-9C521C46F8D3}"/>
</file>

<file path=customXml/itemProps2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F2745-C311-4CBF-A376-4BFC69D0A006}">
  <ds:schemaRefs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C699BF1-A00E-4F88-845D-D7B425376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Analysis</vt:lpstr>
      <vt:lpstr>All 2019</vt:lpstr>
      <vt:lpstr>Commodity Debit</vt:lpstr>
      <vt:lpstr>Calcs revised method</vt:lpstr>
      <vt:lpstr>Analysis!Print_Area</vt:lpstr>
      <vt:lpstr>'Calcs revised method'!Print_Area</vt:lpstr>
      <vt:lpstr>'Commodity Debit'!Print_Area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Jackie Davis</cp:lastModifiedBy>
  <cp:lastPrinted>2019-08-13T23:20:31Z</cp:lastPrinted>
  <dcterms:created xsi:type="dcterms:W3CDTF">2011-01-20T20:41:17Z</dcterms:created>
  <dcterms:modified xsi:type="dcterms:W3CDTF">2019-08-14T17:13:12Z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0x0101006E56B4D1795A2E4DB2F0B01679ED314A008DA42639433C234D9CFA5C62FC6A9909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