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05" windowWidth="18600" windowHeight="7620" activeTab="0"/>
  </bookViews>
  <sheets>
    <sheet name="WUTC_AW of Bellevue_MF" sheetId="1" r:id="rId1"/>
    <sheet name="Value" sheetId="2" r:id="rId2"/>
    <sheet name="Commodity Tonnages" sheetId="3" r:id="rId3"/>
    <sheet name="Pricing" sheetId="4" r:id="rId4"/>
    <sheet name="Multi_Family" sheetId="5" r:id="rId5"/>
    <sheet name="RSA" sheetId="6" r:id="rId6"/>
  </sheets>
  <externalReferences>
    <externalReference r:id="rId9"/>
    <externalReference r:id="rId10"/>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Bellevue_MF'!$A$1:$I$71</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9"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10"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<sst xmlns="http://schemas.openxmlformats.org/spreadsheetml/2006/main" count="210" uniqueCount="109">
  <si>
    <t>Deferred Accounting Methodology</t>
  </si>
  <si>
    <t>Commodity</t>
  </si>
  <si>
    <t>Revenue</t>
  </si>
  <si>
    <t>Month</t>
  </si>
  <si>
    <t>(a)</t>
  </si>
  <si>
    <t>(c)</t>
  </si>
  <si>
    <t>(d)</t>
  </si>
  <si>
    <t>Commodity Gain/Loss Calculation</t>
  </si>
  <si>
    <t>Actual Commodity Revenues</t>
  </si>
  <si>
    <t xml:space="preserve">   Base Credits Billed</t>
  </si>
  <si>
    <t xml:space="preserve">      Total Base Credits Billed</t>
  </si>
  <si>
    <t>Alum</t>
  </si>
  <si>
    <t>Glass</t>
  </si>
  <si>
    <t>ONP</t>
  </si>
  <si>
    <t>MWP</t>
  </si>
  <si>
    <t>Pet</t>
  </si>
  <si>
    <t>HDPE</t>
  </si>
  <si>
    <t>OCC</t>
  </si>
  <si>
    <t>Other</t>
  </si>
  <si>
    <t>Total</t>
  </si>
  <si>
    <t xml:space="preserve"> </t>
  </si>
  <si>
    <t xml:space="preserve">Total </t>
  </si>
  <si>
    <t>Commodity Value Timeframe:  October - September</t>
  </si>
  <si>
    <t>Total Tons</t>
  </si>
  <si>
    <t>Sorted Glass Percentage</t>
  </si>
  <si>
    <t>Sorted Glass</t>
  </si>
  <si>
    <t>Sampled Tons</t>
  </si>
  <si>
    <t>Sampling Percentages</t>
  </si>
  <si>
    <t>Magazines</t>
  </si>
  <si>
    <t>Tin</t>
  </si>
  <si>
    <t>Plastic</t>
  </si>
  <si>
    <t>Aluminum</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</si>
  <si>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</si>
  <si>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</si>
  <si>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</si>
  <si>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</si>
  <si>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</si>
  <si>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</si>
  <si>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</si>
  <si>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</si>
  <si>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</si>
  <si>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</si>
  <si>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</si>
  <si>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</si>
  <si>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</si>
  <si>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</si>
  <si>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</si>
  <si>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</si>
  <si>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</si>
  <si>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</si>
  <si>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</si>
  <si>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</si>
  <si>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</si>
  <si>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</si>
  <si>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</si>
  <si>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</si>
  <si>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</si>
  <si>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</si>
  <si>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</si>
  <si>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</si>
  <si>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</si>
  <si>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</si>
  <si>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t>
  </si>
  <si>
    <t>3.5x Compaction</t>
  </si>
  <si>
    <t>5x Compaction</t>
  </si>
  <si>
    <t>Total Additional Passback</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</si>
  <si>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</si>
  <si>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</si>
  <si>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</si>
  <si>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</si>
  <si>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</si>
  <si>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</si>
  <si>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</si>
  <si>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</si>
  <si>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</si>
  <si>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</si>
  <si>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Ferrous Metal</t>
  </si>
  <si>
    <t>Total Passback at end of 2 year plan year 2019</t>
  </si>
  <si>
    <t>Rabanco Ltd (dba Republic Services)</t>
  </si>
  <si>
    <t xml:space="preserve"> True-up Computation</t>
  </si>
  <si>
    <t>2018/2019 Monthly True-up Amount</t>
  </si>
  <si>
    <t xml:space="preserve"> Projected Credit</t>
  </si>
  <si>
    <t>Material Shrinkage</t>
  </si>
  <si>
    <t>Shrinkage</t>
  </si>
  <si>
    <t>Metal</t>
  </si>
  <si>
    <t>(Second Half -November to April)</t>
  </si>
  <si>
    <t>Prior six months</t>
  </si>
  <si>
    <t>Current six months</t>
  </si>
  <si>
    <t>Total twelve months</t>
  </si>
  <si>
    <t>12 month running average "BASE CREDIT"</t>
  </si>
  <si>
    <t>Total Annual Customers</t>
  </si>
  <si>
    <t>8/19-7/20 Adjusted Credit</t>
  </si>
  <si>
    <t>Underspent RSA per King County report</t>
  </si>
  <si>
    <t>Allocation to Divisions:</t>
  </si>
  <si>
    <t>SF portion</t>
  </si>
  <si>
    <t>MF portion</t>
  </si>
  <si>
    <t>Bellevue</t>
  </si>
  <si>
    <t>Kent</t>
  </si>
  <si>
    <t>SeaTac</t>
  </si>
  <si>
    <t>RSA Rev breakdown:</t>
  </si>
  <si>
    <t>SF $</t>
  </si>
  <si>
    <t>MF $</t>
  </si>
  <si>
    <t>SF %</t>
  </si>
  <si>
    <t>MF %</t>
  </si>
  <si>
    <t>Bellevue MF RSA Unspent</t>
  </si>
  <si>
    <t>Total Annual Yards</t>
  </si>
  <si>
    <t>Credit per Yard</t>
  </si>
  <si>
    <t>Multi-Family Additional RSA Passback</t>
  </si>
  <si>
    <t xml:space="preserve">See RSA tab for calculation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</si>
</sst>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167" fontId="7" fillId="0" borderId="11" xfId="62" applyNumberFormat="1" applyFont="1" applyBorder="1">
      <alignment/>
      <protection/>
    </xf>
    <xf numFmtId="166" fontId="7" fillId="0" borderId="0" xfId="62" applyNumberFormat="1" applyFont="1" applyAlignment="1">
      <alignment horizontal="centerContinuous"/>
      <protection/>
    </xf>
    <xf numFmtId="166" fontId="7" fillId="0" borderId="13" xfId="62" applyNumberFormat="1" applyFont="1" applyBorder="1">
      <alignment/>
      <protection/>
    </xf>
    <xf numFmtId="166" fontId="7" fillId="0" borderId="14"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2" applyNumberFormat="1" applyFont="1" applyAlignment="1">
      <alignment horizontal="right"/>
      <protection/>
    </xf>
    <xf numFmtId="168" fontId="7" fillId="0" borderId="0" xfId="62"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2" applyFont="1" applyBorder="1" applyAlignment="1">
      <alignment horizontal="center"/>
      <protection/>
    </xf>
    <xf numFmtId="0" fontId="7" fillId="0" borderId="0" xfId="62" applyFont="1" applyBorder="1">
      <alignment/>
      <protection/>
    </xf>
    <xf numFmtId="166" fontId="16" fillId="0" borderId="17" xfId="62" applyNumberFormat="1" applyFont="1" applyBorder="1" applyAlignment="1">
      <alignment horizontal="center"/>
      <protection/>
    </xf>
    <xf numFmtId="166" fontId="17"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41" fontId="7" fillId="0" borderId="18" xfId="62" applyNumberFormat="1" applyFont="1" applyBorder="1">
      <alignment/>
      <protection/>
    </xf>
    <xf numFmtId="172" fontId="7" fillId="0" borderId="0" xfId="65" applyNumberFormat="1" applyFont="1" applyAlignment="1">
      <alignment/>
    </xf>
    <xf numFmtId="172" fontId="1" fillId="0" borderId="0" xfId="65" applyNumberFormat="1" applyFont="1" applyAlignment="1">
      <alignment horizontal="center"/>
    </xf>
    <xf numFmtId="166" fontId="7" fillId="35" borderId="11" xfId="62"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6" fontId="7" fillId="0" borderId="15" xfId="62"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56" fillId="34" borderId="19" xfId="46" applyNumberFormat="1" applyFont="1" applyFill="1" applyBorder="1" applyAlignment="1">
      <alignment/>
    </xf>
    <xf numFmtId="44" fontId="56" fillId="34" borderId="19" xfId="46" applyNumberFormat="1" applyFont="1" applyFill="1" applyBorder="1" applyAlignment="1">
      <alignment horizontal="center"/>
    </xf>
    <xf numFmtId="167" fontId="7" fillId="36" borderId="14" xfId="62" applyNumberFormat="1" applyFont="1" applyFill="1" applyBorder="1">
      <alignment/>
      <protection/>
    </xf>
    <xf numFmtId="166" fontId="7" fillId="36" borderId="0" xfId="62" applyNumberFormat="1" applyFont="1" applyFill="1">
      <alignment/>
      <protection/>
    </xf>
    <xf numFmtId="172" fontId="7" fillId="36" borderId="19" xfId="65" applyNumberFormat="1" applyFont="1" applyFill="1" applyBorder="1" applyAlignment="1">
      <alignment/>
    </xf>
    <xf numFmtId="8" fontId="7" fillId="34" borderId="19" xfId="46" applyNumberFormat="1" applyFont="1" applyFill="1" applyBorder="1" applyAlignment="1">
      <alignment/>
    </xf>
    <xf numFmtId="172" fontId="57" fillId="37" borderId="20" xfId="65" applyNumberFormat="1" applyFont="1" applyFill="1" applyBorder="1" applyAlignment="1">
      <alignment horizontal="center"/>
    </xf>
    <xf numFmtId="41" fontId="58" fillId="37" borderId="20" xfId="62" applyNumberFormat="1" applyFont="1" applyFill="1" applyBorder="1" applyAlignment="1">
      <alignment horizontal="center"/>
      <protection/>
    </xf>
    <xf numFmtId="41" fontId="58" fillId="37" borderId="20" xfId="62" applyNumberFormat="1" applyFont="1" applyFill="1" applyBorder="1">
      <alignment/>
      <protection/>
    </xf>
    <xf numFmtId="43" fontId="58" fillId="38" borderId="20" xfId="42" applyFont="1" applyFill="1" applyBorder="1" applyAlignment="1">
      <alignment horizontal="center"/>
    </xf>
    <xf numFmtId="167" fontId="58" fillId="37" borderId="20" xfId="62" applyNumberFormat="1" applyFont="1" applyFill="1" applyBorder="1">
      <alignment/>
      <protection/>
    </xf>
    <xf numFmtId="43" fontId="7" fillId="0" borderId="0" xfId="42" applyFont="1" applyFill="1" applyAlignment="1" quotePrefix="1">
      <alignment/>
    </xf>
    <xf numFmtId="44" fontId="7" fillId="0" borderId="0" xfId="46" applyNumberFormat="1" applyFont="1" applyFill="1" applyAlignment="1" quotePrefix="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182" fontId="0" fillId="0" borderId="0" xfId="0" applyNumberFormat="1" applyAlignment="1">
      <alignment/>
    </xf>
    <xf numFmtId="0" fontId="1" fillId="0" borderId="0" xfId="0" applyFont="1" applyAlignment="1">
      <alignment/>
    </xf>
    <xf numFmtId="0" fontId="0" fillId="0" borderId="24" xfId="0" applyFont="1" applyBorder="1" applyAlignment="1">
      <alignment/>
    </xf>
    <xf numFmtId="0" fontId="0" fillId="0" borderId="10" xfId="0" applyBorder="1" applyAlignment="1">
      <alignment/>
    </xf>
    <xf numFmtId="182" fontId="0" fillId="0" borderId="25" xfId="0" applyNumberFormat="1" applyBorder="1" applyAlignment="1">
      <alignment/>
    </xf>
    <xf numFmtId="182" fontId="0" fillId="32" borderId="19" xfId="0" applyNumberFormat="1" applyFill="1" applyBorder="1" applyAlignment="1">
      <alignment/>
    </xf>
    <xf numFmtId="0" fontId="0" fillId="0" borderId="0" xfId="0" applyFont="1" applyAlignment="1">
      <alignment/>
    </xf>
    <xf numFmtId="10" fontId="0" fillId="0" borderId="0" xfId="0" applyNumberFormat="1" applyAlignment="1">
      <alignment/>
    </xf>
    <xf numFmtId="182" fontId="0" fillId="0" borderId="19" xfId="0" applyNumberFormat="1" applyFill="1" applyBorder="1" applyAlignment="1">
      <alignment/>
    </xf>
    <xf numFmtId="182" fontId="0" fillId="0" borderId="11" xfId="0" applyNumberFormat="1" applyBorder="1" applyAlignment="1">
      <alignment/>
    </xf>
    <xf numFmtId="41" fontId="0" fillId="0" borderId="0" xfId="0" applyNumberForma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PageLayoutView="0" workbookViewId="0" topLeftCell="A1">
      <selection activeCell="F4" sqref="F4"/>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78</v>
      </c>
      <c r="B1" s="2"/>
      <c r="C1" s="2"/>
      <c r="D1" s="2"/>
      <c r="E1" s="2"/>
      <c r="F1" s="2"/>
      <c r="G1" s="3"/>
      <c r="H1" s="2"/>
      <c r="I1" s="2"/>
      <c r="J1" s="1" t="s">
        <v>66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"&amp;YEAR(A23)</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ht="12.75">
      <c r="A4" s="6" t="s">
        <v>85</v>
      </c>
      <c r="B4" s="2"/>
      <c r="C4" s="2"/>
      <c r="D4" s="2"/>
      <c r="E4" s="2"/>
      <c r="F4" s="3"/>
      <c r="G4" s="3"/>
      <c r="H4" s="2"/>
      <c r="I4" s="2"/>
      <c r="J4" s="2"/>
      <c r="K4" s="2"/>
      <c r="L4" s="2"/>
      <c r="M4" s="2"/>
      <c r="N4" s="2"/>
      <c r="O4" s="2"/>
      <c r="P4" s="2"/>
      <c r="Q4" s="2"/>
      <c r="R4" s="2"/>
      <c r="S4" s="2"/>
      <c r="T4" s="2"/>
      <c r="U4" s="2"/>
      <c r="V4" s="2"/>
      <c r="W4" s="3"/>
      <c r="X4" s="3"/>
      <c r="Y4" s="3"/>
      <c r="Z4" s="3"/>
      <c r="AA4" s="3"/>
    </row>
    <row r="5" spans="1:22" ht="12.75">
      <c r="A5" s="6" t="s">
        <v>56</v>
      </c>
      <c r="B5" s="8"/>
      <c r="C5" s="8"/>
      <c r="D5" s="8"/>
      <c r="E5" s="8"/>
      <c r="F5" s="8"/>
      <c r="G5" s="2"/>
      <c r="H5" s="8"/>
      <c r="I5" s="2"/>
      <c r="J5" s="2"/>
      <c r="K5" s="8"/>
      <c r="L5" s="2"/>
      <c r="M5" s="2"/>
      <c r="N5" s="2"/>
      <c r="O5" s="2"/>
      <c r="P5" s="2"/>
      <c r="Q5" s="2"/>
      <c r="R5" s="2"/>
      <c r="S5" s="2"/>
      <c r="T5" s="2"/>
      <c r="U5" s="2"/>
      <c r="V5" s="2"/>
    </row>
    <row r="6" spans="1:27" ht="12.75">
      <c r="A6" s="9"/>
      <c r="B6" s="10"/>
      <c r="C6" s="11"/>
      <c r="D6" s="11"/>
      <c r="E6" s="11"/>
      <c r="F6" s="12" t="s">
        <v>1</v>
      </c>
      <c r="G6" s="11"/>
      <c r="H6" s="11"/>
      <c r="I6" s="11"/>
      <c r="J6" s="11"/>
      <c r="K6" s="11"/>
      <c r="L6" s="2"/>
      <c r="M6" s="2"/>
      <c r="N6" s="2"/>
      <c r="O6" s="123" t="str">
        <f>"Total "&amp;F6</f>
        <v>Total Commodity</v>
      </c>
      <c r="P6" s="124"/>
      <c r="Q6" s="2"/>
      <c r="R6" s="2"/>
      <c r="S6" s="2"/>
      <c r="T6" s="2"/>
      <c r="U6" s="2"/>
      <c r="V6" s="13"/>
      <c r="W6" s="14"/>
      <c r="X6" s="14"/>
      <c r="Y6" s="14"/>
      <c r="AA6" s="14"/>
    </row>
    <row r="7" spans="1:16" s="16" customFormat="1" ht="11.25">
      <c r="A7" s="15"/>
      <c r="B7" s="12"/>
      <c r="C7" s="12"/>
      <c r="D7" s="12" t="s">
        <v>1</v>
      </c>
      <c r="E7" s="12"/>
      <c r="F7" s="12" t="s">
        <v>2</v>
      </c>
      <c r="G7" s="12"/>
      <c r="H7" s="12"/>
      <c r="I7" s="12"/>
      <c r="J7" s="12"/>
      <c r="K7" s="12"/>
      <c r="O7" s="125" t="str">
        <f>+F7</f>
        <v>Revenue</v>
      </c>
      <c r="P7" s="88"/>
    </row>
    <row r="8" spans="1:16" s="16" customFormat="1" ht="11.25">
      <c r="A8" s="15" t="s">
        <v>3</v>
      </c>
      <c r="B8" s="12" t="s">
        <v>57</v>
      </c>
      <c r="C8" s="12"/>
      <c r="D8" s="12" t="s">
        <v>2</v>
      </c>
      <c r="E8" s="12"/>
      <c r="F8" s="12" t="s">
        <v>58</v>
      </c>
      <c r="G8" s="12"/>
      <c r="H8" s="12"/>
      <c r="I8" s="12"/>
      <c r="J8" s="12" t="s">
        <v>59</v>
      </c>
      <c r="K8" s="12"/>
      <c r="O8" s="125" t="str">
        <f>+F8</f>
        <v>per Yard</v>
      </c>
      <c r="P8" s="88"/>
    </row>
    <row r="9" spans="1:16" s="16" customFormat="1" ht="11.25">
      <c r="A9" s="112">
        <f>Multi_Family!$C$6</f>
        <v>43221</v>
      </c>
      <c r="B9" s="145">
        <v>1815.83</v>
      </c>
      <c r="C9" s="12"/>
      <c r="D9" s="147">
        <f>VLOOKUP(A9,Value!$A$6:$O$17,15,)</f>
        <v>37.6822456349997</v>
      </c>
      <c r="E9" s="12"/>
      <c r="F9" s="16">
        <f>ROUND(D9/B9,2)</f>
        <v>0.02</v>
      </c>
      <c r="G9" s="12"/>
      <c r="H9" s="12"/>
      <c r="I9" s="12"/>
      <c r="J9" s="14">
        <f>+B9</f>
        <v>1815.83</v>
      </c>
      <c r="K9" s="13">
        <f>YEAR(A9)</f>
        <v>2018</v>
      </c>
      <c r="O9" s="126">
        <f>VLOOKUP(A9,Value!$A$6:$O$17,13,FALSE)</f>
        <v>75.3644912699994</v>
      </c>
      <c r="P9" s="88"/>
    </row>
    <row r="10" spans="1:16" s="16" customFormat="1" ht="11.25">
      <c r="A10" s="17">
        <f>EOMONTH(A9,1)</f>
        <v>43281</v>
      </c>
      <c r="B10" s="146">
        <v>1815.83</v>
      </c>
      <c r="C10" s="18"/>
      <c r="D10" s="147">
        <f>VLOOKUP(A10,Value!$A$6:$O$17,15,)</f>
        <v>138.9767582999998</v>
      </c>
      <c r="E10" s="14"/>
      <c r="F10" s="16">
        <f>ROUND(D10/B10,2)</f>
        <v>0.08</v>
      </c>
      <c r="G10" s="14"/>
      <c r="H10" s="14"/>
      <c r="I10" s="14"/>
      <c r="J10" s="14">
        <f>+B10</f>
        <v>1815.83</v>
      </c>
      <c r="K10" s="13">
        <f>YEAR(A10)</f>
        <v>2018</v>
      </c>
      <c r="O10" s="126">
        <f>VLOOKUP(A10,Value!$A$6:$O$17,13,FALSE)</f>
        <v>277.9535165999996</v>
      </c>
      <c r="P10" s="88"/>
    </row>
    <row r="11" spans="1:16" s="16" customFormat="1" ht="11.25">
      <c r="A11" s="17">
        <f>EOMONTH(A10,1)</f>
        <v>43312</v>
      </c>
      <c r="B11" s="146">
        <v>1833.1499999999999</v>
      </c>
      <c r="C11" s="14"/>
      <c r="D11" s="147">
        <f>VLOOKUP(A11,Value!$A$6:$O$17,15,)</f>
        <v>337.5421008049997</v>
      </c>
      <c r="E11" s="14"/>
      <c r="F11" s="16">
        <f>ROUND(D11/B11,2)</f>
        <v>0.18</v>
      </c>
      <c r="G11" s="14"/>
      <c r="H11" s="14"/>
      <c r="I11" s="14"/>
      <c r="J11" s="14">
        <f>+B11</f>
        <v>1833.1499999999999</v>
      </c>
      <c r="K11" s="13">
        <f>YEAR(A11)</f>
        <v>2018</v>
      </c>
      <c r="O11" s="126">
        <f>VLOOKUP(A11,Value!$A$6:$O$17,13,FALSE)</f>
        <v>675.0842016099994</v>
      </c>
      <c r="P11" s="88"/>
    </row>
    <row r="12" spans="1:16" s="16" customFormat="1" ht="11.25">
      <c r="A12" s="17">
        <f>EOMONTH(A11,1)</f>
        <v>43343</v>
      </c>
      <c r="B12" s="146">
        <v>1861.29</v>
      </c>
      <c r="C12" s="14"/>
      <c r="D12" s="147">
        <f>VLOOKUP(A12,Value!$A$6:$O$17,15,)</f>
        <v>321.6878325299998</v>
      </c>
      <c r="E12" s="14"/>
      <c r="F12" s="16">
        <f aca="true" t="shared" si="0" ref="F12:F23">ROUND(D12/B12,2)</f>
        <v>0.17</v>
      </c>
      <c r="G12" s="21"/>
      <c r="H12" s="14"/>
      <c r="I12" s="14"/>
      <c r="J12" s="14">
        <f aca="true" t="shared" si="1" ref="J12:J23">+B12</f>
        <v>1861.29</v>
      </c>
      <c r="K12" s="13">
        <f aca="true" t="shared" si="2" ref="K12:K23">YEAR(A12)</f>
        <v>2018</v>
      </c>
      <c r="O12" s="126">
        <f>VLOOKUP(A12,Value!$A$6:$O$17,13,FALSE)</f>
        <v>643.3756650599996</v>
      </c>
      <c r="P12" s="88"/>
    </row>
    <row r="13" spans="1:16" s="16" customFormat="1" ht="11.25">
      <c r="A13" s="17">
        <f aca="true" t="shared" si="3" ref="A13:A22">EOMONTH(A12,1)</f>
        <v>43373</v>
      </c>
      <c r="B13" s="146">
        <v>1861.29</v>
      </c>
      <c r="C13" s="14"/>
      <c r="D13" s="147">
        <f>VLOOKUP(A13,Value!$A$6:$O$17,15,)</f>
        <v>339.02416971499974</v>
      </c>
      <c r="E13" s="14"/>
      <c r="F13" s="16">
        <f t="shared" si="0"/>
        <v>0.18</v>
      </c>
      <c r="G13" s="21"/>
      <c r="H13" s="14"/>
      <c r="I13" s="14"/>
      <c r="J13" s="14">
        <f t="shared" si="1"/>
        <v>1861.29</v>
      </c>
      <c r="K13" s="13">
        <f t="shared" si="2"/>
        <v>2018</v>
      </c>
      <c r="O13" s="126">
        <f>VLOOKUP(A13,Value!$A$6:$O$17,13,FALSE)</f>
        <v>678.0483394299995</v>
      </c>
      <c r="P13" s="88"/>
    </row>
    <row r="14" spans="1:16" s="16" customFormat="1" ht="11.25">
      <c r="A14" s="17">
        <f t="shared" si="3"/>
        <v>43404</v>
      </c>
      <c r="B14" s="146">
        <v>1862.59</v>
      </c>
      <c r="C14" s="14"/>
      <c r="D14" s="147">
        <f>VLOOKUP(A14,Value!$A$6:$O$17,15,)</f>
        <v>354.2904658799997</v>
      </c>
      <c r="E14" s="14"/>
      <c r="F14" s="16">
        <f t="shared" si="0"/>
        <v>0.19</v>
      </c>
      <c r="G14" s="21"/>
      <c r="H14" s="14"/>
      <c r="I14" s="14"/>
      <c r="J14" s="14">
        <f t="shared" si="1"/>
        <v>1862.59</v>
      </c>
      <c r="K14" s="13">
        <f t="shared" si="2"/>
        <v>2018</v>
      </c>
      <c r="O14" s="126">
        <f>VLOOKUP(A14,Value!$A$6:$O$17,13,FALSE)</f>
        <v>708.5809317599994</v>
      </c>
      <c r="P14" s="88"/>
    </row>
    <row r="15" spans="1:16" s="16" customFormat="1" ht="11.25">
      <c r="A15" s="17"/>
      <c r="B15" s="14"/>
      <c r="C15" s="14"/>
      <c r="D15" s="14"/>
      <c r="E15" s="14"/>
      <c r="G15" s="21"/>
      <c r="H15" s="14"/>
      <c r="I15" s="14"/>
      <c r="J15" s="14"/>
      <c r="K15" s="13"/>
      <c r="O15" s="126"/>
      <c r="P15" s="88"/>
    </row>
    <row r="16" spans="1:16" s="16" customFormat="1" ht="11.25">
      <c r="A16" s="17" t="s">
        <v>86</v>
      </c>
      <c r="B16" s="14">
        <f>SUM(B9:B14)</f>
        <v>11049.98</v>
      </c>
      <c r="C16" s="14"/>
      <c r="D16" s="14">
        <f>SUM(D9:D14)</f>
        <v>1529.2035728649985</v>
      </c>
      <c r="E16" s="14"/>
      <c r="G16" s="21"/>
      <c r="H16" s="14"/>
      <c r="I16" s="14"/>
      <c r="J16" s="14"/>
      <c r="K16" s="13"/>
      <c r="O16" s="126"/>
      <c r="P16" s="88"/>
    </row>
    <row r="17" spans="1:16" s="16" customFormat="1" ht="11.25">
      <c r="A17" s="17"/>
      <c r="B17" s="14"/>
      <c r="C17" s="14"/>
      <c r="D17" s="14"/>
      <c r="E17" s="14"/>
      <c r="G17" s="21"/>
      <c r="H17" s="14"/>
      <c r="I17" s="14"/>
      <c r="J17" s="14"/>
      <c r="K17" s="13"/>
      <c r="O17" s="126"/>
      <c r="P17" s="88"/>
    </row>
    <row r="18" spans="1:16" s="16" customFormat="1" ht="11.25">
      <c r="A18" s="17">
        <f>EOMONTH(A14,1)</f>
        <v>43434</v>
      </c>
      <c r="B18" s="146">
        <v>1895</v>
      </c>
      <c r="C18" s="14"/>
      <c r="D18" s="147">
        <f>VLOOKUP(A18,Value!$A$6:$O$17,15,)</f>
        <v>435.06333129999973</v>
      </c>
      <c r="E18" s="14"/>
      <c r="F18" s="16">
        <f t="shared" si="0"/>
        <v>0.23</v>
      </c>
      <c r="G18" s="21"/>
      <c r="H18" s="14"/>
      <c r="I18" s="14"/>
      <c r="J18" s="14">
        <f t="shared" si="1"/>
        <v>1895</v>
      </c>
      <c r="K18" s="13">
        <f t="shared" si="2"/>
        <v>2018</v>
      </c>
      <c r="O18" s="126">
        <f>VLOOKUP(A18,Value!$A$6:$O$17,13,FALSE)</f>
        <v>870.1266625999995</v>
      </c>
      <c r="P18" s="88"/>
    </row>
    <row r="19" spans="1:25" s="16" customFormat="1" ht="11.25">
      <c r="A19" s="17">
        <f t="shared" si="3"/>
        <v>43465</v>
      </c>
      <c r="B19" s="146">
        <v>1887</v>
      </c>
      <c r="C19" s="14"/>
      <c r="D19" s="147">
        <f>VLOOKUP(A19,Value!$A$6:$O$17,15,)</f>
        <v>473.0456953649996</v>
      </c>
      <c r="E19" s="14"/>
      <c r="F19" s="16">
        <f t="shared" si="0"/>
        <v>0.25</v>
      </c>
      <c r="G19" s="21"/>
      <c r="H19" s="14"/>
      <c r="I19" s="14"/>
      <c r="J19" s="14">
        <f t="shared" si="1"/>
        <v>1887</v>
      </c>
      <c r="K19" s="13">
        <f t="shared" si="2"/>
        <v>2018</v>
      </c>
      <c r="O19" s="126">
        <f>VLOOKUP(A19,Value!$A$6:$O$17,13,FALSE)</f>
        <v>946.0913907299991</v>
      </c>
      <c r="P19" s="88"/>
      <c r="X19" s="14"/>
      <c r="Y19" s="14"/>
    </row>
    <row r="20" spans="1:27" s="16" customFormat="1" ht="11.25">
      <c r="A20" s="17">
        <f t="shared" si="3"/>
        <v>43496</v>
      </c>
      <c r="B20" s="146">
        <v>1888</v>
      </c>
      <c r="C20" s="14"/>
      <c r="D20" s="147">
        <f>VLOOKUP(A20,Value!$A$6:$O$17,15,)</f>
        <v>590.3663396317902</v>
      </c>
      <c r="E20" s="14"/>
      <c r="F20" s="16">
        <f t="shared" si="0"/>
        <v>0.31</v>
      </c>
      <c r="G20" s="21"/>
      <c r="H20" s="14"/>
      <c r="I20" s="14"/>
      <c r="J20" s="14">
        <f t="shared" si="1"/>
        <v>1888</v>
      </c>
      <c r="K20" s="13">
        <f t="shared" si="2"/>
        <v>2019</v>
      </c>
      <c r="L20" s="14"/>
      <c r="M20" s="14"/>
      <c r="N20" s="14"/>
      <c r="O20" s="126">
        <f>VLOOKUP(A20,Value!$A$6:$O$17,13,FALSE)</f>
        <v>1180.7326792635804</v>
      </c>
      <c r="P20" s="88"/>
      <c r="Q20" s="14"/>
      <c r="R20" s="14"/>
      <c r="S20" s="14"/>
      <c r="T20" s="14"/>
      <c r="U20" s="14"/>
      <c r="V20" s="14"/>
      <c r="W20" s="14"/>
      <c r="Y20" s="14"/>
      <c r="AA20" s="14"/>
    </row>
    <row r="21" spans="1:16" s="16" customFormat="1" ht="11.25">
      <c r="A21" s="17">
        <f t="shared" si="3"/>
        <v>43524</v>
      </c>
      <c r="B21" s="146">
        <v>1885</v>
      </c>
      <c r="C21" s="14"/>
      <c r="D21" s="147">
        <f>VLOOKUP(A21,Value!$A$6:$O$17,15,)</f>
        <v>356.7922204328971</v>
      </c>
      <c r="E21" s="14"/>
      <c r="F21" s="16">
        <f t="shared" si="0"/>
        <v>0.19</v>
      </c>
      <c r="G21" s="21"/>
      <c r="H21" s="14"/>
      <c r="I21" s="14"/>
      <c r="J21" s="14">
        <f t="shared" si="1"/>
        <v>1885</v>
      </c>
      <c r="K21" s="13">
        <f t="shared" si="2"/>
        <v>2019</v>
      </c>
      <c r="O21" s="126">
        <f>VLOOKUP(A21,Value!$A$6:$O$17,13,FALSE)</f>
        <v>713.5844408657942</v>
      </c>
      <c r="P21" s="32"/>
    </row>
    <row r="22" spans="1:16" s="16" customFormat="1" ht="11.25">
      <c r="A22" s="17">
        <f t="shared" si="3"/>
        <v>43555</v>
      </c>
      <c r="B22" s="146">
        <v>1888</v>
      </c>
      <c r="C22" s="14"/>
      <c r="D22" s="147">
        <f>VLOOKUP(A22,Value!$A$6:$O$17,15,)</f>
        <v>312.6157624</v>
      </c>
      <c r="E22" s="14"/>
      <c r="F22" s="16">
        <f t="shared" si="0"/>
        <v>0.17</v>
      </c>
      <c r="G22" s="21"/>
      <c r="H22" s="18"/>
      <c r="I22" s="14"/>
      <c r="J22" s="14">
        <f t="shared" si="1"/>
        <v>1888</v>
      </c>
      <c r="K22" s="13">
        <f t="shared" si="2"/>
        <v>2019</v>
      </c>
      <c r="O22" s="126">
        <f>VLOOKUP(A22,Value!$A$6:$O$17,13,FALSE)</f>
        <v>625.2315248</v>
      </c>
      <c r="P22" s="88"/>
    </row>
    <row r="23" spans="1:16" s="16" customFormat="1" ht="11.25">
      <c r="A23" s="17">
        <f>EOMONTH(A22,1)</f>
        <v>43585</v>
      </c>
      <c r="B23" s="146">
        <v>1888</v>
      </c>
      <c r="C23" s="14"/>
      <c r="D23" s="147">
        <f>VLOOKUP(A23,Value!$A$6:$O$17,15,)</f>
        <v>183.33686524755637</v>
      </c>
      <c r="E23" s="14"/>
      <c r="F23" s="16">
        <f t="shared" si="0"/>
        <v>0.1</v>
      </c>
      <c r="G23" s="21"/>
      <c r="H23" s="18"/>
      <c r="I23" s="14"/>
      <c r="J23" s="14">
        <f t="shared" si="1"/>
        <v>1888</v>
      </c>
      <c r="K23" s="13">
        <f t="shared" si="2"/>
        <v>2019</v>
      </c>
      <c r="O23" s="126">
        <f>VLOOKUP(A23,Value!$A$6:$O$17,13,FALSE)</f>
        <v>366.67373049511275</v>
      </c>
      <c r="P23" s="88"/>
    </row>
    <row r="24" spans="1:15" s="16" customFormat="1" ht="11.25">
      <c r="A24" s="17"/>
      <c r="B24" s="14"/>
      <c r="C24" s="14"/>
      <c r="E24" s="14"/>
      <c r="G24" s="14"/>
      <c r="H24" s="14"/>
      <c r="I24" s="14"/>
      <c r="J24" s="14"/>
      <c r="K24" s="13"/>
      <c r="O24" s="127"/>
    </row>
    <row r="25" spans="1:16" s="16" customFormat="1" ht="11.25">
      <c r="A25" s="17" t="s">
        <v>87</v>
      </c>
      <c r="B25" s="19">
        <f>SUM(B18:B23)</f>
        <v>11331</v>
      </c>
      <c r="C25" s="18"/>
      <c r="D25" s="19">
        <f>SUM(D18:D23)</f>
        <v>2351.220214377243</v>
      </c>
      <c r="E25" s="18" t="s">
        <v>4</v>
      </c>
      <c r="G25" s="14"/>
      <c r="H25" s="14"/>
      <c r="I25" s="14"/>
      <c r="J25" s="14"/>
      <c r="K25" s="13"/>
      <c r="O25" s="127"/>
      <c r="P25" s="93" t="s">
        <v>68</v>
      </c>
    </row>
    <row r="26" spans="1:16" s="16" customFormat="1" ht="12.75">
      <c r="A26" s="5"/>
      <c r="B26" s="5"/>
      <c r="C26" s="5"/>
      <c r="D26" s="22"/>
      <c r="E26" s="5"/>
      <c r="F26" s="5"/>
      <c r="G26" s="5"/>
      <c r="H26" s="5"/>
      <c r="I26" s="5"/>
      <c r="J26" s="5"/>
      <c r="K26" s="5"/>
      <c r="O26" s="127">
        <f>SUM(O9:O25)</f>
        <v>7760.847574484484</v>
      </c>
      <c r="P26" s="97"/>
    </row>
    <row r="27" spans="1:16" s="16" customFormat="1" ht="12" thickBot="1">
      <c r="A27" s="23" t="s">
        <v>88</v>
      </c>
      <c r="B27" s="24">
        <f>B16+B25</f>
        <v>22380.98</v>
      </c>
      <c r="C27" s="18"/>
      <c r="D27" s="24">
        <f>D16+D25</f>
        <v>3880.4237872422414</v>
      </c>
      <c r="F27" s="16">
        <f>(D27/B27)</f>
        <v>0.17338042334349263</v>
      </c>
      <c r="G27" s="18" t="s">
        <v>5</v>
      </c>
      <c r="H27" s="14"/>
      <c r="I27" s="14"/>
      <c r="J27" s="24">
        <f>SUM(J9:J26)</f>
        <v>22380.98</v>
      </c>
      <c r="K27" s="18" t="s">
        <v>6</v>
      </c>
      <c r="O27" s="128">
        <f>ROUND(O26/J27,3)</f>
        <v>0.347</v>
      </c>
      <c r="P27" s="88" t="s">
        <v>69</v>
      </c>
    </row>
    <row r="28" spans="2:16" s="16" customFormat="1" ht="12" thickTop="1">
      <c r="B28" s="14"/>
      <c r="C28" s="18"/>
      <c r="D28" s="14"/>
      <c r="E28" s="14"/>
      <c r="F28" s="14"/>
      <c r="G28" s="14"/>
      <c r="H28" s="14"/>
      <c r="I28" s="14"/>
      <c r="J28" s="14"/>
      <c r="K28" s="14"/>
      <c r="O28" s="129">
        <f>+J23</f>
        <v>1888</v>
      </c>
      <c r="P28" s="88" t="s">
        <v>70</v>
      </c>
    </row>
    <row r="29" spans="2:16" s="16" customFormat="1" ht="11.25">
      <c r="B29" s="14"/>
      <c r="C29" s="18"/>
      <c r="D29" s="14"/>
      <c r="E29" s="14"/>
      <c r="F29" s="14"/>
      <c r="G29" s="14"/>
      <c r="H29" s="14"/>
      <c r="I29" s="14"/>
      <c r="J29" s="14"/>
      <c r="K29" s="14"/>
      <c r="O29" s="32"/>
      <c r="P29" s="88"/>
    </row>
    <row r="30" spans="2:16" s="16" customFormat="1" ht="11.25">
      <c r="B30" s="14"/>
      <c r="C30" s="14"/>
      <c r="D30" s="14"/>
      <c r="E30" s="14"/>
      <c r="F30" s="14"/>
      <c r="G30" s="14"/>
      <c r="H30" s="14"/>
      <c r="I30" s="14"/>
      <c r="J30" s="14"/>
      <c r="K30" s="14"/>
      <c r="O30" s="88"/>
      <c r="P30" s="88" t="s">
        <v>71</v>
      </c>
    </row>
    <row r="31" spans="2:11" s="16" customFormat="1" ht="12" thickBot="1">
      <c r="B31" s="26" t="s">
        <v>7</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1" s="16" customFormat="1" ht="11.25">
      <c r="A33" s="8"/>
      <c r="B33" s="28"/>
      <c r="C33" s="14"/>
      <c r="D33" s="14"/>
      <c r="E33" s="14"/>
      <c r="F33" s="29" t="s">
        <v>8</v>
      </c>
      <c r="G33" s="16">
        <f>D25</f>
        <v>2351.220214377243</v>
      </c>
      <c r="H33" s="18" t="s">
        <v>4</v>
      </c>
      <c r="I33" s="14"/>
      <c r="J33" s="14"/>
      <c r="K33" s="14"/>
    </row>
    <row r="34" spans="1:27" s="13" customFormat="1" ht="11.25">
      <c r="A34" s="30"/>
      <c r="B34" s="28"/>
      <c r="C34" s="14"/>
      <c r="D34" s="14"/>
      <c r="E34" s="14"/>
      <c r="F34" s="14"/>
      <c r="G34" s="14"/>
      <c r="H34" s="18"/>
      <c r="I34" s="14"/>
      <c r="J34" s="14"/>
      <c r="K34" s="14"/>
      <c r="O34" s="16">
        <f>12*O28*O27</f>
        <v>7861.632</v>
      </c>
      <c r="P34" s="13" t="s">
        <v>72</v>
      </c>
      <c r="W34" s="14"/>
      <c r="X34" s="16"/>
      <c r="Y34" s="16"/>
      <c r="AA34" s="14"/>
    </row>
    <row r="35" spans="2:16" s="16" customFormat="1" ht="11.25">
      <c r="B35" s="14" t="s">
        <v>60</v>
      </c>
      <c r="C35" s="14"/>
      <c r="D35" s="14"/>
      <c r="E35" s="14"/>
      <c r="F35" s="148">
        <v>0.213</v>
      </c>
      <c r="G35" s="14"/>
      <c r="H35" s="14"/>
      <c r="I35" s="14"/>
      <c r="J35" s="14"/>
      <c r="K35" s="14"/>
      <c r="O35" s="16">
        <f>12*O28*G58</f>
        <v>3928.106871270169</v>
      </c>
      <c r="P35" s="16" t="s">
        <v>73</v>
      </c>
    </row>
    <row r="36" spans="2:15" s="16" customFormat="1" ht="11.25">
      <c r="B36" s="14"/>
      <c r="C36" s="14" t="str">
        <f>"Yards from "&amp;TEXT($A$18,"mm/yy")&amp;" - "&amp;TEXT($A$20,"mm/yy")</f>
        <v>Yards from 11/18 - 01/19</v>
      </c>
      <c r="D36" s="14"/>
      <c r="E36" s="14"/>
      <c r="F36" s="14">
        <f>B18+B19+B20</f>
        <v>5670</v>
      </c>
      <c r="G36" s="18"/>
      <c r="H36" s="14"/>
      <c r="I36" s="14"/>
      <c r="J36" s="14"/>
      <c r="K36" s="14"/>
      <c r="O36" s="130">
        <f>+O35/O34</f>
        <v>0.49965539868441683</v>
      </c>
    </row>
    <row r="37" spans="2:11" s="16" customFormat="1" ht="11.25">
      <c r="B37" s="14"/>
      <c r="C37" s="14" t="s">
        <v>9</v>
      </c>
      <c r="D37" s="14"/>
      <c r="E37" s="14"/>
      <c r="F37" s="20">
        <f>F35*F36</f>
        <v>1207.71</v>
      </c>
      <c r="G37" s="18"/>
      <c r="H37" s="14"/>
      <c r="I37" s="14"/>
      <c r="J37" s="31"/>
      <c r="K37" s="14"/>
    </row>
    <row r="38" spans="2:11" s="16" customFormat="1" ht="11.25">
      <c r="B38" s="14"/>
      <c r="C38" s="14"/>
      <c r="D38" s="14"/>
      <c r="E38" s="14"/>
      <c r="F38" s="32"/>
      <c r="G38" s="18"/>
      <c r="H38" s="14"/>
      <c r="I38" s="14"/>
      <c r="J38" s="14"/>
      <c r="K38" s="14"/>
    </row>
    <row r="39" spans="2:11" s="16" customFormat="1" ht="11.25">
      <c r="B39" s="14" t="s">
        <v>60</v>
      </c>
      <c r="C39" s="14"/>
      <c r="D39" s="14"/>
      <c r="E39" s="14"/>
      <c r="F39" s="148">
        <v>0.138</v>
      </c>
      <c r="G39" s="14"/>
      <c r="H39" s="14"/>
      <c r="I39" s="14"/>
      <c r="J39" s="14"/>
      <c r="K39" s="14"/>
    </row>
    <row r="40" spans="2:11" s="16" customFormat="1" ht="11.25">
      <c r="B40" s="14"/>
      <c r="C40" s="14" t="str">
        <f>"Yardss from "&amp;TEXT($A$12,"mm/yy")&amp;" - "&amp;TEXT($A$23,"mm/yy")</f>
        <v>Yardss from 08/18 - 04/19</v>
      </c>
      <c r="D40" s="14"/>
      <c r="E40" s="14"/>
      <c r="F40" s="14">
        <f>B22+B23</f>
        <v>3776</v>
      </c>
      <c r="G40" s="18"/>
      <c r="H40" s="14"/>
      <c r="I40" s="14"/>
      <c r="J40" s="14"/>
      <c r="K40" s="14"/>
    </row>
    <row r="41" spans="2:11" s="16" customFormat="1" ht="11.25">
      <c r="B41" s="14"/>
      <c r="C41" s="14" t="s">
        <v>9</v>
      </c>
      <c r="D41" s="14"/>
      <c r="E41" s="14"/>
      <c r="F41" s="20">
        <f>F39*F40</f>
        <v>521.0880000000001</v>
      </c>
      <c r="G41" s="18"/>
      <c r="H41" s="14"/>
      <c r="I41" s="14"/>
      <c r="J41" s="14"/>
      <c r="K41" s="14"/>
    </row>
    <row r="42" spans="2:11" s="16" customFormat="1" ht="11.25">
      <c r="B42" s="14"/>
      <c r="C42" s="14"/>
      <c r="D42" s="14"/>
      <c r="E42" s="14"/>
      <c r="F42" s="33"/>
      <c r="G42" s="18"/>
      <c r="H42" s="14"/>
      <c r="I42" s="14"/>
      <c r="J42" s="14"/>
      <c r="K42" s="14"/>
    </row>
    <row r="43" spans="2:11" s="16" customFormat="1" ht="12" thickBot="1">
      <c r="B43" s="14"/>
      <c r="C43" s="14" t="s">
        <v>10</v>
      </c>
      <c r="D43" s="14"/>
      <c r="E43" s="14"/>
      <c r="F43" s="25">
        <f>+F37+F41</f>
        <v>1728.7980000000002</v>
      </c>
      <c r="G43" s="135">
        <f>+F43</f>
        <v>1728.7980000000002</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
        <v>61</v>
      </c>
      <c r="G46" s="37">
        <f>+G33-G43</f>
        <v>622.4222143772427</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1" s="16" customFormat="1" ht="12" thickBot="1">
      <c r="B49" s="26" t="str">
        <f>$K$23+1&amp;" Recycle Adjustment Calculation"</f>
        <v>2020 Recycle Adjustment Calculation</v>
      </c>
      <c r="C49" s="27"/>
      <c r="D49" s="27"/>
      <c r="E49" s="27"/>
      <c r="F49" s="27"/>
      <c r="G49" s="14"/>
      <c r="H49" s="14"/>
      <c r="I49" s="14"/>
      <c r="J49" s="14"/>
      <c r="K49" s="14"/>
    </row>
    <row r="50" spans="2:27" s="16" customFormat="1" ht="12" thickTop="1">
      <c r="B50" s="28"/>
      <c r="C50" s="14"/>
      <c r="D50" s="14"/>
      <c r="E50" s="14"/>
      <c r="F50" s="14"/>
      <c r="G50" s="14"/>
      <c r="H50" s="14"/>
      <c r="I50" s="14"/>
      <c r="J50" s="14"/>
      <c r="K50" s="14"/>
      <c r="L50" s="14"/>
      <c r="M50" s="14"/>
      <c r="N50" s="14"/>
      <c r="O50" s="14"/>
      <c r="P50" s="14"/>
      <c r="Q50" s="14"/>
      <c r="R50" s="14"/>
      <c r="S50" s="14"/>
      <c r="T50" s="14"/>
      <c r="U50" s="14"/>
      <c r="V50" s="14"/>
      <c r="W50" s="14"/>
      <c r="AA50" s="14"/>
    </row>
    <row r="51" spans="2:11" s="16" customFormat="1" ht="11.25">
      <c r="B51" s="14" t="s">
        <v>79</v>
      </c>
      <c r="C51" s="14"/>
      <c r="D51" s="14"/>
      <c r="E51" s="14"/>
      <c r="F51" s="14"/>
      <c r="G51" s="14"/>
      <c r="H51" s="14"/>
      <c r="I51" s="14"/>
      <c r="J51" s="14"/>
      <c r="K51" s="14"/>
    </row>
    <row r="52" spans="2:11" s="16" customFormat="1" ht="11.25">
      <c r="B52" s="14"/>
      <c r="C52" s="14"/>
      <c r="D52" s="14"/>
      <c r="E52" s="14"/>
      <c r="F52" s="29" t="s">
        <v>90</v>
      </c>
      <c r="G52" s="14">
        <f>+J27</f>
        <v>22380.98</v>
      </c>
      <c r="H52" s="18" t="s">
        <v>6</v>
      </c>
      <c r="I52" s="14"/>
      <c r="J52" s="14"/>
      <c r="K52" s="14"/>
    </row>
    <row r="53" spans="2:11" s="16" customFormat="1" ht="11.25">
      <c r="B53" s="14"/>
      <c r="C53" s="14"/>
      <c r="D53" s="14"/>
      <c r="E53" s="14"/>
      <c r="F53" s="29" t="str">
        <f>F46</f>
        <v>Deficient Commodity Credits</v>
      </c>
      <c r="G53" s="16">
        <f>+G46</f>
        <v>622.4222143772427</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80</v>
      </c>
      <c r="G55" s="34">
        <f>ROUND(G53/G52,3)</f>
        <v>0.028</v>
      </c>
      <c r="H55" s="14"/>
      <c r="I55" s="21">
        <f>+G55</f>
        <v>0.028</v>
      </c>
      <c r="J55" s="14"/>
      <c r="K55" s="14"/>
    </row>
    <row r="56" spans="2:25" s="16" customFormat="1" ht="12" thickTop="1">
      <c r="B56" s="14"/>
      <c r="C56" s="14"/>
      <c r="D56" s="14"/>
      <c r="E56" s="14"/>
      <c r="F56" s="29"/>
      <c r="G56" s="14"/>
      <c r="H56" s="14"/>
      <c r="I56" s="21"/>
      <c r="J56" s="14"/>
      <c r="K56" s="14"/>
      <c r="Y56" s="14"/>
    </row>
    <row r="57" spans="2:12" s="16" customFormat="1" ht="11.25">
      <c r="B57" s="14" t="s">
        <v>81</v>
      </c>
      <c r="C57" s="14"/>
      <c r="D57" s="14"/>
      <c r="E57" s="14"/>
      <c r="F57" s="29"/>
      <c r="G57" s="14"/>
      <c r="H57" s="14"/>
      <c r="I57" s="21"/>
      <c r="J57" s="14"/>
      <c r="K57" s="14"/>
      <c r="L57" s="141" t="s">
        <v>74</v>
      </c>
    </row>
    <row r="58" spans="2:12" s="16" customFormat="1" ht="12" thickBot="1">
      <c r="B58" s="28"/>
      <c r="C58" s="14"/>
      <c r="D58" s="14"/>
      <c r="E58" s="14"/>
      <c r="F58" s="29" t="s">
        <v>89</v>
      </c>
      <c r="G58" s="140">
        <f>F27</f>
        <v>0.17338042334349263</v>
      </c>
      <c r="H58" s="14"/>
      <c r="I58" s="16">
        <f>+G58</f>
        <v>0.17338042334349263</v>
      </c>
      <c r="J58" s="18" t="s">
        <v>5</v>
      </c>
      <c r="K58" s="14"/>
      <c r="L58" s="142">
        <f>+'[1]WUTC_AW of Kent_MF'!$O$56</f>
        <v>0.5</v>
      </c>
    </row>
    <row r="59" spans="2:25" s="14" customFormat="1" ht="12" thickTop="1">
      <c r="B59" s="28"/>
      <c r="I59" s="21"/>
      <c r="X59" s="16"/>
      <c r="Y59" s="16"/>
    </row>
    <row r="60" spans="2:11" s="16" customFormat="1" ht="12" thickBot="1">
      <c r="B60" s="14"/>
      <c r="C60" s="14"/>
      <c r="D60" s="14"/>
      <c r="E60" s="14"/>
      <c r="F60" s="14"/>
      <c r="G60" s="29" t="s">
        <v>91</v>
      </c>
      <c r="H60" s="24"/>
      <c r="I60" s="25">
        <f>ROUND(+I55+I58,2)</f>
        <v>0.2</v>
      </c>
      <c r="J60" s="14"/>
      <c r="K60" s="14"/>
    </row>
    <row r="61" s="16" customFormat="1" ht="12" thickTop="1">
      <c r="I61" s="21"/>
    </row>
    <row r="62" spans="1:7" s="16" customFormat="1" ht="10.5" customHeight="1">
      <c r="A62" s="89"/>
      <c r="B62" s="90"/>
      <c r="C62" s="91"/>
      <c r="D62" s="91"/>
      <c r="E62" s="91"/>
      <c r="F62" s="92"/>
      <c r="G62" s="111"/>
    </row>
    <row r="63" spans="1:25" s="16" customFormat="1" ht="11.25" hidden="1">
      <c r="A63" s="93"/>
      <c r="B63" s="92"/>
      <c r="C63" s="92"/>
      <c r="D63" s="92"/>
      <c r="E63" s="92"/>
      <c r="F63" s="92"/>
      <c r="G63" s="111" t="s">
        <v>65</v>
      </c>
      <c r="I63" s="122">
        <v>43980.83115786259</v>
      </c>
      <c r="J63" s="35"/>
      <c r="K63" s="35"/>
      <c r="Y63" s="14"/>
    </row>
    <row r="64" spans="7:9" s="16" customFormat="1" ht="11.25" hidden="1">
      <c r="G64" s="111" t="s">
        <v>67</v>
      </c>
      <c r="I64" s="122">
        <v>6170.158374271459</v>
      </c>
    </row>
    <row r="65" spans="1:25" s="14" customFormat="1" ht="11.25">
      <c r="A65" s="94"/>
      <c r="B65" s="95"/>
      <c r="C65" s="32"/>
      <c r="D65" s="88"/>
      <c r="E65" s="32"/>
      <c r="F65" s="88"/>
      <c r="G65" s="16"/>
      <c r="H65" s="16"/>
      <c r="I65" s="16"/>
      <c r="X65" s="16"/>
      <c r="Y65" s="16"/>
    </row>
    <row r="66" spans="1:11" s="16" customFormat="1" ht="11.25">
      <c r="A66" s="16" t="s">
        <v>77</v>
      </c>
      <c r="C66" s="32"/>
      <c r="D66" s="88"/>
      <c r="E66" s="32"/>
      <c r="F66" s="88"/>
      <c r="G66" s="111" t="s">
        <v>107</v>
      </c>
      <c r="I66" s="134">
        <f>RSA!C25</f>
        <v>0.021138964138344395</v>
      </c>
      <c r="K66" s="16" t="s">
        <v>108</v>
      </c>
    </row>
    <row r="67" spans="1:9" s="16" customFormat="1" ht="11.25">
      <c r="A67" s="94"/>
      <c r="B67" s="32"/>
      <c r="C67" s="96"/>
      <c r="D67" s="88"/>
      <c r="E67" s="32"/>
      <c r="F67" s="88"/>
      <c r="G67" s="14"/>
      <c r="H67" s="14"/>
      <c r="I67" s="14"/>
    </row>
    <row r="68" spans="1:9" s="16" customFormat="1" ht="12" thickBot="1">
      <c r="A68" s="94"/>
      <c r="B68" s="95"/>
      <c r="C68" s="32"/>
      <c r="D68" s="88"/>
      <c r="E68" s="32"/>
      <c r="F68" s="88"/>
      <c r="G68" s="29" t="str">
        <f>G60</f>
        <v>8/19-7/20 Adjusted Credit</v>
      </c>
      <c r="H68" s="24"/>
      <c r="I68" s="132">
        <f>I60+I66</f>
        <v>0.2211389641383444</v>
      </c>
    </row>
    <row r="69" spans="1:25" s="16" customFormat="1" ht="12" thickTop="1">
      <c r="A69" s="94"/>
      <c r="B69" s="95"/>
      <c r="C69" s="32"/>
      <c r="D69" s="88"/>
      <c r="E69" s="32"/>
      <c r="F69" s="88"/>
      <c r="Y69" s="14"/>
    </row>
    <row r="70" spans="1:9" s="16" customFormat="1" ht="11.25">
      <c r="A70" s="94"/>
      <c r="B70" s="95"/>
      <c r="C70" s="32"/>
      <c r="D70" s="88"/>
      <c r="E70" s="32"/>
      <c r="F70" s="88"/>
      <c r="G70" s="111" t="s">
        <v>63</v>
      </c>
      <c r="I70" s="16">
        <f>+I68*3.5</f>
        <v>0.7739863744842055</v>
      </c>
    </row>
    <row r="71" spans="1:9" s="16" customFormat="1" ht="11.25">
      <c r="A71" s="94"/>
      <c r="B71" s="95"/>
      <c r="C71" s="32"/>
      <c r="D71" s="88"/>
      <c r="E71" s="32"/>
      <c r="F71" s="88"/>
      <c r="G71" s="111" t="s">
        <v>64</v>
      </c>
      <c r="I71" s="16">
        <f>I68*5</f>
        <v>1.105694820691722</v>
      </c>
    </row>
    <row r="72" spans="1:6" s="16" customFormat="1" ht="11.25">
      <c r="A72" s="94"/>
      <c r="B72" s="95"/>
      <c r="C72" s="32"/>
      <c r="D72" s="88"/>
      <c r="E72" s="32"/>
      <c r="F72" s="88"/>
    </row>
    <row r="73" spans="1:27" s="16" customFormat="1" ht="11.25">
      <c r="A73" s="94"/>
      <c r="B73" s="95"/>
      <c r="C73" s="32"/>
      <c r="D73" s="88"/>
      <c r="E73" s="32"/>
      <c r="F73" s="88"/>
      <c r="G73" s="14"/>
      <c r="H73" s="13"/>
      <c r="I73" s="14"/>
      <c r="J73" s="14"/>
      <c r="K73" s="13"/>
      <c r="L73" s="14"/>
      <c r="M73" s="14"/>
      <c r="N73" s="14"/>
      <c r="O73" s="14"/>
      <c r="P73" s="14"/>
      <c r="Q73" s="14"/>
      <c r="R73" s="14"/>
      <c r="S73" s="14"/>
      <c r="T73" s="14"/>
      <c r="U73" s="14"/>
      <c r="V73" s="13"/>
      <c r="W73" s="14"/>
      <c r="AA73" s="14"/>
    </row>
    <row r="74" spans="1:6" s="16" customFormat="1" ht="11.25">
      <c r="A74" s="94"/>
      <c r="B74" s="95"/>
      <c r="C74" s="32"/>
      <c r="D74" s="88"/>
      <c r="E74" s="32"/>
      <c r="F74" s="88"/>
    </row>
    <row r="75" spans="1:6" s="16" customFormat="1" ht="11.25">
      <c r="A75" s="94"/>
      <c r="B75" s="95"/>
      <c r="C75" s="32"/>
      <c r="D75" s="88"/>
      <c r="E75" s="32"/>
      <c r="F75" s="88"/>
    </row>
    <row r="76" spans="1:6" s="16" customFormat="1" ht="11.25">
      <c r="A76" s="94"/>
      <c r="B76" s="32"/>
      <c r="C76" s="32"/>
      <c r="D76" s="88"/>
      <c r="E76" s="32"/>
      <c r="F76" s="88"/>
    </row>
    <row r="77" spans="1:6" s="16" customFormat="1" ht="11.25">
      <c r="A77" s="94"/>
      <c r="B77" s="32"/>
      <c r="C77" s="96"/>
      <c r="D77" s="88"/>
      <c r="E77" s="32"/>
      <c r="F77" s="88"/>
    </row>
    <row r="78" spans="1:25" s="16" customFormat="1" ht="12.75">
      <c r="A78" s="97"/>
      <c r="B78" s="97"/>
      <c r="C78" s="97"/>
      <c r="D78" s="98"/>
      <c r="E78" s="97"/>
      <c r="F78" s="97"/>
      <c r="Y78" s="14"/>
    </row>
    <row r="79" spans="1:6" s="16" customFormat="1" ht="11.25">
      <c r="A79" s="99"/>
      <c r="B79" s="32"/>
      <c r="C79" s="96"/>
      <c r="D79" s="88"/>
      <c r="E79" s="96"/>
      <c r="F79" s="100"/>
    </row>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36"/>
      <c r="I97" s="36"/>
      <c r="J97" s="36"/>
      <c r="L97" s="36"/>
      <c r="M97" s="36"/>
      <c r="N97" s="36"/>
      <c r="O97" s="36"/>
      <c r="P97" s="36"/>
      <c r="Q97" s="36"/>
      <c r="R97" s="36"/>
      <c r="S97" s="36"/>
      <c r="T97" s="36"/>
      <c r="U97" s="36"/>
      <c r="V97" s="36"/>
      <c r="W97" s="36"/>
      <c r="X97" s="36"/>
      <c r="Y97" s="36"/>
      <c r="AA97" s="5"/>
    </row>
    <row r="98" s="16" customFormat="1" ht="12.75">
      <c r="AA98" s="5"/>
    </row>
    <row r="99" spans="7:27" s="16" customFormat="1" ht="13.5" thickBot="1">
      <c r="G99" s="37"/>
      <c r="I99" s="37"/>
      <c r="J99" s="37"/>
      <c r="L99" s="37"/>
      <c r="M99" s="37"/>
      <c r="N99" s="37"/>
      <c r="O99" s="37"/>
      <c r="P99" s="37"/>
      <c r="Q99" s="37"/>
      <c r="R99" s="37"/>
      <c r="S99" s="37"/>
      <c r="T99" s="37"/>
      <c r="U99" s="37"/>
      <c r="V99" s="37"/>
      <c r="W99" s="37"/>
      <c r="X99" s="37"/>
      <c r="Y99" s="37"/>
      <c r="AA99" s="5"/>
    </row>
    <row r="100" ht="13.5" thickTop="1"/>
    <row r="101" spans="23:25" ht="12.75">
      <c r="W101" s="38"/>
      <c r="X101" s="38"/>
      <c r="Y101" s="38"/>
    </row>
    <row r="102" spans="23:27" ht="12.75">
      <c r="W102" s="38"/>
      <c r="AA102" s="38"/>
    </row>
  </sheetData>
  <sheetProtection/>
  <printOptions horizontalCentered="1"/>
  <pageMargins left="0" right="0" top="0.26" bottom="0.33" header="0" footer="0"/>
  <pageSetup fitToHeight="1" fitToWidth="1" horizontalDpi="1200" verticalDpi="1200" orientation="portrait" scale="95"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O12" sqref="O12:O17"/>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22</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11</v>
      </c>
      <c r="D5" s="43" t="s">
        <v>12</v>
      </c>
      <c r="E5" s="43" t="s">
        <v>83</v>
      </c>
      <c r="F5" s="43" t="s">
        <v>29</v>
      </c>
      <c r="G5" s="43" t="s">
        <v>84</v>
      </c>
      <c r="H5" s="43" t="s">
        <v>14</v>
      </c>
      <c r="I5" s="43" t="s">
        <v>15</v>
      </c>
      <c r="J5" s="43" t="s">
        <v>16</v>
      </c>
      <c r="K5" s="43" t="s">
        <v>17</v>
      </c>
      <c r="L5" s="43" t="s">
        <v>18</v>
      </c>
      <c r="M5" s="43" t="s">
        <v>19</v>
      </c>
      <c r="O5" s="55" t="s">
        <v>19</v>
      </c>
      <c r="P5" s="43" t="s">
        <v>75</v>
      </c>
    </row>
    <row r="6" spans="1:17" ht="15.75" customHeight="1">
      <c r="A6" s="47">
        <f>+Pricing!A4</f>
        <v>43221</v>
      </c>
      <c r="B6" s="52"/>
      <c r="C6" s="53">
        <f>'Commodity Tonnages'!C6*Pricing!C4</f>
        <v>299.92237874999995</v>
      </c>
      <c r="D6" s="57">
        <f>'Commodity Tonnages'!D6*Pricing!D4</f>
        <v>-164.92819824</v>
      </c>
      <c r="E6" s="57">
        <f>'Commodity Tonnages'!E6*Pricing!E4</f>
        <v>0</v>
      </c>
      <c r="F6" s="57">
        <f>'Commodity Tonnages'!F6*Pricing!F4</f>
        <v>55.2310308</v>
      </c>
      <c r="G6" s="57">
        <f>'Commodity Tonnages'!G6*Pricing!G4</f>
        <v>0</v>
      </c>
      <c r="H6" s="57">
        <f>'Commodity Tonnages'!H6*Pricing!H4</f>
        <v>-273.1124174399999</v>
      </c>
      <c r="I6" s="57">
        <f>'Commodity Tonnages'!I6*Pricing!I4</f>
        <v>83.297516895</v>
      </c>
      <c r="J6" s="57">
        <f>'Commodity Tonnages'!J6*Pricing!J4</f>
        <v>83.297516895</v>
      </c>
      <c r="K6" s="57">
        <f>'Commodity Tonnages'!K6*Pricing!K4</f>
        <v>286.40189952</v>
      </c>
      <c r="L6" s="57">
        <f>'Commodity Tonnages'!L6*Pricing!L4</f>
        <v>-294.74523591000064</v>
      </c>
      <c r="M6" s="116">
        <f>SUM(C6:L6)</f>
        <v>75.3644912699994</v>
      </c>
      <c r="O6" s="77">
        <f>M6*P6</f>
        <v>37.6822456349997</v>
      </c>
      <c r="P6" s="144">
        <v>0.5</v>
      </c>
      <c r="Q6" s="56"/>
    </row>
    <row r="7" spans="1:17" ht="15.75" customHeight="1">
      <c r="A7" s="47">
        <f>+Pricing!A5</f>
        <v>43281</v>
      </c>
      <c r="B7" s="52"/>
      <c r="C7" s="53">
        <f>'Commodity Tonnages'!C7*Pricing!C5</f>
        <v>163.60783049999998</v>
      </c>
      <c r="D7" s="57">
        <f>'Commodity Tonnages'!D7*Pricing!D5</f>
        <v>-65.91876615999999</v>
      </c>
      <c r="E7" s="57">
        <f>'Commodity Tonnages'!E7*Pricing!E5</f>
        <v>0</v>
      </c>
      <c r="F7" s="57">
        <f>'Commodity Tonnages'!F7*Pricing!F5</f>
        <v>29.929915949999998</v>
      </c>
      <c r="G7" s="57">
        <f>'Commodity Tonnages'!G7*Pricing!G5</f>
        <v>0</v>
      </c>
      <c r="H7" s="57">
        <f>'Commodity Tonnages'!H7*Pricing!H5</f>
        <v>20.14486399999999</v>
      </c>
      <c r="I7" s="57">
        <f>'Commodity Tonnages'!I7*Pricing!I5</f>
        <v>38.48694198</v>
      </c>
      <c r="J7" s="57">
        <f>'Commodity Tonnages'!J7*Pricing!J5</f>
        <v>38.48694198</v>
      </c>
      <c r="K7" s="57">
        <f>'Commodity Tonnages'!K7*Pricing!K5</f>
        <v>208.76912297999996</v>
      </c>
      <c r="L7" s="57">
        <f>'Commodity Tonnages'!L7*Pricing!L5</f>
        <v>-155.55333463000034</v>
      </c>
      <c r="M7" s="116">
        <f aca="true" t="shared" si="0" ref="M7:M17">SUM(C7:L7)</f>
        <v>277.9535165999996</v>
      </c>
      <c r="O7" s="77">
        <f aca="true" t="shared" si="1" ref="O7:O17">M7*P7</f>
        <v>138.9767582999998</v>
      </c>
      <c r="P7" s="144">
        <v>0.5</v>
      </c>
      <c r="Q7" s="56"/>
    </row>
    <row r="8" spans="1:17" ht="15.75" customHeight="1">
      <c r="A8" s="47">
        <f>+Pricing!A6</f>
        <v>43312</v>
      </c>
      <c r="B8" s="48"/>
      <c r="C8" s="53">
        <f>'Commodity Tonnages'!C8*Pricing!C6</f>
        <v>267.85356675</v>
      </c>
      <c r="D8" s="57">
        <f>'Commodity Tonnages'!D8*Pricing!D6</f>
        <v>-21.16333128</v>
      </c>
      <c r="E8" s="57">
        <f>'Commodity Tonnages'!E8*Pricing!E6</f>
        <v>0</v>
      </c>
      <c r="F8" s="57">
        <f>'Commodity Tonnages'!F8*Pricing!F6</f>
        <v>50.37848970000001</v>
      </c>
      <c r="G8" s="57">
        <f>'Commodity Tonnages'!G8*Pricing!G6</f>
        <v>0</v>
      </c>
      <c r="H8" s="57">
        <f>'Commodity Tonnages'!H8*Pricing!H6</f>
        <v>72.60559375999999</v>
      </c>
      <c r="I8" s="57">
        <f>'Commodity Tonnages'!I8*Pricing!I6</f>
        <v>82.22271865500001</v>
      </c>
      <c r="J8" s="57">
        <f>'Commodity Tonnages'!J8*Pricing!J6</f>
        <v>82.22271865500001</v>
      </c>
      <c r="K8" s="57">
        <f>'Commodity Tonnages'!K8*Pricing!K6</f>
        <v>408.57364548</v>
      </c>
      <c r="L8" s="57">
        <f>'Commodity Tonnages'!L8*Pricing!L6</f>
        <v>-267.6092001100006</v>
      </c>
      <c r="M8" s="116">
        <f t="shared" si="0"/>
        <v>675.0842016099994</v>
      </c>
      <c r="O8" s="77">
        <f t="shared" si="1"/>
        <v>337.5421008049997</v>
      </c>
      <c r="P8" s="144">
        <v>0.5</v>
      </c>
      <c r="Q8" s="56"/>
    </row>
    <row r="9" spans="1:17" ht="15.75" customHeight="1">
      <c r="A9" s="47">
        <f>+Pricing!A7</f>
        <v>43343</v>
      </c>
      <c r="B9" s="48"/>
      <c r="C9" s="53">
        <f>'Commodity Tonnages'!C9*Pricing!C7</f>
        <v>215.20951650000003</v>
      </c>
      <c r="D9" s="57">
        <f>'Commodity Tonnages'!D9*Pricing!D7</f>
        <v>3.5246140800000005</v>
      </c>
      <c r="E9" s="57">
        <f>'Commodity Tonnages'!E9*Pricing!E7</f>
        <v>0</v>
      </c>
      <c r="F9" s="57">
        <f>'Commodity Tonnages'!F9*Pricing!F7</f>
        <v>27.492943500000003</v>
      </c>
      <c r="G9" s="57">
        <f>'Commodity Tonnages'!G9*Pricing!G7</f>
        <v>0</v>
      </c>
      <c r="H9" s="57">
        <f>'Commodity Tonnages'!H9*Pricing!H7</f>
        <v>117.22822463999997</v>
      </c>
      <c r="I9" s="57">
        <f>'Commodity Tonnages'!I9*Pricing!I7</f>
        <v>101.90930550000002</v>
      </c>
      <c r="J9" s="57">
        <f>'Commodity Tonnages'!J9*Pricing!J7</f>
        <v>101.90930550000002</v>
      </c>
      <c r="K9" s="57">
        <f>'Commodity Tonnages'!K9*Pricing!K7</f>
        <v>291.11493312</v>
      </c>
      <c r="L9" s="57">
        <f>'Commodity Tonnages'!L9*Pricing!L7</f>
        <v>-215.0131777800005</v>
      </c>
      <c r="M9" s="116">
        <f>SUM(C9:L9)</f>
        <v>643.3756650599996</v>
      </c>
      <c r="O9" s="77">
        <f t="shared" si="1"/>
        <v>321.6878325299998</v>
      </c>
      <c r="P9" s="144">
        <v>0.5</v>
      </c>
      <c r="Q9" s="56"/>
    </row>
    <row r="10" spans="1:17" ht="15.75" customHeight="1">
      <c r="A10" s="47">
        <f>+Pricing!A8</f>
        <v>43373</v>
      </c>
      <c r="B10" s="48"/>
      <c r="C10" s="53">
        <f>'Commodity Tonnages'!C10*Pricing!C8</f>
        <v>180.8029905</v>
      </c>
      <c r="D10" s="57">
        <f>'Commodity Tonnages'!D10*Pricing!D8</f>
        <v>-66.29414792</v>
      </c>
      <c r="E10" s="57">
        <f>'Commodity Tonnages'!E10*Pricing!E8</f>
        <v>0</v>
      </c>
      <c r="F10" s="57">
        <f>'Commodity Tonnages'!F10*Pricing!F8</f>
        <v>29.454636750000002</v>
      </c>
      <c r="G10" s="57">
        <f>'Commodity Tonnages'!G10*Pricing!G8</f>
        <v>0</v>
      </c>
      <c r="H10" s="57">
        <f>'Commodity Tonnages'!H10*Pricing!H8</f>
        <v>356.3062095999998</v>
      </c>
      <c r="I10" s="57">
        <f>'Commodity Tonnages'!I10*Pricing!I8</f>
        <v>45.358269605</v>
      </c>
      <c r="J10" s="57">
        <f>'Commodity Tonnages'!J10*Pricing!J8</f>
        <v>45.358269605</v>
      </c>
      <c r="K10" s="57">
        <f>'Commodity Tonnages'!K10*Pricing!K8</f>
        <v>291.6199341</v>
      </c>
      <c r="L10" s="57">
        <f>'Commodity Tonnages'!L10*Pricing!L8</f>
        <v>-204.55782281000043</v>
      </c>
      <c r="M10" s="116">
        <f t="shared" si="0"/>
        <v>678.0483394299995</v>
      </c>
      <c r="O10" s="77">
        <f t="shared" si="1"/>
        <v>339.02416971499974</v>
      </c>
      <c r="P10" s="144">
        <v>0.5</v>
      </c>
      <c r="Q10" s="56"/>
    </row>
    <row r="11" spans="1:17" ht="15.75" customHeight="1">
      <c r="A11" s="47">
        <f>+Pricing!A9</f>
        <v>43404</v>
      </c>
      <c r="B11" s="48"/>
      <c r="C11" s="53">
        <f>'Commodity Tonnages'!C11*Pricing!C9</f>
        <v>182.635947</v>
      </c>
      <c r="D11" s="57">
        <f>'Commodity Tonnages'!D11*Pricing!D9</f>
        <v>-78.16122912000002</v>
      </c>
      <c r="E11" s="57">
        <f>'Commodity Tonnages'!E11*Pricing!E9</f>
        <v>0</v>
      </c>
      <c r="F11" s="57">
        <f>'Commodity Tonnages'!F11*Pricing!F9</f>
        <v>34.2100044</v>
      </c>
      <c r="G11" s="57">
        <f>'Commodity Tonnages'!G11*Pricing!G9</f>
        <v>0</v>
      </c>
      <c r="H11" s="57">
        <f>'Commodity Tonnages'!H11*Pricing!H9</f>
        <v>353.1916627199999</v>
      </c>
      <c r="I11" s="57">
        <f>'Commodity Tonnages'!I11*Pricing!I9</f>
        <v>44.80784724000001</v>
      </c>
      <c r="J11" s="57">
        <f>'Commodity Tonnages'!J11*Pricing!J9</f>
        <v>44.80784724000001</v>
      </c>
      <c r="K11" s="57">
        <f>'Commodity Tonnages'!K11*Pricing!K9</f>
        <v>338.74993152</v>
      </c>
      <c r="L11" s="57">
        <f>'Commodity Tonnages'!L11*Pricing!L9</f>
        <v>-211.66107924000048</v>
      </c>
      <c r="M11" s="116">
        <f t="shared" si="0"/>
        <v>708.5809317599994</v>
      </c>
      <c r="O11" s="77">
        <f t="shared" si="1"/>
        <v>354.2904658799997</v>
      </c>
      <c r="P11" s="144">
        <v>0.5</v>
      </c>
      <c r="Q11" s="56"/>
    </row>
    <row r="12" spans="1:17" ht="15.75" customHeight="1">
      <c r="A12" s="47">
        <f>+Pricing!A10</f>
        <v>43434</v>
      </c>
      <c r="B12" s="48"/>
      <c r="C12" s="53">
        <f>'Commodity Tonnages'!C12*Pricing!C10</f>
        <v>211.1026275</v>
      </c>
      <c r="D12" s="57">
        <f>'Commodity Tonnages'!D12*Pricing!D10</f>
        <v>-86.6827416</v>
      </c>
      <c r="E12" s="57">
        <f>'Commodity Tonnages'!E12*Pricing!E10</f>
        <v>0</v>
      </c>
      <c r="F12" s="57">
        <f>'Commodity Tonnages'!F12*Pricing!F10</f>
        <v>44.915211</v>
      </c>
      <c r="G12" s="57">
        <f>'Commodity Tonnages'!G12*Pricing!G10</f>
        <v>0</v>
      </c>
      <c r="H12" s="57">
        <f>'Commodity Tonnages'!H12*Pricing!H10</f>
        <v>438.2794751999999</v>
      </c>
      <c r="I12" s="57">
        <f>'Commodity Tonnages'!I12*Pricing!I10</f>
        <v>47.703836625</v>
      </c>
      <c r="J12" s="57">
        <f>'Commodity Tonnages'!J12*Pricing!J10</f>
        <v>47.703836625</v>
      </c>
      <c r="K12" s="57">
        <f>'Commodity Tonnages'!K12*Pricing!K10</f>
        <v>418.9108671</v>
      </c>
      <c r="L12" s="57">
        <f>'Commodity Tonnages'!L12*Pricing!L10</f>
        <v>-251.80644985000055</v>
      </c>
      <c r="M12" s="116">
        <f t="shared" si="0"/>
        <v>870.1266625999995</v>
      </c>
      <c r="O12" s="77">
        <f t="shared" si="1"/>
        <v>435.06333129999973</v>
      </c>
      <c r="P12" s="144">
        <v>0.5</v>
      </c>
      <c r="Q12" s="56"/>
    </row>
    <row r="13" spans="1:17" ht="15.75" customHeight="1">
      <c r="A13" s="47">
        <f>+Pricing!A11</f>
        <v>43465</v>
      </c>
      <c r="B13" s="48"/>
      <c r="C13" s="53">
        <f>'Commodity Tonnages'!C13*Pricing!C11</f>
        <v>268.22077874999997</v>
      </c>
      <c r="D13" s="57">
        <f>'Commodity Tonnages'!D13*Pricing!D11</f>
        <v>-125.57983776</v>
      </c>
      <c r="E13" s="57">
        <f>'Commodity Tonnages'!E13*Pricing!E11</f>
        <v>0</v>
      </c>
      <c r="F13" s="57">
        <f>'Commodity Tonnages'!F13*Pricing!F11</f>
        <v>53.246768849999995</v>
      </c>
      <c r="G13" s="57">
        <f>'Commodity Tonnages'!G13*Pricing!G11</f>
        <v>0</v>
      </c>
      <c r="H13" s="57">
        <f>'Commodity Tonnages'!H13*Pricing!H11</f>
        <v>415.61371247999983</v>
      </c>
      <c r="I13" s="57">
        <f>'Commodity Tonnages'!I13*Pricing!I11</f>
        <v>78.27574598999999</v>
      </c>
      <c r="J13" s="57">
        <f>'Commodity Tonnages'!J13*Pricing!J11</f>
        <v>78.27574598999999</v>
      </c>
      <c r="K13" s="57">
        <f>'Commodity Tonnages'!K13*Pricing!K11</f>
        <v>505.34695530000005</v>
      </c>
      <c r="L13" s="57">
        <f>'Commodity Tonnages'!L13*Pricing!L11</f>
        <v>-327.3084788700007</v>
      </c>
      <c r="M13" s="116">
        <f t="shared" si="0"/>
        <v>946.0913907299991</v>
      </c>
      <c r="O13" s="77">
        <f t="shared" si="1"/>
        <v>473.0456953649996</v>
      </c>
      <c r="P13" s="144">
        <v>0.5</v>
      </c>
      <c r="Q13" s="56"/>
    </row>
    <row r="14" spans="1:17" ht="15.75" customHeight="1">
      <c r="A14" s="47">
        <f>+Pricing!A12</f>
        <v>43496</v>
      </c>
      <c r="B14" s="48"/>
      <c r="C14" s="53">
        <f>'Commodity Tonnages'!C14*Pricing!C12</f>
        <v>378.47654352</v>
      </c>
      <c r="D14" s="57">
        <f>'Commodity Tonnages'!D14*Pricing!D12</f>
        <v>18.567472499999997</v>
      </c>
      <c r="E14" s="57">
        <f>'Commodity Tonnages'!E14*Pricing!E12</f>
        <v>0</v>
      </c>
      <c r="F14" s="57">
        <f>'Commodity Tonnages'!F14*Pricing!F12</f>
        <v>60.94120200000001</v>
      </c>
      <c r="G14" s="57">
        <f>'Commodity Tonnages'!G14*Pricing!G12</f>
        <v>8.66270856</v>
      </c>
      <c r="H14" s="57">
        <f>'Commodity Tonnages'!H14*Pricing!H12</f>
        <v>400.04543475</v>
      </c>
      <c r="I14" s="57">
        <f>'Commodity Tonnages'!I14*Pricing!I12</f>
        <v>93.83252610679013</v>
      </c>
      <c r="J14" s="57">
        <f>'Commodity Tonnages'!J14*Pricing!J12</f>
        <v>93.83252610679013</v>
      </c>
      <c r="K14" s="57">
        <f>'Commodity Tonnages'!K14*Pricing!K12</f>
        <v>542.627784</v>
      </c>
      <c r="L14" s="57">
        <f>'Commodity Tonnages'!L14*Pricing!L12</f>
        <v>-416.25351828</v>
      </c>
      <c r="M14" s="116">
        <f t="shared" si="0"/>
        <v>1180.7326792635804</v>
      </c>
      <c r="O14" s="77">
        <f t="shared" si="1"/>
        <v>590.3663396317902</v>
      </c>
      <c r="P14" s="144">
        <v>0.5</v>
      </c>
      <c r="Q14" s="56"/>
    </row>
    <row r="15" spans="1:17" ht="15.75" customHeight="1">
      <c r="A15" s="47">
        <f>+Pricing!A13</f>
        <v>43524</v>
      </c>
      <c r="B15" s="48"/>
      <c r="C15" s="53">
        <f>'Commodity Tonnages'!C15*Pricing!C13</f>
        <v>261.55027008</v>
      </c>
      <c r="D15" s="57">
        <f>'Commodity Tonnages'!D15*Pricing!D13</f>
        <v>17.80515</v>
      </c>
      <c r="E15" s="57">
        <f>'Commodity Tonnages'!E15*Pricing!E13</f>
        <v>0</v>
      </c>
      <c r="F15" s="57">
        <f>'Commodity Tonnages'!F15*Pricing!F13</f>
        <v>44.965536</v>
      </c>
      <c r="G15" s="57">
        <f>'Commodity Tonnages'!G15*Pricing!G13</f>
        <v>6.441188159999999</v>
      </c>
      <c r="H15" s="57">
        <f>'Commodity Tonnages'!H15*Pricing!H13</f>
        <v>256.55315399999995</v>
      </c>
      <c r="I15" s="57">
        <f>'Commodity Tonnages'!I15*Pricing!I13</f>
        <v>69.74201347289718</v>
      </c>
      <c r="J15" s="57">
        <f>'Commodity Tonnages'!J15*Pricing!J13</f>
        <v>69.74201347289718</v>
      </c>
      <c r="K15" s="57">
        <f>'Commodity Tonnages'!K15*Pricing!K13</f>
        <v>295.8621336</v>
      </c>
      <c r="L15" s="57">
        <f>'Commodity Tonnages'!L15*Pricing!L13</f>
        <v>-309.07701791999995</v>
      </c>
      <c r="M15" s="116">
        <f t="shared" si="0"/>
        <v>713.5844408657942</v>
      </c>
      <c r="O15" s="77">
        <f t="shared" si="1"/>
        <v>356.7922204328971</v>
      </c>
      <c r="P15" s="144">
        <v>0.5</v>
      </c>
      <c r="Q15" s="56"/>
    </row>
    <row r="16" spans="1:17" ht="15.75" customHeight="1">
      <c r="A16" s="47">
        <f>+Pricing!A14</f>
        <v>43555</v>
      </c>
      <c r="B16" s="48"/>
      <c r="C16" s="53">
        <f>'Commodity Tonnages'!C16*Pricing!C14</f>
        <v>227.7530136</v>
      </c>
      <c r="D16" s="57">
        <f>'Commodity Tonnages'!D16*Pricing!D14</f>
        <v>8.394435</v>
      </c>
      <c r="E16" s="57">
        <f>'Commodity Tonnages'!E16*Pricing!E14</f>
        <v>0</v>
      </c>
      <c r="F16" s="57">
        <f>'Commodity Tonnages'!F16*Pricing!F14</f>
        <v>44.5882185</v>
      </c>
      <c r="G16" s="57">
        <f>'Commodity Tonnages'!G16*Pricing!G14</f>
        <v>6.36753744</v>
      </c>
      <c r="H16" s="57">
        <f>'Commodity Tonnages'!H16*Pricing!H14</f>
        <v>179.50385699999998</v>
      </c>
      <c r="I16" s="57">
        <f>'Commodity Tonnages'!I16*Pricing!I14</f>
        <v>71.40459772</v>
      </c>
      <c r="J16" s="57">
        <f>'Commodity Tonnages'!J16*Pricing!J14</f>
        <v>71.40459772</v>
      </c>
      <c r="K16" s="57">
        <f>'Commodity Tonnages'!K16*Pricing!K14</f>
        <v>297.1116045</v>
      </c>
      <c r="L16" s="57">
        <f>'Commodity Tonnages'!L16*Pricing!L14</f>
        <v>-281.29633668</v>
      </c>
      <c r="M16" s="116">
        <f t="shared" si="0"/>
        <v>625.2315248</v>
      </c>
      <c r="O16" s="77">
        <f t="shared" si="1"/>
        <v>312.6157624</v>
      </c>
      <c r="P16" s="144">
        <v>0.5</v>
      </c>
      <c r="Q16" s="56"/>
    </row>
    <row r="17" spans="1:17" ht="15.75" customHeight="1">
      <c r="A17" s="47">
        <f>+Pricing!A15</f>
        <v>43585</v>
      </c>
      <c r="B17" s="48"/>
      <c r="C17" s="53">
        <f>'Commodity Tonnages'!C17*Pricing!C15</f>
        <v>264.06706968</v>
      </c>
      <c r="D17" s="57">
        <f>'Commodity Tonnages'!D17*Pricing!D15</f>
        <v>-0.3492225</v>
      </c>
      <c r="E17" s="57">
        <f>'Commodity Tonnages'!E17*Pricing!E15</f>
        <v>0</v>
      </c>
      <c r="F17" s="57">
        <f>'Commodity Tonnages'!F17*Pricing!F15</f>
        <v>44.8860265</v>
      </c>
      <c r="G17" s="57">
        <f>'Commodity Tonnages'!G17*Pricing!G15</f>
        <v>6.485294639999999</v>
      </c>
      <c r="H17" s="57">
        <f>'Commodity Tonnages'!H17*Pricing!H15</f>
        <v>-76.95071929999997</v>
      </c>
      <c r="I17" s="57">
        <f>'Commodity Tonnages'!I17*Pricing!I15</f>
        <v>81.98970902255638</v>
      </c>
      <c r="J17" s="57">
        <f>'Commodity Tonnages'!J17*Pricing!J15</f>
        <v>81.98970902255638</v>
      </c>
      <c r="K17" s="57">
        <f>'Commodity Tonnages'!K17*Pricing!K15</f>
        <v>277.32901634999996</v>
      </c>
      <c r="L17" s="57">
        <f>'Commodity Tonnages'!L17*Pricing!L15</f>
        <v>-312.77315292000003</v>
      </c>
      <c r="M17" s="116">
        <f t="shared" si="0"/>
        <v>366.67373049511275</v>
      </c>
      <c r="O17" s="77">
        <f t="shared" si="1"/>
        <v>183.33686524755637</v>
      </c>
      <c r="P17" s="144">
        <v>0.5</v>
      </c>
      <c r="Q17" s="56"/>
    </row>
    <row r="18" spans="1:16" ht="15.75" customHeight="1">
      <c r="A18" s="51" t="s">
        <v>21</v>
      </c>
      <c r="B18" s="48"/>
      <c r="C18" s="113">
        <f aca="true" t="shared" si="2" ref="C18:L18">SUM(C6:C17)</f>
        <v>2921.2025331299997</v>
      </c>
      <c r="D18" s="114">
        <f t="shared" si="2"/>
        <v>-560.785803</v>
      </c>
      <c r="E18" s="114">
        <f t="shared" si="2"/>
        <v>0</v>
      </c>
      <c r="F18" s="113">
        <f t="shared" si="2"/>
        <v>520.23998395</v>
      </c>
      <c r="G18" s="113">
        <f t="shared" si="2"/>
        <v>27.9567288</v>
      </c>
      <c r="H18" s="113">
        <f t="shared" si="2"/>
        <v>2259.4090514099994</v>
      </c>
      <c r="I18" s="113">
        <f t="shared" si="2"/>
        <v>839.0310288122437</v>
      </c>
      <c r="J18" s="113">
        <f t="shared" si="2"/>
        <v>839.0310288122437</v>
      </c>
      <c r="K18" s="113">
        <f t="shared" si="2"/>
        <v>4162.417827570001</v>
      </c>
      <c r="L18" s="114">
        <f t="shared" si="2"/>
        <v>-3247.654805000004</v>
      </c>
      <c r="M18" s="117">
        <f>SUM(C18:L18)</f>
        <v>7760.847574484482</v>
      </c>
      <c r="O18" s="115">
        <f>SUM(O6:O17)</f>
        <v>3880.423787242242</v>
      </c>
      <c r="P18" s="131">
        <f>+O18/M18</f>
        <v>0.5000000000000001</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15" sqref="H15"/>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2018 through April 2019)</v>
      </c>
      <c r="B1" s="40"/>
    </row>
    <row r="2" spans="1:2" ht="12.75">
      <c r="A2" s="41" t="s">
        <v>53</v>
      </c>
      <c r="B2" s="41"/>
    </row>
    <row r="3" spans="1:14" ht="12.75">
      <c r="A3" s="40"/>
      <c r="B3" s="42"/>
      <c r="C3" s="43" t="s">
        <v>11</v>
      </c>
      <c r="D3" s="43" t="s">
        <v>12</v>
      </c>
      <c r="E3" s="43" t="s">
        <v>83</v>
      </c>
      <c r="F3" s="43" t="s">
        <v>29</v>
      </c>
      <c r="G3" s="43" t="s">
        <v>84</v>
      </c>
      <c r="H3" s="43" t="s">
        <v>14</v>
      </c>
      <c r="I3" s="43" t="s">
        <v>15</v>
      </c>
      <c r="J3" s="43" t="s">
        <v>16</v>
      </c>
      <c r="K3" s="43" t="s">
        <v>17</v>
      </c>
      <c r="L3" s="43" t="s">
        <v>18</v>
      </c>
      <c r="M3" s="43"/>
      <c r="N3" s="43" t="s">
        <v>19</v>
      </c>
    </row>
    <row r="4" spans="1:5" s="45" customFormat="1" ht="12.75">
      <c r="A4" s="44"/>
      <c r="B4" s="44"/>
      <c r="D4" s="46"/>
      <c r="E4" s="46"/>
    </row>
    <row r="5" spans="1:14" ht="12.75">
      <c r="A5" s="47"/>
      <c r="B5" s="48"/>
      <c r="C5" s="49"/>
      <c r="D5" s="49"/>
      <c r="E5" s="49"/>
      <c r="F5" s="49"/>
      <c r="G5" s="49"/>
      <c r="H5" s="49"/>
      <c r="I5" s="49"/>
      <c r="J5" s="49"/>
      <c r="L5" s="48"/>
      <c r="M5" s="45"/>
      <c r="N5" s="49" t="s">
        <v>20</v>
      </c>
    </row>
    <row r="6" spans="1:16" ht="12.75">
      <c r="A6" s="105">
        <f>Multi_Family!$C$6</f>
        <v>43221</v>
      </c>
      <c r="B6" s="48" t="s">
        <v>41</v>
      </c>
      <c r="C6" s="84">
        <f>Multi_Family!C32</f>
        <v>0.27697499999999997</v>
      </c>
      <c r="D6" s="85">
        <f>Multi_Family!C34</f>
        <v>6.529224</v>
      </c>
      <c r="E6" s="84">
        <f>Multi_Family!C35</f>
        <v>0</v>
      </c>
      <c r="F6" s="84">
        <f>Multi_Family!C30</f>
        <v>0.609345</v>
      </c>
      <c r="G6" s="84">
        <f>Multi_Family!C33</f>
        <v>0</v>
      </c>
      <c r="H6" s="149">
        <f>Multi_Family!C65</f>
        <v>19.085423999999993</v>
      </c>
      <c r="I6" s="84">
        <f>Multi_Family!C31/2</f>
        <v>0.8290785</v>
      </c>
      <c r="J6" s="84">
        <f>Multi_Family!C31/2</f>
        <v>0.8290785</v>
      </c>
      <c r="K6" s="84">
        <f>Multi_Family!C28</f>
        <v>6.580926</v>
      </c>
      <c r="L6" s="84">
        <f>Multi_Family!C36</f>
        <v>2.189949000000005</v>
      </c>
      <c r="M6" s="45"/>
      <c r="N6" s="106">
        <f aca="true" t="shared" si="0" ref="N6:N17">SUM(C6:L6)</f>
        <v>36.93</v>
      </c>
      <c r="O6" s="58"/>
      <c r="P6" s="50"/>
    </row>
    <row r="7" spans="1:16" ht="12.75">
      <c r="A7" s="47">
        <f aca="true" t="shared" si="1" ref="A7:A17">EOMONTH(A6,1)</f>
        <v>43281</v>
      </c>
      <c r="B7" s="48" t="s">
        <v>42</v>
      </c>
      <c r="C7" s="84">
        <f>Multi_Family!D32</f>
        <v>0.14617499999999997</v>
      </c>
      <c r="D7" s="85">
        <f>Multi_Family!D34</f>
        <v>3.445832</v>
      </c>
      <c r="E7" s="84">
        <f>Multi_Family!D35</f>
        <v>0</v>
      </c>
      <c r="F7" s="84">
        <f>Multi_Family!D30</f>
        <v>0.321585</v>
      </c>
      <c r="G7" s="84">
        <f>Multi_Family!D33</f>
        <v>0</v>
      </c>
      <c r="H7" s="84">
        <f>Multi_Family!D65</f>
        <v>10.072431999999996</v>
      </c>
      <c r="I7" s="84">
        <f>Multi_Family!D31/2</f>
        <v>0.4375505</v>
      </c>
      <c r="J7" s="84">
        <f>Multi_Family!D31/2</f>
        <v>0.4375505</v>
      </c>
      <c r="K7" s="84">
        <f>Multi_Family!D28</f>
        <v>3.4731179999999995</v>
      </c>
      <c r="L7" s="84">
        <f>Multi_Family!D36</f>
        <v>1.1557570000000024</v>
      </c>
      <c r="M7" s="45"/>
      <c r="N7" s="106">
        <f t="shared" si="0"/>
        <v>19.489999999999995</v>
      </c>
      <c r="P7" s="50"/>
    </row>
    <row r="8" spans="1:16" ht="12.75">
      <c r="A8" s="47">
        <f t="shared" si="1"/>
        <v>43312</v>
      </c>
      <c r="B8" s="48" t="s">
        <v>43</v>
      </c>
      <c r="C8" s="84">
        <f>Multi_Family!E32</f>
        <v>0.251475</v>
      </c>
      <c r="D8" s="85">
        <f>Multi_Family!E34</f>
        <v>5.928104</v>
      </c>
      <c r="E8" s="84">
        <f>Multi_Family!E35</f>
        <v>0</v>
      </c>
      <c r="F8" s="84">
        <f>Multi_Family!E30</f>
        <v>0.5532450000000001</v>
      </c>
      <c r="G8" s="84">
        <f>Multi_Family!E33</f>
        <v>0</v>
      </c>
      <c r="H8" s="84">
        <f>Multi_Family!E65</f>
        <v>17.328303999999996</v>
      </c>
      <c r="I8" s="84">
        <f>Multi_Family!E31/2</f>
        <v>0.7527485</v>
      </c>
      <c r="J8" s="84">
        <f>Multi_Family!E31/2</f>
        <v>0.7527485</v>
      </c>
      <c r="K8" s="84">
        <f>Multi_Family!E28</f>
        <v>5.975046</v>
      </c>
      <c r="L8" s="84">
        <f>Multi_Family!E36</f>
        <v>1.9883290000000045</v>
      </c>
      <c r="M8" s="45"/>
      <c r="N8" s="106">
        <f t="shared" si="0"/>
        <v>33.53</v>
      </c>
      <c r="P8" s="50"/>
    </row>
    <row r="9" spans="1:16" ht="12.75">
      <c r="A9" s="47">
        <f t="shared" si="1"/>
        <v>43343</v>
      </c>
      <c r="B9" s="48" t="s">
        <v>44</v>
      </c>
      <c r="C9" s="84">
        <f>Multi_Family!F32</f>
        <v>0.20205</v>
      </c>
      <c r="D9" s="85">
        <f>Multi_Family!F34</f>
        <v>4.762992000000001</v>
      </c>
      <c r="E9" s="84">
        <f>Multi_Family!F35</f>
        <v>0</v>
      </c>
      <c r="F9" s="84">
        <f>Multi_Family!F30</f>
        <v>0.44451</v>
      </c>
      <c r="G9" s="84">
        <f>Multi_Family!F33</f>
        <v>0</v>
      </c>
      <c r="H9" s="84">
        <f>Multi_Family!F65</f>
        <v>13.922591999999996</v>
      </c>
      <c r="I9" s="84">
        <f>Multi_Family!F31/2</f>
        <v>0.6048030000000001</v>
      </c>
      <c r="J9" s="84">
        <f>Multi_Family!F31/2</f>
        <v>0.6048030000000001</v>
      </c>
      <c r="K9" s="84">
        <f>Multi_Family!F28</f>
        <v>4.800708</v>
      </c>
      <c r="L9" s="84">
        <f>Multi_Family!F36</f>
        <v>1.5975420000000036</v>
      </c>
      <c r="M9" s="45"/>
      <c r="N9" s="106">
        <f t="shared" si="0"/>
        <v>26.94</v>
      </c>
      <c r="P9" s="50"/>
    </row>
    <row r="10" spans="1:16" ht="12.75">
      <c r="A10" s="47">
        <f t="shared" si="1"/>
        <v>43373</v>
      </c>
      <c r="B10" s="48" t="s">
        <v>45</v>
      </c>
      <c r="C10" s="84">
        <f>Multi_Family!G32</f>
        <v>0.19222499999999998</v>
      </c>
      <c r="D10" s="85">
        <f>Multi_Family!G34</f>
        <v>4.531384</v>
      </c>
      <c r="E10" s="84">
        <f>Multi_Family!G35</f>
        <v>0</v>
      </c>
      <c r="F10" s="84">
        <f>Multi_Family!G30</f>
        <v>0.422895</v>
      </c>
      <c r="G10" s="84">
        <f>Multi_Family!G33</f>
        <v>0</v>
      </c>
      <c r="H10" s="84">
        <f>Multi_Family!G65</f>
        <v>13.245583999999994</v>
      </c>
      <c r="I10" s="84">
        <f>Multi_Family!G31/2</f>
        <v>0.5753935</v>
      </c>
      <c r="J10" s="84">
        <f>Multi_Family!G31/2</f>
        <v>0.5753935</v>
      </c>
      <c r="K10" s="84">
        <f>Multi_Family!G28</f>
        <v>4.567266</v>
      </c>
      <c r="L10" s="84">
        <f>Multi_Family!G36</f>
        <v>1.5198590000000032</v>
      </c>
      <c r="M10" s="45"/>
      <c r="N10" s="106">
        <f t="shared" si="0"/>
        <v>25.63</v>
      </c>
      <c r="P10" s="50"/>
    </row>
    <row r="11" spans="1:16" ht="12.75">
      <c r="A11" s="47">
        <f t="shared" si="1"/>
        <v>43404</v>
      </c>
      <c r="B11" s="48" t="s">
        <v>46</v>
      </c>
      <c r="C11" s="84">
        <f>Multi_Family!H32</f>
        <v>0.1989</v>
      </c>
      <c r="D11" s="85">
        <f>Multi_Family!H34</f>
        <v>4.6887360000000005</v>
      </c>
      <c r="E11" s="84">
        <f>Multi_Family!H35</f>
        <v>0</v>
      </c>
      <c r="F11" s="84">
        <f>Multi_Family!H30</f>
        <v>0.43758</v>
      </c>
      <c r="G11" s="84">
        <f>Multi_Family!H33</f>
        <v>0</v>
      </c>
      <c r="H11" s="84">
        <f>Multi_Family!H65</f>
        <v>13.705535999999997</v>
      </c>
      <c r="I11" s="84">
        <f>Multi_Family!H31/2</f>
        <v>0.5953740000000001</v>
      </c>
      <c r="J11" s="84">
        <f>Multi_Family!H31/2</f>
        <v>0.5953740000000001</v>
      </c>
      <c r="K11" s="84">
        <f>Multi_Family!H28</f>
        <v>4.725864</v>
      </c>
      <c r="L11" s="84">
        <f>Multi_Family!H36</f>
        <v>1.5726360000000035</v>
      </c>
      <c r="M11" s="45"/>
      <c r="N11" s="106">
        <f t="shared" si="0"/>
        <v>26.519999999999996</v>
      </c>
      <c r="P11" s="50"/>
    </row>
    <row r="12" spans="1:16" ht="12.75">
      <c r="A12" s="47">
        <f t="shared" si="1"/>
        <v>43434</v>
      </c>
      <c r="B12" s="48" t="s">
        <v>47</v>
      </c>
      <c r="C12" s="84">
        <f>Multi_Family!I32</f>
        <v>0.236625</v>
      </c>
      <c r="D12" s="85">
        <f>Multi_Family!I34</f>
        <v>5.5780400000000006</v>
      </c>
      <c r="E12" s="84">
        <f>Multi_Family!I35</f>
        <v>0</v>
      </c>
      <c r="F12" s="84">
        <f>Multi_Family!I30</f>
        <v>0.520575</v>
      </c>
      <c r="G12" s="84">
        <f>Multi_Family!I33</f>
        <v>0</v>
      </c>
      <c r="H12" s="84">
        <f>Multi_Family!I65</f>
        <v>16.305039999999998</v>
      </c>
      <c r="I12" s="84">
        <f>Multi_Family!I31/2</f>
        <v>0.7082975</v>
      </c>
      <c r="J12" s="84">
        <f>Multi_Family!I31/2</f>
        <v>0.7082975</v>
      </c>
      <c r="K12" s="84">
        <f>Multi_Family!I28</f>
        <v>5.62221</v>
      </c>
      <c r="L12" s="84">
        <f>Multi_Family!I36</f>
        <v>1.870915000000004</v>
      </c>
      <c r="M12" s="45"/>
      <c r="N12" s="106">
        <f t="shared" si="0"/>
        <v>31.55</v>
      </c>
      <c r="P12" s="50"/>
    </row>
    <row r="13" spans="1:16" ht="12.75">
      <c r="A13" s="47">
        <f t="shared" si="1"/>
        <v>43465</v>
      </c>
      <c r="B13" s="48" t="s">
        <v>48</v>
      </c>
      <c r="C13" s="84">
        <f>Multi_Family!J32</f>
        <v>0.307575</v>
      </c>
      <c r="D13" s="85">
        <f>Multi_Family!J34</f>
        <v>7.250568</v>
      </c>
      <c r="E13" s="84">
        <f>Multi_Family!J35</f>
        <v>0</v>
      </c>
      <c r="F13" s="84">
        <f>Multi_Family!J30</f>
        <v>0.676665</v>
      </c>
      <c r="G13" s="84">
        <f>Multi_Family!J33</f>
        <v>0</v>
      </c>
      <c r="H13" s="84">
        <f>Multi_Family!J65</f>
        <v>21.19396799999999</v>
      </c>
      <c r="I13" s="84">
        <f>Multi_Family!J31/2</f>
        <v>0.9206745</v>
      </c>
      <c r="J13" s="84">
        <f>Multi_Family!J31/2</f>
        <v>0.9206745</v>
      </c>
      <c r="K13" s="84">
        <f>Multi_Family!J28</f>
        <v>7.307982</v>
      </c>
      <c r="L13" s="84">
        <f>Multi_Family!J36</f>
        <v>2.4318930000000054</v>
      </c>
      <c r="M13" s="45"/>
      <c r="N13" s="106">
        <f t="shared" si="0"/>
        <v>41.01</v>
      </c>
      <c r="P13" s="50"/>
    </row>
    <row r="14" spans="1:16" ht="12.75">
      <c r="A14" s="47">
        <f t="shared" si="1"/>
        <v>43496</v>
      </c>
      <c r="B14" s="48" t="s">
        <v>49</v>
      </c>
      <c r="C14" s="84">
        <f>Multi_Family!K32</f>
        <v>0.42238800000000004</v>
      </c>
      <c r="D14" s="85">
        <f>Multi_Family!K34</f>
        <v>4.399875</v>
      </c>
      <c r="E14" s="84">
        <f>Multi_Family!K35</f>
        <v>1.658264</v>
      </c>
      <c r="F14" s="84">
        <f>Multi_Family!K30</f>
        <v>0.6844250000000001</v>
      </c>
      <c r="G14" s="84">
        <f>Multi_Family!K33</f>
        <v>0.17208400000000001</v>
      </c>
      <c r="H14" s="84">
        <f>Multi_Family!K65</f>
        <v>16.523975</v>
      </c>
      <c r="I14" s="84">
        <f>Multi_Family!K31/2</f>
        <v>1.21241</v>
      </c>
      <c r="J14" s="84">
        <f>Multi_Family!K31/2</f>
        <v>1.21241</v>
      </c>
      <c r="K14" s="84">
        <f>Multi_Family!K28</f>
        <v>7.215795</v>
      </c>
      <c r="L14" s="84">
        <f>Multi_Family!K36</f>
        <v>5.6083739999999995</v>
      </c>
      <c r="M14" s="45"/>
      <c r="N14" s="106">
        <f t="shared" si="0"/>
        <v>39.10999999999999</v>
      </c>
      <c r="P14" s="50"/>
    </row>
    <row r="15" spans="1:16" ht="12.75">
      <c r="A15" s="47">
        <f t="shared" si="1"/>
        <v>43524</v>
      </c>
      <c r="B15" s="48" t="s">
        <v>50</v>
      </c>
      <c r="C15" s="84">
        <f>Multi_Family!L32</f>
        <v>0.313632</v>
      </c>
      <c r="D15" s="85">
        <f>Multi_Family!L34</f>
        <v>3.267</v>
      </c>
      <c r="E15" s="84">
        <f>Multi_Family!L35</f>
        <v>1.231296</v>
      </c>
      <c r="F15" s="84">
        <f>Multi_Family!L30</f>
        <v>0.5082</v>
      </c>
      <c r="G15" s="84">
        <f>Multi_Family!L33</f>
        <v>0.127776</v>
      </c>
      <c r="H15" s="84">
        <f>Multi_Family!L65</f>
        <v>12.269399999999997</v>
      </c>
      <c r="I15" s="84">
        <f>Multi_Family!L31/2</f>
        <v>0.9002399999999999</v>
      </c>
      <c r="J15" s="84">
        <f>Multi_Family!L31/2</f>
        <v>0.9002399999999999</v>
      </c>
      <c r="K15" s="84">
        <f>Multi_Family!L28</f>
        <v>5.35788</v>
      </c>
      <c r="L15" s="84">
        <f>Multi_Family!L36</f>
        <v>4.164336</v>
      </c>
      <c r="M15" s="45"/>
      <c r="N15" s="106">
        <f t="shared" si="0"/>
        <v>29.04</v>
      </c>
      <c r="P15" s="50"/>
    </row>
    <row r="16" spans="1:16" ht="12.75">
      <c r="A16" s="47">
        <f t="shared" si="1"/>
        <v>43555</v>
      </c>
      <c r="B16" s="48" t="s">
        <v>51</v>
      </c>
      <c r="C16" s="84">
        <f>Multi_Family!M32</f>
        <v>0.274104</v>
      </c>
      <c r="D16" s="85">
        <f>Multi_Family!M34</f>
        <v>2.85525</v>
      </c>
      <c r="E16" s="84">
        <f>Multi_Family!M35</f>
        <v>1.076112</v>
      </c>
      <c r="F16" s="84">
        <f>Multi_Family!M30</f>
        <v>0.44415000000000004</v>
      </c>
      <c r="G16" s="84">
        <f>Multi_Family!M33</f>
        <v>0.11167200000000001</v>
      </c>
      <c r="H16" s="84">
        <f>Multi_Family!M65</f>
        <v>10.72305</v>
      </c>
      <c r="I16" s="84">
        <f>Multi_Family!M31/2</f>
        <v>0.7867799999999999</v>
      </c>
      <c r="J16" s="84">
        <f>Multi_Family!M31/2</f>
        <v>0.7867799999999999</v>
      </c>
      <c r="K16" s="84">
        <f>Multi_Family!M28</f>
        <v>4.6826099999999995</v>
      </c>
      <c r="L16" s="84">
        <f>Multi_Family!M36</f>
        <v>3.6394919999999997</v>
      </c>
      <c r="M16" s="45"/>
      <c r="N16" s="106">
        <f t="shared" si="0"/>
        <v>25.380000000000003</v>
      </c>
      <c r="P16" s="50"/>
    </row>
    <row r="17" spans="1:16" ht="12.75">
      <c r="A17" s="47">
        <f t="shared" si="1"/>
        <v>43585</v>
      </c>
      <c r="B17" s="48" t="s">
        <v>52</v>
      </c>
      <c r="C17" s="84">
        <f>Multi_Family!N32</f>
        <v>0.304776</v>
      </c>
      <c r="D17" s="85">
        <f>Multi_Family!N34</f>
        <v>3.17475</v>
      </c>
      <c r="E17" s="84">
        <f>Multi_Family!N35</f>
        <v>1.196528</v>
      </c>
      <c r="F17" s="84">
        <f>Multi_Family!N30</f>
        <v>0.49385</v>
      </c>
      <c r="G17" s="84">
        <f>Multi_Family!N33</f>
        <v>0.124168</v>
      </c>
      <c r="H17" s="84">
        <f>Multi_Family!N65</f>
        <v>11.922949999999997</v>
      </c>
      <c r="I17" s="84">
        <f>Multi_Family!N31/2</f>
        <v>0.8748199999999999</v>
      </c>
      <c r="J17" s="84">
        <f>Multi_Family!N31/2</f>
        <v>0.8748199999999999</v>
      </c>
      <c r="K17" s="84">
        <f>Multi_Family!N28</f>
        <v>5.206589999999999</v>
      </c>
      <c r="L17" s="84">
        <f>Multi_Family!N36</f>
        <v>4.046748</v>
      </c>
      <c r="M17" s="45"/>
      <c r="N17" s="106">
        <f t="shared" si="0"/>
        <v>28.219999999999995</v>
      </c>
      <c r="P17" s="50"/>
    </row>
    <row r="18" spans="1:15" ht="12.75">
      <c r="A18" s="51" t="s">
        <v>21</v>
      </c>
      <c r="B18" s="48"/>
      <c r="C18" s="118">
        <f aca="true" t="shared" si="2" ref="C18:L18">SUM(C6:C17)</f>
        <v>3.1269</v>
      </c>
      <c r="D18" s="118">
        <f t="shared" si="2"/>
        <v>56.41175500000001</v>
      </c>
      <c r="E18" s="118">
        <f t="shared" si="2"/>
        <v>5.1621999999999995</v>
      </c>
      <c r="F18" s="118">
        <f t="shared" si="2"/>
        <v>6.117025000000002</v>
      </c>
      <c r="G18" s="118">
        <f t="shared" si="2"/>
        <v>0.5357000000000001</v>
      </c>
      <c r="H18" s="118">
        <f t="shared" si="2"/>
        <v>176.29825499999993</v>
      </c>
      <c r="I18" s="118">
        <f t="shared" si="2"/>
        <v>9.19817</v>
      </c>
      <c r="J18" s="118">
        <f t="shared" si="2"/>
        <v>9.19817</v>
      </c>
      <c r="K18" s="118">
        <f t="shared" si="2"/>
        <v>65.515995</v>
      </c>
      <c r="L18" s="118">
        <f t="shared" si="2"/>
        <v>31.78583000000003</v>
      </c>
      <c r="M18" s="45"/>
      <c r="N18" s="119">
        <f>SUM(N6:N17)</f>
        <v>363.34999999999997</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H12" sqref="H12"/>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2018 through April 2019)</v>
      </c>
      <c r="B1" s="107"/>
    </row>
    <row r="2" spans="1:2" ht="12.75">
      <c r="A2" s="41" t="s">
        <v>54</v>
      </c>
      <c r="B2" s="108"/>
    </row>
    <row r="3" spans="2:13" ht="12.75">
      <c r="B3" s="109"/>
      <c r="C3" s="43" t="s">
        <v>11</v>
      </c>
      <c r="D3" s="43" t="s">
        <v>12</v>
      </c>
      <c r="E3" s="43" t="s">
        <v>83</v>
      </c>
      <c r="F3" s="43" t="s">
        <v>29</v>
      </c>
      <c r="G3" s="43" t="s">
        <v>84</v>
      </c>
      <c r="H3" s="43" t="s">
        <v>14</v>
      </c>
      <c r="I3" s="43" t="s">
        <v>15</v>
      </c>
      <c r="J3" s="43" t="s">
        <v>16</v>
      </c>
      <c r="K3" s="43" t="s">
        <v>17</v>
      </c>
      <c r="L3" s="43" t="s">
        <v>18</v>
      </c>
      <c r="M3" s="43"/>
    </row>
    <row r="4" spans="1:13" ht="15.75" customHeight="1">
      <c r="A4" s="105">
        <f>Multi_Family!$C$6</f>
        <v>43221</v>
      </c>
      <c r="B4" s="109" t="s">
        <v>41</v>
      </c>
      <c r="C4" s="120">
        <f>Multi_Family!C74</f>
        <v>1082.85</v>
      </c>
      <c r="D4" s="133">
        <f>Multi_Family!C76</f>
        <v>-25.26</v>
      </c>
      <c r="E4" s="133">
        <f>Multi_Family!C77</f>
        <v>0</v>
      </c>
      <c r="F4" s="133">
        <f>Multi_Family!C72</f>
        <v>90.64</v>
      </c>
      <c r="G4" s="133">
        <f>Multi_Family!C75</f>
        <v>0</v>
      </c>
      <c r="H4" s="133">
        <f>Multi_Family!C79</f>
        <v>-14.309999999999999</v>
      </c>
      <c r="I4" s="133">
        <f>Multi_Family!C73</f>
        <v>100.47</v>
      </c>
      <c r="J4" s="133">
        <f>Multi_Family!C73</f>
        <v>100.47</v>
      </c>
      <c r="K4" s="133">
        <f>Multi_Family!C70</f>
        <v>43.519999999999996</v>
      </c>
      <c r="L4" s="133">
        <f>Multi_Family!C78</f>
        <v>-134.59</v>
      </c>
      <c r="M4" s="52"/>
    </row>
    <row r="5" spans="1:13" ht="15.75" customHeight="1">
      <c r="A5" s="47">
        <f aca="true" t="shared" si="0" ref="A5:A15">EOMONTH(A4,1)</f>
        <v>43281</v>
      </c>
      <c r="B5" s="109" t="s">
        <v>42</v>
      </c>
      <c r="C5" s="133">
        <f>Multi_Family!D74</f>
        <v>1119.26</v>
      </c>
      <c r="D5" s="133">
        <f>Multi_Family!D76</f>
        <v>-19.13</v>
      </c>
      <c r="E5" s="133">
        <f>Multi_Family!D77</f>
        <v>0</v>
      </c>
      <c r="F5" s="133">
        <f>Multi_Family!D72</f>
        <v>93.07</v>
      </c>
      <c r="G5" s="133">
        <f>Multi_Family!D75</f>
        <v>0</v>
      </c>
      <c r="H5" s="133">
        <f>Multi_Family!D79</f>
        <v>2</v>
      </c>
      <c r="I5" s="133">
        <f>Multi_Family!D73</f>
        <v>87.96</v>
      </c>
      <c r="J5" s="133">
        <f>Multi_Family!D73</f>
        <v>87.96</v>
      </c>
      <c r="K5" s="133">
        <f>Multi_Family!D70</f>
        <v>60.11</v>
      </c>
      <c r="L5" s="120">
        <f>Multi_Family!D78</f>
        <v>-134.59</v>
      </c>
      <c r="M5" s="52"/>
    </row>
    <row r="6" spans="1:13" ht="15.75" customHeight="1">
      <c r="A6" s="47">
        <f t="shared" si="0"/>
        <v>43312</v>
      </c>
      <c r="B6" s="110" t="s">
        <v>43</v>
      </c>
      <c r="C6" s="133">
        <f>Multi_Family!E74</f>
        <v>1065.13</v>
      </c>
      <c r="D6" s="133">
        <f>Multi_Family!E76</f>
        <v>-3.5700000000000003</v>
      </c>
      <c r="E6" s="120">
        <f>Multi_Family!E77</f>
        <v>0</v>
      </c>
      <c r="F6" s="133">
        <f>Multi_Family!E72</f>
        <v>91.06</v>
      </c>
      <c r="G6" s="133">
        <f>Multi_Family!E75</f>
        <v>0</v>
      </c>
      <c r="H6" s="133">
        <f>Multi_Family!E79</f>
        <v>4.19</v>
      </c>
      <c r="I6" s="133">
        <f>Multi_Family!E73</f>
        <v>109.23</v>
      </c>
      <c r="J6" s="133">
        <f>Multi_Family!E73</f>
        <v>109.23</v>
      </c>
      <c r="K6" s="133">
        <f>Multi_Family!E70</f>
        <v>68.38</v>
      </c>
      <c r="L6" s="133">
        <f>Multi_Family!E78</f>
        <v>-134.59</v>
      </c>
      <c r="M6" s="49"/>
    </row>
    <row r="7" spans="1:13" ht="15.75" customHeight="1">
      <c r="A7" s="47">
        <f t="shared" si="0"/>
        <v>43343</v>
      </c>
      <c r="B7" s="110" t="s">
        <v>44</v>
      </c>
      <c r="C7" s="120">
        <f>Multi_Family!F74</f>
        <v>1065.13</v>
      </c>
      <c r="D7" s="120">
        <f>Multi_Family!F76</f>
        <v>0.74</v>
      </c>
      <c r="E7" s="120">
        <f>Multi_Family!F77</f>
        <v>0</v>
      </c>
      <c r="F7" s="120">
        <f>Multi_Family!F72</f>
        <v>61.85</v>
      </c>
      <c r="G7" s="133">
        <f>Multi_Family!F75</f>
        <v>0</v>
      </c>
      <c r="H7" s="120">
        <f>Multi_Family!F79</f>
        <v>8.42</v>
      </c>
      <c r="I7" s="120">
        <f>Multi_Family!F73</f>
        <v>168.5</v>
      </c>
      <c r="J7" s="120">
        <f>Multi_Family!F73</f>
        <v>168.5</v>
      </c>
      <c r="K7" s="120">
        <f>Multi_Family!F70</f>
        <v>60.64</v>
      </c>
      <c r="L7" s="120">
        <f>Multi_Family!F78</f>
        <v>-134.59</v>
      </c>
      <c r="M7" s="49"/>
    </row>
    <row r="8" spans="1:13" ht="15.75" customHeight="1">
      <c r="A8" s="47">
        <f t="shared" si="0"/>
        <v>43373</v>
      </c>
      <c r="B8" s="110" t="s">
        <v>45</v>
      </c>
      <c r="C8" s="121">
        <f>Multi_Family!G74</f>
        <v>940.58</v>
      </c>
      <c r="D8" s="121">
        <f>Multi_Family!G76</f>
        <v>-14.63</v>
      </c>
      <c r="E8" s="121">
        <f>Multi_Family!G77</f>
        <v>0</v>
      </c>
      <c r="F8" s="121">
        <f>Multi_Family!G72</f>
        <v>69.65</v>
      </c>
      <c r="G8" s="150">
        <f>Multi_Family!G75</f>
        <v>0</v>
      </c>
      <c r="H8" s="121">
        <f>Multi_Family!G79</f>
        <v>26.9</v>
      </c>
      <c r="I8" s="121">
        <f>Multi_Family!G73</f>
        <v>78.83</v>
      </c>
      <c r="J8" s="121">
        <f>Multi_Family!G73</f>
        <v>78.83</v>
      </c>
      <c r="K8" s="121">
        <f>Multi_Family!G70</f>
        <v>63.85</v>
      </c>
      <c r="L8" s="120">
        <f>Multi_Family!G78</f>
        <v>-134.59</v>
      </c>
      <c r="M8" s="49"/>
    </row>
    <row r="9" spans="1:13" ht="15.75" customHeight="1">
      <c r="A9" s="47">
        <f t="shared" si="0"/>
        <v>43404</v>
      </c>
      <c r="B9" s="110" t="s">
        <v>46</v>
      </c>
      <c r="C9" s="121">
        <f>Multi_Family!H74</f>
        <v>918.23</v>
      </c>
      <c r="D9" s="121">
        <f>Multi_Family!H76</f>
        <v>-16.67</v>
      </c>
      <c r="E9" s="121">
        <f>Multi_Family!H77</f>
        <v>0</v>
      </c>
      <c r="F9" s="121">
        <f>Multi_Family!H72</f>
        <v>78.18</v>
      </c>
      <c r="G9" s="150">
        <f>Multi_Family!H75</f>
        <v>0</v>
      </c>
      <c r="H9" s="121">
        <f>Multi_Family!H79</f>
        <v>25.77</v>
      </c>
      <c r="I9" s="121">
        <f>Multi_Family!H73</f>
        <v>75.26</v>
      </c>
      <c r="J9" s="121">
        <f>Multi_Family!H73</f>
        <v>75.26</v>
      </c>
      <c r="K9" s="121">
        <f>Multi_Family!H70</f>
        <v>71.68</v>
      </c>
      <c r="L9" s="120">
        <f>Multi_Family!H78</f>
        <v>-134.59</v>
      </c>
      <c r="M9" s="49"/>
    </row>
    <row r="10" spans="1:13" ht="15.75" customHeight="1">
      <c r="A10" s="47">
        <f t="shared" si="0"/>
        <v>43434</v>
      </c>
      <c r="B10" s="110" t="s">
        <v>47</v>
      </c>
      <c r="C10" s="120">
        <f>Multi_Family!I74</f>
        <v>892.14</v>
      </c>
      <c r="D10" s="120">
        <f>Multi_Family!I76</f>
        <v>-15.54</v>
      </c>
      <c r="E10" s="120">
        <f>Multi_Family!I77</f>
        <v>0</v>
      </c>
      <c r="F10" s="120">
        <f>Multi_Family!I72</f>
        <v>86.28</v>
      </c>
      <c r="G10" s="133">
        <f>Multi_Family!I75</f>
        <v>0</v>
      </c>
      <c r="H10" s="120">
        <f>Multi_Family!I79</f>
        <v>26.88</v>
      </c>
      <c r="I10" s="120">
        <f>Multi_Family!I73</f>
        <v>67.35</v>
      </c>
      <c r="J10" s="120">
        <f>Multi_Family!I73</f>
        <v>67.35</v>
      </c>
      <c r="K10" s="120">
        <f>Multi_Family!I70</f>
        <v>74.51</v>
      </c>
      <c r="L10" s="120">
        <f>Multi_Family!I78</f>
        <v>-134.59</v>
      </c>
      <c r="M10" s="49"/>
    </row>
    <row r="11" spans="1:13" ht="15.75" customHeight="1">
      <c r="A11" s="47">
        <f t="shared" si="0"/>
        <v>43465</v>
      </c>
      <c r="B11" s="110" t="s">
        <v>48</v>
      </c>
      <c r="C11" s="120">
        <f>Multi_Family!J74</f>
        <v>872.05</v>
      </c>
      <c r="D11" s="120">
        <f>Multi_Family!J76</f>
        <v>-17.32</v>
      </c>
      <c r="E11" s="120">
        <f>Multi_Family!J77</f>
        <v>0</v>
      </c>
      <c r="F11" s="120">
        <f>Multi_Family!J72</f>
        <v>78.69</v>
      </c>
      <c r="G11" s="133">
        <f>Multi_Family!J75</f>
        <v>0</v>
      </c>
      <c r="H11" s="120">
        <f>Multi_Family!J79</f>
        <v>19.61</v>
      </c>
      <c r="I11" s="120">
        <f>Multi_Family!J73</f>
        <v>85.02</v>
      </c>
      <c r="J11" s="120">
        <f>Multi_Family!J73</f>
        <v>85.02</v>
      </c>
      <c r="K11" s="120">
        <f>Multi_Family!J70</f>
        <v>69.15</v>
      </c>
      <c r="L11" s="120">
        <f>Multi_Family!J78</f>
        <v>-134.59</v>
      </c>
      <c r="M11" s="49"/>
    </row>
    <row r="12" spans="1:13" ht="15.75" customHeight="1">
      <c r="A12" s="47">
        <f t="shared" si="0"/>
        <v>43496</v>
      </c>
      <c r="B12" s="110" t="s">
        <v>49</v>
      </c>
      <c r="C12" s="120">
        <f>Multi_Family!K74</f>
        <v>896.04</v>
      </c>
      <c r="D12" s="120">
        <f>Multi_Family!K76</f>
        <v>4.22</v>
      </c>
      <c r="E12" s="120">
        <f>Multi_Family!K77</f>
        <v>0</v>
      </c>
      <c r="F12" s="120">
        <f>Multi_Family!K72</f>
        <v>89.04</v>
      </c>
      <c r="G12" s="133">
        <f>Multi_Family!K75</f>
        <v>50.34</v>
      </c>
      <c r="H12" s="120">
        <f>Multi_Family!K79</f>
        <v>24.21</v>
      </c>
      <c r="I12" s="120">
        <f>Multi_Family!K73</f>
        <v>77.3933950617284</v>
      </c>
      <c r="J12" s="120">
        <f>Multi_Family!K73</f>
        <v>77.3933950617284</v>
      </c>
      <c r="K12" s="120">
        <f>Multi_Family!K70</f>
        <v>75.2</v>
      </c>
      <c r="L12" s="120">
        <f>Multi_Family!K78</f>
        <v>-74.22</v>
      </c>
      <c r="M12" s="49"/>
    </row>
    <row r="13" spans="1:13" ht="15.75" customHeight="1">
      <c r="A13" s="47">
        <f t="shared" si="0"/>
        <v>43524</v>
      </c>
      <c r="B13" s="110" t="s">
        <v>50</v>
      </c>
      <c r="C13" s="120">
        <f>Multi_Family!L74</f>
        <v>833.94</v>
      </c>
      <c r="D13" s="120">
        <f>Multi_Family!L76</f>
        <v>5.45</v>
      </c>
      <c r="E13" s="120">
        <f>Multi_Family!L77</f>
        <v>0</v>
      </c>
      <c r="F13" s="120">
        <f>Multi_Family!L72</f>
        <v>88.48</v>
      </c>
      <c r="G13" s="133">
        <f>Multi_Family!L75</f>
        <v>50.41</v>
      </c>
      <c r="H13" s="120">
        <f>Multi_Family!L79</f>
        <v>20.91</v>
      </c>
      <c r="I13" s="120">
        <f>Multi_Family!L73</f>
        <v>77.47046728971962</v>
      </c>
      <c r="J13" s="120">
        <f>Multi_Family!L73</f>
        <v>77.47046728971962</v>
      </c>
      <c r="K13" s="120">
        <f>Multi_Family!L70</f>
        <v>55.22</v>
      </c>
      <c r="L13" s="120">
        <f>Multi_Family!L78</f>
        <v>-74.22</v>
      </c>
      <c r="M13" s="49"/>
    </row>
    <row r="14" spans="1:13" ht="15.75" customHeight="1">
      <c r="A14" s="47">
        <f t="shared" si="0"/>
        <v>43555</v>
      </c>
      <c r="B14" s="110" t="s">
        <v>51</v>
      </c>
      <c r="C14" s="120">
        <f>Multi_Family!M74</f>
        <v>830.9</v>
      </c>
      <c r="D14" s="120">
        <f>Multi_Family!M76</f>
        <v>2.94</v>
      </c>
      <c r="E14" s="120">
        <f>Multi_Family!M77</f>
        <v>0</v>
      </c>
      <c r="F14" s="120">
        <f>Multi_Family!M72</f>
        <v>100.39</v>
      </c>
      <c r="G14" s="133">
        <f>Multi_Family!M75</f>
        <v>57.02</v>
      </c>
      <c r="H14" s="120">
        <f>Multi_Family!M79</f>
        <v>16.74</v>
      </c>
      <c r="I14" s="120">
        <f>Multi_Family!M73</f>
        <v>90.75548148148148</v>
      </c>
      <c r="J14" s="120">
        <f>Multi_Family!M73</f>
        <v>90.75548148148148</v>
      </c>
      <c r="K14" s="120">
        <f>Multi_Family!M70</f>
        <v>63.45</v>
      </c>
      <c r="L14" s="120">
        <f>Multi_Family!M78</f>
        <v>-77.29</v>
      </c>
      <c r="M14" s="49"/>
    </row>
    <row r="15" spans="1:13" ht="15.75" customHeight="1">
      <c r="A15" s="47">
        <f t="shared" si="0"/>
        <v>43585</v>
      </c>
      <c r="B15" s="110" t="s">
        <v>52</v>
      </c>
      <c r="C15" s="120">
        <f>Multi_Family!N74</f>
        <v>866.43</v>
      </c>
      <c r="D15" s="120">
        <f>Multi_Family!N76</f>
        <v>-0.11</v>
      </c>
      <c r="E15" s="120">
        <f>Multi_Family!N77</f>
        <v>0</v>
      </c>
      <c r="F15" s="120">
        <f>Multi_Family!N72</f>
        <v>90.89</v>
      </c>
      <c r="G15" s="133">
        <f>Multi_Family!N75</f>
        <v>52.23</v>
      </c>
      <c r="H15" s="120">
        <f>Multi_Family!N79</f>
        <v>-6.454</v>
      </c>
      <c r="I15" s="120">
        <f>Multi_Family!N73</f>
        <v>93.7218045112782</v>
      </c>
      <c r="J15" s="120">
        <f>Multi_Family!N73</f>
        <v>93.7218045112782</v>
      </c>
      <c r="K15" s="120">
        <f>Multi_Family!N70</f>
        <v>53.265</v>
      </c>
      <c r="L15" s="120">
        <f>Multi_Family!N78</f>
        <v>-77.29</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20</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S28" sqref="S28"/>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55</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43221</v>
      </c>
      <c r="D6" s="66">
        <f aca="true" t="shared" si="0" ref="D6:N6">EOMONTH(C6,1)</f>
        <v>43281</v>
      </c>
      <c r="E6" s="66">
        <f t="shared" si="0"/>
        <v>43312</v>
      </c>
      <c r="F6" s="66">
        <f t="shared" si="0"/>
        <v>43343</v>
      </c>
      <c r="G6" s="66">
        <f t="shared" si="0"/>
        <v>43373</v>
      </c>
      <c r="H6" s="66">
        <f t="shared" si="0"/>
        <v>43404</v>
      </c>
      <c r="I6" s="66">
        <f t="shared" si="0"/>
        <v>43434</v>
      </c>
      <c r="J6" s="66">
        <f t="shared" si="0"/>
        <v>43465</v>
      </c>
      <c r="K6" s="66">
        <f t="shared" si="0"/>
        <v>43496</v>
      </c>
      <c r="L6" s="66">
        <f t="shared" si="0"/>
        <v>43524</v>
      </c>
      <c r="M6" s="66">
        <f t="shared" si="0"/>
        <v>43555</v>
      </c>
      <c r="N6" s="66">
        <f t="shared" si="0"/>
        <v>43585</v>
      </c>
    </row>
    <row r="7" spans="1:14" s="49" customFormat="1" ht="11.25">
      <c r="A7" s="67" t="s">
        <v>23</v>
      </c>
      <c r="C7" s="102">
        <v>36.93</v>
      </c>
      <c r="D7" s="102">
        <v>19.49</v>
      </c>
      <c r="E7" s="102">
        <v>33.53</v>
      </c>
      <c r="F7" s="102">
        <v>26.94</v>
      </c>
      <c r="G7" s="102">
        <v>25.63</v>
      </c>
      <c r="H7" s="102">
        <v>26.52</v>
      </c>
      <c r="I7" s="102">
        <v>31.55</v>
      </c>
      <c r="J7" s="102">
        <v>41.01</v>
      </c>
      <c r="K7" s="102">
        <v>39.11</v>
      </c>
      <c r="L7" s="102">
        <v>29.04</v>
      </c>
      <c r="M7" s="102">
        <v>25.38</v>
      </c>
      <c r="N7" s="102">
        <v>28.22</v>
      </c>
    </row>
    <row r="8" spans="1:14" ht="11.25">
      <c r="A8" s="48" t="s">
        <v>24</v>
      </c>
      <c r="C8" s="68">
        <v>0</v>
      </c>
      <c r="D8" s="68">
        <v>0</v>
      </c>
      <c r="E8" s="68">
        <v>0</v>
      </c>
      <c r="F8" s="68">
        <v>0</v>
      </c>
      <c r="G8" s="68">
        <v>0</v>
      </c>
      <c r="H8" s="68">
        <v>0</v>
      </c>
      <c r="I8" s="68">
        <v>0</v>
      </c>
      <c r="J8" s="68">
        <v>0</v>
      </c>
      <c r="K8" s="68">
        <v>0</v>
      </c>
      <c r="L8" s="68">
        <v>0</v>
      </c>
      <c r="M8" s="68">
        <v>0</v>
      </c>
      <c r="N8" s="68">
        <v>0</v>
      </c>
    </row>
    <row r="9" spans="1:14" ht="11.25">
      <c r="A9" s="48" t="s">
        <v>25</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26</v>
      </c>
      <c r="C10" s="70">
        <f aca="true" t="shared" si="2" ref="C10:N10">+C7-C9</f>
        <v>36.93</v>
      </c>
      <c r="D10" s="70">
        <f t="shared" si="2"/>
        <v>19.49</v>
      </c>
      <c r="E10" s="70">
        <f t="shared" si="2"/>
        <v>33.53</v>
      </c>
      <c r="F10" s="70">
        <f t="shared" si="2"/>
        <v>26.94</v>
      </c>
      <c r="G10" s="70">
        <f t="shared" si="2"/>
        <v>25.63</v>
      </c>
      <c r="H10" s="70">
        <f t="shared" si="2"/>
        <v>26.52</v>
      </c>
      <c r="I10" s="70">
        <f t="shared" si="2"/>
        <v>31.55</v>
      </c>
      <c r="J10" s="70">
        <f t="shared" si="2"/>
        <v>41.01</v>
      </c>
      <c r="K10" s="70">
        <f t="shared" si="2"/>
        <v>39.11</v>
      </c>
      <c r="L10" s="70">
        <f t="shared" si="2"/>
        <v>29.04</v>
      </c>
      <c r="M10" s="70">
        <f t="shared" si="2"/>
        <v>25.38</v>
      </c>
      <c r="N10" s="70">
        <f t="shared" si="2"/>
        <v>28.22</v>
      </c>
    </row>
    <row r="11" ht="11.25"/>
    <row r="12" ht="11.25">
      <c r="A12" s="62" t="s">
        <v>27</v>
      </c>
    </row>
    <row r="13" spans="2:14" s="71" customFormat="1" ht="11.25">
      <c r="B13" s="71" t="s">
        <v>13</v>
      </c>
      <c r="C13" s="103">
        <v>0</v>
      </c>
      <c r="D13" s="103">
        <v>0</v>
      </c>
      <c r="E13" s="103">
        <v>0</v>
      </c>
      <c r="F13" s="103">
        <v>0</v>
      </c>
      <c r="G13" s="103">
        <v>0</v>
      </c>
      <c r="H13" s="103">
        <v>0</v>
      </c>
      <c r="I13" s="103">
        <v>0</v>
      </c>
      <c r="J13" s="103">
        <v>0</v>
      </c>
      <c r="K13" s="103">
        <f>+J13</f>
        <v>0</v>
      </c>
      <c r="L13" s="103">
        <f>+K13</f>
        <v>0</v>
      </c>
      <c r="M13" s="103">
        <f>+L13</f>
        <v>0</v>
      </c>
      <c r="N13" s="103">
        <f>+M13</f>
        <v>0</v>
      </c>
    </row>
    <row r="14" spans="2:14" s="71" customFormat="1" ht="11.25">
      <c r="B14" s="71" t="s">
        <v>17</v>
      </c>
      <c r="C14" s="103">
        <v>0.1782</v>
      </c>
      <c r="D14" s="103">
        <v>0.1782</v>
      </c>
      <c r="E14" s="103">
        <v>0.1782</v>
      </c>
      <c r="F14" s="103">
        <v>0.1782</v>
      </c>
      <c r="G14" s="103">
        <v>0.1782</v>
      </c>
      <c r="H14" s="103">
        <v>0.1782</v>
      </c>
      <c r="I14" s="103">
        <v>0.1782</v>
      </c>
      <c r="J14" s="103">
        <v>0.1782</v>
      </c>
      <c r="K14" s="103">
        <f>18.45%</f>
        <v>0.1845</v>
      </c>
      <c r="L14" s="103">
        <f>18.45%</f>
        <v>0.1845</v>
      </c>
      <c r="M14" s="103">
        <f>18.45%</f>
        <v>0.1845</v>
      </c>
      <c r="N14" s="103">
        <f>18.45%</f>
        <v>0.1845</v>
      </c>
    </row>
    <row r="15" spans="2:14" s="71" customFormat="1" ht="11.25">
      <c r="B15" s="71" t="s">
        <v>28</v>
      </c>
      <c r="C15" s="103">
        <v>0</v>
      </c>
      <c r="D15" s="103">
        <v>0</v>
      </c>
      <c r="E15" s="103">
        <v>0</v>
      </c>
      <c r="F15" s="103">
        <v>0</v>
      </c>
      <c r="G15" s="103">
        <v>0</v>
      </c>
      <c r="H15" s="103">
        <v>0</v>
      </c>
      <c r="I15" s="103">
        <v>0</v>
      </c>
      <c r="J15" s="103">
        <v>0</v>
      </c>
      <c r="K15" s="103">
        <f>+J15</f>
        <v>0</v>
      </c>
      <c r="L15" s="103">
        <f>+K15</f>
        <v>0</v>
      </c>
      <c r="M15" s="103">
        <f>+L15</f>
        <v>0</v>
      </c>
      <c r="N15" s="103">
        <f>+M15</f>
        <v>0</v>
      </c>
    </row>
    <row r="16" spans="2:14" s="71" customFormat="1" ht="11.25">
      <c r="B16" s="71" t="s">
        <v>29</v>
      </c>
      <c r="C16" s="103">
        <v>0.0165</v>
      </c>
      <c r="D16" s="103">
        <v>0.0165</v>
      </c>
      <c r="E16" s="103">
        <v>0.0165</v>
      </c>
      <c r="F16" s="103">
        <v>0.0165</v>
      </c>
      <c r="G16" s="103">
        <v>0.0165</v>
      </c>
      <c r="H16" s="103">
        <v>0.0165</v>
      </c>
      <c r="I16" s="103">
        <v>0.0165</v>
      </c>
      <c r="J16" s="103">
        <v>0.0165</v>
      </c>
      <c r="K16" s="103">
        <f>1.75%</f>
        <v>0.0175</v>
      </c>
      <c r="L16" s="103">
        <f>1.75%</f>
        <v>0.0175</v>
      </c>
      <c r="M16" s="103">
        <f>1.75%</f>
        <v>0.0175</v>
      </c>
      <c r="N16" s="103">
        <f>1.75%</f>
        <v>0.0175</v>
      </c>
    </row>
    <row r="17" spans="2:14" s="71" customFormat="1" ht="11.25">
      <c r="B17" s="71" t="s">
        <v>30</v>
      </c>
      <c r="C17" s="103">
        <v>0.0449</v>
      </c>
      <c r="D17" s="103">
        <v>0.0449</v>
      </c>
      <c r="E17" s="103">
        <v>0.0449</v>
      </c>
      <c r="F17" s="103">
        <v>0.0449</v>
      </c>
      <c r="G17" s="103">
        <v>0.0449</v>
      </c>
      <c r="H17" s="103">
        <v>0.0449</v>
      </c>
      <c r="I17" s="103">
        <v>0.0449</v>
      </c>
      <c r="J17" s="103">
        <v>0.0449</v>
      </c>
      <c r="K17" s="103">
        <f>(2.53%+0.87%+2.8%)</f>
        <v>0.062</v>
      </c>
      <c r="L17" s="103">
        <f>(2.53%+0.87%+2.8%)</f>
        <v>0.062</v>
      </c>
      <c r="M17" s="103">
        <f>(2.53%+0.87%+2.8%)</f>
        <v>0.062</v>
      </c>
      <c r="N17" s="103">
        <f>(2.53%+0.87%+2.8%)</f>
        <v>0.062</v>
      </c>
    </row>
    <row r="18" spans="2:14" s="71" customFormat="1" ht="11.25">
      <c r="B18" s="71" t="s">
        <v>31</v>
      </c>
      <c r="C18" s="103">
        <v>0.0075</v>
      </c>
      <c r="D18" s="103">
        <v>0.0075</v>
      </c>
      <c r="E18" s="103">
        <v>0.0075</v>
      </c>
      <c r="F18" s="103">
        <v>0.0075</v>
      </c>
      <c r="G18" s="103">
        <v>0.0075</v>
      </c>
      <c r="H18" s="103">
        <v>0.0075</v>
      </c>
      <c r="I18" s="103">
        <v>0.0075</v>
      </c>
      <c r="J18" s="103">
        <v>0.0075</v>
      </c>
      <c r="K18" s="103">
        <f>1.08%</f>
        <v>0.0108</v>
      </c>
      <c r="L18" s="103">
        <f>1.08%</f>
        <v>0.0108</v>
      </c>
      <c r="M18" s="103">
        <f>1.08%</f>
        <v>0.0108</v>
      </c>
      <c r="N18" s="103">
        <f>1.08%</f>
        <v>0.0108</v>
      </c>
    </row>
    <row r="19" spans="2:14" s="71" customFormat="1" ht="11.25">
      <c r="B19" s="48" t="s">
        <v>76</v>
      </c>
      <c r="C19" s="103">
        <v>0</v>
      </c>
      <c r="D19" s="103">
        <v>0</v>
      </c>
      <c r="E19" s="103">
        <v>0</v>
      </c>
      <c r="F19" s="103">
        <v>0</v>
      </c>
      <c r="G19" s="103">
        <v>0</v>
      </c>
      <c r="H19" s="103">
        <v>0</v>
      </c>
      <c r="I19" s="103">
        <v>0</v>
      </c>
      <c r="J19" s="103">
        <v>0</v>
      </c>
      <c r="K19" s="103">
        <f>0.44%</f>
        <v>0.0044</v>
      </c>
      <c r="L19" s="103">
        <f>0.44%</f>
        <v>0.0044</v>
      </c>
      <c r="M19" s="103">
        <f>0.44%</f>
        <v>0.0044</v>
      </c>
      <c r="N19" s="103">
        <f>0.44%</f>
        <v>0.0044</v>
      </c>
    </row>
    <row r="20" spans="2:14" s="71" customFormat="1" ht="11.25">
      <c r="B20" s="48" t="s">
        <v>12</v>
      </c>
      <c r="C20" s="103">
        <v>0.1768</v>
      </c>
      <c r="D20" s="103">
        <v>0.1768</v>
      </c>
      <c r="E20" s="103">
        <v>0.1768</v>
      </c>
      <c r="F20" s="103">
        <v>0.1768</v>
      </c>
      <c r="G20" s="103">
        <v>0.1768</v>
      </c>
      <c r="H20" s="103">
        <v>0.1768</v>
      </c>
      <c r="I20" s="103">
        <v>0.1768</v>
      </c>
      <c r="J20" s="103">
        <v>0.1768</v>
      </c>
      <c r="K20" s="103">
        <f>11.25%</f>
        <v>0.1125</v>
      </c>
      <c r="L20" s="103">
        <f>11.25%</f>
        <v>0.1125</v>
      </c>
      <c r="M20" s="103">
        <f>11.25%</f>
        <v>0.1125</v>
      </c>
      <c r="N20" s="103">
        <f>11.25%</f>
        <v>0.1125</v>
      </c>
    </row>
    <row r="21" spans="2:14" s="71" customFormat="1" ht="11.25">
      <c r="B21" s="71" t="s">
        <v>82</v>
      </c>
      <c r="C21" s="103">
        <v>0</v>
      </c>
      <c r="D21" s="103">
        <v>0</v>
      </c>
      <c r="E21" s="103">
        <v>0</v>
      </c>
      <c r="F21" s="103">
        <v>0</v>
      </c>
      <c r="G21" s="103">
        <v>0</v>
      </c>
      <c r="H21" s="103">
        <v>0</v>
      </c>
      <c r="I21" s="103">
        <v>0</v>
      </c>
      <c r="J21" s="103">
        <v>0</v>
      </c>
      <c r="K21" s="103">
        <v>0.0424</v>
      </c>
      <c r="L21" s="103">
        <v>0.0424</v>
      </c>
      <c r="M21" s="103">
        <v>0.0424</v>
      </c>
      <c r="N21" s="103">
        <v>0.0424</v>
      </c>
    </row>
    <row r="22" spans="2:14" s="71" customFormat="1" ht="11.25">
      <c r="B22" s="71" t="s">
        <v>32</v>
      </c>
      <c r="C22" s="103">
        <v>0.05930000000000013</v>
      </c>
      <c r="D22" s="103">
        <v>0.05930000000000013</v>
      </c>
      <c r="E22" s="103">
        <v>0.05930000000000013</v>
      </c>
      <c r="F22" s="103">
        <v>0.05930000000000013</v>
      </c>
      <c r="G22" s="103">
        <v>0.05930000000000013</v>
      </c>
      <c r="H22" s="103">
        <v>0.05930000000000013</v>
      </c>
      <c r="I22" s="103">
        <v>0.05930000000000013</v>
      </c>
      <c r="J22" s="103">
        <v>0.05930000000000013</v>
      </c>
      <c r="K22" s="103">
        <f>14.34%</f>
        <v>0.1434</v>
      </c>
      <c r="L22" s="103">
        <f>14.34%</f>
        <v>0.1434</v>
      </c>
      <c r="M22" s="103">
        <f>14.34%</f>
        <v>0.1434</v>
      </c>
      <c r="N22" s="103">
        <f>14.34%</f>
        <v>0.1434</v>
      </c>
    </row>
    <row r="23" spans="2:14" s="71" customFormat="1" ht="11.25">
      <c r="B23" s="71" t="s">
        <v>33</v>
      </c>
      <c r="C23" s="104">
        <v>0.5168</v>
      </c>
      <c r="D23" s="104">
        <v>0.5168</v>
      </c>
      <c r="E23" s="104">
        <v>0.5168</v>
      </c>
      <c r="F23" s="104">
        <v>0.5168</v>
      </c>
      <c r="G23" s="104">
        <v>0.5168</v>
      </c>
      <c r="H23" s="104">
        <v>0.5168</v>
      </c>
      <c r="I23" s="104">
        <v>0.5168</v>
      </c>
      <c r="J23" s="104">
        <v>0.5168</v>
      </c>
      <c r="K23" s="103">
        <f>42.25%</f>
        <v>0.4225</v>
      </c>
      <c r="L23" s="103">
        <f>42.25%</f>
        <v>0.4225</v>
      </c>
      <c r="M23" s="103">
        <f>42.25%</f>
        <v>0.4225</v>
      </c>
      <c r="N23" s="103">
        <f>42.25%</f>
        <v>0.4225</v>
      </c>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34</v>
      </c>
    </row>
    <row r="27" spans="2:14" ht="11.25">
      <c r="B27" s="48" t="s">
        <v>13</v>
      </c>
      <c r="C27" s="58">
        <f>+C$10*C13</f>
        <v>0</v>
      </c>
      <c r="D27" s="58">
        <f aca="true" t="shared" si="3" ref="D27:N27">+D$10*D13</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row>
    <row r="28" spans="2:14" ht="11.25">
      <c r="B28" s="48" t="s">
        <v>17</v>
      </c>
      <c r="C28" s="58">
        <f aca="true" t="shared" si="4" ref="C28:C37">+C$10*C14</f>
        <v>6.580926</v>
      </c>
      <c r="D28" s="58">
        <f aca="true" t="shared" si="5" ref="D28:N28">+D$10*D14</f>
        <v>3.4731179999999995</v>
      </c>
      <c r="E28" s="58">
        <f t="shared" si="5"/>
        <v>5.975046</v>
      </c>
      <c r="F28" s="58">
        <f t="shared" si="5"/>
        <v>4.800708</v>
      </c>
      <c r="G28" s="58">
        <f t="shared" si="5"/>
        <v>4.567266</v>
      </c>
      <c r="H28" s="58">
        <f t="shared" si="5"/>
        <v>4.725864</v>
      </c>
      <c r="I28" s="58">
        <f t="shared" si="5"/>
        <v>5.62221</v>
      </c>
      <c r="J28" s="58">
        <f t="shared" si="5"/>
        <v>7.307982</v>
      </c>
      <c r="K28" s="58">
        <f t="shared" si="5"/>
        <v>7.215795</v>
      </c>
      <c r="L28" s="58">
        <f t="shared" si="5"/>
        <v>5.35788</v>
      </c>
      <c r="M28" s="58">
        <f t="shared" si="5"/>
        <v>4.6826099999999995</v>
      </c>
      <c r="N28" s="58">
        <f t="shared" si="5"/>
        <v>5.206589999999999</v>
      </c>
    </row>
    <row r="29" spans="2:14" ht="11.25">
      <c r="B29" s="48" t="s">
        <v>28</v>
      </c>
      <c r="C29" s="58">
        <f t="shared" si="4"/>
        <v>0</v>
      </c>
      <c r="D29" s="58">
        <f aca="true" t="shared" si="6" ref="D29:N29">+D$10*D15</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row>
    <row r="30" spans="2:14" ht="11.25">
      <c r="B30" s="48" t="s">
        <v>29</v>
      </c>
      <c r="C30" s="58">
        <f t="shared" si="4"/>
        <v>0.609345</v>
      </c>
      <c r="D30" s="58">
        <f aca="true" t="shared" si="7" ref="D30:N30">+D$10*D16</f>
        <v>0.321585</v>
      </c>
      <c r="E30" s="58">
        <f t="shared" si="7"/>
        <v>0.5532450000000001</v>
      </c>
      <c r="F30" s="58">
        <f t="shared" si="7"/>
        <v>0.44451</v>
      </c>
      <c r="G30" s="58">
        <f t="shared" si="7"/>
        <v>0.422895</v>
      </c>
      <c r="H30" s="58">
        <f t="shared" si="7"/>
        <v>0.43758</v>
      </c>
      <c r="I30" s="58">
        <f t="shared" si="7"/>
        <v>0.520575</v>
      </c>
      <c r="J30" s="58">
        <f t="shared" si="7"/>
        <v>0.676665</v>
      </c>
      <c r="K30" s="58">
        <f t="shared" si="7"/>
        <v>0.6844250000000001</v>
      </c>
      <c r="L30" s="58">
        <f t="shared" si="7"/>
        <v>0.5082</v>
      </c>
      <c r="M30" s="58">
        <f t="shared" si="7"/>
        <v>0.44415000000000004</v>
      </c>
      <c r="N30" s="58">
        <f t="shared" si="7"/>
        <v>0.49385</v>
      </c>
    </row>
    <row r="31" spans="2:14" ht="11.25">
      <c r="B31" s="48" t="s">
        <v>30</v>
      </c>
      <c r="C31" s="58">
        <f t="shared" si="4"/>
        <v>1.658157</v>
      </c>
      <c r="D31" s="58">
        <f aca="true" t="shared" si="8" ref="D31:N31">+D$10*D17</f>
        <v>0.875101</v>
      </c>
      <c r="E31" s="58">
        <f t="shared" si="8"/>
        <v>1.505497</v>
      </c>
      <c r="F31" s="58">
        <f t="shared" si="8"/>
        <v>1.2096060000000002</v>
      </c>
      <c r="G31" s="58">
        <f t="shared" si="8"/>
        <v>1.150787</v>
      </c>
      <c r="H31" s="58">
        <f t="shared" si="8"/>
        <v>1.1907480000000001</v>
      </c>
      <c r="I31" s="58">
        <f t="shared" si="8"/>
        <v>1.416595</v>
      </c>
      <c r="J31" s="58">
        <f t="shared" si="8"/>
        <v>1.841349</v>
      </c>
      <c r="K31" s="58">
        <f t="shared" si="8"/>
        <v>2.42482</v>
      </c>
      <c r="L31" s="58">
        <f t="shared" si="8"/>
        <v>1.8004799999999999</v>
      </c>
      <c r="M31" s="58">
        <f t="shared" si="8"/>
        <v>1.5735599999999998</v>
      </c>
      <c r="N31" s="58">
        <f t="shared" si="8"/>
        <v>1.7496399999999999</v>
      </c>
    </row>
    <row r="32" spans="2:14" ht="11.25">
      <c r="B32" s="48" t="s">
        <v>31</v>
      </c>
      <c r="C32" s="58">
        <f t="shared" si="4"/>
        <v>0.27697499999999997</v>
      </c>
      <c r="D32" s="58">
        <f aca="true" t="shared" si="9" ref="D32:N32">+D$10*D18</f>
        <v>0.14617499999999997</v>
      </c>
      <c r="E32" s="58">
        <f t="shared" si="9"/>
        <v>0.251475</v>
      </c>
      <c r="F32" s="58">
        <f t="shared" si="9"/>
        <v>0.20205</v>
      </c>
      <c r="G32" s="58">
        <f t="shared" si="9"/>
        <v>0.19222499999999998</v>
      </c>
      <c r="H32" s="58">
        <f t="shared" si="9"/>
        <v>0.1989</v>
      </c>
      <c r="I32" s="58">
        <f t="shared" si="9"/>
        <v>0.236625</v>
      </c>
      <c r="J32" s="58">
        <f t="shared" si="9"/>
        <v>0.307575</v>
      </c>
      <c r="K32" s="58">
        <f t="shared" si="9"/>
        <v>0.42238800000000004</v>
      </c>
      <c r="L32" s="58">
        <f t="shared" si="9"/>
        <v>0.313632</v>
      </c>
      <c r="M32" s="58">
        <f t="shared" si="9"/>
        <v>0.274104</v>
      </c>
      <c r="N32" s="58">
        <f t="shared" si="9"/>
        <v>0.304776</v>
      </c>
    </row>
    <row r="33" spans="2:14" ht="11.25">
      <c r="B33" s="48" t="s">
        <v>76</v>
      </c>
      <c r="C33" s="58">
        <f t="shared" si="4"/>
        <v>0</v>
      </c>
      <c r="D33" s="58">
        <f aca="true" t="shared" si="10" ref="D33:N33">+D$10*D19</f>
        <v>0</v>
      </c>
      <c r="E33" s="58">
        <f t="shared" si="10"/>
        <v>0</v>
      </c>
      <c r="F33" s="58">
        <f t="shared" si="10"/>
        <v>0</v>
      </c>
      <c r="G33" s="58">
        <f t="shared" si="10"/>
        <v>0</v>
      </c>
      <c r="H33" s="58">
        <f t="shared" si="10"/>
        <v>0</v>
      </c>
      <c r="I33" s="58">
        <f t="shared" si="10"/>
        <v>0</v>
      </c>
      <c r="J33" s="58">
        <f t="shared" si="10"/>
        <v>0</v>
      </c>
      <c r="K33" s="58">
        <f t="shared" si="10"/>
        <v>0.17208400000000001</v>
      </c>
      <c r="L33" s="58">
        <f t="shared" si="10"/>
        <v>0.127776</v>
      </c>
      <c r="M33" s="58">
        <f t="shared" si="10"/>
        <v>0.11167200000000001</v>
      </c>
      <c r="N33" s="58">
        <f t="shared" si="10"/>
        <v>0.124168</v>
      </c>
    </row>
    <row r="34" spans="2:14" ht="11.25">
      <c r="B34" s="48" t="s">
        <v>12</v>
      </c>
      <c r="C34" s="58">
        <f t="shared" si="4"/>
        <v>6.529224</v>
      </c>
      <c r="D34" s="58">
        <f aca="true" t="shared" si="11" ref="D34:N34">+D$10*D20</f>
        <v>3.445832</v>
      </c>
      <c r="E34" s="58">
        <f t="shared" si="11"/>
        <v>5.928104</v>
      </c>
      <c r="F34" s="58">
        <f t="shared" si="11"/>
        <v>4.762992000000001</v>
      </c>
      <c r="G34" s="58">
        <f t="shared" si="11"/>
        <v>4.531384</v>
      </c>
      <c r="H34" s="58">
        <f t="shared" si="11"/>
        <v>4.6887360000000005</v>
      </c>
      <c r="I34" s="58">
        <f t="shared" si="11"/>
        <v>5.5780400000000006</v>
      </c>
      <c r="J34" s="58">
        <f t="shared" si="11"/>
        <v>7.250568</v>
      </c>
      <c r="K34" s="58">
        <f t="shared" si="11"/>
        <v>4.399875</v>
      </c>
      <c r="L34" s="58">
        <f t="shared" si="11"/>
        <v>3.267</v>
      </c>
      <c r="M34" s="58">
        <f t="shared" si="11"/>
        <v>2.85525</v>
      </c>
      <c r="N34" s="58">
        <f t="shared" si="11"/>
        <v>3.17475</v>
      </c>
    </row>
    <row r="35" spans="2:14" ht="11.25">
      <c r="B35" s="71" t="s">
        <v>82</v>
      </c>
      <c r="C35" s="58">
        <f t="shared" si="4"/>
        <v>0</v>
      </c>
      <c r="D35" s="58">
        <f aca="true" t="shared" si="12" ref="D35:N35">+D$10*D21</f>
        <v>0</v>
      </c>
      <c r="E35" s="58">
        <f t="shared" si="12"/>
        <v>0</v>
      </c>
      <c r="F35" s="58">
        <f t="shared" si="12"/>
        <v>0</v>
      </c>
      <c r="G35" s="58">
        <f t="shared" si="12"/>
        <v>0</v>
      </c>
      <c r="H35" s="58">
        <f t="shared" si="12"/>
        <v>0</v>
      </c>
      <c r="I35" s="58">
        <f t="shared" si="12"/>
        <v>0</v>
      </c>
      <c r="J35" s="58">
        <f t="shared" si="12"/>
        <v>0</v>
      </c>
      <c r="K35" s="58">
        <f t="shared" si="12"/>
        <v>1.658264</v>
      </c>
      <c r="L35" s="58">
        <f t="shared" si="12"/>
        <v>1.231296</v>
      </c>
      <c r="M35" s="58">
        <f t="shared" si="12"/>
        <v>1.076112</v>
      </c>
      <c r="N35" s="58">
        <f t="shared" si="12"/>
        <v>1.196528</v>
      </c>
    </row>
    <row r="36" spans="2:14" ht="11.25">
      <c r="B36" s="48" t="s">
        <v>32</v>
      </c>
      <c r="C36" s="58">
        <f t="shared" si="4"/>
        <v>2.189949000000005</v>
      </c>
      <c r="D36" s="58">
        <f aca="true" t="shared" si="13" ref="D36:N36">+D$10*D22</f>
        <v>1.1557570000000024</v>
      </c>
      <c r="E36" s="58">
        <f t="shared" si="13"/>
        <v>1.9883290000000045</v>
      </c>
      <c r="F36" s="58">
        <f t="shared" si="13"/>
        <v>1.5975420000000036</v>
      </c>
      <c r="G36" s="58">
        <f t="shared" si="13"/>
        <v>1.5198590000000032</v>
      </c>
      <c r="H36" s="58">
        <f t="shared" si="13"/>
        <v>1.5726360000000035</v>
      </c>
      <c r="I36" s="58">
        <f t="shared" si="13"/>
        <v>1.870915000000004</v>
      </c>
      <c r="J36" s="58">
        <f t="shared" si="13"/>
        <v>2.4318930000000054</v>
      </c>
      <c r="K36" s="58">
        <f t="shared" si="13"/>
        <v>5.6083739999999995</v>
      </c>
      <c r="L36" s="58">
        <f t="shared" si="13"/>
        <v>4.164336</v>
      </c>
      <c r="M36" s="58">
        <f t="shared" si="13"/>
        <v>3.6394919999999997</v>
      </c>
      <c r="N36" s="58">
        <f t="shared" si="13"/>
        <v>4.046748</v>
      </c>
    </row>
    <row r="37" spans="2:14" ht="11.25">
      <c r="B37" s="48" t="s">
        <v>33</v>
      </c>
      <c r="C37" s="69">
        <f t="shared" si="4"/>
        <v>19.085424</v>
      </c>
      <c r="D37" s="69">
        <f aca="true" t="shared" si="14" ref="D37:N37">+D$10*D23</f>
        <v>10.072432</v>
      </c>
      <c r="E37" s="69">
        <f t="shared" si="14"/>
        <v>17.328304000000003</v>
      </c>
      <c r="F37" s="69">
        <f t="shared" si="14"/>
        <v>13.922592000000002</v>
      </c>
      <c r="G37" s="69">
        <f t="shared" si="14"/>
        <v>13.245584000000001</v>
      </c>
      <c r="H37" s="69">
        <f t="shared" si="14"/>
        <v>13.705536</v>
      </c>
      <c r="I37" s="69">
        <f t="shared" si="14"/>
        <v>16.30504</v>
      </c>
      <c r="J37" s="69">
        <f t="shared" si="14"/>
        <v>21.193968</v>
      </c>
      <c r="K37" s="69">
        <f t="shared" si="14"/>
        <v>16.523975</v>
      </c>
      <c r="L37" s="69">
        <f t="shared" si="14"/>
        <v>12.2694</v>
      </c>
      <c r="M37" s="69">
        <f t="shared" si="14"/>
        <v>10.723049999999999</v>
      </c>
      <c r="N37" s="69">
        <f t="shared" si="14"/>
        <v>11.922949999999998</v>
      </c>
    </row>
    <row r="38" spans="3:14" ht="11.25">
      <c r="C38" s="58">
        <f>SUM(C27:C37)</f>
        <v>36.93000000000001</v>
      </c>
      <c r="D38" s="58">
        <f aca="true" t="shared" si="15" ref="D38:N38">SUM(D27:D37)</f>
        <v>19.490000000000002</v>
      </c>
      <c r="E38" s="58">
        <f t="shared" si="15"/>
        <v>33.53000000000001</v>
      </c>
      <c r="F38" s="58">
        <f t="shared" si="15"/>
        <v>26.940000000000005</v>
      </c>
      <c r="G38" s="58">
        <f t="shared" si="15"/>
        <v>25.630000000000006</v>
      </c>
      <c r="H38" s="58">
        <f t="shared" si="15"/>
        <v>26.520000000000003</v>
      </c>
      <c r="I38" s="58">
        <f t="shared" si="15"/>
        <v>31.550000000000004</v>
      </c>
      <c r="J38" s="58">
        <f t="shared" si="15"/>
        <v>41.010000000000005</v>
      </c>
      <c r="K38" s="58">
        <f t="shared" si="15"/>
        <v>39.11</v>
      </c>
      <c r="L38" s="58">
        <f t="shared" si="15"/>
        <v>29.04</v>
      </c>
      <c r="M38" s="58">
        <f t="shared" si="15"/>
        <v>25.379999999999995</v>
      </c>
      <c r="N38" s="58">
        <f t="shared" si="15"/>
        <v>28.22</v>
      </c>
    </row>
    <row r="40" ht="11.25">
      <c r="A40" s="62" t="s">
        <v>35</v>
      </c>
    </row>
    <row r="41" spans="2:14" ht="11.25">
      <c r="B41" s="48" t="s">
        <v>13</v>
      </c>
      <c r="C41" s="73">
        <v>1</v>
      </c>
      <c r="D41" s="74">
        <v>1</v>
      </c>
      <c r="E41" s="74">
        <v>1</v>
      </c>
      <c r="F41" s="74">
        <v>1</v>
      </c>
      <c r="G41" s="74">
        <v>1</v>
      </c>
      <c r="H41" s="74">
        <v>1</v>
      </c>
      <c r="I41" s="74">
        <v>1</v>
      </c>
      <c r="J41" s="74">
        <v>1</v>
      </c>
      <c r="K41" s="74">
        <v>1</v>
      </c>
      <c r="L41" s="74">
        <v>1</v>
      </c>
      <c r="M41" s="74">
        <v>1</v>
      </c>
      <c r="N41" s="74">
        <v>1</v>
      </c>
    </row>
    <row r="42" spans="2:14" ht="11.25">
      <c r="B42" s="48" t="s">
        <v>17</v>
      </c>
      <c r="C42" s="73">
        <v>1</v>
      </c>
      <c r="D42" s="74">
        <v>1</v>
      </c>
      <c r="E42" s="74">
        <v>1</v>
      </c>
      <c r="F42" s="74">
        <v>1</v>
      </c>
      <c r="G42" s="74">
        <v>1</v>
      </c>
      <c r="H42" s="74">
        <v>1</v>
      </c>
      <c r="I42" s="74">
        <v>1</v>
      </c>
      <c r="J42" s="74">
        <v>1</v>
      </c>
      <c r="K42" s="74">
        <v>1</v>
      </c>
      <c r="L42" s="74">
        <v>1</v>
      </c>
      <c r="M42" s="74">
        <v>1</v>
      </c>
      <c r="N42" s="74">
        <v>1</v>
      </c>
    </row>
    <row r="43" spans="2:14" ht="11.25">
      <c r="B43" s="48" t="s">
        <v>28</v>
      </c>
      <c r="C43" s="73">
        <v>1</v>
      </c>
      <c r="D43" s="74">
        <v>1</v>
      </c>
      <c r="E43" s="74">
        <v>1</v>
      </c>
      <c r="F43" s="74">
        <v>1</v>
      </c>
      <c r="G43" s="74">
        <v>1</v>
      </c>
      <c r="H43" s="74">
        <v>1</v>
      </c>
      <c r="I43" s="74">
        <v>1</v>
      </c>
      <c r="J43" s="74">
        <v>1</v>
      </c>
      <c r="K43" s="74">
        <v>1</v>
      </c>
      <c r="L43" s="74">
        <v>1</v>
      </c>
      <c r="M43" s="74">
        <v>1</v>
      </c>
      <c r="N43" s="74">
        <v>1</v>
      </c>
    </row>
    <row r="44" spans="2:14" ht="11.25">
      <c r="B44" s="48" t="s">
        <v>29</v>
      </c>
      <c r="C44" s="73">
        <v>1</v>
      </c>
      <c r="D44" s="74">
        <v>1</v>
      </c>
      <c r="E44" s="74">
        <v>1</v>
      </c>
      <c r="F44" s="74">
        <v>1</v>
      </c>
      <c r="G44" s="74">
        <v>1</v>
      </c>
      <c r="H44" s="74">
        <v>1</v>
      </c>
      <c r="I44" s="74">
        <v>1</v>
      </c>
      <c r="J44" s="74">
        <v>1</v>
      </c>
      <c r="K44" s="74">
        <v>1</v>
      </c>
      <c r="L44" s="74">
        <v>1</v>
      </c>
      <c r="M44" s="74">
        <v>1</v>
      </c>
      <c r="N44" s="74">
        <v>1</v>
      </c>
    </row>
    <row r="45" spans="2:14" ht="11.25">
      <c r="B45" s="48" t="s">
        <v>30</v>
      </c>
      <c r="C45" s="73">
        <v>1</v>
      </c>
      <c r="D45" s="74">
        <v>1</v>
      </c>
      <c r="E45" s="74">
        <v>1</v>
      </c>
      <c r="F45" s="74">
        <v>1</v>
      </c>
      <c r="G45" s="74">
        <v>1</v>
      </c>
      <c r="H45" s="74">
        <v>1</v>
      </c>
      <c r="I45" s="74">
        <v>1</v>
      </c>
      <c r="J45" s="74">
        <v>1</v>
      </c>
      <c r="K45" s="74">
        <v>1</v>
      </c>
      <c r="L45" s="74">
        <v>1</v>
      </c>
      <c r="M45" s="74">
        <v>1</v>
      </c>
      <c r="N45" s="74">
        <v>1</v>
      </c>
    </row>
    <row r="46" spans="2:14" ht="11.25">
      <c r="B46" s="48" t="s">
        <v>31</v>
      </c>
      <c r="C46" s="73">
        <v>1</v>
      </c>
      <c r="D46" s="74">
        <v>1</v>
      </c>
      <c r="E46" s="74">
        <v>1</v>
      </c>
      <c r="F46" s="74">
        <v>1</v>
      </c>
      <c r="G46" s="74">
        <v>1</v>
      </c>
      <c r="H46" s="74">
        <v>1</v>
      </c>
      <c r="I46" s="74">
        <v>1</v>
      </c>
      <c r="J46" s="74">
        <v>1</v>
      </c>
      <c r="K46" s="74">
        <v>1</v>
      </c>
      <c r="L46" s="74">
        <v>1</v>
      </c>
      <c r="M46" s="74">
        <v>1</v>
      </c>
      <c r="N46" s="74">
        <v>1</v>
      </c>
    </row>
    <row r="47" spans="2:14" ht="11.25">
      <c r="B47" s="48" t="s">
        <v>76</v>
      </c>
      <c r="C47" s="73">
        <v>1</v>
      </c>
      <c r="D47" s="74">
        <v>1</v>
      </c>
      <c r="E47" s="74">
        <v>1</v>
      </c>
      <c r="F47" s="74">
        <v>1</v>
      </c>
      <c r="G47" s="74">
        <v>1</v>
      </c>
      <c r="H47" s="74">
        <v>1</v>
      </c>
      <c r="I47" s="74">
        <v>1</v>
      </c>
      <c r="J47" s="74">
        <v>1</v>
      </c>
      <c r="K47" s="74">
        <v>1</v>
      </c>
      <c r="L47" s="74">
        <v>1</v>
      </c>
      <c r="M47" s="74">
        <v>1</v>
      </c>
      <c r="N47" s="74">
        <v>1</v>
      </c>
    </row>
    <row r="48" spans="2:14" ht="11.25">
      <c r="B48" s="48" t="s">
        <v>12</v>
      </c>
      <c r="C48" s="73">
        <v>1</v>
      </c>
      <c r="D48" s="74">
        <v>1</v>
      </c>
      <c r="E48" s="74">
        <v>1</v>
      </c>
      <c r="F48" s="74">
        <v>1</v>
      </c>
      <c r="G48" s="74">
        <v>1</v>
      </c>
      <c r="H48" s="74">
        <v>1</v>
      </c>
      <c r="I48" s="74">
        <v>1</v>
      </c>
      <c r="J48" s="74">
        <v>1</v>
      </c>
      <c r="K48" s="74">
        <v>1</v>
      </c>
      <c r="L48" s="74">
        <v>1</v>
      </c>
      <c r="M48" s="74">
        <v>1</v>
      </c>
      <c r="N48" s="74">
        <v>1</v>
      </c>
    </row>
    <row r="49" spans="2:14" ht="11.25">
      <c r="B49" s="71" t="s">
        <v>82</v>
      </c>
      <c r="C49" s="73">
        <v>1</v>
      </c>
      <c r="D49" s="74">
        <v>1</v>
      </c>
      <c r="E49" s="74">
        <v>1</v>
      </c>
      <c r="F49" s="74">
        <v>1</v>
      </c>
      <c r="G49" s="74">
        <v>1</v>
      </c>
      <c r="H49" s="74">
        <v>1</v>
      </c>
      <c r="I49" s="74">
        <v>1</v>
      </c>
      <c r="J49" s="74">
        <v>1</v>
      </c>
      <c r="K49" s="74">
        <v>1</v>
      </c>
      <c r="L49" s="74">
        <v>1</v>
      </c>
      <c r="M49" s="74">
        <v>1</v>
      </c>
      <c r="N49" s="74">
        <v>1</v>
      </c>
    </row>
    <row r="50" spans="2:14" ht="11.25">
      <c r="B50" s="48" t="s">
        <v>32</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33</v>
      </c>
      <c r="C52" s="72">
        <f>+C65/C37</f>
        <v>0.9999999999999997</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36</v>
      </c>
      <c r="L54" s="72"/>
      <c r="N54" s="74"/>
    </row>
    <row r="55" spans="2:14" ht="11.25">
      <c r="B55" s="48" t="s">
        <v>13</v>
      </c>
      <c r="C55" s="58">
        <f>+C27*C41</f>
        <v>0</v>
      </c>
      <c r="D55" s="58">
        <f aca="true" t="shared" si="16" ref="D55:N55">+D27*D41</f>
        <v>0</v>
      </c>
      <c r="E55" s="58">
        <f t="shared" si="16"/>
        <v>0</v>
      </c>
      <c r="F55" s="58">
        <f t="shared" si="16"/>
        <v>0</v>
      </c>
      <c r="G55" s="58">
        <f t="shared" si="16"/>
        <v>0</v>
      </c>
      <c r="H55" s="58">
        <f t="shared" si="16"/>
        <v>0</v>
      </c>
      <c r="I55" s="58">
        <f t="shared" si="16"/>
        <v>0</v>
      </c>
      <c r="J55" s="58">
        <f t="shared" si="16"/>
        <v>0</v>
      </c>
      <c r="K55" s="58">
        <f t="shared" si="16"/>
        <v>0</v>
      </c>
      <c r="L55" s="58">
        <f t="shared" si="16"/>
        <v>0</v>
      </c>
      <c r="M55" s="58">
        <f t="shared" si="16"/>
        <v>0</v>
      </c>
      <c r="N55" s="58">
        <f t="shared" si="16"/>
        <v>0</v>
      </c>
    </row>
    <row r="56" spans="2:14" ht="11.25">
      <c r="B56" s="48" t="s">
        <v>17</v>
      </c>
      <c r="C56" s="58">
        <f aca="true" t="shared" si="17" ref="C56:N56">+C28*C42</f>
        <v>6.580926</v>
      </c>
      <c r="D56" s="58">
        <f t="shared" si="17"/>
        <v>3.4731179999999995</v>
      </c>
      <c r="E56" s="58">
        <f t="shared" si="17"/>
        <v>5.975046</v>
      </c>
      <c r="F56" s="58">
        <f t="shared" si="17"/>
        <v>4.800708</v>
      </c>
      <c r="G56" s="58">
        <f t="shared" si="17"/>
        <v>4.567266</v>
      </c>
      <c r="H56" s="58">
        <f t="shared" si="17"/>
        <v>4.725864</v>
      </c>
      <c r="I56" s="58">
        <f t="shared" si="17"/>
        <v>5.62221</v>
      </c>
      <c r="J56" s="58">
        <f t="shared" si="17"/>
        <v>7.307982</v>
      </c>
      <c r="K56" s="58">
        <f t="shared" si="17"/>
        <v>7.215795</v>
      </c>
      <c r="L56" s="58">
        <f t="shared" si="17"/>
        <v>5.35788</v>
      </c>
      <c r="M56" s="58">
        <f t="shared" si="17"/>
        <v>4.6826099999999995</v>
      </c>
      <c r="N56" s="58">
        <f t="shared" si="17"/>
        <v>5.206589999999999</v>
      </c>
    </row>
    <row r="57" spans="2:14" ht="11.25">
      <c r="B57" s="48" t="s">
        <v>28</v>
      </c>
      <c r="C57" s="58">
        <f aca="true" t="shared" si="18" ref="C57:N57">+C29*C43</f>
        <v>0</v>
      </c>
      <c r="D57" s="58">
        <f t="shared" si="18"/>
        <v>0</v>
      </c>
      <c r="E57" s="58">
        <f t="shared" si="18"/>
        <v>0</v>
      </c>
      <c r="F57" s="58">
        <f t="shared" si="18"/>
        <v>0</v>
      </c>
      <c r="G57" s="58">
        <f t="shared" si="18"/>
        <v>0</v>
      </c>
      <c r="H57" s="58">
        <f t="shared" si="18"/>
        <v>0</v>
      </c>
      <c r="I57" s="58">
        <f t="shared" si="18"/>
        <v>0</v>
      </c>
      <c r="J57" s="58">
        <f t="shared" si="18"/>
        <v>0</v>
      </c>
      <c r="K57" s="58">
        <f t="shared" si="18"/>
        <v>0</v>
      </c>
      <c r="L57" s="58">
        <f t="shared" si="18"/>
        <v>0</v>
      </c>
      <c r="M57" s="58">
        <f t="shared" si="18"/>
        <v>0</v>
      </c>
      <c r="N57" s="58">
        <f t="shared" si="18"/>
        <v>0</v>
      </c>
    </row>
    <row r="58" spans="2:14" ht="11.25">
      <c r="B58" s="48" t="s">
        <v>29</v>
      </c>
      <c r="C58" s="58">
        <f>+C30*C44</f>
        <v>0.609345</v>
      </c>
      <c r="D58" s="58">
        <f aca="true" t="shared" si="19" ref="D58:N58">+D30*D44</f>
        <v>0.321585</v>
      </c>
      <c r="E58" s="58">
        <f t="shared" si="19"/>
        <v>0.5532450000000001</v>
      </c>
      <c r="F58" s="58">
        <f t="shared" si="19"/>
        <v>0.44451</v>
      </c>
      <c r="G58" s="58">
        <f t="shared" si="19"/>
        <v>0.422895</v>
      </c>
      <c r="H58" s="58">
        <f t="shared" si="19"/>
        <v>0.43758</v>
      </c>
      <c r="I58" s="58">
        <f t="shared" si="19"/>
        <v>0.520575</v>
      </c>
      <c r="J58" s="58">
        <f t="shared" si="19"/>
        <v>0.676665</v>
      </c>
      <c r="K58" s="58">
        <f t="shared" si="19"/>
        <v>0.6844250000000001</v>
      </c>
      <c r="L58" s="58">
        <f t="shared" si="19"/>
        <v>0.5082</v>
      </c>
      <c r="M58" s="58">
        <f t="shared" si="19"/>
        <v>0.44415000000000004</v>
      </c>
      <c r="N58" s="58">
        <f t="shared" si="19"/>
        <v>0.49385</v>
      </c>
    </row>
    <row r="59" spans="2:14" ht="11.25">
      <c r="B59" s="48" t="s">
        <v>30</v>
      </c>
      <c r="C59" s="58">
        <f aca="true" t="shared" si="20" ref="C59:N59">+C31*C45</f>
        <v>1.658157</v>
      </c>
      <c r="D59" s="58">
        <f t="shared" si="20"/>
        <v>0.875101</v>
      </c>
      <c r="E59" s="58">
        <f t="shared" si="20"/>
        <v>1.505497</v>
      </c>
      <c r="F59" s="58">
        <f t="shared" si="20"/>
        <v>1.2096060000000002</v>
      </c>
      <c r="G59" s="58">
        <f t="shared" si="20"/>
        <v>1.150787</v>
      </c>
      <c r="H59" s="58">
        <f t="shared" si="20"/>
        <v>1.1907480000000001</v>
      </c>
      <c r="I59" s="58">
        <f t="shared" si="20"/>
        <v>1.416595</v>
      </c>
      <c r="J59" s="58">
        <f t="shared" si="20"/>
        <v>1.841349</v>
      </c>
      <c r="K59" s="58">
        <f t="shared" si="20"/>
        <v>2.42482</v>
      </c>
      <c r="L59" s="58">
        <f t="shared" si="20"/>
        <v>1.8004799999999999</v>
      </c>
      <c r="M59" s="58">
        <f t="shared" si="20"/>
        <v>1.5735599999999998</v>
      </c>
      <c r="N59" s="58">
        <f t="shared" si="20"/>
        <v>1.7496399999999999</v>
      </c>
    </row>
    <row r="60" spans="2:14" ht="11.25">
      <c r="B60" s="48" t="s">
        <v>31</v>
      </c>
      <c r="C60" s="75">
        <f aca="true" t="shared" si="21" ref="C60:N60">+C32*C46</f>
        <v>0.27697499999999997</v>
      </c>
      <c r="D60" s="75">
        <f t="shared" si="21"/>
        <v>0.14617499999999997</v>
      </c>
      <c r="E60" s="75">
        <f t="shared" si="21"/>
        <v>0.251475</v>
      </c>
      <c r="F60" s="75">
        <f t="shared" si="21"/>
        <v>0.20205</v>
      </c>
      <c r="G60" s="75">
        <f t="shared" si="21"/>
        <v>0.19222499999999998</v>
      </c>
      <c r="H60" s="75">
        <f t="shared" si="21"/>
        <v>0.1989</v>
      </c>
      <c r="I60" s="75">
        <f t="shared" si="21"/>
        <v>0.236625</v>
      </c>
      <c r="J60" s="75">
        <f t="shared" si="21"/>
        <v>0.307575</v>
      </c>
      <c r="K60" s="75">
        <f t="shared" si="21"/>
        <v>0.42238800000000004</v>
      </c>
      <c r="L60" s="75">
        <f t="shared" si="21"/>
        <v>0.313632</v>
      </c>
      <c r="M60" s="75">
        <f t="shared" si="21"/>
        <v>0.274104</v>
      </c>
      <c r="N60" s="75">
        <f t="shared" si="21"/>
        <v>0.304776</v>
      </c>
    </row>
    <row r="61" spans="2:14" ht="11.25">
      <c r="B61" s="48" t="s">
        <v>76</v>
      </c>
      <c r="C61" s="58">
        <f aca="true" t="shared" si="22" ref="C61:N61">+C33*C47</f>
        <v>0</v>
      </c>
      <c r="D61" s="58">
        <f t="shared" si="22"/>
        <v>0</v>
      </c>
      <c r="E61" s="58">
        <f t="shared" si="22"/>
        <v>0</v>
      </c>
      <c r="F61" s="58">
        <f t="shared" si="22"/>
        <v>0</v>
      </c>
      <c r="G61" s="58">
        <f t="shared" si="22"/>
        <v>0</v>
      </c>
      <c r="H61" s="58">
        <f t="shared" si="22"/>
        <v>0</v>
      </c>
      <c r="I61" s="58">
        <f t="shared" si="22"/>
        <v>0</v>
      </c>
      <c r="J61" s="58">
        <f t="shared" si="22"/>
        <v>0</v>
      </c>
      <c r="K61" s="58">
        <f t="shared" si="22"/>
        <v>0.17208400000000001</v>
      </c>
      <c r="L61" s="58">
        <f t="shared" si="22"/>
        <v>0.127776</v>
      </c>
      <c r="M61" s="58">
        <f t="shared" si="22"/>
        <v>0.11167200000000001</v>
      </c>
      <c r="N61" s="58">
        <f t="shared" si="22"/>
        <v>0.124168</v>
      </c>
    </row>
    <row r="62" spans="2:14" ht="11.25">
      <c r="B62" s="48" t="s">
        <v>25</v>
      </c>
      <c r="C62" s="58">
        <f aca="true" t="shared" si="23" ref="C62:N62">+C34*C48</f>
        <v>6.529224</v>
      </c>
      <c r="D62" s="58">
        <f t="shared" si="23"/>
        <v>3.445832</v>
      </c>
      <c r="E62" s="58">
        <f t="shared" si="23"/>
        <v>5.928104</v>
      </c>
      <c r="F62" s="58">
        <f t="shared" si="23"/>
        <v>4.762992000000001</v>
      </c>
      <c r="G62" s="58">
        <f t="shared" si="23"/>
        <v>4.531384</v>
      </c>
      <c r="H62" s="58">
        <f t="shared" si="23"/>
        <v>4.6887360000000005</v>
      </c>
      <c r="I62" s="58">
        <f t="shared" si="23"/>
        <v>5.5780400000000006</v>
      </c>
      <c r="J62" s="58">
        <f t="shared" si="23"/>
        <v>7.250568</v>
      </c>
      <c r="K62" s="58">
        <f t="shared" si="23"/>
        <v>4.399875</v>
      </c>
      <c r="L62" s="58">
        <f t="shared" si="23"/>
        <v>3.267</v>
      </c>
      <c r="M62" s="58">
        <f t="shared" si="23"/>
        <v>2.85525</v>
      </c>
      <c r="N62" s="58">
        <f t="shared" si="23"/>
        <v>3.17475</v>
      </c>
    </row>
    <row r="63" spans="2:14" ht="11.25">
      <c r="B63" s="71" t="s">
        <v>82</v>
      </c>
      <c r="C63" s="58">
        <f aca="true" t="shared" si="24" ref="C63:N63">+C35*C49</f>
        <v>0</v>
      </c>
      <c r="D63" s="58">
        <f t="shared" si="24"/>
        <v>0</v>
      </c>
      <c r="E63" s="58">
        <f t="shared" si="24"/>
        <v>0</v>
      </c>
      <c r="F63" s="58">
        <f t="shared" si="24"/>
        <v>0</v>
      </c>
      <c r="G63" s="58">
        <f t="shared" si="24"/>
        <v>0</v>
      </c>
      <c r="H63" s="58">
        <f t="shared" si="24"/>
        <v>0</v>
      </c>
      <c r="I63" s="58">
        <f t="shared" si="24"/>
        <v>0</v>
      </c>
      <c r="J63" s="58">
        <f t="shared" si="24"/>
        <v>0</v>
      </c>
      <c r="K63" s="58">
        <f t="shared" si="24"/>
        <v>1.658264</v>
      </c>
      <c r="L63" s="58">
        <f t="shared" si="24"/>
        <v>1.231296</v>
      </c>
      <c r="M63" s="58">
        <f t="shared" si="24"/>
        <v>1.076112</v>
      </c>
      <c r="N63" s="58">
        <f t="shared" si="24"/>
        <v>1.196528</v>
      </c>
    </row>
    <row r="64" spans="2:14" ht="11.25">
      <c r="B64" s="48" t="s">
        <v>32</v>
      </c>
      <c r="C64" s="58">
        <f aca="true" t="shared" si="25" ref="C64:N64">+C36*C50</f>
        <v>2.189949000000005</v>
      </c>
      <c r="D64" s="58">
        <f t="shared" si="25"/>
        <v>1.1557570000000024</v>
      </c>
      <c r="E64" s="58">
        <f t="shared" si="25"/>
        <v>1.9883290000000045</v>
      </c>
      <c r="F64" s="58">
        <f t="shared" si="25"/>
        <v>1.5975420000000036</v>
      </c>
      <c r="G64" s="58">
        <f t="shared" si="25"/>
        <v>1.5198590000000032</v>
      </c>
      <c r="H64" s="58">
        <f t="shared" si="25"/>
        <v>1.5726360000000035</v>
      </c>
      <c r="I64" s="58">
        <f t="shared" si="25"/>
        <v>1.870915000000004</v>
      </c>
      <c r="J64" s="58">
        <f t="shared" si="25"/>
        <v>2.4318930000000054</v>
      </c>
      <c r="K64" s="58">
        <f t="shared" si="25"/>
        <v>5.6083739999999995</v>
      </c>
      <c r="L64" s="58">
        <f t="shared" si="25"/>
        <v>4.164336</v>
      </c>
      <c r="M64" s="58">
        <f t="shared" si="25"/>
        <v>3.6394919999999997</v>
      </c>
      <c r="N64" s="58">
        <f t="shared" si="25"/>
        <v>4.046748</v>
      </c>
    </row>
    <row r="65" spans="2:14" ht="11.25">
      <c r="B65" s="48" t="s">
        <v>33</v>
      </c>
      <c r="C65" s="69">
        <f aca="true" t="shared" si="26" ref="C65:N65">+C7-SUM(C55:C64)</f>
        <v>19.085423999999993</v>
      </c>
      <c r="D65" s="69">
        <f t="shared" si="26"/>
        <v>10.072431999999996</v>
      </c>
      <c r="E65" s="69">
        <f t="shared" si="26"/>
        <v>17.328303999999996</v>
      </c>
      <c r="F65" s="69">
        <f t="shared" si="26"/>
        <v>13.922591999999996</v>
      </c>
      <c r="G65" s="69">
        <f t="shared" si="26"/>
        <v>13.245583999999994</v>
      </c>
      <c r="H65" s="69">
        <f t="shared" si="26"/>
        <v>13.705535999999997</v>
      </c>
      <c r="I65" s="69">
        <f t="shared" si="26"/>
        <v>16.305039999999998</v>
      </c>
      <c r="J65" s="69">
        <f t="shared" si="26"/>
        <v>21.19396799999999</v>
      </c>
      <c r="K65" s="69">
        <f t="shared" si="26"/>
        <v>16.523975</v>
      </c>
      <c r="L65" s="69">
        <f t="shared" si="26"/>
        <v>12.269399999999997</v>
      </c>
      <c r="M65" s="69">
        <f t="shared" si="26"/>
        <v>10.72305</v>
      </c>
      <c r="N65" s="69">
        <f t="shared" si="26"/>
        <v>11.922949999999997</v>
      </c>
    </row>
    <row r="66" spans="3:14" ht="11.25">
      <c r="C66" s="58">
        <f aca="true" t="shared" si="27" ref="C66:N66">SUM(C55:C65)</f>
        <v>36.93</v>
      </c>
      <c r="D66" s="58">
        <f t="shared" si="27"/>
        <v>19.49</v>
      </c>
      <c r="E66" s="58">
        <f t="shared" si="27"/>
        <v>33.53</v>
      </c>
      <c r="F66" s="58">
        <f t="shared" si="27"/>
        <v>26.94</v>
      </c>
      <c r="G66" s="58">
        <f t="shared" si="27"/>
        <v>25.63</v>
      </c>
      <c r="H66" s="58">
        <f t="shared" si="27"/>
        <v>26.52</v>
      </c>
      <c r="I66" s="58">
        <f t="shared" si="27"/>
        <v>31.550000000000004</v>
      </c>
      <c r="J66" s="58">
        <f t="shared" si="27"/>
        <v>41.01</v>
      </c>
      <c r="K66" s="58">
        <f t="shared" si="27"/>
        <v>39.11</v>
      </c>
      <c r="L66" s="58">
        <f t="shared" si="27"/>
        <v>29.04</v>
      </c>
      <c r="M66" s="58">
        <f t="shared" si="27"/>
        <v>25.38</v>
      </c>
      <c r="N66" s="58">
        <f t="shared" si="27"/>
        <v>28.22</v>
      </c>
    </row>
    <row r="67" ht="7.5" customHeight="1">
      <c r="Q67" s="81"/>
    </row>
    <row r="68" spans="1:17" ht="11.25">
      <c r="A68" s="76" t="s">
        <v>37</v>
      </c>
      <c r="E68" s="48" t="s">
        <v>62</v>
      </c>
      <c r="Q68" s="81"/>
    </row>
    <row r="69" spans="2:17" ht="12.75">
      <c r="B69" s="48" t="s">
        <v>13</v>
      </c>
      <c r="C69" s="136"/>
      <c r="D69" s="136"/>
      <c r="E69" s="136"/>
      <c r="F69" s="136"/>
      <c r="G69" s="137"/>
      <c r="H69" s="137"/>
      <c r="I69" s="136"/>
      <c r="J69" s="136"/>
      <c r="K69" s="136"/>
      <c r="L69" s="138"/>
      <c r="M69" s="138"/>
      <c r="N69" s="136"/>
      <c r="Q69" s="40"/>
    </row>
    <row r="70" spans="2:17" ht="12.75">
      <c r="B70" s="48" t="s">
        <v>17</v>
      </c>
      <c r="C70" s="136">
        <v>43.519999999999996</v>
      </c>
      <c r="D70" s="136">
        <v>60.11</v>
      </c>
      <c r="E70" s="136">
        <v>68.38</v>
      </c>
      <c r="F70" s="136">
        <v>60.64</v>
      </c>
      <c r="G70" s="137">
        <v>63.85</v>
      </c>
      <c r="H70" s="137">
        <v>71.68</v>
      </c>
      <c r="I70" s="136">
        <v>74.51</v>
      </c>
      <c r="J70" s="136">
        <v>69.15</v>
      </c>
      <c r="K70" s="136">
        <v>75.2</v>
      </c>
      <c r="L70" s="136">
        <v>55.22</v>
      </c>
      <c r="M70" s="136">
        <v>63.45</v>
      </c>
      <c r="N70" s="143">
        <v>53.265</v>
      </c>
      <c r="Q70" s="40"/>
    </row>
    <row r="71" spans="2:14" ht="11.25">
      <c r="B71" s="48" t="s">
        <v>28</v>
      </c>
      <c r="C71" s="136"/>
      <c r="D71" s="136"/>
      <c r="E71" s="136"/>
      <c r="F71" s="136"/>
      <c r="G71" s="137"/>
      <c r="H71" s="137"/>
      <c r="I71" s="136"/>
      <c r="J71" s="136"/>
      <c r="K71" s="136"/>
      <c r="L71" s="136"/>
      <c r="M71" s="136"/>
      <c r="N71" s="136"/>
    </row>
    <row r="72" spans="2:14" ht="11.25">
      <c r="B72" s="48" t="s">
        <v>29</v>
      </c>
      <c r="C72" s="136">
        <v>90.64</v>
      </c>
      <c r="D72" s="136">
        <v>93.07</v>
      </c>
      <c r="E72" s="136">
        <v>91.06</v>
      </c>
      <c r="F72" s="136">
        <v>61.85</v>
      </c>
      <c r="G72" s="137">
        <v>69.65</v>
      </c>
      <c r="H72" s="137">
        <v>78.18</v>
      </c>
      <c r="I72" s="136">
        <v>86.28</v>
      </c>
      <c r="J72" s="136">
        <v>78.69</v>
      </c>
      <c r="K72" s="136">
        <v>89.04</v>
      </c>
      <c r="L72" s="136">
        <v>88.48</v>
      </c>
      <c r="M72" s="136">
        <v>100.39</v>
      </c>
      <c r="N72" s="143">
        <v>90.89</v>
      </c>
    </row>
    <row r="73" spans="2:14" ht="11.25">
      <c r="B73" s="48" t="s">
        <v>30</v>
      </c>
      <c r="C73" s="136">
        <v>100.47</v>
      </c>
      <c r="D73" s="136">
        <v>87.96</v>
      </c>
      <c r="E73" s="136">
        <v>109.23</v>
      </c>
      <c r="F73" s="136">
        <v>168.5</v>
      </c>
      <c r="G73" s="137">
        <v>78.83</v>
      </c>
      <c r="H73" s="137">
        <v>75.26</v>
      </c>
      <c r="I73" s="136">
        <v>67.35</v>
      </c>
      <c r="J73" s="136">
        <v>85.02</v>
      </c>
      <c r="K73" s="136">
        <v>77.3933950617284</v>
      </c>
      <c r="L73" s="136">
        <v>77.47046728971962</v>
      </c>
      <c r="M73" s="136">
        <v>90.75548148148148</v>
      </c>
      <c r="N73" s="143">
        <v>93.7218045112782</v>
      </c>
    </row>
    <row r="74" spans="2:14" ht="11.25">
      <c r="B74" s="48" t="s">
        <v>31</v>
      </c>
      <c r="C74" s="136">
        <v>1082.85</v>
      </c>
      <c r="D74" s="136">
        <v>1119.26</v>
      </c>
      <c r="E74" s="136">
        <v>1065.13</v>
      </c>
      <c r="F74" s="136">
        <v>1065.13</v>
      </c>
      <c r="G74" s="137">
        <v>940.58</v>
      </c>
      <c r="H74" s="137">
        <v>918.23</v>
      </c>
      <c r="I74" s="136">
        <v>892.14</v>
      </c>
      <c r="J74" s="136">
        <v>872.05</v>
      </c>
      <c r="K74" s="136">
        <v>896.04</v>
      </c>
      <c r="L74" s="136">
        <v>833.94</v>
      </c>
      <c r="M74" s="136">
        <v>830.9</v>
      </c>
      <c r="N74" s="143">
        <v>866.43</v>
      </c>
    </row>
    <row r="75" spans="2:14" ht="11.25">
      <c r="B75" s="48" t="s">
        <v>76</v>
      </c>
      <c r="C75" s="136"/>
      <c r="D75" s="136"/>
      <c r="E75" s="136"/>
      <c r="F75" s="136"/>
      <c r="G75" s="137"/>
      <c r="H75" s="137"/>
      <c r="I75" s="136"/>
      <c r="J75" s="136"/>
      <c r="K75" s="136">
        <v>50.34</v>
      </c>
      <c r="L75" s="136">
        <v>50.41</v>
      </c>
      <c r="M75" s="136">
        <v>57.02</v>
      </c>
      <c r="N75" s="136">
        <v>52.23</v>
      </c>
    </row>
    <row r="76" spans="2:14" ht="11.25">
      <c r="B76" s="48" t="s">
        <v>25</v>
      </c>
      <c r="C76" s="136">
        <v>-25.26</v>
      </c>
      <c r="D76" s="136">
        <v>-19.13</v>
      </c>
      <c r="E76" s="136">
        <v>-3.5700000000000003</v>
      </c>
      <c r="F76" s="136">
        <v>0.74</v>
      </c>
      <c r="G76" s="137">
        <v>-14.63</v>
      </c>
      <c r="H76" s="137">
        <v>-16.67</v>
      </c>
      <c r="I76" s="136">
        <v>-15.54</v>
      </c>
      <c r="J76" s="136">
        <v>-17.32</v>
      </c>
      <c r="K76" s="136">
        <v>4.22</v>
      </c>
      <c r="L76" s="136">
        <v>5.45</v>
      </c>
      <c r="M76" s="136">
        <v>2.94</v>
      </c>
      <c r="N76" s="136">
        <v>-0.11</v>
      </c>
    </row>
    <row r="77" spans="2:14" ht="11.25">
      <c r="B77" s="71" t="s">
        <v>82</v>
      </c>
      <c r="C77" s="138"/>
      <c r="D77" s="138"/>
      <c r="E77" s="138"/>
      <c r="F77" s="138"/>
      <c r="G77" s="139"/>
      <c r="H77" s="139"/>
      <c r="I77" s="138"/>
      <c r="J77" s="138"/>
      <c r="K77" s="138">
        <v>0</v>
      </c>
      <c r="L77" s="138"/>
      <c r="M77" s="138"/>
      <c r="N77" s="143"/>
    </row>
    <row r="78" spans="2:14" ht="11.25">
      <c r="B78" s="48" t="s">
        <v>32</v>
      </c>
      <c r="C78" s="138">
        <v>-134.59</v>
      </c>
      <c r="D78" s="138">
        <v>-134.59</v>
      </c>
      <c r="E78" s="138">
        <v>-134.59</v>
      </c>
      <c r="F78" s="138">
        <v>-134.59</v>
      </c>
      <c r="G78" s="139">
        <v>-134.59</v>
      </c>
      <c r="H78" s="139">
        <v>-134.59</v>
      </c>
      <c r="I78" s="138">
        <v>-134.59</v>
      </c>
      <c r="J78" s="138">
        <v>-134.59</v>
      </c>
      <c r="K78" s="138">
        <v>-74.22</v>
      </c>
      <c r="L78" s="138">
        <v>-74.22</v>
      </c>
      <c r="M78" s="138">
        <v>-77.29</v>
      </c>
      <c r="N78" s="143">
        <v>-77.29</v>
      </c>
    </row>
    <row r="79" spans="2:15" ht="11.25">
      <c r="B79" s="48" t="s">
        <v>33</v>
      </c>
      <c r="C79" s="136">
        <v>-14.309999999999999</v>
      </c>
      <c r="D79" s="136">
        <v>2</v>
      </c>
      <c r="E79" s="136">
        <v>4.19</v>
      </c>
      <c r="F79" s="136">
        <v>8.42</v>
      </c>
      <c r="G79" s="137">
        <v>26.9</v>
      </c>
      <c r="H79" s="137">
        <v>25.77</v>
      </c>
      <c r="I79" s="136">
        <v>26.88</v>
      </c>
      <c r="J79" s="136">
        <v>19.61</v>
      </c>
      <c r="K79" s="136">
        <v>24.21</v>
      </c>
      <c r="L79" s="138">
        <v>20.91</v>
      </c>
      <c r="M79" s="138">
        <v>16.74</v>
      </c>
      <c r="N79" s="143">
        <v>-6.454</v>
      </c>
      <c r="O79" s="87">
        <f>SUM(C69:N79)</f>
        <v>13158.082148344205</v>
      </c>
    </row>
    <row r="80" ht="7.5" customHeight="1"/>
    <row r="81" ht="11.25">
      <c r="A81" s="62" t="s">
        <v>38</v>
      </c>
    </row>
    <row r="82" spans="2:15" ht="11.25">
      <c r="B82" s="48" t="s">
        <v>13</v>
      </c>
      <c r="C82" s="77">
        <f>C69*C55</f>
        <v>0</v>
      </c>
      <c r="D82" s="77">
        <f aca="true" t="shared" si="28" ref="C82:E83">D69*D55</f>
        <v>0</v>
      </c>
      <c r="E82" s="77">
        <f t="shared" si="28"/>
        <v>0</v>
      </c>
      <c r="F82" s="58">
        <f aca="true" t="shared" si="29" ref="F82:N82">+F69*F55</f>
        <v>0</v>
      </c>
      <c r="G82" s="58">
        <f t="shared" si="29"/>
        <v>0</v>
      </c>
      <c r="H82" s="58">
        <f t="shared" si="29"/>
        <v>0</v>
      </c>
      <c r="I82" s="58">
        <f t="shared" si="29"/>
        <v>0</v>
      </c>
      <c r="J82" s="58">
        <f t="shared" si="29"/>
        <v>0</v>
      </c>
      <c r="K82" s="58">
        <f t="shared" si="29"/>
        <v>0</v>
      </c>
      <c r="L82" s="58">
        <f t="shared" si="29"/>
        <v>0</v>
      </c>
      <c r="M82" s="58">
        <f t="shared" si="29"/>
        <v>0</v>
      </c>
      <c r="N82" s="58">
        <f t="shared" si="29"/>
        <v>0</v>
      </c>
      <c r="O82" s="87">
        <f aca="true" t="shared" si="30" ref="O82:O92">SUM(C82:N82)</f>
        <v>0</v>
      </c>
    </row>
    <row r="83" spans="2:15" ht="11.25">
      <c r="B83" s="48" t="s">
        <v>17</v>
      </c>
      <c r="C83" s="77">
        <f t="shared" si="28"/>
        <v>286.40189952</v>
      </c>
      <c r="D83" s="77">
        <f t="shared" si="28"/>
        <v>208.76912297999996</v>
      </c>
      <c r="E83" s="77">
        <f t="shared" si="28"/>
        <v>408.57364548</v>
      </c>
      <c r="F83" s="58">
        <f aca="true" t="shared" si="31" ref="F83:N83">+F70*F56</f>
        <v>291.11493312</v>
      </c>
      <c r="G83" s="58">
        <f t="shared" si="31"/>
        <v>291.6199341</v>
      </c>
      <c r="H83" s="58">
        <f t="shared" si="31"/>
        <v>338.74993152</v>
      </c>
      <c r="I83" s="58">
        <f t="shared" si="31"/>
        <v>418.9108671</v>
      </c>
      <c r="J83" s="58">
        <f t="shared" si="31"/>
        <v>505.34695530000005</v>
      </c>
      <c r="K83" s="58">
        <f t="shared" si="31"/>
        <v>542.627784</v>
      </c>
      <c r="L83" s="58">
        <f t="shared" si="31"/>
        <v>295.8621336</v>
      </c>
      <c r="M83" s="58">
        <f t="shared" si="31"/>
        <v>297.1116045</v>
      </c>
      <c r="N83" s="58">
        <f t="shared" si="31"/>
        <v>277.32901634999996</v>
      </c>
      <c r="O83" s="87">
        <f t="shared" si="30"/>
        <v>4162.417827570001</v>
      </c>
    </row>
    <row r="84" spans="2:15" ht="11.25">
      <c r="B84" s="48" t="s">
        <v>28</v>
      </c>
      <c r="C84" s="77">
        <f aca="true" t="shared" si="32" ref="C84:N84">+C71*C57</f>
        <v>0</v>
      </c>
      <c r="D84" s="58">
        <f t="shared" si="32"/>
        <v>0</v>
      </c>
      <c r="E84" s="58">
        <f t="shared" si="32"/>
        <v>0</v>
      </c>
      <c r="F84" s="58">
        <f t="shared" si="32"/>
        <v>0</v>
      </c>
      <c r="G84" s="58">
        <f t="shared" si="32"/>
        <v>0</v>
      </c>
      <c r="H84" s="58">
        <f t="shared" si="32"/>
        <v>0</v>
      </c>
      <c r="I84" s="58"/>
      <c r="J84" s="58">
        <f t="shared" si="32"/>
        <v>0</v>
      </c>
      <c r="K84" s="58">
        <f t="shared" si="32"/>
        <v>0</v>
      </c>
      <c r="L84" s="58">
        <f t="shared" si="32"/>
        <v>0</v>
      </c>
      <c r="M84" s="58">
        <f t="shared" si="32"/>
        <v>0</v>
      </c>
      <c r="N84" s="58">
        <f t="shared" si="32"/>
        <v>0</v>
      </c>
      <c r="O84" s="87">
        <f t="shared" si="30"/>
        <v>0</v>
      </c>
    </row>
    <row r="85" spans="2:15" ht="11.25">
      <c r="B85" s="48" t="s">
        <v>29</v>
      </c>
      <c r="C85" s="77">
        <f aca="true" t="shared" si="33" ref="C85:N85">+C72*C58</f>
        <v>55.2310308</v>
      </c>
      <c r="D85" s="77">
        <f t="shared" si="33"/>
        <v>29.929915949999998</v>
      </c>
      <c r="E85" s="77">
        <f t="shared" si="33"/>
        <v>50.37848970000001</v>
      </c>
      <c r="F85" s="58">
        <f t="shared" si="33"/>
        <v>27.492943500000003</v>
      </c>
      <c r="G85" s="58">
        <f t="shared" si="33"/>
        <v>29.454636750000002</v>
      </c>
      <c r="H85" s="58">
        <f t="shared" si="33"/>
        <v>34.2100044</v>
      </c>
      <c r="I85" s="58">
        <f t="shared" si="33"/>
        <v>44.915211</v>
      </c>
      <c r="J85" s="58">
        <f t="shared" si="33"/>
        <v>53.246768849999995</v>
      </c>
      <c r="K85" s="58">
        <f t="shared" si="33"/>
        <v>60.94120200000001</v>
      </c>
      <c r="L85" s="58">
        <f t="shared" si="33"/>
        <v>44.965536</v>
      </c>
      <c r="M85" s="58">
        <f t="shared" si="33"/>
        <v>44.5882185</v>
      </c>
      <c r="N85" s="58">
        <f t="shared" si="33"/>
        <v>44.8860265</v>
      </c>
      <c r="O85" s="87">
        <f t="shared" si="30"/>
        <v>520.23998395</v>
      </c>
    </row>
    <row r="86" spans="2:15" ht="11.25">
      <c r="B86" s="48" t="s">
        <v>30</v>
      </c>
      <c r="C86" s="77">
        <f>+C73*C59</f>
        <v>166.59503379</v>
      </c>
      <c r="D86" s="77">
        <f>+D73*D59</f>
        <v>76.97388396</v>
      </c>
      <c r="E86" s="77">
        <f aca="true" t="shared" si="34" ref="E86:N86">+E73*E59</f>
        <v>164.44543731000002</v>
      </c>
      <c r="F86" s="58">
        <f t="shared" si="34"/>
        <v>203.81861100000003</v>
      </c>
      <c r="G86" s="58">
        <f t="shared" si="34"/>
        <v>90.71653921</v>
      </c>
      <c r="H86" s="58">
        <f t="shared" si="34"/>
        <v>89.61569448000002</v>
      </c>
      <c r="I86" s="58">
        <f t="shared" si="34"/>
        <v>95.40767325</v>
      </c>
      <c r="J86" s="58">
        <f t="shared" si="34"/>
        <v>156.55149197999998</v>
      </c>
      <c r="K86" s="58">
        <f t="shared" si="34"/>
        <v>187.66505221358025</v>
      </c>
      <c r="L86" s="58">
        <f t="shared" si="34"/>
        <v>139.48402694579437</v>
      </c>
      <c r="M86" s="58">
        <f t="shared" si="34"/>
        <v>142.80919544</v>
      </c>
      <c r="N86" s="58">
        <f t="shared" si="34"/>
        <v>163.97941804511277</v>
      </c>
      <c r="O86" s="87">
        <f t="shared" si="30"/>
        <v>1678.0620576244874</v>
      </c>
    </row>
    <row r="87" spans="2:15" ht="11.25">
      <c r="B87" s="48" t="s">
        <v>31</v>
      </c>
      <c r="C87" s="77">
        <f>+C74*C60</f>
        <v>299.92237874999995</v>
      </c>
      <c r="D87" s="77">
        <f>+D74*D60</f>
        <v>163.60783049999998</v>
      </c>
      <c r="E87" s="77">
        <f aca="true" t="shared" si="35" ref="E87:N87">+E74*E60</f>
        <v>267.85356675</v>
      </c>
      <c r="F87" s="58">
        <f t="shared" si="35"/>
        <v>215.20951650000003</v>
      </c>
      <c r="G87" s="58">
        <f t="shared" si="35"/>
        <v>180.8029905</v>
      </c>
      <c r="H87" s="58">
        <f t="shared" si="35"/>
        <v>182.635947</v>
      </c>
      <c r="I87" s="58">
        <f t="shared" si="35"/>
        <v>211.1026275</v>
      </c>
      <c r="J87" s="58">
        <f t="shared" si="35"/>
        <v>268.22077874999997</v>
      </c>
      <c r="K87" s="58">
        <f t="shared" si="35"/>
        <v>378.47654352</v>
      </c>
      <c r="L87" s="58">
        <f t="shared" si="35"/>
        <v>261.55027008</v>
      </c>
      <c r="M87" s="58">
        <f t="shared" si="35"/>
        <v>227.7530136</v>
      </c>
      <c r="N87" s="58">
        <f t="shared" si="35"/>
        <v>264.06706968</v>
      </c>
      <c r="O87" s="87">
        <f t="shared" si="30"/>
        <v>2921.2025331299997</v>
      </c>
    </row>
    <row r="88" spans="2:15" ht="11.25">
      <c r="B88" s="48" t="s">
        <v>76</v>
      </c>
      <c r="C88" s="77">
        <f aca="true" t="shared" si="36" ref="C88:N88">+C75*C61</f>
        <v>0</v>
      </c>
      <c r="D88" s="58">
        <f t="shared" si="36"/>
        <v>0</v>
      </c>
      <c r="E88" s="58">
        <f t="shared" si="36"/>
        <v>0</v>
      </c>
      <c r="F88" s="58">
        <f t="shared" si="36"/>
        <v>0</v>
      </c>
      <c r="G88" s="58">
        <f t="shared" si="36"/>
        <v>0</v>
      </c>
      <c r="H88" s="58">
        <f t="shared" si="36"/>
        <v>0</v>
      </c>
      <c r="I88" s="58"/>
      <c r="J88" s="58">
        <f t="shared" si="36"/>
        <v>0</v>
      </c>
      <c r="K88" s="58">
        <f t="shared" si="36"/>
        <v>8.66270856</v>
      </c>
      <c r="L88" s="58">
        <f t="shared" si="36"/>
        <v>6.441188159999999</v>
      </c>
      <c r="M88" s="58">
        <f t="shared" si="36"/>
        <v>6.36753744</v>
      </c>
      <c r="N88" s="58">
        <f t="shared" si="36"/>
        <v>6.485294639999999</v>
      </c>
      <c r="O88" s="87">
        <f t="shared" si="30"/>
        <v>27.9567288</v>
      </c>
    </row>
    <row r="89" spans="2:15" ht="11.25">
      <c r="B89" s="48" t="s">
        <v>25</v>
      </c>
      <c r="C89" s="77">
        <f aca="true" t="shared" si="37" ref="C89:N89">+C76*C62</f>
        <v>-164.92819824</v>
      </c>
      <c r="D89" s="77">
        <f t="shared" si="37"/>
        <v>-65.91876615999999</v>
      </c>
      <c r="E89" s="77">
        <f t="shared" si="37"/>
        <v>-21.16333128</v>
      </c>
      <c r="F89" s="58">
        <f t="shared" si="37"/>
        <v>3.5246140800000005</v>
      </c>
      <c r="G89" s="58">
        <f t="shared" si="37"/>
        <v>-66.29414792</v>
      </c>
      <c r="H89" s="58">
        <f t="shared" si="37"/>
        <v>-78.16122912000002</v>
      </c>
      <c r="I89" s="58">
        <f t="shared" si="37"/>
        <v>-86.6827416</v>
      </c>
      <c r="J89" s="58">
        <f t="shared" si="37"/>
        <v>-125.57983776</v>
      </c>
      <c r="K89" s="58">
        <f t="shared" si="37"/>
        <v>18.567472499999997</v>
      </c>
      <c r="L89" s="58">
        <f t="shared" si="37"/>
        <v>17.80515</v>
      </c>
      <c r="M89" s="58">
        <f t="shared" si="37"/>
        <v>8.394435</v>
      </c>
      <c r="N89" s="58">
        <f t="shared" si="37"/>
        <v>-0.3492225</v>
      </c>
      <c r="O89" s="87">
        <f t="shared" si="30"/>
        <v>-560.785803</v>
      </c>
    </row>
    <row r="90" spans="2:15" ht="11.25">
      <c r="B90" s="71" t="s">
        <v>82</v>
      </c>
      <c r="C90" s="77">
        <f>+C77*C63</f>
        <v>0</v>
      </c>
      <c r="D90" s="58">
        <f aca="true" t="shared" si="38" ref="D90:N90">+D77*D63</f>
        <v>0</v>
      </c>
      <c r="E90" s="58">
        <f t="shared" si="38"/>
        <v>0</v>
      </c>
      <c r="F90" s="58">
        <f t="shared" si="38"/>
        <v>0</v>
      </c>
      <c r="G90" s="58">
        <f t="shared" si="38"/>
        <v>0</v>
      </c>
      <c r="H90" s="58">
        <f t="shared" si="38"/>
        <v>0</v>
      </c>
      <c r="I90" s="58">
        <f t="shared" si="38"/>
        <v>0</v>
      </c>
      <c r="J90" s="58">
        <f t="shared" si="38"/>
        <v>0</v>
      </c>
      <c r="K90" s="58">
        <f t="shared" si="38"/>
        <v>0</v>
      </c>
      <c r="L90" s="58">
        <f t="shared" si="38"/>
        <v>0</v>
      </c>
      <c r="M90" s="58">
        <f t="shared" si="38"/>
        <v>0</v>
      </c>
      <c r="N90" s="58">
        <f t="shared" si="38"/>
        <v>0</v>
      </c>
      <c r="O90" s="87">
        <f t="shared" si="30"/>
        <v>0</v>
      </c>
    </row>
    <row r="91" spans="2:15" ht="11.25">
      <c r="B91" s="48" t="s">
        <v>32</v>
      </c>
      <c r="C91" s="77">
        <f>+C78*C64</f>
        <v>-294.74523591000064</v>
      </c>
      <c r="D91" s="58">
        <f aca="true" t="shared" si="39" ref="D91:N91">+D78*D64</f>
        <v>-155.55333463000034</v>
      </c>
      <c r="E91" s="77">
        <f>+E78*E64</f>
        <v>-267.6092001100006</v>
      </c>
      <c r="F91" s="58">
        <f t="shared" si="39"/>
        <v>-215.0131777800005</v>
      </c>
      <c r="G91" s="58">
        <f t="shared" si="39"/>
        <v>-204.55782281000043</v>
      </c>
      <c r="H91" s="58">
        <f t="shared" si="39"/>
        <v>-211.66107924000048</v>
      </c>
      <c r="I91" s="58">
        <f t="shared" si="39"/>
        <v>-251.80644985000055</v>
      </c>
      <c r="J91" s="58">
        <f t="shared" si="39"/>
        <v>-327.3084788700007</v>
      </c>
      <c r="K91" s="58">
        <f t="shared" si="39"/>
        <v>-416.25351828</v>
      </c>
      <c r="L91" s="58">
        <f t="shared" si="39"/>
        <v>-309.07701791999995</v>
      </c>
      <c r="M91" s="58">
        <f t="shared" si="39"/>
        <v>-281.29633668</v>
      </c>
      <c r="N91" s="58">
        <f t="shared" si="39"/>
        <v>-312.77315292000003</v>
      </c>
      <c r="O91" s="87">
        <f t="shared" si="30"/>
        <v>-3247.654805000004</v>
      </c>
    </row>
    <row r="92" spans="2:15" ht="11.25">
      <c r="B92" s="48" t="s">
        <v>33</v>
      </c>
      <c r="C92" s="69">
        <f>+C79*C65</f>
        <v>-273.1124174399999</v>
      </c>
      <c r="D92" s="69">
        <f>+D79*D65</f>
        <v>20.14486399999999</v>
      </c>
      <c r="E92" s="69">
        <f>+E79*E65</f>
        <v>72.60559375999999</v>
      </c>
      <c r="F92" s="69">
        <f aca="true" t="shared" si="40" ref="F92:N92">+F79*F65</f>
        <v>117.22822463999997</v>
      </c>
      <c r="G92" s="69">
        <f t="shared" si="40"/>
        <v>356.3062095999998</v>
      </c>
      <c r="H92" s="69">
        <f t="shared" si="40"/>
        <v>353.1916627199999</v>
      </c>
      <c r="I92" s="69">
        <f t="shared" si="40"/>
        <v>438.2794751999999</v>
      </c>
      <c r="J92" s="69">
        <f t="shared" si="40"/>
        <v>415.61371247999983</v>
      </c>
      <c r="K92" s="58">
        <f t="shared" si="40"/>
        <v>400.04543475</v>
      </c>
      <c r="L92" s="58">
        <f t="shared" si="40"/>
        <v>256.55315399999995</v>
      </c>
      <c r="M92" s="58">
        <f t="shared" si="40"/>
        <v>179.50385699999998</v>
      </c>
      <c r="N92" s="58">
        <f t="shared" si="40"/>
        <v>-76.95071929999997</v>
      </c>
      <c r="O92" s="87">
        <f t="shared" si="30"/>
        <v>2259.4090514099994</v>
      </c>
    </row>
    <row r="93" spans="1:16" ht="11.25">
      <c r="A93" s="62" t="s">
        <v>39</v>
      </c>
      <c r="B93" s="62"/>
      <c r="C93" s="78">
        <f aca="true" t="shared" si="41" ref="C93:N93">SUM(C82:C92)</f>
        <v>75.36449126999935</v>
      </c>
      <c r="D93" s="79">
        <f t="shared" si="41"/>
        <v>277.9535165999996</v>
      </c>
      <c r="E93" s="79">
        <f t="shared" si="41"/>
        <v>675.0842016099995</v>
      </c>
      <c r="F93" s="79">
        <f t="shared" si="41"/>
        <v>643.3756650599996</v>
      </c>
      <c r="G93" s="79">
        <f t="shared" si="41"/>
        <v>678.0483394299995</v>
      </c>
      <c r="H93" s="79">
        <f t="shared" si="41"/>
        <v>708.5809317599994</v>
      </c>
      <c r="I93" s="79">
        <f t="shared" si="41"/>
        <v>870.1266625999995</v>
      </c>
      <c r="J93" s="79">
        <f t="shared" si="41"/>
        <v>946.0913907299991</v>
      </c>
      <c r="K93" s="86">
        <f t="shared" si="41"/>
        <v>1180.7326792635804</v>
      </c>
      <c r="L93" s="86">
        <f t="shared" si="41"/>
        <v>713.5844408657945</v>
      </c>
      <c r="M93" s="86">
        <f t="shared" si="41"/>
        <v>625.2315248</v>
      </c>
      <c r="N93" s="86">
        <f t="shared" si="41"/>
        <v>366.67373049511275</v>
      </c>
      <c r="O93" s="87">
        <f>SUM(C93:N93)</f>
        <v>7760.847574484484</v>
      </c>
      <c r="P93" s="87">
        <f>O93/2</f>
        <v>3880.423787242242</v>
      </c>
    </row>
    <row r="94" spans="1:15" ht="11.25">
      <c r="A94" s="62" t="s">
        <v>40</v>
      </c>
      <c r="B94" s="62"/>
      <c r="C94" s="78">
        <f aca="true" t="shared" si="42" ref="C94:N94">+C93/C66</f>
        <v>2.0407389999999825</v>
      </c>
      <c r="D94" s="79">
        <f t="shared" si="42"/>
        <v>14.261339999999981</v>
      </c>
      <c r="E94" s="79">
        <f t="shared" si="42"/>
        <v>20.133736999999982</v>
      </c>
      <c r="F94" s="79">
        <f t="shared" si="42"/>
        <v>23.881798999999983</v>
      </c>
      <c r="G94" s="79">
        <f t="shared" si="42"/>
        <v>26.455260999999982</v>
      </c>
      <c r="H94" s="79">
        <f t="shared" si="42"/>
        <v>26.71873799999998</v>
      </c>
      <c r="I94" s="79">
        <f t="shared" si="42"/>
        <v>27.579291999999977</v>
      </c>
      <c r="J94" s="79">
        <f t="shared" si="42"/>
        <v>23.06977299999998</v>
      </c>
      <c r="K94" s="106">
        <f t="shared" si="42"/>
        <v>30.190045493827164</v>
      </c>
      <c r="L94" s="106">
        <f t="shared" si="42"/>
        <v>24.57246697196262</v>
      </c>
      <c r="M94" s="106">
        <f t="shared" si="42"/>
        <v>24.634811851851854</v>
      </c>
      <c r="N94" s="106">
        <f t="shared" si="42"/>
        <v>12.993399379699248</v>
      </c>
      <c r="O94" s="87"/>
    </row>
    <row r="95" ht="7.5" customHeight="1"/>
    <row r="96" spans="1:14" ht="11.25">
      <c r="A96" s="62"/>
      <c r="C96" s="87"/>
      <c r="D96" s="87"/>
      <c r="E96" s="87"/>
      <c r="F96" s="87"/>
      <c r="G96" s="87"/>
      <c r="H96" s="87"/>
      <c r="I96" s="87"/>
      <c r="J96" s="87"/>
      <c r="K96" s="87"/>
      <c r="L96" s="87"/>
      <c r="M96" s="87"/>
      <c r="N96" s="87"/>
    </row>
    <row r="97" spans="3:14" ht="11.25">
      <c r="C97" s="80"/>
      <c r="D97" s="80"/>
      <c r="E97" s="80"/>
      <c r="F97" s="80"/>
      <c r="G97" s="80"/>
      <c r="H97" s="80"/>
      <c r="I97" s="80"/>
      <c r="J97" s="80"/>
      <c r="K97" s="80"/>
      <c r="L97" s="80"/>
      <c r="M97" s="80"/>
      <c r="N97" s="80"/>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S:\District\~WUTC Files~\1. RSA\2017-2019 Plan Year\UTC and Reporting Documents\UTC Filing 06-2019\Bellevue\[EastSide Multi Family Commodity Credit Template - June 2019.xls]WUTC_AW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xl/worksheets/sheet6.xml><?xml version="1.0" encoding="utf-8"?>
<worksheet xmlns="http://schemas.openxmlformats.org/spreadsheetml/2006/main" xmlns:r="http://schemas.openxmlformats.org/officeDocument/2006/relationships">
  <dimension ref="A4:E25"/>
  <sheetViews>
    <sheetView zoomScalePageLayoutView="0" workbookViewId="0" topLeftCell="A1">
      <selection activeCell="D37" sqref="D37"/>
    </sheetView>
  </sheetViews>
  <sheetFormatPr defaultColWidth="9.140625" defaultRowHeight="12.75"/>
  <cols>
    <col min="1" max="1" width="30.140625" style="0" customWidth="1"/>
    <col min="3" max="3" width="10.140625" style="0" bestFit="1" customWidth="1"/>
  </cols>
  <sheetData>
    <row r="3" ht="13.5" thickBot="1"/>
    <row r="4" spans="1:3" ht="13.5" thickBot="1">
      <c r="A4" s="151" t="s">
        <v>92</v>
      </c>
      <c r="B4" s="152"/>
      <c r="C4" s="153">
        <v>15403.51</v>
      </c>
    </row>
    <row r="5" ht="12.75">
      <c r="C5" s="154"/>
    </row>
    <row r="6" spans="1:5" ht="12.75">
      <c r="A6" s="155" t="s">
        <v>93</v>
      </c>
      <c r="D6" s="155" t="s">
        <v>94</v>
      </c>
      <c r="E6" s="155" t="s">
        <v>95</v>
      </c>
    </row>
    <row r="7" spans="1:5" ht="12.75">
      <c r="A7" s="156" t="s">
        <v>96</v>
      </c>
      <c r="B7" s="157"/>
      <c r="C7" s="158">
        <v>5501.253571428571</v>
      </c>
      <c r="D7" s="162">
        <v>5028.142837827569</v>
      </c>
      <c r="E7" s="159">
        <v>473.1107336010031</v>
      </c>
    </row>
    <row r="8" spans="1:3" ht="12.75">
      <c r="A8" s="160" t="s">
        <v>97</v>
      </c>
      <c r="C8" s="154">
        <v>7701.755</v>
      </c>
    </row>
    <row r="9" spans="1:3" ht="12.75">
      <c r="A9" s="160" t="s">
        <v>98</v>
      </c>
      <c r="C9" s="154">
        <v>2200.5014285714283</v>
      </c>
    </row>
    <row r="10" spans="1:3" ht="13.5" thickBot="1">
      <c r="A10" s="160"/>
      <c r="C10" s="163">
        <f>SUM(C7:C9)</f>
        <v>15403.509999999998</v>
      </c>
    </row>
    <row r="11" spans="1:3" ht="13.5" thickTop="1">
      <c r="A11" s="160"/>
      <c r="C11" s="154"/>
    </row>
    <row r="13" spans="1:5" ht="12.75">
      <c r="A13" t="s">
        <v>99</v>
      </c>
      <c r="B13" t="s">
        <v>100</v>
      </c>
      <c r="C13" t="s">
        <v>101</v>
      </c>
      <c r="D13" t="s">
        <v>102</v>
      </c>
      <c r="E13" t="s">
        <v>103</v>
      </c>
    </row>
    <row r="14" spans="1:5" ht="12.75">
      <c r="A14">
        <v>4172</v>
      </c>
      <c r="B14">
        <v>41236</v>
      </c>
      <c r="C14">
        <v>3880</v>
      </c>
      <c r="D14" s="161">
        <v>0.9139994680379466</v>
      </c>
      <c r="E14" s="161">
        <v>0.08600053196205337</v>
      </c>
    </row>
    <row r="15" spans="1:5" ht="12.75">
      <c r="A15">
        <v>4176</v>
      </c>
      <c r="D15" s="161" t="e">
        <v>#DIV/0!</v>
      </c>
      <c r="E15" s="161" t="e">
        <v>#DIV/0!</v>
      </c>
    </row>
    <row r="16" spans="1:5" ht="12.75">
      <c r="A16">
        <v>4183</v>
      </c>
      <c r="D16" s="161" t="e">
        <v>#DIV/0!</v>
      </c>
      <c r="E16" s="161" t="e">
        <v>#DIV/0!</v>
      </c>
    </row>
    <row r="17" spans="4:5" ht="12.75">
      <c r="D17" s="161"/>
      <c r="E17" s="161"/>
    </row>
    <row r="21" spans="1:3" ht="12.75">
      <c r="A21" s="160" t="s">
        <v>104</v>
      </c>
      <c r="C21" s="154">
        <f>E7</f>
        <v>473.1107336010031</v>
      </c>
    </row>
    <row r="23" spans="1:3" ht="12.75">
      <c r="A23" s="160" t="s">
        <v>105</v>
      </c>
      <c r="C23" s="164">
        <f>'WUTC_AW of Bellevue_MF'!B27</f>
        <v>22380.98</v>
      </c>
    </row>
    <row r="25" spans="1:3" ht="12.75">
      <c r="A25" s="160" t="s">
        <v>106</v>
      </c>
      <c r="C25">
        <f>C21/C23</f>
        <v>0.021138964138344395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2019-06-14T13:44:44Z</cp:lastPrinted>
  <dcterms:created xsi:type="dcterms:W3CDTF">2008-05-23T15:47:44Z</dcterms:created>
  <dcterms:modified xsi:type="dcterms:W3CDTF">2019-06-14T19:44:15Z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Multifamily Template</vt:lpwstr>
  </property>
  <property fmtid="{D5CDD505-2E9C-101B-9397-08002B2CF9AE}" pid="5" name="EFiling">
    <vt:lpwstr>14630.0000000000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190520</vt:lpwstr>
  </property>
  <property fmtid="{D5CDD505-2E9C-101B-9397-08002B2CF9AE}" pid="13" name="Dat">
    <vt:lpwstr>2019-06-14T00:00:00Z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2019-06-14T00:00:00Z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