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600" windowHeight="9240" tabRatio="886" activeTab="0"/>
  </bookViews>
  <sheets>
    <sheet name="References" sheetId="1" r:id="rId1"/>
    <sheet name="Calc. and priceout" sheetId="2" r:id="rId2"/>
    <sheet name="Co. Pro Tonnage" sheetId="3" r:id="rId3"/>
  </sheets>
  <definedNames>
    <definedName name="_xlnm.Print_Area" localSheetId="1">'Calc. and priceout'!$A$1:$R$107</definedName>
    <definedName name="_xlnm.Print_Area" localSheetId="2">'Co. Pro Tonnage'!$A$1:$P$15</definedName>
    <definedName name="_xlnm.Print_Area" localSheetId="0">'References'!$A$1:$H$64</definedName>
    <definedName name="_xlnm.Print_Titles" localSheetId="1">'Calc. and priceout'!$1:$1</definedName>
  </definedNames>
  <calcPr fullCalcOnLoad="1"/>
</workbook>
</file>

<file path=xl/sharedStrings.xml><?xml version="1.0" encoding="utf-8"?>
<sst xmlns="http://schemas.openxmlformats.org/spreadsheetml/2006/main" count="243" uniqueCount="185">
  <si>
    <t>Pro Forma</t>
  </si>
  <si>
    <t>Adj.</t>
  </si>
  <si>
    <t>%</t>
  </si>
  <si>
    <t>Total</t>
  </si>
  <si>
    <t>WM Brem-Air</t>
  </si>
  <si>
    <t>Disposal Summary</t>
  </si>
  <si>
    <t>Current</t>
  </si>
  <si>
    <t>Cost</t>
  </si>
  <si>
    <t>Proposed</t>
  </si>
  <si>
    <t>Tons</t>
  </si>
  <si>
    <t>Rate</t>
  </si>
  <si>
    <t>Expense</t>
  </si>
  <si>
    <t>Commercial garbage</t>
  </si>
  <si>
    <t>Residential garbage</t>
  </si>
  <si>
    <t>Roll Off garbage</t>
  </si>
  <si>
    <t>Roll Off soils</t>
  </si>
  <si>
    <t>Regulated</t>
  </si>
  <si>
    <t>Monthly Factor</t>
  </si>
  <si>
    <t>Pickups:</t>
  </si>
  <si>
    <t>1 unit</t>
  </si>
  <si>
    <t>2 units</t>
  </si>
  <si>
    <t>3 units</t>
  </si>
  <si>
    <t>4 units</t>
  </si>
  <si>
    <t>5 units</t>
  </si>
  <si>
    <t>6 units</t>
  </si>
  <si>
    <t>7 unit</t>
  </si>
  <si>
    <t>5 Times per Week</t>
  </si>
  <si>
    <t>4 Times per Week</t>
  </si>
  <si>
    <t>3 Times per Week</t>
  </si>
  <si>
    <t>2 Times per Week</t>
  </si>
  <si>
    <t>Weekly Pickup (WG)</t>
  </si>
  <si>
    <t>Every Other Week (EOWG)</t>
  </si>
  <si>
    <t>Monthly (MG)</t>
  </si>
  <si>
    <t>Meeks Weights</t>
  </si>
  <si>
    <t>Res'l</t>
  </si>
  <si>
    <t>Pounds per Pickup</t>
  </si>
  <si>
    <t>20 gal minican</t>
  </si>
  <si>
    <t>1 can</t>
  </si>
  <si>
    <t>2 cans</t>
  </si>
  <si>
    <t>3 cans</t>
  </si>
  <si>
    <t>Lbs. per ton</t>
  </si>
  <si>
    <t>4 cans</t>
  </si>
  <si>
    <t>Yds. Per ton</t>
  </si>
  <si>
    <t>n/a</t>
  </si>
  <si>
    <t>5 cans</t>
  </si>
  <si>
    <t>6 cans</t>
  </si>
  <si>
    <t>35 gallon Can</t>
  </si>
  <si>
    <t>*</t>
  </si>
  <si>
    <t>Supercan 60</t>
  </si>
  <si>
    <t>Supercan 90</t>
  </si>
  <si>
    <t>Once a month</t>
  </si>
  <si>
    <t>Extras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</si>
  <si>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</si>
  <si>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</si>
  <si>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</si>
  <si>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</si>
  <si>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</si>
  <si>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</si>
  <si>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</si>
  <si>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</si>
  <si>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</si>
  <si>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1 yd packer/compactor</t>
  </si>
  <si>
    <t>1.5 yd packer/compactor</t>
  </si>
  <si>
    <t>2 yd packer/compactor</t>
  </si>
  <si>
    <t>3 yd packer/compactor</t>
  </si>
  <si>
    <t>4 yd packer/compactor</t>
  </si>
  <si>
    <t>5 yd packer/compactor</t>
  </si>
  <si>
    <t>6 yd packer/compactor</t>
  </si>
  <si>
    <t>8 yd packer/compactor</t>
  </si>
  <si>
    <t>Yards</t>
  </si>
  <si>
    <t>* not on meeks - calculated by staff</t>
  </si>
  <si>
    <t>Kitsap County</t>
  </si>
  <si>
    <t>Per Ton</t>
  </si>
  <si>
    <t>Per Pound</t>
  </si>
  <si>
    <t>Gross Up Factors</t>
  </si>
  <si>
    <t xml:space="preserve">Current Rate </t>
  </si>
  <si>
    <t>B&amp;O tax</t>
  </si>
  <si>
    <t>New Rate per ton</t>
  </si>
  <si>
    <t>WUTC fees</t>
  </si>
  <si>
    <t>Increase</t>
  </si>
  <si>
    <t>Bad Debts</t>
  </si>
  <si>
    <t>Transfer Station</t>
  </si>
  <si>
    <t>Increase per ton</t>
  </si>
  <si>
    <t>Factor</t>
  </si>
  <si>
    <t>Grossed Up Increase per ton</t>
  </si>
  <si>
    <t>Tons Collected</t>
  </si>
  <si>
    <t>Disposal Fee Revenue Increase</t>
  </si>
  <si>
    <t>Tariff Page</t>
  </si>
  <si>
    <t>Scheduled Service</t>
  </si>
  <si>
    <t>Monthly Customers</t>
  </si>
  <si>
    <t>Monthly Frequency</t>
  </si>
  <si>
    <t>Annual PU's</t>
  </si>
  <si>
    <t>Calculated Annual Pounds</t>
  </si>
  <si>
    <t>Adjusted Annual Pounds</t>
  </si>
  <si>
    <t>Gross Up</t>
  </si>
  <si>
    <t>Tariff Rate Increase</t>
  </si>
  <si>
    <t>Company Current Tariff</t>
  </si>
  <si>
    <t>Company Current Revenue</t>
  </si>
  <si>
    <t>Revised Tariff Rate</t>
  </si>
  <si>
    <t>Revised Revenue</t>
  </si>
  <si>
    <t>Revised Revenue Increase</t>
  </si>
  <si>
    <t>Residential</t>
  </si>
  <si>
    <t>Commercial</t>
  </si>
  <si>
    <t>Totals</t>
  </si>
  <si>
    <t>Adjustment Factor Calculation</t>
  </si>
  <si>
    <t>Not on Meeks</t>
  </si>
  <si>
    <t>Total Tonnage</t>
  </si>
  <si>
    <t>Total Pounds</t>
  </si>
  <si>
    <t>Total Pick Ups</t>
  </si>
  <si>
    <t>na - multiple pickups not on tariff</t>
  </si>
  <si>
    <t>Adjustment factor</t>
  </si>
  <si>
    <t>1 - 20 gallon can weekly</t>
  </si>
  <si>
    <t>1 -32 gallon can EOW</t>
  </si>
  <si>
    <t>1 - 32 gallon can monthly</t>
  </si>
  <si>
    <t>1 - 32 gallon can on call</t>
  </si>
  <si>
    <t>1 - 32 gallon can weekly</t>
  </si>
  <si>
    <t>2 - 32 gallon can weekly</t>
  </si>
  <si>
    <t>3 - 32 gallon can weekly</t>
  </si>
  <si>
    <t>4 - 32 gallon can weekly</t>
  </si>
  <si>
    <t>5 - 32 gallon can weekly</t>
  </si>
  <si>
    <t>1 - 32 gallon cart EOW</t>
  </si>
  <si>
    <t>1 - 32 gallon cart monthly</t>
  </si>
  <si>
    <t>1 - 32 gallon cart weekly</t>
  </si>
  <si>
    <t>2 - 32 gallon cart weekly</t>
  </si>
  <si>
    <t>4 - 32 gallon cart weekly</t>
  </si>
  <si>
    <t>1 - 64 gallon cart weekly</t>
  </si>
  <si>
    <t>2 - 64 gallon cart weekly</t>
  </si>
  <si>
    <t>3 - 64 gallon cart weekly</t>
  </si>
  <si>
    <t>1 - 96 gallon cart weekly</t>
  </si>
  <si>
    <t>2 - 96 gallon cart weekly</t>
  </si>
  <si>
    <t>3 - 96 gallon cart weekly</t>
  </si>
  <si>
    <t>Company Proposed Tariff</t>
  </si>
  <si>
    <t>1 - 32 gallon can</t>
  </si>
  <si>
    <t>2 - 32 gallon can</t>
  </si>
  <si>
    <t>3 - 32 gallon can</t>
  </si>
  <si>
    <t>4 - 32 gallon can</t>
  </si>
  <si>
    <t>5 - 32 gallon can</t>
  </si>
  <si>
    <t>6 - 32 gallon can</t>
  </si>
  <si>
    <t>96 - 32 gallon can</t>
  </si>
  <si>
    <t>1 - 32 gallon cart</t>
  </si>
  <si>
    <t>2 - 32 gallon cart</t>
  </si>
  <si>
    <t>1 - 64 gallon cart</t>
  </si>
  <si>
    <t>2 - 64 gallon cart</t>
  </si>
  <si>
    <t>3 - 64 gallon cart</t>
  </si>
  <si>
    <t>4 - 64 gallon cart</t>
  </si>
  <si>
    <t>6 - 64 gallon cart</t>
  </si>
  <si>
    <t>1 - 96 gallon cart</t>
  </si>
  <si>
    <t>2 - 96 gallon cart</t>
  </si>
  <si>
    <t>3 - 96 gallon cart</t>
  </si>
  <si>
    <t>4 - 96 gallon cart</t>
  </si>
  <si>
    <t>1 - 1 yard frontload</t>
  </si>
  <si>
    <t>1 - 1.5 yard frontload</t>
  </si>
  <si>
    <t>2 - 1.5 yard frontload</t>
  </si>
  <si>
    <t>1 - 2 yard frontload</t>
  </si>
  <si>
    <t>2 - 2 yard frontload</t>
  </si>
  <si>
    <t>1 - 3 yard frontload</t>
  </si>
  <si>
    <t>2 - 3 yard frontload</t>
  </si>
  <si>
    <t>3 - 3 yard frontload</t>
  </si>
  <si>
    <t>6 - 3 yard frontload</t>
  </si>
  <si>
    <t>4 - 3 yard frontload</t>
  </si>
  <si>
    <t>5 - 3 yard frontload</t>
  </si>
  <si>
    <t>1 - 4 yard frontload</t>
  </si>
  <si>
    <t>2 - 4 yard frontload</t>
  </si>
  <si>
    <t>4 - 4 yard frontload</t>
  </si>
  <si>
    <t>1 - 6 yard frontload</t>
  </si>
  <si>
    <t>2 - 6 yard frontload</t>
  </si>
  <si>
    <t>3 - 6 yard frontload</t>
  </si>
  <si>
    <t>4 - 6 yard frontload</t>
  </si>
  <si>
    <t>5 - 6 yard frontload</t>
  </si>
  <si>
    <t>6 - 6 yard frontload</t>
  </si>
  <si>
    <t>7 - 6 yard frontload</t>
  </si>
  <si>
    <t>1 - 8 yard frontload</t>
  </si>
  <si>
    <t>5 - 8 yard frontload</t>
  </si>
  <si>
    <t>1 - 2 yard compactor</t>
  </si>
  <si>
    <t>1 - 3 yard compactor</t>
  </si>
  <si>
    <t>1 - 4 yard compactor</t>
  </si>
  <si>
    <t>Extra Bag, Box, or Can</t>
  </si>
  <si>
    <t>Yardage MSW (Loose)</t>
  </si>
  <si>
    <t>na</t>
  </si>
  <si>
    <t>(per TG-143718)</t>
  </si>
  <si>
    <t>Roll Off</t>
  </si>
  <si>
    <t>after RO</t>
  </si>
  <si>
    <t>before RO</t>
  </si>
  <si>
    <t>Estimated</t>
  </si>
  <si>
    <t>1 - 20 gallon can cart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</si>
</sst>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.0_);_(* \(#,##0.0\);_(* &quot;-&quot;??_);_(@_)"/>
    <numFmt numFmtId="166" formatCode="_(* #,##0_);_(* \(#,##0\);_(* &quot;-&quot;??_);_(@_)"/>
    <numFmt numFmtId="167" formatCode="m/d/yy\ h:mm\ AM/PM"/>
    <numFmt numFmtId="168" formatCode="mm/dd/yy"/>
    <numFmt numFmtId="169" formatCode="mmm\-yyyy"/>
    <numFmt numFmtId="170" formatCode="mmmm\-yy"/>
    <numFmt numFmtId="171" formatCode="_*\ #,###.0,;_(* \(#,###.0,\);_(* &quot;-&quot;??_);_(@_)"/>
    <numFmt numFmtId="172" formatCode="0.0%"/>
    <numFmt numFmtId="173" formatCode="_(* #,##0,_);_(* \(#,##0,\);_(* &quot;-&quot;??_);_(@_)"/>
    <numFmt numFmtId="174" formatCode="_(&quot;$&quot;* #,##0_);_(&quot;$&quot;* \(#,##0\);_(&quot;$&quot;* &quot;-&quot;??_);_(@_)"/>
    <numFmt numFmtId="175" formatCode="_(* #,##0_);_(&quot;$&quot;* \(#,##0\);_(* &quot;-&quot;??_);_(@_)"/>
    <numFmt numFmtId="176" formatCode="#,##0.0000_);\(#,##0.0000\)"/>
    <numFmt numFmtId="177" formatCode=";;;"/>
    <numFmt numFmtId="178" formatCode="#,##0.000_);\(#,##0.000\)"/>
    <numFmt numFmtId="179" formatCode="0.0000%"/>
    <numFmt numFmtId="180" formatCode="#,##0.0_);\(#,##0.0\)"/>
    <numFmt numFmtId="181" formatCode="m/d/yy;@"/>
    <numFmt numFmtId="182" formatCode="General_)"/>
    <numFmt numFmtId="183" formatCode="_(&quot;$&quot;* #,##0.000_);_(&quot;$&quot;* \(#,##0.000\);_(&quot;$&quot;* &quot;-&quot;??_);_(@_)"/>
    <numFmt numFmtId="184" formatCode="0.000%"/>
    <numFmt numFmtId="185" formatCode="_(&quot;$&quot;* #,##0.000000_);_(&quot;$&quot;* \(#,##0.000000\);_(&quot;$&quot;* &quot;-&quot;??????_);_(@_)"/>
    <numFmt numFmtId="186" formatCode="_(&quot;$&quot;* #,##0.0_);_(&quot;$&quot;* \(#,##0.0\);_(&quot;$&quot;* &quot;-&quot;??_);_(@_)"/>
    <numFmt numFmtId="187" formatCode="_(&quot;$&quot;* #,##0.0000_);_(&quot;$&quot;* \(#,##0.0000\);_(&quot;$&quot;* &quot;-&quot;????_);_(@_)"/>
    <numFmt numFmtId="188" formatCode="_(* #,##0.000000_);_(* \(#,##0.000000\);_(* &quot;-&quot;??_);_(@_)"/>
    <numFmt numFmtId="189" formatCode="_(&quot;$&quot;* #,##0.000000_);_(&quot;$&quot;* \(#,##0.000000\);_(&quot;$&quot;* &quot;-&quot;??_);_(@_)"/>
    <numFmt numFmtId="190" formatCode="0.000000"/>
    <numFmt numFmtId="191" formatCode="#,##0.00000000"/>
    <numFmt numFmtId="192" formatCode="_(* #,##0.000_);_(* \(#,##0.000\);_(* &quot;-&quot;??_);_(@_)"/>
    <numFmt numFmtId="193" formatCode="_(* #,##0.000_);_(* \(#,##0.000\);_(* &quot;-&quot;???_);_(@_)"/>
    <numFmt numFmtId="194" formatCode="0.0000"/>
    <numFmt numFmtId="195" formatCode="0.000"/>
    <numFmt numFmtId="196" formatCode="_(* #,##0.0000_);_(* \(#,##0.0000\);_(* &quot;-&quot;??_);_(@_)"/>
    <numFmt numFmtId="197" formatCode="_(* #,##0.00000_);_(* \(#,##0.00000\);_(* &quot;-&quot;??_);_(@_)"/>
    <numFmt numFmtId="198" formatCode="_(&quot;$&quot;* #,##0.0000_);_(&quot;$&quot;* \(#,##0.0000\);_(&quot;$&quot;* &quot;-&quot;??_);_(@_)"/>
    <numFmt numFmtId="199" formatCode="_(&quot;$&quot;* #,##0.00000_);_(&quot;$&quot;* \(#,##0.00000\);_(&quot;$&quot;* &quot;-&quot;??_);_(@_)"/>
    <numFmt numFmtId="200" formatCode="_(* #,##0.0000_);_(* \(#,##0.0000\);_(* &quot;-&quot;????_);_(@_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indexed="56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u val="single"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Accounting"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12"/>
      <color indexed="10"/>
      <name val="Arial"/>
      <family val="2"/>
    </font>
    <font>
      <u val="singleAccounting"/>
      <sz val="12"/>
      <color indexed="8"/>
      <name val="Arial"/>
      <family val="2"/>
    </font>
    <font>
      <b/>
      <u val="doubleAccounting"/>
      <sz val="12"/>
      <color indexed="8"/>
      <name val="Arial"/>
      <family val="2"/>
    </font>
    <font>
      <sz val="12"/>
      <color indexed="8"/>
      <name val="Calibri"/>
      <family val="2"/>
    </font>
    <font>
      <u val="singleAccounting"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doubleAccounting"/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double"/>
      <sz val="11"/>
      <color indexed="8"/>
      <name val="Calibri"/>
      <family val="2"/>
    </font>
    <font>
      <u val="doub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u val="singleAccounting"/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sz val="12"/>
      <color rgb="FFFF0000"/>
      <name val="Arial"/>
      <family val="2"/>
    </font>
    <font>
      <u val="singleAccounting"/>
      <sz val="12"/>
      <color theme="1"/>
      <name val="Arial"/>
      <family val="2"/>
    </font>
    <font>
      <b/>
      <u val="doubleAccounting"/>
      <sz val="12"/>
      <color theme="1"/>
      <name val="Arial"/>
      <family val="2"/>
    </font>
    <font>
      <sz val="12"/>
      <color theme="1"/>
      <name val="Calibri"/>
      <family val="2"/>
    </font>
    <font>
      <u val="singleAccounting"/>
      <sz val="12"/>
      <color theme="1"/>
      <name val="Calibri"/>
      <family val="2"/>
    </font>
    <font>
      <sz val="11"/>
      <color theme="3" tint="0.39998000860214233"/>
      <name val="Calibri"/>
      <family val="2"/>
    </font>
    <font>
      <b/>
      <u val="doubleAccounting"/>
      <sz val="11"/>
      <color theme="1"/>
      <name val="Calibri"/>
      <family val="2"/>
    </font>
    <font>
      <u val="singleAccounting"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u val="double"/>
      <sz val="11"/>
      <color theme="1"/>
      <name val="Calibri"/>
      <family val="2"/>
    </font>
    <font>
      <u val="doub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5" fillId="0" borderId="0" applyNumberFormat="0" applyFont="0" applyFill="0" applyBorder="0">
      <alignment horizontal="left" indent="4"/>
      <protection locked="0"/>
    </xf>
    <xf numFmtId="0" fontId="9" fillId="0" borderId="0" applyNumberFormat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8" fillId="0" borderId="9">
      <alignment horizontal="center"/>
      <protection/>
    </xf>
    <xf numFmtId="3" fontId="9" fillId="0" borderId="0" applyFont="0" applyFill="0" applyBorder="0" applyAlignment="0" applyProtection="0"/>
    <xf numFmtId="0" fontId="9" fillId="33" borderId="0" applyNumberFormat="0" applyFont="0" applyBorder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166" fontId="3" fillId="34" borderId="0" applyFont="0" applyFill="0" applyBorder="0" applyAlignment="0" applyProtection="0"/>
  </cellStyleXfs>
  <cellXfs count="17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66">
      <alignment/>
      <protection/>
    </xf>
    <xf numFmtId="0" fontId="61" fillId="0" borderId="0" xfId="66" applyFont="1">
      <alignment/>
      <protection/>
    </xf>
    <xf numFmtId="0" fontId="62" fillId="0" borderId="0" xfId="66" applyFont="1" applyAlignment="1">
      <alignment horizontal="center"/>
      <protection/>
    </xf>
    <xf numFmtId="44" fontId="63" fillId="0" borderId="0" xfId="56" applyFont="1" applyAlignment="1">
      <alignment horizontal="center"/>
    </xf>
    <xf numFmtId="0" fontId="64" fillId="0" borderId="0" xfId="66" applyFont="1" applyAlignment="1">
      <alignment horizontal="center"/>
      <protection/>
    </xf>
    <xf numFmtId="44" fontId="64" fillId="0" borderId="0" xfId="56" applyFont="1" applyAlignment="1">
      <alignment horizontal="center"/>
    </xf>
    <xf numFmtId="0" fontId="65" fillId="0" borderId="0" xfId="66" applyFont="1">
      <alignment/>
      <protection/>
    </xf>
    <xf numFmtId="0" fontId="66" fillId="0" borderId="0" xfId="66" applyFont="1">
      <alignment/>
      <protection/>
    </xf>
    <xf numFmtId="44" fontId="61" fillId="0" borderId="0" xfId="56" applyFont="1" applyBorder="1" applyAlignment="1">
      <alignment/>
    </xf>
    <xf numFmtId="0" fontId="61" fillId="0" borderId="0" xfId="66" applyFont="1" applyBorder="1">
      <alignment/>
      <protection/>
    </xf>
    <xf numFmtId="44" fontId="67" fillId="0" borderId="0" xfId="56" applyFont="1" applyBorder="1" applyAlignment="1">
      <alignment/>
    </xf>
    <xf numFmtId="174" fontId="61" fillId="0" borderId="0" xfId="56" applyNumberFormat="1" applyFont="1" applyBorder="1" applyAlignment="1">
      <alignment/>
    </xf>
    <xf numFmtId="174" fontId="68" fillId="0" borderId="0" xfId="56" applyNumberFormat="1" applyFont="1" applyBorder="1" applyAlignment="1">
      <alignment/>
    </xf>
    <xf numFmtId="44" fontId="61" fillId="0" borderId="0" xfId="66" applyNumberFormat="1" applyFont="1" applyBorder="1">
      <alignment/>
      <protection/>
    </xf>
    <xf numFmtId="174" fontId="63" fillId="0" borderId="0" xfId="56" applyNumberFormat="1" applyFont="1" applyBorder="1" applyAlignment="1">
      <alignment/>
    </xf>
    <xf numFmtId="174" fontId="69" fillId="0" borderId="0" xfId="56" applyNumberFormat="1" applyFont="1" applyBorder="1" applyAlignment="1">
      <alignment/>
    </xf>
    <xf numFmtId="43" fontId="61" fillId="0" borderId="0" xfId="66" applyNumberFormat="1" applyFont="1" applyBorder="1">
      <alignment/>
      <protection/>
    </xf>
    <xf numFmtId="174" fontId="61" fillId="0" borderId="0" xfId="66" applyNumberFormat="1" applyFont="1" applyBorder="1">
      <alignment/>
      <protection/>
    </xf>
    <xf numFmtId="43" fontId="68" fillId="0" borderId="0" xfId="47" applyFont="1" applyBorder="1" applyAlignment="1">
      <alignment/>
    </xf>
    <xf numFmtId="174" fontId="68" fillId="0" borderId="0" xfId="66" applyNumberFormat="1" applyFont="1" applyBorder="1">
      <alignment/>
      <protection/>
    </xf>
    <xf numFmtId="43" fontId="63" fillId="0" borderId="0" xfId="66" applyNumberFormat="1" applyFont="1" applyBorder="1">
      <alignment/>
      <protection/>
    </xf>
    <xf numFmtId="43" fontId="64" fillId="0" borderId="0" xfId="66" applyNumberFormat="1" applyFont="1" applyBorder="1">
      <alignment/>
      <protection/>
    </xf>
    <xf numFmtId="43" fontId="69" fillId="0" borderId="0" xfId="66" applyNumberFormat="1" applyFont="1" applyBorder="1">
      <alignment/>
      <protection/>
    </xf>
    <xf numFmtId="43" fontId="68" fillId="0" borderId="0" xfId="66" applyNumberFormat="1" applyFont="1" applyBorder="1">
      <alignment/>
      <protection/>
    </xf>
    <xf numFmtId="0" fontId="2" fillId="0" borderId="0" xfId="66" applyBorder="1">
      <alignment/>
      <protection/>
    </xf>
    <xf numFmtId="183" fontId="61" fillId="0" borderId="0" xfId="66" applyNumberFormat="1" applyFont="1" applyBorder="1">
      <alignment/>
      <protection/>
    </xf>
    <xf numFmtId="0" fontId="2" fillId="0" borderId="0" xfId="0" applyFont="1" applyAlignment="1">
      <alignment/>
    </xf>
    <xf numFmtId="44" fontId="2" fillId="0" borderId="0" xfId="55" applyFont="1" applyAlignment="1">
      <alignment/>
    </xf>
    <xf numFmtId="44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72" fontId="0" fillId="0" borderId="0" xfId="77" applyNumberFormat="1" applyFont="1" applyAlignment="1">
      <alignment/>
    </xf>
    <xf numFmtId="0" fontId="6" fillId="0" borderId="0" xfId="67" applyFont="1" applyBorder="1">
      <alignment/>
      <protection/>
    </xf>
    <xf numFmtId="0" fontId="59" fillId="0" borderId="0" xfId="0" applyFont="1" applyBorder="1" applyAlignment="1">
      <alignment horizontal="center"/>
    </xf>
    <xf numFmtId="172" fontId="61" fillId="0" borderId="0" xfId="77" applyNumberFormat="1" applyFont="1" applyBorder="1" applyAlignment="1">
      <alignment/>
    </xf>
    <xf numFmtId="174" fontId="64" fillId="0" borderId="0" xfId="53" applyNumberFormat="1" applyFont="1" applyBorder="1" applyAlignment="1">
      <alignment/>
    </xf>
    <xf numFmtId="43" fontId="61" fillId="0" borderId="0" xfId="42" applyFont="1" applyBorder="1" applyAlignment="1">
      <alignment/>
    </xf>
    <xf numFmtId="43" fontId="68" fillId="0" borderId="0" xfId="42" applyFont="1" applyBorder="1" applyAlignment="1">
      <alignment/>
    </xf>
    <xf numFmtId="43" fontId="0" fillId="0" borderId="0" xfId="42" applyFont="1" applyBorder="1" applyAlignment="1">
      <alignment/>
    </xf>
    <xf numFmtId="10" fontId="67" fillId="0" borderId="0" xfId="78" applyNumberFormat="1" applyFont="1" applyAlignment="1">
      <alignment horizontal="center"/>
    </xf>
    <xf numFmtId="179" fontId="67" fillId="0" borderId="0" xfId="78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4" fontId="70" fillId="0" borderId="0" xfId="55" applyNumberFormat="1" applyFont="1" applyBorder="1" applyAlignment="1">
      <alignment/>
    </xf>
    <xf numFmtId="0" fontId="70" fillId="0" borderId="0" xfId="0" applyFont="1" applyAlignment="1">
      <alignment/>
    </xf>
    <xf numFmtId="166" fontId="70" fillId="0" borderId="0" xfId="42" applyNumberFormat="1" applyFont="1" applyBorder="1" applyAlignment="1">
      <alignment/>
    </xf>
    <xf numFmtId="166" fontId="70" fillId="0" borderId="0" xfId="42" applyNumberFormat="1" applyFont="1" applyAlignment="1">
      <alignment/>
    </xf>
    <xf numFmtId="166" fontId="71" fillId="0" borderId="0" xfId="42" applyNumberFormat="1" applyFont="1" applyBorder="1" applyAlignment="1">
      <alignment/>
    </xf>
    <xf numFmtId="166" fontId="71" fillId="0" borderId="0" xfId="42" applyNumberFormat="1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3" fontId="0" fillId="0" borderId="0" xfId="42" applyFont="1" applyAlignment="1">
      <alignment/>
    </xf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 applyAlignment="1">
      <alignment/>
    </xf>
    <xf numFmtId="0" fontId="59" fillId="0" borderId="0" xfId="0" applyFont="1" applyAlignment="1">
      <alignment/>
    </xf>
    <xf numFmtId="43" fontId="0" fillId="0" borderId="0" xfId="42" applyFont="1" applyAlignment="1">
      <alignment horizontal="center"/>
    </xf>
    <xf numFmtId="0" fontId="0" fillId="0" borderId="0" xfId="0" applyFont="1" applyAlignment="1">
      <alignment horizontal="left" indent="1"/>
    </xf>
    <xf numFmtId="166" fontId="0" fillId="0" borderId="0" xfId="42" applyNumberFormat="1" applyFont="1" applyAlignment="1">
      <alignment/>
    </xf>
    <xf numFmtId="0" fontId="0" fillId="35" borderId="0" xfId="0" applyFont="1" applyFill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Alignment="1">
      <alignment horizontal="center"/>
    </xf>
    <xf numFmtId="0" fontId="59" fillId="36" borderId="11" xfId="0" applyFont="1" applyFill="1" applyBorder="1" applyAlignment="1">
      <alignment/>
    </xf>
    <xf numFmtId="0" fontId="0" fillId="36" borderId="1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36" borderId="11" xfId="0" applyFont="1" applyFill="1" applyBorder="1" applyAlignment="1">
      <alignment/>
    </xf>
    <xf numFmtId="44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166" fontId="0" fillId="0" borderId="11" xfId="42" applyNumberFormat="1" applyFont="1" applyBorder="1" applyAlignment="1">
      <alignment/>
    </xf>
    <xf numFmtId="0" fontId="59" fillId="36" borderId="11" xfId="0" applyFont="1" applyFill="1" applyBorder="1" applyAlignment="1">
      <alignment horizontal="center" wrapText="1"/>
    </xf>
    <xf numFmtId="0" fontId="59" fillId="36" borderId="11" xfId="0" applyFont="1" applyFill="1" applyBorder="1" applyAlignment="1">
      <alignment horizontal="center" vertical="center"/>
    </xf>
    <xf numFmtId="0" fontId="59" fillId="36" borderId="0" xfId="0" applyFont="1" applyFill="1" applyBorder="1" applyAlignment="1">
      <alignment horizontal="center" wrapText="1"/>
    </xf>
    <xf numFmtId="166" fontId="59" fillId="36" borderId="11" xfId="42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66" fontId="0" fillId="0" borderId="0" xfId="42" applyNumberFormat="1" applyFont="1" applyFill="1" applyBorder="1" applyAlignment="1">
      <alignment/>
    </xf>
    <xf numFmtId="44" fontId="0" fillId="0" borderId="0" xfId="53" applyFont="1" applyFill="1" applyBorder="1" applyAlignment="1">
      <alignment/>
    </xf>
    <xf numFmtId="44" fontId="0" fillId="37" borderId="0" xfId="53" applyFont="1" applyFill="1" applyBorder="1" applyAlignment="1">
      <alignment/>
    </xf>
    <xf numFmtId="0" fontId="0" fillId="0" borderId="0" xfId="0" applyFont="1" applyFill="1" applyBorder="1" applyAlignment="1">
      <alignment/>
    </xf>
    <xf numFmtId="43" fontId="0" fillId="0" borderId="0" xfId="42" applyNumberFormat="1" applyFont="1" applyFill="1" applyBorder="1" applyAlignment="1">
      <alignment/>
    </xf>
    <xf numFmtId="166" fontId="0" fillId="0" borderId="0" xfId="42" applyNumberFormat="1" applyFont="1" applyFill="1" applyBorder="1" applyAlignment="1">
      <alignment horizontal="center" wrapText="1"/>
    </xf>
    <xf numFmtId="43" fontId="38" fillId="0" borderId="0" xfId="42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 textRotation="90"/>
    </xf>
    <xf numFmtId="166" fontId="38" fillId="0" borderId="0" xfId="42" applyNumberFormat="1" applyFont="1" applyFill="1" applyBorder="1" applyAlignment="1">
      <alignment/>
    </xf>
    <xf numFmtId="0" fontId="0" fillId="36" borderId="11" xfId="0" applyFont="1" applyFill="1" applyBorder="1" applyAlignment="1">
      <alignment vertical="center" textRotation="90"/>
    </xf>
    <xf numFmtId="0" fontId="0" fillId="36" borderId="11" xfId="0" applyFont="1" applyFill="1" applyBorder="1" applyAlignment="1">
      <alignment horizontal="center" vertical="center"/>
    </xf>
    <xf numFmtId="0" fontId="39" fillId="36" borderId="11" xfId="74" applyFont="1" applyFill="1" applyBorder="1" applyAlignment="1">
      <alignment horizontal="left"/>
      <protection/>
    </xf>
    <xf numFmtId="3" fontId="59" fillId="36" borderId="11" xfId="0" applyNumberFormat="1" applyFont="1" applyFill="1" applyBorder="1" applyAlignment="1">
      <alignment horizontal="right"/>
    </xf>
    <xf numFmtId="43" fontId="0" fillId="36" borderId="11" xfId="42" applyFont="1" applyFill="1" applyBorder="1" applyAlignment="1">
      <alignment/>
    </xf>
    <xf numFmtId="3" fontId="59" fillId="36" borderId="11" xfId="0" applyNumberFormat="1" applyFont="1" applyFill="1" applyBorder="1" applyAlignment="1">
      <alignment/>
    </xf>
    <xf numFmtId="166" fontId="59" fillId="36" borderId="11" xfId="42" applyNumberFormat="1" applyFont="1" applyFill="1" applyBorder="1" applyAlignment="1">
      <alignment/>
    </xf>
    <xf numFmtId="44" fontId="0" fillId="36" borderId="11" xfId="53" applyFont="1" applyFill="1" applyBorder="1" applyAlignment="1">
      <alignment/>
    </xf>
    <xf numFmtId="44" fontId="59" fillId="36" borderId="11" xfId="53" applyFont="1" applyFill="1" applyBorder="1" applyAlignment="1">
      <alignment/>
    </xf>
    <xf numFmtId="166" fontId="0" fillId="0" borderId="0" xfId="42" applyNumberFormat="1" applyFont="1" applyBorder="1" applyAlignment="1">
      <alignment/>
    </xf>
    <xf numFmtId="166" fontId="2" fillId="0" borderId="0" xfId="42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39" fillId="0" borderId="0" xfId="74" applyFont="1" applyFill="1" applyBorder="1" applyAlignment="1">
      <alignment horizontal="left"/>
      <protection/>
    </xf>
    <xf numFmtId="166" fontId="59" fillId="0" borderId="0" xfId="42" applyNumberFormat="1" applyFont="1" applyBorder="1" applyAlignment="1">
      <alignment horizontal="right"/>
    </xf>
    <xf numFmtId="44" fontId="59" fillId="0" borderId="0" xfId="53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4" fontId="0" fillId="0" borderId="0" xfId="42" applyNumberFormat="1" applyFont="1" applyFill="1" applyBorder="1" applyAlignment="1">
      <alignment/>
    </xf>
    <xf numFmtId="174" fontId="0" fillId="0" borderId="0" xfId="0" applyNumberFormat="1" applyFont="1" applyBorder="1" applyAlignment="1">
      <alignment/>
    </xf>
    <xf numFmtId="166" fontId="0" fillId="0" borderId="0" xfId="42" applyNumberFormat="1" applyFont="1" applyFill="1" applyBorder="1" applyAlignment="1">
      <alignment/>
    </xf>
    <xf numFmtId="0" fontId="60" fillId="0" borderId="0" xfId="70" applyFont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166" fontId="59" fillId="0" borderId="11" xfId="42" applyNumberFormat="1" applyFont="1" applyBorder="1" applyAlignment="1">
      <alignment horizontal="center"/>
    </xf>
    <xf numFmtId="0" fontId="0" fillId="35" borderId="0" xfId="0" applyFont="1" applyFill="1" applyBorder="1" applyAlignment="1">
      <alignment horizontal="left"/>
    </xf>
    <xf numFmtId="43" fontId="0" fillId="0" borderId="0" xfId="0" applyNumberFormat="1" applyFont="1" applyBorder="1" applyAlignment="1">
      <alignment/>
    </xf>
    <xf numFmtId="166" fontId="38" fillId="0" borderId="0" xfId="42" applyNumberFormat="1" applyFont="1" applyFill="1" applyBorder="1" applyAlignment="1">
      <alignment horizontal="left"/>
    </xf>
    <xf numFmtId="166" fontId="0" fillId="0" borderId="0" xfId="42" applyNumberFormat="1" applyFont="1" applyBorder="1" applyAlignment="1">
      <alignment horizontal="right"/>
    </xf>
    <xf numFmtId="0" fontId="72" fillId="0" borderId="0" xfId="42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0" fontId="0" fillId="0" borderId="0" xfId="77" applyNumberFormat="1" applyFont="1" applyBorder="1" applyAlignment="1">
      <alignment horizontal="right"/>
    </xf>
    <xf numFmtId="10" fontId="0" fillId="0" borderId="0" xfId="77" applyNumberFormat="1" applyFont="1" applyBorder="1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38" fillId="0" borderId="0" xfId="74" applyFont="1" applyFill="1" applyBorder="1" applyAlignment="1">
      <alignment horizontal="left"/>
      <protection/>
    </xf>
    <xf numFmtId="43" fontId="0" fillId="0" borderId="0" xfId="42" applyFont="1" applyBorder="1" applyAlignment="1">
      <alignment/>
    </xf>
    <xf numFmtId="44" fontId="0" fillId="0" borderId="0" xfId="0" applyNumberFormat="1" applyFont="1" applyBorder="1" applyAlignment="1">
      <alignment/>
    </xf>
    <xf numFmtId="174" fontId="0" fillId="0" borderId="0" xfId="53" applyNumberFormat="1" applyFont="1" applyBorder="1" applyAlignment="1">
      <alignment/>
    </xf>
    <xf numFmtId="44" fontId="0" fillId="0" borderId="0" xfId="53" applyFont="1" applyBorder="1" applyAlignment="1">
      <alignment horizontal="right"/>
    </xf>
    <xf numFmtId="183" fontId="0" fillId="0" borderId="0" xfId="53" applyNumberFormat="1" applyFont="1" applyBorder="1" applyAlignment="1">
      <alignment/>
    </xf>
    <xf numFmtId="166" fontId="0" fillId="0" borderId="0" xfId="42" applyNumberFormat="1" applyFont="1" applyFill="1" applyBorder="1" applyAlignment="1">
      <alignment/>
    </xf>
    <xf numFmtId="44" fontId="2" fillId="0" borderId="0" xfId="55" applyFont="1" applyFill="1" applyAlignment="1">
      <alignment/>
    </xf>
    <xf numFmtId="0" fontId="0" fillId="0" borderId="0" xfId="0" applyFont="1" applyFill="1" applyBorder="1" applyAlignment="1">
      <alignment horizontal="center" vertical="center" textRotation="90"/>
    </xf>
    <xf numFmtId="43" fontId="0" fillId="0" borderId="0" xfId="53" applyNumberFormat="1" applyFont="1" applyFill="1" applyBorder="1" applyAlignment="1">
      <alignment/>
    </xf>
    <xf numFmtId="166" fontId="0" fillId="0" borderId="0" xfId="42" applyNumberFormat="1" applyFont="1" applyFill="1" applyBorder="1" applyAlignment="1">
      <alignment/>
    </xf>
    <xf numFmtId="44" fontId="0" fillId="0" borderId="0" xfId="53" applyFont="1" applyFill="1" applyBorder="1" applyAlignment="1">
      <alignment/>
    </xf>
    <xf numFmtId="44" fontId="0" fillId="0" borderId="11" xfId="53" applyFont="1" applyFill="1" applyBorder="1" applyAlignment="1">
      <alignment/>
    </xf>
    <xf numFmtId="44" fontId="0" fillId="0" borderId="0" xfId="53" applyFont="1" applyFill="1" applyAlignment="1">
      <alignment/>
    </xf>
    <xf numFmtId="183" fontId="0" fillId="0" borderId="0" xfId="53" applyNumberFormat="1" applyFont="1" applyFill="1" applyAlignment="1">
      <alignment/>
    </xf>
    <xf numFmtId="183" fontId="0" fillId="0" borderId="11" xfId="53" applyNumberFormat="1" applyFont="1" applyFill="1" applyBorder="1" applyAlignment="1">
      <alignment/>
    </xf>
    <xf numFmtId="189" fontId="0" fillId="0" borderId="0" xfId="53" applyNumberFormat="1" applyFont="1" applyFill="1" applyAlignment="1">
      <alignment/>
    </xf>
    <xf numFmtId="166" fontId="2" fillId="0" borderId="0" xfId="42" applyNumberFormat="1" applyFont="1" applyFill="1" applyAlignment="1">
      <alignment/>
    </xf>
    <xf numFmtId="0" fontId="0" fillId="25" borderId="0" xfId="0" applyFont="1" applyFill="1" applyBorder="1" applyAlignment="1">
      <alignment horizontal="center" vertical="center"/>
    </xf>
    <xf numFmtId="0" fontId="0" fillId="25" borderId="0" xfId="42" applyNumberFormat="1" applyFont="1" applyFill="1" applyBorder="1" applyAlignment="1">
      <alignment/>
    </xf>
    <xf numFmtId="166" fontId="0" fillId="25" borderId="0" xfId="42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43" fontId="11" fillId="0" borderId="12" xfId="49" applyNumberFormat="1" applyFont="1" applyFill="1" applyBorder="1" applyAlignment="1">
      <alignment/>
    </xf>
    <xf numFmtId="166" fontId="2" fillId="0" borderId="0" xfId="46" applyNumberFormat="1" applyFont="1" applyAlignment="1">
      <alignment/>
    </xf>
    <xf numFmtId="166" fontId="2" fillId="0" borderId="0" xfId="46" applyNumberFormat="1" applyFont="1" applyFill="1" applyAlignment="1">
      <alignment/>
    </xf>
    <xf numFmtId="166" fontId="0" fillId="36" borderId="11" xfId="0" applyNumberFormat="1" applyFont="1" applyFill="1" applyBorder="1" applyAlignment="1">
      <alignment/>
    </xf>
    <xf numFmtId="166" fontId="2" fillId="35" borderId="0" xfId="46" applyNumberFormat="1" applyFont="1" applyFill="1" applyAlignment="1">
      <alignment/>
    </xf>
    <xf numFmtId="166" fontId="59" fillId="36" borderId="11" xfId="0" applyNumberFormat="1" applyFont="1" applyFill="1" applyBorder="1" applyAlignment="1">
      <alignment horizontal="right"/>
    </xf>
    <xf numFmtId="166" fontId="0" fillId="0" borderId="0" xfId="0" applyNumberFormat="1" applyFont="1" applyBorder="1" applyAlignment="1">
      <alignment/>
    </xf>
    <xf numFmtId="44" fontId="73" fillId="0" borderId="0" xfId="53" applyFont="1" applyBorder="1" applyAlignment="1">
      <alignment horizontal="right"/>
    </xf>
    <xf numFmtId="44" fontId="0" fillId="0" borderId="0" xfId="53" applyNumberFormat="1" applyFont="1" applyFill="1" applyBorder="1" applyAlignment="1">
      <alignment/>
    </xf>
    <xf numFmtId="44" fontId="0" fillId="0" borderId="0" xfId="53" applyFont="1" applyAlignment="1">
      <alignment/>
    </xf>
    <xf numFmtId="174" fontId="0" fillId="0" borderId="0" xfId="53" applyNumberFormat="1" applyFont="1" applyAlignment="1">
      <alignment/>
    </xf>
    <xf numFmtId="174" fontId="74" fillId="0" borderId="0" xfId="53" applyNumberFormat="1" applyFont="1" applyAlignment="1">
      <alignment/>
    </xf>
    <xf numFmtId="174" fontId="73" fillId="0" borderId="0" xfId="0" applyNumberFormat="1" applyFont="1" applyAlignment="1">
      <alignment/>
    </xf>
    <xf numFmtId="184" fontId="0" fillId="0" borderId="0" xfId="77" applyNumberFormat="1" applyFont="1" applyAlignment="1">
      <alignment/>
    </xf>
    <xf numFmtId="179" fontId="0" fillId="0" borderId="0" xfId="77" applyNumberFormat="1" applyFont="1" applyAlignment="1">
      <alignment/>
    </xf>
    <xf numFmtId="179" fontId="0" fillId="0" borderId="0" xfId="77" applyNumberFormat="1" applyFont="1" applyBorder="1" applyAlignment="1">
      <alignment/>
    </xf>
    <xf numFmtId="179" fontId="75" fillId="0" borderId="0" xfId="77" applyNumberFormat="1" applyFont="1" applyAlignment="1">
      <alignment/>
    </xf>
    <xf numFmtId="179" fontId="76" fillId="0" borderId="0" xfId="77" applyNumberFormat="1" applyFont="1" applyAlignment="1">
      <alignment/>
    </xf>
    <xf numFmtId="10" fontId="4" fillId="0" borderId="0" xfId="78" applyNumberFormat="1" applyFont="1" applyAlignment="1">
      <alignment horizontal="center"/>
    </xf>
    <xf numFmtId="44" fontId="73" fillId="0" borderId="0" xfId="0" applyNumberFormat="1" applyFont="1" applyAlignment="1">
      <alignment/>
    </xf>
    <xf numFmtId="179" fontId="0" fillId="0" borderId="0" xfId="0" applyNumberFormat="1" applyAlignment="1">
      <alignment/>
    </xf>
    <xf numFmtId="179" fontId="75" fillId="0" borderId="0" xfId="0" applyNumberFormat="1" applyFont="1" applyAlignment="1">
      <alignment/>
    </xf>
    <xf numFmtId="179" fontId="10" fillId="0" borderId="0" xfId="78" applyNumberFormat="1" applyFont="1" applyAlignment="1">
      <alignment horizontal="right"/>
    </xf>
    <xf numFmtId="179" fontId="77" fillId="0" borderId="0" xfId="77" applyNumberFormat="1" applyFont="1" applyAlignment="1">
      <alignment/>
    </xf>
    <xf numFmtId="10" fontId="0" fillId="0" borderId="0" xfId="77" applyNumberFormat="1" applyFont="1" applyFill="1" applyBorder="1" applyAlignment="1">
      <alignment/>
    </xf>
    <xf numFmtId="10" fontId="0" fillId="0" borderId="0" xfId="77" applyNumberFormat="1" applyFont="1" applyBorder="1" applyAlignment="1">
      <alignment/>
    </xf>
    <xf numFmtId="0" fontId="0" fillId="36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59" fillId="36" borderId="11" xfId="0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13" xfId="0" applyFont="1" applyFill="1" applyBorder="1" applyAlignment="1">
      <alignment horizontal="center" vertical="center" textRotation="90"/>
    </xf>
    <xf numFmtId="0" fontId="0" fillId="36" borderId="0" xfId="0" applyFont="1" applyFill="1" applyBorder="1" applyAlignment="1">
      <alignment horizontal="center"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10" xfId="46"/>
    <cellStyle name="Comma 2" xfId="47"/>
    <cellStyle name="Comma 2 6" xfId="48"/>
    <cellStyle name="Comma 20" xfId="49"/>
    <cellStyle name="Comma 3" xfId="50"/>
    <cellStyle name="Comma 4" xfId="51"/>
    <cellStyle name="Comma 5" xfId="52"/>
    <cellStyle name="Currency" xfId="53"/>
    <cellStyle name="Currency [0]" xfId="54"/>
    <cellStyle name="Currency 2" xfId="55"/>
    <cellStyle name="Currency 2 6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 10" xfId="66"/>
    <cellStyle name="Normal 2" xfId="67"/>
    <cellStyle name="Normal 2 2 2 2 3" xfId="68"/>
    <cellStyle name="Normal 2 8" xfId="69"/>
    <cellStyle name="Normal 90" xfId="70"/>
    <cellStyle name="Normal 93" xfId="71"/>
    <cellStyle name="Normal 94" xfId="72"/>
    <cellStyle name="Normal 98" xfId="73"/>
    <cellStyle name="Normal_Price out" xfId="74"/>
    <cellStyle name="Note" xfId="75"/>
    <cellStyle name="Output" xfId="76"/>
    <cellStyle name="Percent" xfId="77"/>
    <cellStyle name="Percent 2" xfId="78"/>
    <cellStyle name="Percent 2 6" xfId="79"/>
    <cellStyle name="Percent 3" xfId="80"/>
    <cellStyle name="PS_Comma" xfId="81"/>
    <cellStyle name="PSChar" xfId="82"/>
    <cellStyle name="PSDate" xfId="83"/>
    <cellStyle name="PSDec" xfId="84"/>
    <cellStyle name="PSHeading" xfId="85"/>
    <cellStyle name="PSInt" xfId="86"/>
    <cellStyle name="PSSpacer" xfId="87"/>
    <cellStyle name="Title" xfId="88"/>
    <cellStyle name="Total" xfId="89"/>
    <cellStyle name="Warning Text" xfId="90"/>
    <cellStyle name="WM_STANDARD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zoomScalePageLayoutView="0" workbookViewId="0" topLeftCell="A38">
      <selection activeCell="C57" sqref="C57"/>
    </sheetView>
  </sheetViews>
  <sheetFormatPr defaultColWidth="9.140625" defaultRowHeight="15"/>
  <cols>
    <col min="1" max="1" width="52.140625" style="0" customWidth="1"/>
    <col min="2" max="2" width="16.7109375" style="0" customWidth="1"/>
    <col min="3" max="3" width="15.57421875" style="0" customWidth="1"/>
    <col min="6" max="6" width="12.421875" style="0" customWidth="1"/>
    <col min="7" max="7" width="10.7109375" style="0" customWidth="1"/>
    <col min="8" max="8" width="10.00390625" style="0" bestFit="1" customWidth="1"/>
  </cols>
  <sheetData>
    <row r="1" spans="1:8" ht="15">
      <c r="A1" s="166" t="s">
        <v>17</v>
      </c>
      <c r="B1" s="166"/>
      <c r="C1" s="166"/>
      <c r="D1" s="166"/>
      <c r="E1" s="166"/>
      <c r="F1" s="166"/>
      <c r="G1" s="166"/>
      <c r="H1" s="166"/>
    </row>
    <row r="2" spans="1:8" ht="15">
      <c r="A2" s="51" t="s">
        <v>18</v>
      </c>
      <c r="B2" s="52" t="s">
        <v>19</v>
      </c>
      <c r="C2" s="52" t="s">
        <v>20</v>
      </c>
      <c r="D2" s="52" t="s">
        <v>21</v>
      </c>
      <c r="E2" s="53" t="s">
        <v>22</v>
      </c>
      <c r="F2" s="53" t="s">
        <v>23</v>
      </c>
      <c r="G2" s="53" t="s">
        <v>24</v>
      </c>
      <c r="H2" s="52" t="s">
        <v>25</v>
      </c>
    </row>
    <row r="3" spans="1:8" ht="15">
      <c r="A3" s="51" t="s">
        <v>26</v>
      </c>
      <c r="B3" s="54">
        <f>52*5/12</f>
        <v>21.666666666666668</v>
      </c>
      <c r="C3" s="55">
        <f>$B$3*2</f>
        <v>43.333333333333336</v>
      </c>
      <c r="D3" s="55">
        <f>$B$3*3</f>
        <v>65</v>
      </c>
      <c r="E3" s="55">
        <f>$B$3*4</f>
        <v>86.66666666666667</v>
      </c>
      <c r="F3" s="55">
        <f>$B$3*5</f>
        <v>108.33333333333334</v>
      </c>
      <c r="G3" s="55">
        <f>$B$3*6</f>
        <v>130</v>
      </c>
      <c r="H3" s="55">
        <f>$B$3*7</f>
        <v>151.66666666666669</v>
      </c>
    </row>
    <row r="4" spans="1:8" ht="15">
      <c r="A4" s="51" t="s">
        <v>27</v>
      </c>
      <c r="B4" s="54">
        <f>52*4/12</f>
        <v>17.333333333333332</v>
      </c>
      <c r="C4" s="55">
        <f>$B$4*2</f>
        <v>34.666666666666664</v>
      </c>
      <c r="D4" s="55">
        <f>$B$4*3</f>
        <v>52</v>
      </c>
      <c r="E4" s="55">
        <f>$B$4*4</f>
        <v>69.33333333333333</v>
      </c>
      <c r="F4" s="55">
        <f>$B$4*5</f>
        <v>86.66666666666666</v>
      </c>
      <c r="G4" s="55">
        <f>$B$4*6</f>
        <v>104</v>
      </c>
      <c r="H4" s="55">
        <f>$B$4*7</f>
        <v>121.33333333333333</v>
      </c>
    </row>
    <row r="5" spans="1:8" ht="15">
      <c r="A5" s="51" t="s">
        <v>28</v>
      </c>
      <c r="B5" s="54">
        <f>52*3/12</f>
        <v>13</v>
      </c>
      <c r="C5" s="55">
        <f>$B$5*2</f>
        <v>26</v>
      </c>
      <c r="D5" s="55">
        <f>$B$5*3</f>
        <v>39</v>
      </c>
      <c r="E5" s="55">
        <f>$B$5*4</f>
        <v>52</v>
      </c>
      <c r="F5" s="55">
        <f>$B$5*5</f>
        <v>65</v>
      </c>
      <c r="G5" s="55">
        <f>$B$5*6</f>
        <v>78</v>
      </c>
      <c r="H5" s="55">
        <f>$B$5*7</f>
        <v>91</v>
      </c>
    </row>
    <row r="6" spans="1:8" ht="15">
      <c r="A6" s="51" t="s">
        <v>29</v>
      </c>
      <c r="B6" s="54">
        <f>52*2/12</f>
        <v>8.666666666666666</v>
      </c>
      <c r="C6" s="56">
        <f>$B$6*2</f>
        <v>17.333333333333332</v>
      </c>
      <c r="D6" s="56">
        <f>$B$6*3</f>
        <v>26</v>
      </c>
      <c r="E6" s="56">
        <f>$B$6*4</f>
        <v>34.666666666666664</v>
      </c>
      <c r="F6" s="56">
        <f>$B$6*5</f>
        <v>43.33333333333333</v>
      </c>
      <c r="G6" s="56">
        <f>$B$6*6</f>
        <v>52</v>
      </c>
      <c r="H6" s="56">
        <f>$B$6*7</f>
        <v>60.666666666666664</v>
      </c>
    </row>
    <row r="7" spans="1:8" ht="15">
      <c r="A7" s="51" t="s">
        <v>30</v>
      </c>
      <c r="B7" s="54">
        <f>52/12</f>
        <v>4.333333333333333</v>
      </c>
      <c r="C7" s="56">
        <f>$B$7*2</f>
        <v>8.666666666666666</v>
      </c>
      <c r="D7" s="56">
        <f>$B$7*3</f>
        <v>13</v>
      </c>
      <c r="E7" s="56">
        <f>$B$7*4</f>
        <v>17.333333333333332</v>
      </c>
      <c r="F7" s="56">
        <f>$B$7*5</f>
        <v>21.666666666666664</v>
      </c>
      <c r="G7" s="56">
        <f>$B$7*6</f>
        <v>26</v>
      </c>
      <c r="H7" s="56">
        <f>$B$7*7</f>
        <v>30.333333333333332</v>
      </c>
    </row>
    <row r="8" spans="1:8" ht="15">
      <c r="A8" s="51" t="s">
        <v>31</v>
      </c>
      <c r="B8" s="54">
        <f>26/12</f>
        <v>2.1666666666666665</v>
      </c>
      <c r="C8" s="56">
        <f>$B$8*2</f>
        <v>4.333333333333333</v>
      </c>
      <c r="D8" s="56">
        <f>$B$8*3</f>
        <v>6.5</v>
      </c>
      <c r="E8" s="56">
        <f>$B$8*4</f>
        <v>8.666666666666666</v>
      </c>
      <c r="F8" s="56">
        <f>$B$8*5</f>
        <v>10.833333333333332</v>
      </c>
      <c r="G8" s="56">
        <f>$B$8*6</f>
        <v>13</v>
      </c>
      <c r="H8" s="56">
        <f>$B$8*7</f>
        <v>15.166666666666666</v>
      </c>
    </row>
    <row r="9" spans="1:8" ht="15">
      <c r="A9" s="51" t="s">
        <v>32</v>
      </c>
      <c r="B9" s="54">
        <f>12/12</f>
        <v>1</v>
      </c>
      <c r="C9" s="56">
        <f>$B$9*2</f>
        <v>2</v>
      </c>
      <c r="D9" s="56">
        <f>$B$9*3</f>
        <v>3</v>
      </c>
      <c r="E9" s="56">
        <f>$B$9*4</f>
        <v>4</v>
      </c>
      <c r="F9" s="56">
        <f>$B$9*5</f>
        <v>5</v>
      </c>
      <c r="G9" s="56">
        <f>$B$9*6</f>
        <v>6</v>
      </c>
      <c r="H9" s="56">
        <f>$B$9*7</f>
        <v>7</v>
      </c>
    </row>
    <row r="10" spans="1:8" ht="15">
      <c r="A10" s="51"/>
      <c r="B10" s="54"/>
      <c r="C10" s="56"/>
      <c r="D10" s="56"/>
      <c r="E10" s="56"/>
      <c r="F10" s="56"/>
      <c r="G10" s="56"/>
      <c r="H10" s="56"/>
    </row>
    <row r="11" spans="1:8" ht="15">
      <c r="A11" s="166" t="s">
        <v>33</v>
      </c>
      <c r="B11" s="166"/>
      <c r="C11" s="56"/>
      <c r="D11" s="56"/>
      <c r="E11" s="56"/>
      <c r="F11" s="56"/>
      <c r="G11" s="56"/>
      <c r="H11" s="56"/>
    </row>
    <row r="12" spans="1:8" ht="15">
      <c r="A12" s="57" t="s">
        <v>34</v>
      </c>
      <c r="B12" s="58" t="s">
        <v>35</v>
      </c>
      <c r="C12" s="56"/>
      <c r="D12" s="56"/>
      <c r="E12" s="56"/>
      <c r="F12" s="56"/>
      <c r="G12" s="56"/>
      <c r="H12" s="56"/>
    </row>
    <row r="13" spans="1:8" ht="15">
      <c r="A13" s="59" t="s">
        <v>36</v>
      </c>
      <c r="B13" s="60">
        <v>20</v>
      </c>
      <c r="C13" s="56"/>
      <c r="D13" s="56"/>
      <c r="E13" s="56"/>
      <c r="F13" s="56"/>
      <c r="G13" s="56"/>
      <c r="H13" s="56"/>
    </row>
    <row r="14" spans="1:8" ht="15">
      <c r="A14" s="59" t="s">
        <v>37</v>
      </c>
      <c r="B14" s="60">
        <v>34</v>
      </c>
      <c r="C14" s="56"/>
      <c r="D14" s="56"/>
      <c r="E14" s="56"/>
      <c r="F14" s="56"/>
      <c r="G14" s="56"/>
      <c r="H14" s="56"/>
    </row>
    <row r="15" spans="1:8" ht="15">
      <c r="A15" s="59" t="s">
        <v>38</v>
      </c>
      <c r="B15" s="60">
        <v>51</v>
      </c>
      <c r="C15" s="56"/>
      <c r="D15" s="56"/>
      <c r="E15" s="56"/>
      <c r="F15" s="56"/>
      <c r="G15" s="56"/>
      <c r="H15" s="56"/>
    </row>
    <row r="16" spans="1:8" ht="15">
      <c r="A16" s="59" t="s">
        <v>39</v>
      </c>
      <c r="B16" s="60">
        <v>77</v>
      </c>
      <c r="C16" s="56"/>
      <c r="D16" s="56"/>
      <c r="E16" s="56"/>
      <c r="F16" s="51" t="s">
        <v>40</v>
      </c>
      <c r="G16" s="60">
        <v>2000</v>
      </c>
      <c r="H16" s="56"/>
    </row>
    <row r="17" spans="1:8" ht="15">
      <c r="A17" s="59" t="s">
        <v>41</v>
      </c>
      <c r="B17" s="60">
        <v>97</v>
      </c>
      <c r="C17" s="56"/>
      <c r="D17" s="56"/>
      <c r="E17" s="56"/>
      <c r="F17" s="51" t="s">
        <v>42</v>
      </c>
      <c r="G17" s="61" t="s">
        <v>43</v>
      </c>
      <c r="H17" s="56"/>
    </row>
    <row r="18" spans="1:8" ht="15">
      <c r="A18" s="59" t="s">
        <v>44</v>
      </c>
      <c r="B18" s="60">
        <v>117</v>
      </c>
      <c r="C18" s="56"/>
      <c r="D18" s="56"/>
      <c r="E18" s="56"/>
      <c r="F18" s="51"/>
      <c r="G18" s="51"/>
      <c r="H18" s="56"/>
    </row>
    <row r="19" spans="1:8" ht="15">
      <c r="A19" s="59" t="s">
        <v>45</v>
      </c>
      <c r="B19" s="60">
        <v>157</v>
      </c>
      <c r="C19" s="56"/>
      <c r="D19" s="56"/>
      <c r="E19" s="56"/>
      <c r="F19" s="62"/>
      <c r="G19" s="63"/>
      <c r="H19" s="56"/>
    </row>
    <row r="20" spans="1:8" ht="15">
      <c r="A20" s="59" t="s">
        <v>46</v>
      </c>
      <c r="B20" s="60">
        <v>37</v>
      </c>
      <c r="C20" s="56" t="s">
        <v>47</v>
      </c>
      <c r="D20" s="56"/>
      <c r="E20" s="56"/>
      <c r="F20" s="62"/>
      <c r="G20" s="63"/>
      <c r="H20" s="56"/>
    </row>
    <row r="21" spans="1:8" ht="15">
      <c r="A21" s="59" t="s">
        <v>48</v>
      </c>
      <c r="B21" s="60">
        <v>47</v>
      </c>
      <c r="C21" s="56"/>
      <c r="D21" s="56"/>
      <c r="E21" s="56"/>
      <c r="F21" s="56"/>
      <c r="G21" s="56"/>
      <c r="H21" s="56"/>
    </row>
    <row r="22" spans="1:8" ht="15">
      <c r="A22" s="59" t="s">
        <v>49</v>
      </c>
      <c r="B22" s="60">
        <v>68</v>
      </c>
      <c r="C22" s="56"/>
      <c r="D22" s="56"/>
      <c r="E22" s="56"/>
      <c r="F22" s="56"/>
      <c r="G22" s="56"/>
      <c r="H22" s="56"/>
    </row>
    <row r="23" spans="1:8" ht="15">
      <c r="A23" s="59" t="s">
        <v>50</v>
      </c>
      <c r="B23" s="60">
        <v>34</v>
      </c>
      <c r="C23" s="56"/>
      <c r="D23" s="56"/>
      <c r="E23" s="56"/>
      <c r="F23" s="56"/>
      <c r="G23" s="56"/>
      <c r="H23" s="56"/>
    </row>
    <row r="24" spans="1:8" ht="15">
      <c r="A24" s="59" t="s">
        <v>51</v>
      </c>
      <c r="B24" s="60">
        <v>34</v>
      </c>
      <c r="C24" s="56"/>
      <c r="D24" s="56"/>
      <c r="E24" s="56"/>
      <c r="F24" s="56"/>
      <c r="G24" s="56"/>
      <c r="H24" s="56"/>
    </row>
    <row r="25" spans="1:8" ht="15">
      <c r="A25" s="57" t="s">
        <v>52</v>
      </c>
      <c r="B25" s="60"/>
      <c r="C25" s="56"/>
      <c r="D25" s="56"/>
      <c r="E25" s="56"/>
      <c r="F25" s="56"/>
      <c r="G25" s="56"/>
      <c r="H25" s="56"/>
    </row>
    <row r="26" spans="1:8" ht="15">
      <c r="A26" s="59" t="s">
        <v>53</v>
      </c>
      <c r="B26" s="60">
        <v>29</v>
      </c>
      <c r="C26" s="56"/>
      <c r="D26" s="56"/>
      <c r="E26" s="56"/>
      <c r="F26" s="56"/>
      <c r="G26" s="56"/>
      <c r="H26" s="56"/>
    </row>
    <row r="27" spans="1:8" ht="15">
      <c r="A27" s="59" t="s">
        <v>54</v>
      </c>
      <c r="B27" s="60">
        <v>175</v>
      </c>
      <c r="C27" s="56"/>
      <c r="D27" s="56"/>
      <c r="E27" s="56"/>
      <c r="F27" s="56"/>
      <c r="G27" s="56"/>
      <c r="H27" s="56"/>
    </row>
    <row r="28" spans="1:8" ht="15">
      <c r="A28" s="59" t="s">
        <v>55</v>
      </c>
      <c r="B28" s="60">
        <v>250</v>
      </c>
      <c r="C28" s="56"/>
      <c r="D28" s="56"/>
      <c r="E28" s="56"/>
      <c r="F28" s="56"/>
      <c r="G28" s="56"/>
      <c r="H28" s="56"/>
    </row>
    <row r="29" spans="1:8" ht="15">
      <c r="A29" s="59" t="s">
        <v>56</v>
      </c>
      <c r="B29" s="60">
        <v>324</v>
      </c>
      <c r="C29" s="56"/>
      <c r="D29" s="56"/>
      <c r="E29" s="56"/>
      <c r="F29" s="56"/>
      <c r="G29" s="56"/>
      <c r="H29" s="56"/>
    </row>
    <row r="30" spans="1:8" ht="15">
      <c r="A30" s="59" t="s">
        <v>57</v>
      </c>
      <c r="B30" s="60">
        <v>473</v>
      </c>
      <c r="C30" s="56"/>
      <c r="D30" s="56"/>
      <c r="E30" s="56"/>
      <c r="F30" s="56"/>
      <c r="G30" s="56"/>
      <c r="H30" s="56"/>
    </row>
    <row r="31" spans="1:8" ht="15">
      <c r="A31" s="59" t="s">
        <v>58</v>
      </c>
      <c r="B31" s="60">
        <v>613</v>
      </c>
      <c r="C31" s="56"/>
      <c r="D31" s="56"/>
      <c r="E31" s="56"/>
      <c r="F31" s="56"/>
      <c r="G31" s="56"/>
      <c r="H31" s="56"/>
    </row>
    <row r="32" spans="1:8" ht="15">
      <c r="A32" s="59" t="s">
        <v>59</v>
      </c>
      <c r="B32" s="60">
        <v>840</v>
      </c>
      <c r="C32" s="56"/>
      <c r="D32" s="56"/>
      <c r="E32" s="56"/>
      <c r="F32" s="56"/>
      <c r="G32" s="56"/>
      <c r="H32" s="56"/>
    </row>
    <row r="33" spans="1:8" ht="15">
      <c r="A33" s="59" t="s">
        <v>60</v>
      </c>
      <c r="B33" s="60">
        <v>980</v>
      </c>
      <c r="C33" s="56"/>
      <c r="D33" s="56"/>
      <c r="E33" s="56"/>
      <c r="F33" s="56"/>
      <c r="G33" s="56"/>
      <c r="H33" s="56"/>
    </row>
    <row r="34" spans="1:8" ht="15">
      <c r="A34" s="59" t="s">
        <v>61</v>
      </c>
      <c r="B34" s="60">
        <v>482</v>
      </c>
      <c r="C34" s="56" t="s">
        <v>47</v>
      </c>
      <c r="D34" s="56"/>
      <c r="E34" s="56"/>
      <c r="F34" s="56"/>
      <c r="G34" s="56"/>
      <c r="H34" s="56"/>
    </row>
    <row r="35" spans="1:8" ht="15">
      <c r="A35" s="59" t="s">
        <v>62</v>
      </c>
      <c r="B35" s="60">
        <v>689</v>
      </c>
      <c r="C35" s="56" t="s">
        <v>47</v>
      </c>
      <c r="D35" s="56"/>
      <c r="E35" s="56"/>
      <c r="F35" s="56"/>
      <c r="G35" s="56"/>
      <c r="H35" s="56"/>
    </row>
    <row r="36" spans="1:8" ht="15">
      <c r="A36" s="59" t="s">
        <v>63</v>
      </c>
      <c r="B36" s="60">
        <v>892</v>
      </c>
      <c r="C36" s="56" t="s">
        <v>47</v>
      </c>
      <c r="D36" s="56"/>
      <c r="E36" s="56"/>
      <c r="F36" s="56"/>
      <c r="G36" s="56"/>
      <c r="H36" s="56"/>
    </row>
    <row r="37" spans="1:8" ht="15">
      <c r="A37" s="59" t="s">
        <v>64</v>
      </c>
      <c r="B37" s="60">
        <v>1301</v>
      </c>
      <c r="C37" s="56"/>
      <c r="D37" s="56"/>
      <c r="E37" s="56"/>
      <c r="F37" s="56"/>
      <c r="G37" s="56"/>
      <c r="H37" s="56"/>
    </row>
    <row r="38" spans="1:8" ht="15">
      <c r="A38" s="59" t="s">
        <v>65</v>
      </c>
      <c r="B38" s="60">
        <v>1686</v>
      </c>
      <c r="C38" s="56"/>
      <c r="D38" s="56"/>
      <c r="E38" s="56"/>
      <c r="F38" s="56"/>
      <c r="G38" s="56"/>
      <c r="H38" s="56"/>
    </row>
    <row r="39" spans="1:8" ht="15">
      <c r="A39" s="59" t="s">
        <v>66</v>
      </c>
      <c r="B39" s="60">
        <v>2046</v>
      </c>
      <c r="C39" s="56"/>
      <c r="D39" s="56"/>
      <c r="E39" s="56"/>
      <c r="F39" s="56"/>
      <c r="G39" s="56"/>
      <c r="H39" s="56"/>
    </row>
    <row r="40" spans="1:8" ht="15">
      <c r="A40" s="59" t="s">
        <v>67</v>
      </c>
      <c r="B40" s="60">
        <v>2310</v>
      </c>
      <c r="C40" s="56"/>
      <c r="D40" s="56"/>
      <c r="E40" s="56"/>
      <c r="F40" s="56"/>
      <c r="G40" s="56"/>
      <c r="H40" s="56"/>
    </row>
    <row r="41" spans="1:8" ht="15">
      <c r="A41" s="59" t="s">
        <v>68</v>
      </c>
      <c r="B41" s="60">
        <v>2800</v>
      </c>
      <c r="C41" s="56" t="s">
        <v>47</v>
      </c>
      <c r="D41" s="56"/>
      <c r="E41" s="56"/>
      <c r="F41" s="56"/>
      <c r="G41" s="56"/>
      <c r="H41" s="56"/>
    </row>
    <row r="42" spans="1:8" ht="15">
      <c r="A42" s="59" t="s">
        <v>69</v>
      </c>
      <c r="B42" s="60">
        <v>125</v>
      </c>
      <c r="C42" s="56"/>
      <c r="D42" s="56"/>
      <c r="E42" s="56"/>
      <c r="F42" s="56"/>
      <c r="G42" s="56"/>
      <c r="H42" s="56"/>
    </row>
    <row r="43" spans="1:8" ht="15">
      <c r="A43" s="51"/>
      <c r="B43" s="167" t="s">
        <v>70</v>
      </c>
      <c r="C43" s="167"/>
      <c r="D43" s="51"/>
      <c r="E43" s="51"/>
      <c r="F43" s="51"/>
      <c r="G43" s="51"/>
      <c r="H43" s="51"/>
    </row>
    <row r="44" spans="1:8" ht="15">
      <c r="A44" s="51"/>
      <c r="B44" s="51"/>
      <c r="C44" s="51"/>
      <c r="D44" s="51"/>
      <c r="E44" s="51"/>
      <c r="F44" s="51"/>
      <c r="G44" s="51"/>
      <c r="H44" s="51"/>
    </row>
    <row r="45" spans="1:8" ht="15">
      <c r="A45" s="51"/>
      <c r="B45" s="51"/>
      <c r="C45" s="51"/>
      <c r="D45" s="51"/>
      <c r="E45" s="51"/>
      <c r="F45" s="51"/>
      <c r="G45" s="51"/>
      <c r="H45" s="51"/>
    </row>
    <row r="46" spans="1:8" ht="15">
      <c r="A46" s="64" t="s">
        <v>71</v>
      </c>
      <c r="B46" s="65" t="s">
        <v>72</v>
      </c>
      <c r="C46" s="65" t="s">
        <v>73</v>
      </c>
      <c r="D46" s="51"/>
      <c r="E46" s="51"/>
      <c r="F46" s="168" t="s">
        <v>74</v>
      </c>
      <c r="G46" s="168"/>
      <c r="H46" s="51"/>
    </row>
    <row r="47" spans="1:8" ht="15">
      <c r="A47" s="66" t="s">
        <v>75</v>
      </c>
      <c r="B47" s="131">
        <v>75</v>
      </c>
      <c r="C47" s="132">
        <f>B47/2000</f>
        <v>0.0375</v>
      </c>
      <c r="D47" s="51"/>
      <c r="E47" s="51"/>
      <c r="F47" s="51" t="s">
        <v>76</v>
      </c>
      <c r="G47" s="154">
        <f>0.015</f>
        <v>0.015</v>
      </c>
      <c r="H47" s="51"/>
    </row>
    <row r="48" spans="1:8" ht="15">
      <c r="A48" s="66" t="s">
        <v>77</v>
      </c>
      <c r="B48" s="130">
        <v>80</v>
      </c>
      <c r="C48" s="133">
        <f>B48/2000</f>
        <v>0.04</v>
      </c>
      <c r="D48" s="51"/>
      <c r="E48" s="51"/>
      <c r="F48" s="51" t="s">
        <v>78</v>
      </c>
      <c r="G48" s="155">
        <v>0.0051</v>
      </c>
      <c r="H48" s="51"/>
    </row>
    <row r="49" spans="1:8" ht="15">
      <c r="A49" s="59" t="s">
        <v>79</v>
      </c>
      <c r="B49" s="131">
        <f>B48-B47</f>
        <v>5</v>
      </c>
      <c r="C49" s="134">
        <f>C48-C47</f>
        <v>0.0025000000000000022</v>
      </c>
      <c r="D49" s="51"/>
      <c r="E49" s="51"/>
      <c r="F49" s="51" t="s">
        <v>80</v>
      </c>
      <c r="G49" s="162">
        <v>0.01834</v>
      </c>
      <c r="H49" s="51"/>
    </row>
    <row r="50" spans="1:8" ht="15">
      <c r="A50" s="51"/>
      <c r="B50" s="51"/>
      <c r="C50" s="51"/>
      <c r="D50" s="51"/>
      <c r="E50" s="51"/>
      <c r="G50" s="160">
        <f>SUM(G47:G49)</f>
        <v>0.03844</v>
      </c>
      <c r="H50" s="51"/>
    </row>
    <row r="51" spans="1:8" ht="15">
      <c r="A51" s="51"/>
      <c r="C51" s="67" t="s">
        <v>81</v>
      </c>
      <c r="D51" s="51"/>
      <c r="E51" s="51"/>
      <c r="H51" s="51"/>
    </row>
    <row r="52" spans="1:8" ht="15">
      <c r="A52" s="51" t="s">
        <v>82</v>
      </c>
      <c r="C52" s="68">
        <f>B49</f>
        <v>5</v>
      </c>
      <c r="D52" s="51"/>
      <c r="E52" s="51"/>
      <c r="F52" s="51"/>
      <c r="G52" s="156"/>
      <c r="H52" s="51"/>
    </row>
    <row r="53" spans="1:8" ht="15">
      <c r="A53" s="51" t="s">
        <v>84</v>
      </c>
      <c r="C53" s="68">
        <f>C52/$G$57</f>
        <v>5.199883522609094</v>
      </c>
      <c r="D53" s="51"/>
      <c r="E53" s="51"/>
      <c r="F53" s="51" t="s">
        <v>3</v>
      </c>
      <c r="G53" s="157">
        <f>+G52+G50</f>
        <v>0.03844</v>
      </c>
      <c r="H53" s="51"/>
    </row>
    <row r="54" spans="1:8" ht="15">
      <c r="A54" s="51" t="s">
        <v>85</v>
      </c>
      <c r="C54" s="70">
        <f>'Calc. and priceout'!C114</f>
        <v>53795.479280000014</v>
      </c>
      <c r="D54" s="51"/>
      <c r="E54" s="51"/>
      <c r="F54" s="51"/>
      <c r="G54" s="51"/>
      <c r="H54" s="51"/>
    </row>
    <row r="55" spans="1:8" ht="17.25">
      <c r="A55" s="57" t="s">
        <v>86</v>
      </c>
      <c r="C55" s="159">
        <f>C53*C54</f>
        <v>279730.226298931</v>
      </c>
      <c r="D55" s="51"/>
      <c r="E55" s="51"/>
      <c r="F55" s="51" t="s">
        <v>83</v>
      </c>
      <c r="G55" s="69">
        <f>1-G50</f>
        <v>0.96156</v>
      </c>
      <c r="H55" s="51" t="s">
        <v>182</v>
      </c>
    </row>
    <row r="56" spans="1:8" ht="15">
      <c r="A56" s="51"/>
      <c r="B56" s="51"/>
      <c r="C56" s="51"/>
      <c r="D56" s="51"/>
      <c r="E56" s="51"/>
      <c r="F56" s="51"/>
      <c r="G56" s="51"/>
      <c r="H56" s="51"/>
    </row>
    <row r="57" spans="1:8" ht="15">
      <c r="A57" s="51" t="s">
        <v>180</v>
      </c>
      <c r="C57" s="150">
        <f>+'Co. Pro Tonnage'!J11</f>
        <v>60443.80888000014</v>
      </c>
      <c r="F57" s="51" t="s">
        <v>83</v>
      </c>
      <c r="G57" s="69">
        <f>1-G53</f>
        <v>0.96156</v>
      </c>
      <c r="H57" t="s">
        <v>181</v>
      </c>
    </row>
    <row r="58" spans="1:3" ht="17.25">
      <c r="A58" s="51"/>
      <c r="B58" s="161"/>
      <c r="C58" s="151"/>
    </row>
    <row r="59" spans="1:3" ht="17.25">
      <c r="A59" s="57"/>
      <c r="B59" s="150"/>
      <c r="C59" s="152">
        <f>+C57+C55</f>
        <v>340174.03517893114</v>
      </c>
    </row>
    <row r="60" spans="1:3" ht="17.25">
      <c r="A60" s="57"/>
      <c r="B60" s="149"/>
      <c r="C60" s="152"/>
    </row>
    <row r="61" spans="1:3" ht="17.25">
      <c r="A61" s="57"/>
      <c r="B61" s="151"/>
      <c r="C61" s="152"/>
    </row>
    <row r="62" spans="1:3" ht="17.25">
      <c r="A62" s="57"/>
      <c r="B62" s="163"/>
      <c r="C62" s="152"/>
    </row>
    <row r="64" spans="1:2" ht="48.75" customHeight="1">
      <c r="A64" s="169"/>
      <c r="B64" s="169"/>
    </row>
  </sheetData>
  <sheetProtection/>
  <mergeCells count="5">
    <mergeCell ref="A1:H1"/>
    <mergeCell ref="A11:B11"/>
    <mergeCell ref="B43:C43"/>
    <mergeCell ref="F46:G46"/>
    <mergeCell ref="A64:B64"/>
  </mergeCells>
  <printOptions/>
  <pageMargins left="0.7" right="0.7" top="0.75" bottom="0.75" header="0.3" footer="0.3"/>
  <pageSetup fitToHeight="1" fitToWidth="1"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5"/>
  <sheetViews>
    <sheetView zoomScale="80" zoomScaleNormal="80" zoomScalePageLayoutView="0" workbookViewId="0" topLeftCell="A1">
      <pane xSplit="3" ySplit="1" topLeftCell="D107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124" sqref="C124"/>
    </sheetView>
  </sheetViews>
  <sheetFormatPr defaultColWidth="8.8515625" defaultRowHeight="15"/>
  <cols>
    <col min="1" max="1" width="4.57421875" style="75" customWidth="1"/>
    <col min="2" max="2" width="21.140625" style="97" customWidth="1"/>
    <col min="3" max="3" width="24.140625" style="75" customWidth="1"/>
    <col min="4" max="4" width="13.00390625" style="101" customWidth="1"/>
    <col min="5" max="5" width="18.421875" style="75" customWidth="1"/>
    <col min="6" max="6" width="13.28125" style="75" customWidth="1"/>
    <col min="7" max="7" width="14.57421875" style="75" customWidth="1"/>
    <col min="8" max="8" width="21.421875" style="75" customWidth="1"/>
    <col min="9" max="9" width="16.28125" style="95" customWidth="1"/>
    <col min="10" max="10" width="14.140625" style="75" customWidth="1"/>
    <col min="11" max="11" width="14.28125" style="75" customWidth="1"/>
    <col min="12" max="12" width="10.7109375" style="75" customWidth="1"/>
    <col min="13" max="13" width="14.28125" style="75" customWidth="1"/>
    <col min="14" max="14" width="16.28125" style="75" customWidth="1"/>
    <col min="15" max="15" width="16.57421875" style="75" customWidth="1"/>
    <col min="16" max="16" width="13.57421875" style="75" bestFit="1" customWidth="1"/>
    <col min="17" max="17" width="16.57421875" style="75" bestFit="1" customWidth="1"/>
    <col min="18" max="18" width="16.28125" style="75" customWidth="1"/>
    <col min="19" max="16384" width="8.8515625" style="75" customWidth="1"/>
  </cols>
  <sheetData>
    <row r="1" spans="1:18" ht="42" customHeight="1">
      <c r="A1" s="64"/>
      <c r="B1" s="71" t="s">
        <v>87</v>
      </c>
      <c r="C1" s="72" t="s">
        <v>88</v>
      </c>
      <c r="D1" s="71" t="s">
        <v>89</v>
      </c>
      <c r="E1" s="71" t="s">
        <v>90</v>
      </c>
      <c r="F1" s="64" t="s">
        <v>91</v>
      </c>
      <c r="G1" s="71" t="s">
        <v>33</v>
      </c>
      <c r="H1" s="73" t="s">
        <v>92</v>
      </c>
      <c r="I1" s="74" t="s">
        <v>93</v>
      </c>
      <c r="J1" s="71" t="s">
        <v>79</v>
      </c>
      <c r="K1" s="71" t="s">
        <v>94</v>
      </c>
      <c r="L1" s="73" t="s">
        <v>95</v>
      </c>
      <c r="M1" s="71" t="s">
        <v>96</v>
      </c>
      <c r="N1" s="73" t="s">
        <v>131</v>
      </c>
      <c r="O1" s="73" t="s">
        <v>97</v>
      </c>
      <c r="P1" s="71" t="s">
        <v>98</v>
      </c>
      <c r="Q1" s="73" t="s">
        <v>99</v>
      </c>
      <c r="R1" s="71" t="s">
        <v>100</v>
      </c>
    </row>
    <row r="2" spans="1:22" s="80" customFormat="1" ht="15">
      <c r="A2" s="170" t="s">
        <v>101</v>
      </c>
      <c r="B2" s="76">
        <v>22</v>
      </c>
      <c r="C2" s="28" t="s">
        <v>111</v>
      </c>
      <c r="D2" s="77">
        <v>431</v>
      </c>
      <c r="E2" s="83">
        <v>4.333333333333333</v>
      </c>
      <c r="F2" s="124">
        <v>22412</v>
      </c>
      <c r="G2" s="141">
        <f>References!B13</f>
        <v>20</v>
      </c>
      <c r="H2" s="104">
        <f aca="true" t="shared" si="0" ref="H2:H21">G2*F2</f>
        <v>448240</v>
      </c>
      <c r="I2" s="82">
        <f aca="true" t="shared" si="1" ref="I2:I23">$C$117*H2</f>
        <v>338143.2355788525</v>
      </c>
      <c r="J2" s="78">
        <f>(References!$C$49*I2)</f>
        <v>845.3580889471319</v>
      </c>
      <c r="K2" s="78">
        <f>J2/References!$G$57</f>
        <v>879.1527194841008</v>
      </c>
      <c r="L2" s="148">
        <f>ROUND(((K2/F2)*E2),2)</f>
        <v>0.17</v>
      </c>
      <c r="M2" s="29">
        <v>9.71</v>
      </c>
      <c r="N2" s="78">
        <f aca="true" t="shared" si="2" ref="N2:N17">L2+M2</f>
        <v>9.88</v>
      </c>
      <c r="O2" s="78">
        <f>D2*M2*12</f>
        <v>50220.12</v>
      </c>
      <c r="P2" s="79">
        <f aca="true" t="shared" si="3" ref="P2:P23">N2</f>
        <v>9.88</v>
      </c>
      <c r="Q2" s="79">
        <f>D2*P2*12</f>
        <v>51099.36000000001</v>
      </c>
      <c r="R2" s="79">
        <f aca="true" t="shared" si="4" ref="R2:R23">Q2-O2</f>
        <v>879.2400000000052</v>
      </c>
      <c r="U2" s="164">
        <f>+N2/M2-1</f>
        <v>0.01750772399588052</v>
      </c>
      <c r="V2" s="29"/>
    </row>
    <row r="3" spans="1:22" s="80" customFormat="1" ht="15">
      <c r="A3" s="170"/>
      <c r="B3" s="76">
        <v>22</v>
      </c>
      <c r="C3" s="28" t="s">
        <v>184</v>
      </c>
      <c r="D3" s="128">
        <v>1E-05</v>
      </c>
      <c r="E3" s="83">
        <v>4.333333333333333</v>
      </c>
      <c r="F3" s="128">
        <v>22412</v>
      </c>
      <c r="G3" s="141">
        <v>20</v>
      </c>
      <c r="H3" s="128">
        <f>G3*F3</f>
        <v>448240</v>
      </c>
      <c r="I3" s="82">
        <f>$C$117*H3</f>
        <v>338143.2355788525</v>
      </c>
      <c r="J3" s="129">
        <f>(References!$C$49*I3)</f>
        <v>845.3580889471319</v>
      </c>
      <c r="K3" s="129">
        <f>J3/References!$G$57</f>
        <v>879.1527194841008</v>
      </c>
      <c r="L3" s="148">
        <f>ROUND(((K3/F3)*E3),2)</f>
        <v>0.17</v>
      </c>
      <c r="M3" s="29">
        <v>10.71</v>
      </c>
      <c r="N3" s="129">
        <f>L3+M3</f>
        <v>10.88</v>
      </c>
      <c r="O3" s="129">
        <f>D3*M3*12</f>
        <v>0.0012852000000000002</v>
      </c>
      <c r="P3" s="79">
        <f>N3</f>
        <v>10.88</v>
      </c>
      <c r="Q3" s="79">
        <f>D3*P3*12</f>
        <v>0.0013056</v>
      </c>
      <c r="R3" s="79">
        <f>Q3-O3</f>
        <v>2.0399999999999845E-05</v>
      </c>
      <c r="U3" s="164">
        <f>+N3/M3-1</f>
        <v>0.015873015873015817</v>
      </c>
      <c r="V3" s="29"/>
    </row>
    <row r="4" spans="1:22" s="80" customFormat="1" ht="15">
      <c r="A4" s="170"/>
      <c r="B4" s="76">
        <v>22</v>
      </c>
      <c r="C4" s="28" t="s">
        <v>112</v>
      </c>
      <c r="D4" s="104">
        <v>2130</v>
      </c>
      <c r="E4" s="83">
        <v>2.1666666666666665</v>
      </c>
      <c r="F4" s="124">
        <v>55380</v>
      </c>
      <c r="G4" s="141">
        <f>References!$B$14</f>
        <v>34</v>
      </c>
      <c r="H4" s="104">
        <f t="shared" si="0"/>
        <v>1882920</v>
      </c>
      <c r="I4" s="82">
        <f t="shared" si="1"/>
        <v>1420436.955952465</v>
      </c>
      <c r="J4" s="78">
        <f>(References!$C$49*I4)</f>
        <v>3551.0923898811657</v>
      </c>
      <c r="K4" s="129">
        <f>J4/References!$G$57</f>
        <v>3693.0533610811244</v>
      </c>
      <c r="L4" s="148">
        <f aca="true" t="shared" si="5" ref="L4:L23">ROUND(((K4/F4)*E4),2)</f>
        <v>0.14</v>
      </c>
      <c r="M4" s="29">
        <v>8.729999999999999</v>
      </c>
      <c r="N4" s="78">
        <f t="shared" si="2"/>
        <v>8.87</v>
      </c>
      <c r="O4" s="78">
        <f>D4*M4*12</f>
        <v>223138.8</v>
      </c>
      <c r="P4" s="79">
        <f t="shared" si="3"/>
        <v>8.87</v>
      </c>
      <c r="Q4" s="79">
        <f>D4*P4*12</f>
        <v>226717.19999999998</v>
      </c>
      <c r="R4" s="79">
        <f t="shared" si="4"/>
        <v>3578.399999999994</v>
      </c>
      <c r="U4" s="164">
        <f aca="true" t="shared" si="6" ref="U4:U67">+N4/M4-1</f>
        <v>0.01603665521191311</v>
      </c>
      <c r="V4" s="29"/>
    </row>
    <row r="5" spans="1:22" s="80" customFormat="1" ht="15">
      <c r="A5" s="170"/>
      <c r="B5" s="76">
        <v>22</v>
      </c>
      <c r="C5" s="28" t="s">
        <v>113</v>
      </c>
      <c r="D5" s="104">
        <v>237</v>
      </c>
      <c r="E5" s="83">
        <v>1</v>
      </c>
      <c r="F5" s="124">
        <v>2844</v>
      </c>
      <c r="G5" s="141">
        <f>References!$B$14</f>
        <v>34</v>
      </c>
      <c r="H5" s="104">
        <f t="shared" si="0"/>
        <v>96696</v>
      </c>
      <c r="I5" s="82">
        <f t="shared" si="1"/>
        <v>72945.51648119919</v>
      </c>
      <c r="J5" s="78">
        <f>(References!$C$49*I5)</f>
        <v>182.36379120299813</v>
      </c>
      <c r="K5" s="129">
        <f>J5/References!$G$57</f>
        <v>189.65409459939903</v>
      </c>
      <c r="L5" s="148">
        <f t="shared" si="5"/>
        <v>0.07</v>
      </c>
      <c r="M5" s="29">
        <v>5.83</v>
      </c>
      <c r="N5" s="78">
        <f t="shared" si="2"/>
        <v>5.9</v>
      </c>
      <c r="O5" s="78">
        <f>D5*M5*12</f>
        <v>16580.52</v>
      </c>
      <c r="P5" s="79">
        <f t="shared" si="3"/>
        <v>5.9</v>
      </c>
      <c r="Q5" s="79">
        <f>D5*P5*12</f>
        <v>16779.600000000002</v>
      </c>
      <c r="R5" s="79">
        <f t="shared" si="4"/>
        <v>199.08000000000175</v>
      </c>
      <c r="U5" s="164">
        <f t="shared" si="6"/>
        <v>0.012006861063464935</v>
      </c>
      <c r="V5" s="29"/>
    </row>
    <row r="6" spans="1:22" s="80" customFormat="1" ht="15">
      <c r="A6" s="170"/>
      <c r="B6" s="76">
        <v>23</v>
      </c>
      <c r="C6" s="28" t="s">
        <v>114</v>
      </c>
      <c r="D6" s="104">
        <v>66</v>
      </c>
      <c r="E6" s="83">
        <v>1</v>
      </c>
      <c r="F6" s="124">
        <v>792</v>
      </c>
      <c r="G6" s="141">
        <f>References!$B$14</f>
        <v>34</v>
      </c>
      <c r="H6" s="104">
        <f t="shared" si="0"/>
        <v>26928</v>
      </c>
      <c r="I6" s="82">
        <f t="shared" si="1"/>
        <v>20313.941298561796</v>
      </c>
      <c r="J6" s="78">
        <f>(References!$C$49*I6)</f>
        <v>50.78485324640454</v>
      </c>
      <c r="K6" s="129">
        <f>J6/References!$G$57</f>
        <v>52.81506431881998</v>
      </c>
      <c r="L6" s="148">
        <f t="shared" si="5"/>
        <v>0.07</v>
      </c>
      <c r="M6" s="29">
        <v>5.83</v>
      </c>
      <c r="N6" s="78">
        <f t="shared" si="2"/>
        <v>5.9</v>
      </c>
      <c r="O6" s="78">
        <f>F6*M6</f>
        <v>4617.36</v>
      </c>
      <c r="P6" s="79">
        <f t="shared" si="3"/>
        <v>5.9</v>
      </c>
      <c r="Q6" s="79">
        <f>F6*P6</f>
        <v>4672.8</v>
      </c>
      <c r="R6" s="79">
        <f t="shared" si="4"/>
        <v>55.44000000000051</v>
      </c>
      <c r="U6" s="164">
        <f t="shared" si="6"/>
        <v>0.012006861063464935</v>
      </c>
      <c r="V6" s="29"/>
    </row>
    <row r="7" spans="1:22" s="80" customFormat="1" ht="15">
      <c r="A7" s="170"/>
      <c r="B7" s="76">
        <v>22</v>
      </c>
      <c r="C7" s="28" t="s">
        <v>115</v>
      </c>
      <c r="D7" s="104">
        <v>7505</v>
      </c>
      <c r="E7" s="83">
        <v>4.333333333333333</v>
      </c>
      <c r="F7" s="124">
        <v>390260</v>
      </c>
      <c r="G7" s="141">
        <f>References!$B$14</f>
        <v>34</v>
      </c>
      <c r="H7" s="104">
        <f t="shared" si="0"/>
        <v>13268840</v>
      </c>
      <c r="I7" s="82">
        <f t="shared" si="1"/>
        <v>10009745.872697888</v>
      </c>
      <c r="J7" s="78">
        <f>(References!$C$49*I7)</f>
        <v>25024.36468174474</v>
      </c>
      <c r="K7" s="129">
        <f>J7/References!$G$57</f>
        <v>26024.75631447309</v>
      </c>
      <c r="L7" s="148">
        <f t="shared" si="5"/>
        <v>0.29</v>
      </c>
      <c r="M7" s="29">
        <v>12.65</v>
      </c>
      <c r="N7" s="78">
        <f t="shared" si="2"/>
        <v>12.94</v>
      </c>
      <c r="O7" s="78">
        <f aca="true" t="shared" si="7" ref="O7:O22">D7*M7*12</f>
        <v>1139259</v>
      </c>
      <c r="P7" s="79">
        <f t="shared" si="3"/>
        <v>12.94</v>
      </c>
      <c r="Q7" s="79">
        <f aca="true" t="shared" si="8" ref="Q7:Q22">D7*P7*12</f>
        <v>1165376.4</v>
      </c>
      <c r="R7" s="79">
        <f t="shared" si="4"/>
        <v>26117.399999999907</v>
      </c>
      <c r="U7" s="164">
        <f t="shared" si="6"/>
        <v>0.02292490118577062</v>
      </c>
      <c r="V7" s="29"/>
    </row>
    <row r="8" spans="1:22" s="80" customFormat="1" ht="15">
      <c r="A8" s="170"/>
      <c r="B8" s="76">
        <v>22</v>
      </c>
      <c r="C8" s="28" t="s">
        <v>116</v>
      </c>
      <c r="D8" s="104">
        <v>1012</v>
      </c>
      <c r="E8" s="83">
        <v>8.666666666666666</v>
      </c>
      <c r="F8" s="124">
        <v>105248</v>
      </c>
      <c r="G8" s="141">
        <f>References!$B$14</f>
        <v>34</v>
      </c>
      <c r="H8" s="104">
        <f t="shared" si="0"/>
        <v>3578432</v>
      </c>
      <c r="I8" s="82">
        <f t="shared" si="1"/>
        <v>2699497.0881199897</v>
      </c>
      <c r="J8" s="78">
        <f>(References!$C$49*I8)</f>
        <v>6748.742720299981</v>
      </c>
      <c r="K8" s="129">
        <f>J8/References!$G$57</f>
        <v>7018.535213923188</v>
      </c>
      <c r="L8" s="148">
        <f t="shared" si="5"/>
        <v>0.58</v>
      </c>
      <c r="M8" s="29">
        <v>18.11</v>
      </c>
      <c r="N8" s="78">
        <f t="shared" si="2"/>
        <v>18.689999999999998</v>
      </c>
      <c r="O8" s="78">
        <f t="shared" si="7"/>
        <v>219927.84</v>
      </c>
      <c r="P8" s="79">
        <f t="shared" si="3"/>
        <v>18.689999999999998</v>
      </c>
      <c r="Q8" s="79">
        <f t="shared" si="8"/>
        <v>226971.36</v>
      </c>
      <c r="R8" s="79">
        <f t="shared" si="4"/>
        <v>7043.5199999999895</v>
      </c>
      <c r="U8" s="164">
        <f t="shared" si="6"/>
        <v>0.03202650469353929</v>
      </c>
      <c r="V8" s="29"/>
    </row>
    <row r="9" spans="1:22" s="80" customFormat="1" ht="15">
      <c r="A9" s="170"/>
      <c r="B9" s="76">
        <v>22</v>
      </c>
      <c r="C9" s="28" t="s">
        <v>117</v>
      </c>
      <c r="D9" s="104">
        <v>50</v>
      </c>
      <c r="E9" s="83">
        <v>13</v>
      </c>
      <c r="F9" s="124">
        <v>7800</v>
      </c>
      <c r="G9" s="141">
        <f>References!$B$14</f>
        <v>34</v>
      </c>
      <c r="H9" s="104">
        <f t="shared" si="0"/>
        <v>265200</v>
      </c>
      <c r="I9" s="82">
        <f t="shared" si="1"/>
        <v>200061.54309189648</v>
      </c>
      <c r="J9" s="78">
        <f>(References!$C$49*I9)</f>
        <v>500.1538577297417</v>
      </c>
      <c r="K9" s="129">
        <f>J9/References!$G$57</f>
        <v>520.1483607156513</v>
      </c>
      <c r="L9" s="148">
        <f t="shared" si="5"/>
        <v>0.87</v>
      </c>
      <c r="M9" s="29">
        <v>23.55</v>
      </c>
      <c r="N9" s="78">
        <f t="shared" si="2"/>
        <v>24.42</v>
      </c>
      <c r="O9" s="78">
        <f t="shared" si="7"/>
        <v>14130</v>
      </c>
      <c r="P9" s="79">
        <f t="shared" si="3"/>
        <v>24.42</v>
      </c>
      <c r="Q9" s="79">
        <f t="shared" si="8"/>
        <v>14652</v>
      </c>
      <c r="R9" s="79">
        <f t="shared" si="4"/>
        <v>522</v>
      </c>
      <c r="U9" s="164">
        <f t="shared" si="6"/>
        <v>0.03694267515923566</v>
      </c>
      <c r="V9" s="29"/>
    </row>
    <row r="10" spans="1:22" s="80" customFormat="1" ht="15">
      <c r="A10" s="170"/>
      <c r="B10" s="76">
        <v>22</v>
      </c>
      <c r="C10" s="28" t="s">
        <v>118</v>
      </c>
      <c r="D10" s="104">
        <v>12</v>
      </c>
      <c r="E10" s="83">
        <v>17.333333333333332</v>
      </c>
      <c r="F10" s="124">
        <v>2496</v>
      </c>
      <c r="G10" s="141">
        <f>References!$B$14</f>
        <v>34</v>
      </c>
      <c r="H10" s="104">
        <f t="shared" si="0"/>
        <v>84864</v>
      </c>
      <c r="I10" s="82">
        <f t="shared" si="1"/>
        <v>64019.693789406876</v>
      </c>
      <c r="J10" s="78">
        <f>(References!$C$49*I10)</f>
        <v>160.04923447351734</v>
      </c>
      <c r="K10" s="129">
        <f>J10/References!$G$57</f>
        <v>166.44747542900842</v>
      </c>
      <c r="L10" s="148">
        <f t="shared" si="5"/>
        <v>1.16</v>
      </c>
      <c r="M10" s="29">
        <v>29.01</v>
      </c>
      <c r="N10" s="78">
        <f t="shared" si="2"/>
        <v>30.17</v>
      </c>
      <c r="O10" s="78">
        <f t="shared" si="7"/>
        <v>4177.4400000000005</v>
      </c>
      <c r="P10" s="79">
        <f t="shared" si="3"/>
        <v>30.17</v>
      </c>
      <c r="Q10" s="79">
        <f t="shared" si="8"/>
        <v>4344.4800000000005</v>
      </c>
      <c r="R10" s="79">
        <f t="shared" si="4"/>
        <v>167.03999999999996</v>
      </c>
      <c r="U10" s="164">
        <f t="shared" si="6"/>
        <v>0.03998621165115468</v>
      </c>
      <c r="V10" s="29"/>
    </row>
    <row r="11" spans="1:22" s="80" customFormat="1" ht="15">
      <c r="A11" s="170"/>
      <c r="B11" s="76">
        <v>22</v>
      </c>
      <c r="C11" s="28" t="s">
        <v>119</v>
      </c>
      <c r="D11" s="104">
        <v>7</v>
      </c>
      <c r="E11" s="83">
        <v>21.666666666666664</v>
      </c>
      <c r="F11" s="124">
        <v>1820</v>
      </c>
      <c r="G11" s="141">
        <f>References!$B$14</f>
        <v>34</v>
      </c>
      <c r="H11" s="104">
        <f t="shared" si="0"/>
        <v>61880</v>
      </c>
      <c r="I11" s="82">
        <f t="shared" si="1"/>
        <v>46681.02672144251</v>
      </c>
      <c r="J11" s="78">
        <f>(References!$C$49*I11)</f>
        <v>116.70256680360639</v>
      </c>
      <c r="K11" s="129">
        <f>J11/References!$G$57</f>
        <v>121.36795083365197</v>
      </c>
      <c r="L11" s="148">
        <f t="shared" si="5"/>
        <v>1.44</v>
      </c>
      <c r="M11" s="29">
        <v>34.459999999999994</v>
      </c>
      <c r="N11" s="78">
        <f t="shared" si="2"/>
        <v>35.89999999999999</v>
      </c>
      <c r="O11" s="78">
        <f t="shared" si="7"/>
        <v>2894.6399999999994</v>
      </c>
      <c r="P11" s="79">
        <f t="shared" si="3"/>
        <v>35.89999999999999</v>
      </c>
      <c r="Q11" s="79">
        <f t="shared" si="8"/>
        <v>3015.5999999999995</v>
      </c>
      <c r="R11" s="79">
        <f t="shared" si="4"/>
        <v>120.96000000000004</v>
      </c>
      <c r="U11" s="164">
        <f t="shared" si="6"/>
        <v>0.04178757980266967</v>
      </c>
      <c r="V11" s="29"/>
    </row>
    <row r="12" spans="1:22" s="80" customFormat="1" ht="15">
      <c r="A12" s="170"/>
      <c r="B12" s="76">
        <v>22</v>
      </c>
      <c r="C12" s="28" t="s">
        <v>120</v>
      </c>
      <c r="D12" s="104">
        <v>2226</v>
      </c>
      <c r="E12" s="83">
        <v>2.1666666666666665</v>
      </c>
      <c r="F12" s="124">
        <v>57876</v>
      </c>
      <c r="G12" s="141">
        <f>References!$B$14</f>
        <v>34</v>
      </c>
      <c r="H12" s="104">
        <f t="shared" si="0"/>
        <v>1967784</v>
      </c>
      <c r="I12" s="82">
        <f t="shared" si="1"/>
        <v>1484456.649741872</v>
      </c>
      <c r="J12" s="78">
        <f>(References!$C$49*I12)</f>
        <v>3711.1416243546832</v>
      </c>
      <c r="K12" s="129">
        <f>J12/References!$G$57</f>
        <v>3859.500836510133</v>
      </c>
      <c r="L12" s="148">
        <f t="shared" si="5"/>
        <v>0.14</v>
      </c>
      <c r="M12" s="29">
        <v>10</v>
      </c>
      <c r="N12" s="78">
        <f t="shared" si="2"/>
        <v>10.14</v>
      </c>
      <c r="O12" s="78">
        <f t="shared" si="7"/>
        <v>267120</v>
      </c>
      <c r="P12" s="79">
        <f t="shared" si="3"/>
        <v>10.14</v>
      </c>
      <c r="Q12" s="79">
        <f t="shared" si="8"/>
        <v>270859.68000000005</v>
      </c>
      <c r="R12" s="79">
        <f t="shared" si="4"/>
        <v>3739.680000000051</v>
      </c>
      <c r="U12" s="164">
        <f t="shared" si="6"/>
        <v>0.014000000000000012</v>
      </c>
      <c r="V12" s="29"/>
    </row>
    <row r="13" spans="1:22" s="80" customFormat="1" ht="15">
      <c r="A13" s="170"/>
      <c r="B13" s="76">
        <v>22</v>
      </c>
      <c r="C13" s="28" t="s">
        <v>121</v>
      </c>
      <c r="D13" s="104">
        <v>207</v>
      </c>
      <c r="E13" s="83">
        <v>1</v>
      </c>
      <c r="F13" s="124">
        <v>2484</v>
      </c>
      <c r="G13" s="141">
        <f>References!$B$14</f>
        <v>34</v>
      </c>
      <c r="H13" s="104">
        <f t="shared" si="0"/>
        <v>84456</v>
      </c>
      <c r="I13" s="82">
        <f t="shared" si="1"/>
        <v>63711.906800034725</v>
      </c>
      <c r="J13" s="78">
        <f>(References!$C$49*I13)</f>
        <v>159.27976700008696</v>
      </c>
      <c r="K13" s="129">
        <f>J13/References!$G$57</f>
        <v>165.64724718175358</v>
      </c>
      <c r="L13" s="148">
        <f t="shared" si="5"/>
        <v>0.07</v>
      </c>
      <c r="M13" s="29">
        <v>7.13</v>
      </c>
      <c r="N13" s="78">
        <f t="shared" si="2"/>
        <v>7.2</v>
      </c>
      <c r="O13" s="78">
        <f t="shared" si="7"/>
        <v>17710.920000000002</v>
      </c>
      <c r="P13" s="79">
        <f t="shared" si="3"/>
        <v>7.2</v>
      </c>
      <c r="Q13" s="79">
        <f t="shared" si="8"/>
        <v>17884.800000000003</v>
      </c>
      <c r="R13" s="79">
        <f t="shared" si="4"/>
        <v>173.88000000000102</v>
      </c>
      <c r="U13" s="164">
        <f t="shared" si="6"/>
        <v>0.009817671809256634</v>
      </c>
      <c r="V13" s="29"/>
    </row>
    <row r="14" spans="1:22" s="80" customFormat="1" ht="15">
      <c r="A14" s="170"/>
      <c r="B14" s="76">
        <v>22</v>
      </c>
      <c r="C14" s="28" t="s">
        <v>122</v>
      </c>
      <c r="D14" s="104">
        <v>9769</v>
      </c>
      <c r="E14" s="83">
        <v>4.333333333333333</v>
      </c>
      <c r="F14" s="124">
        <v>507987.99999999994</v>
      </c>
      <c r="G14" s="141">
        <f>References!$B$14</f>
        <v>34</v>
      </c>
      <c r="H14" s="104">
        <f t="shared" si="0"/>
        <v>17271591.999999996</v>
      </c>
      <c r="I14" s="82">
        <f t="shared" si="1"/>
        <v>13029341.42976491</v>
      </c>
      <c r="J14" s="78">
        <f>(References!$C$49*I14)</f>
        <v>32573.353574412304</v>
      </c>
      <c r="K14" s="129">
        <f>J14/References!$G$57</f>
        <v>33875.528905541316</v>
      </c>
      <c r="L14" s="148">
        <f t="shared" si="5"/>
        <v>0.29</v>
      </c>
      <c r="M14" s="29">
        <v>14.07</v>
      </c>
      <c r="N14" s="78">
        <f t="shared" si="2"/>
        <v>14.36</v>
      </c>
      <c r="O14" s="78">
        <f t="shared" si="7"/>
        <v>1649397.9600000002</v>
      </c>
      <c r="P14" s="79">
        <f t="shared" si="3"/>
        <v>14.36</v>
      </c>
      <c r="Q14" s="79">
        <f t="shared" si="8"/>
        <v>1683394.08</v>
      </c>
      <c r="R14" s="79">
        <f t="shared" si="4"/>
        <v>33996.11999999988</v>
      </c>
      <c r="U14" s="164">
        <f t="shared" si="6"/>
        <v>0.020611229566453337</v>
      </c>
      <c r="V14" s="29"/>
    </row>
    <row r="15" spans="1:22" s="80" customFormat="1" ht="15">
      <c r="A15" s="170"/>
      <c r="B15" s="136" t="s">
        <v>178</v>
      </c>
      <c r="C15" s="28" t="s">
        <v>123</v>
      </c>
      <c r="D15" s="104">
        <v>38</v>
      </c>
      <c r="E15" s="83">
        <v>8.666666666666666</v>
      </c>
      <c r="F15" s="124">
        <v>3952</v>
      </c>
      <c r="G15" s="142">
        <f>References!$B$14</f>
        <v>34</v>
      </c>
      <c r="H15" s="104">
        <f t="shared" si="0"/>
        <v>134368</v>
      </c>
      <c r="I15" s="82">
        <f t="shared" si="1"/>
        <v>101364.51516656089</v>
      </c>
      <c r="J15" s="78">
        <f>(References!$C$49*I15)</f>
        <v>253.41128791640244</v>
      </c>
      <c r="K15" s="129">
        <f>J15/References!$G$57</f>
        <v>263.54183609593</v>
      </c>
      <c r="L15" s="148">
        <f t="shared" si="5"/>
        <v>0.58</v>
      </c>
      <c r="M15" s="29">
        <v>28.14</v>
      </c>
      <c r="N15" s="129">
        <f>N14*2</f>
        <v>28.72</v>
      </c>
      <c r="O15" s="78">
        <f t="shared" si="7"/>
        <v>12831.84</v>
      </c>
      <c r="P15" s="79">
        <f t="shared" si="3"/>
        <v>28.72</v>
      </c>
      <c r="Q15" s="79">
        <f t="shared" si="8"/>
        <v>13096.32</v>
      </c>
      <c r="R15" s="79">
        <f t="shared" si="4"/>
        <v>264.47999999999956</v>
      </c>
      <c r="U15" s="164">
        <f t="shared" si="6"/>
        <v>0.020611229566453337</v>
      </c>
      <c r="V15" s="125"/>
    </row>
    <row r="16" spans="1:22" s="80" customFormat="1" ht="15">
      <c r="A16" s="170"/>
      <c r="B16" s="136" t="s">
        <v>178</v>
      </c>
      <c r="C16" s="28" t="s">
        <v>124</v>
      </c>
      <c r="D16" s="104">
        <v>1</v>
      </c>
      <c r="E16" s="83">
        <v>17.333333333333332</v>
      </c>
      <c r="F16" s="124">
        <v>208</v>
      </c>
      <c r="G16" s="142">
        <f>References!$B$14</f>
        <v>34</v>
      </c>
      <c r="H16" s="104">
        <f t="shared" si="0"/>
        <v>7072</v>
      </c>
      <c r="I16" s="82">
        <f t="shared" si="1"/>
        <v>5334.974482450573</v>
      </c>
      <c r="J16" s="78">
        <f>(References!$C$49*I16)</f>
        <v>13.337436206126446</v>
      </c>
      <c r="K16" s="129">
        <f>J16/References!$G$57</f>
        <v>13.87062295241737</v>
      </c>
      <c r="L16" s="148">
        <f t="shared" si="5"/>
        <v>1.16</v>
      </c>
      <c r="M16" s="29">
        <v>56.28</v>
      </c>
      <c r="N16" s="129">
        <f>N14*4</f>
        <v>57.44</v>
      </c>
      <c r="O16" s="78">
        <f t="shared" si="7"/>
        <v>675.36</v>
      </c>
      <c r="P16" s="79">
        <f t="shared" si="3"/>
        <v>57.44</v>
      </c>
      <c r="Q16" s="79">
        <f t="shared" si="8"/>
        <v>689.28</v>
      </c>
      <c r="R16" s="79">
        <f t="shared" si="4"/>
        <v>13.919999999999959</v>
      </c>
      <c r="U16" s="164">
        <f t="shared" si="6"/>
        <v>0.020611229566453337</v>
      </c>
      <c r="V16" s="125"/>
    </row>
    <row r="17" spans="1:22" s="80" customFormat="1" ht="15">
      <c r="A17" s="170"/>
      <c r="B17" s="76">
        <v>22</v>
      </c>
      <c r="C17" s="28" t="s">
        <v>125</v>
      </c>
      <c r="D17" s="104">
        <v>13668</v>
      </c>
      <c r="E17" s="83">
        <v>4.333333333333333</v>
      </c>
      <c r="F17" s="124">
        <v>710735.9999999999</v>
      </c>
      <c r="G17" s="142">
        <f>References!$B$21</f>
        <v>47</v>
      </c>
      <c r="H17" s="104">
        <f t="shared" si="0"/>
        <v>33404591.999999996</v>
      </c>
      <c r="I17" s="82">
        <f t="shared" si="1"/>
        <v>25199751.96785528</v>
      </c>
      <c r="J17" s="78">
        <f>(References!$C$49*I17)</f>
        <v>62999.37991963825</v>
      </c>
      <c r="K17" s="129">
        <f>J17/References!$G$57</f>
        <v>65517.88751574343</v>
      </c>
      <c r="L17" s="148">
        <f t="shared" si="5"/>
        <v>0.4</v>
      </c>
      <c r="M17" s="29">
        <v>17.75</v>
      </c>
      <c r="N17" s="129">
        <f t="shared" si="2"/>
        <v>18.15</v>
      </c>
      <c r="O17" s="78">
        <f t="shared" si="7"/>
        <v>2911284</v>
      </c>
      <c r="P17" s="79">
        <f t="shared" si="3"/>
        <v>18.15</v>
      </c>
      <c r="Q17" s="79">
        <f t="shared" si="8"/>
        <v>2976890.4</v>
      </c>
      <c r="R17" s="79">
        <f t="shared" si="4"/>
        <v>65606.3999999999</v>
      </c>
      <c r="U17" s="164">
        <f t="shared" si="6"/>
        <v>0.022535211267605604</v>
      </c>
      <c r="V17" s="125"/>
    </row>
    <row r="18" spans="1:22" s="80" customFormat="1" ht="15">
      <c r="A18" s="170"/>
      <c r="B18" s="136" t="s">
        <v>178</v>
      </c>
      <c r="C18" s="28" t="s">
        <v>126</v>
      </c>
      <c r="D18" s="104">
        <v>98</v>
      </c>
      <c r="E18" s="83">
        <v>8.666666666666666</v>
      </c>
      <c r="F18" s="124">
        <v>10192</v>
      </c>
      <c r="G18" s="142">
        <f>References!$B$21</f>
        <v>47</v>
      </c>
      <c r="H18" s="104">
        <f t="shared" si="0"/>
        <v>479024</v>
      </c>
      <c r="I18" s="82">
        <f t="shared" si="1"/>
        <v>361366.0656789314</v>
      </c>
      <c r="J18" s="78">
        <f>(References!$C$49*I18)</f>
        <v>903.4151641973293</v>
      </c>
      <c r="K18" s="129">
        <f>J18/References!$G$57</f>
        <v>939.5307252769763</v>
      </c>
      <c r="L18" s="148">
        <f t="shared" si="5"/>
        <v>0.8</v>
      </c>
      <c r="M18" s="29">
        <v>35.5</v>
      </c>
      <c r="N18" s="129">
        <f>N17*2</f>
        <v>36.3</v>
      </c>
      <c r="O18" s="78">
        <f t="shared" si="7"/>
        <v>41748</v>
      </c>
      <c r="P18" s="79">
        <f t="shared" si="3"/>
        <v>36.3</v>
      </c>
      <c r="Q18" s="79">
        <f t="shared" si="8"/>
        <v>42688.799999999996</v>
      </c>
      <c r="R18" s="79">
        <f t="shared" si="4"/>
        <v>940.7999999999956</v>
      </c>
      <c r="U18" s="164">
        <f t="shared" si="6"/>
        <v>0.022535211267605604</v>
      </c>
      <c r="V18" s="125"/>
    </row>
    <row r="19" spans="1:22" s="80" customFormat="1" ht="15">
      <c r="A19" s="170"/>
      <c r="B19" s="136" t="s">
        <v>178</v>
      </c>
      <c r="C19" s="28" t="s">
        <v>127</v>
      </c>
      <c r="D19" s="104">
        <v>6</v>
      </c>
      <c r="E19" s="83">
        <v>13</v>
      </c>
      <c r="F19" s="124">
        <v>936</v>
      </c>
      <c r="G19" s="142">
        <f>References!$B$21</f>
        <v>47</v>
      </c>
      <c r="H19" s="104">
        <f t="shared" si="0"/>
        <v>43992</v>
      </c>
      <c r="I19" s="82">
        <f t="shared" si="1"/>
        <v>33186.67950112636</v>
      </c>
      <c r="J19" s="78">
        <f>(References!$C$49*I19)</f>
        <v>82.96669875281597</v>
      </c>
      <c r="K19" s="129">
        <f>J19/References!$G$57</f>
        <v>86.28343395400805</v>
      </c>
      <c r="L19" s="148">
        <f t="shared" si="5"/>
        <v>1.2</v>
      </c>
      <c r="M19" s="29">
        <v>53.25</v>
      </c>
      <c r="N19" s="129">
        <f>N17*3</f>
        <v>54.449999999999996</v>
      </c>
      <c r="O19" s="78">
        <f t="shared" si="7"/>
        <v>3834</v>
      </c>
      <c r="P19" s="79">
        <f t="shared" si="3"/>
        <v>54.449999999999996</v>
      </c>
      <c r="Q19" s="79">
        <f t="shared" si="8"/>
        <v>3920.3999999999996</v>
      </c>
      <c r="R19" s="79">
        <f t="shared" si="4"/>
        <v>86.39999999999964</v>
      </c>
      <c r="U19" s="164">
        <f t="shared" si="6"/>
        <v>0.022535211267605604</v>
      </c>
      <c r="V19" s="125"/>
    </row>
    <row r="20" spans="1:22" s="80" customFormat="1" ht="15">
      <c r="A20" s="170"/>
      <c r="B20" s="76">
        <v>22</v>
      </c>
      <c r="C20" s="28" t="s">
        <v>128</v>
      </c>
      <c r="D20" s="104">
        <v>2150</v>
      </c>
      <c r="E20" s="83">
        <v>4.333333333333333</v>
      </c>
      <c r="F20" s="124">
        <v>111800</v>
      </c>
      <c r="G20" s="142">
        <f>References!$B$22</f>
        <v>68</v>
      </c>
      <c r="H20" s="104">
        <f t="shared" si="0"/>
        <v>7602400</v>
      </c>
      <c r="I20" s="82">
        <f t="shared" si="1"/>
        <v>5735097.568634366</v>
      </c>
      <c r="J20" s="78">
        <f>(References!$C$49*I20)</f>
        <v>14337.743921585927</v>
      </c>
      <c r="K20" s="129">
        <f>J20/References!$G$57</f>
        <v>14910.91967384867</v>
      </c>
      <c r="L20" s="148">
        <f t="shared" si="5"/>
        <v>0.58</v>
      </c>
      <c r="M20" s="29">
        <v>22.98</v>
      </c>
      <c r="N20" s="129">
        <f>L20+M20</f>
        <v>23.56</v>
      </c>
      <c r="O20" s="78">
        <f t="shared" si="7"/>
        <v>592884</v>
      </c>
      <c r="P20" s="79">
        <f t="shared" si="3"/>
        <v>23.56</v>
      </c>
      <c r="Q20" s="79">
        <f t="shared" si="8"/>
        <v>607848</v>
      </c>
      <c r="R20" s="79">
        <f t="shared" si="4"/>
        <v>14964</v>
      </c>
      <c r="U20" s="164">
        <f t="shared" si="6"/>
        <v>0.02523933855526539</v>
      </c>
      <c r="V20" s="125"/>
    </row>
    <row r="21" spans="1:22" s="80" customFormat="1" ht="15">
      <c r="A21" s="170"/>
      <c r="B21" s="136" t="s">
        <v>178</v>
      </c>
      <c r="C21" s="28" t="s">
        <v>129</v>
      </c>
      <c r="D21" s="104">
        <v>55</v>
      </c>
      <c r="E21" s="83">
        <v>8.666666666666666</v>
      </c>
      <c r="F21" s="124">
        <v>5720</v>
      </c>
      <c r="G21" s="142">
        <f>References!$B$22</f>
        <v>68</v>
      </c>
      <c r="H21" s="104">
        <f t="shared" si="0"/>
        <v>388960</v>
      </c>
      <c r="I21" s="82">
        <f t="shared" si="1"/>
        <v>293423.5965347815</v>
      </c>
      <c r="J21" s="78">
        <f>(References!$C$49*I21)</f>
        <v>733.5589913369544</v>
      </c>
      <c r="K21" s="129">
        <f>J21/References!$G$57</f>
        <v>762.8842623829552</v>
      </c>
      <c r="L21" s="148">
        <f t="shared" si="5"/>
        <v>1.16</v>
      </c>
      <c r="M21" s="29">
        <v>45.96</v>
      </c>
      <c r="N21" s="129">
        <f>N20*2</f>
        <v>47.12</v>
      </c>
      <c r="O21" s="78">
        <f t="shared" si="7"/>
        <v>30333.600000000002</v>
      </c>
      <c r="P21" s="79">
        <f t="shared" si="3"/>
        <v>47.12</v>
      </c>
      <c r="Q21" s="79">
        <f t="shared" si="8"/>
        <v>31099.199999999997</v>
      </c>
      <c r="R21" s="79">
        <f t="shared" si="4"/>
        <v>765.5999999999949</v>
      </c>
      <c r="U21" s="164">
        <f t="shared" si="6"/>
        <v>0.02523933855526539</v>
      </c>
      <c r="V21" s="125"/>
    </row>
    <row r="22" spans="1:22" s="80" customFormat="1" ht="15">
      <c r="A22" s="170"/>
      <c r="B22" s="136" t="s">
        <v>178</v>
      </c>
      <c r="C22" s="28" t="s">
        <v>130</v>
      </c>
      <c r="D22" s="104">
        <v>6</v>
      </c>
      <c r="E22" s="83">
        <v>13</v>
      </c>
      <c r="F22" s="124">
        <v>936</v>
      </c>
      <c r="G22" s="142">
        <f>References!$B$22</f>
        <v>68</v>
      </c>
      <c r="H22" s="104">
        <f>G22*F22</f>
        <v>63648</v>
      </c>
      <c r="I22" s="82">
        <f t="shared" si="1"/>
        <v>48014.770342055155</v>
      </c>
      <c r="J22" s="78">
        <f>(References!$C$49*I22)</f>
        <v>120.036925855138</v>
      </c>
      <c r="K22" s="129">
        <f>J22/References!$G$57</f>
        <v>124.83560657175632</v>
      </c>
      <c r="L22" s="148">
        <f t="shared" si="5"/>
        <v>1.73</v>
      </c>
      <c r="M22" s="29">
        <v>68.94</v>
      </c>
      <c r="N22" s="129">
        <f>N20*3</f>
        <v>70.67999999999999</v>
      </c>
      <c r="O22" s="78">
        <f t="shared" si="7"/>
        <v>4963.68</v>
      </c>
      <c r="P22" s="79">
        <f t="shared" si="3"/>
        <v>70.67999999999999</v>
      </c>
      <c r="Q22" s="79">
        <f t="shared" si="8"/>
        <v>5088.959999999999</v>
      </c>
      <c r="R22" s="79">
        <f t="shared" si="4"/>
        <v>125.27999999999884</v>
      </c>
      <c r="U22" s="164">
        <f t="shared" si="6"/>
        <v>0.02523933855526539</v>
      </c>
      <c r="V22" s="125"/>
    </row>
    <row r="23" spans="1:22" s="80" customFormat="1" ht="15">
      <c r="A23" s="170"/>
      <c r="B23" s="76">
        <v>23</v>
      </c>
      <c r="C23" s="28" t="s">
        <v>176</v>
      </c>
      <c r="D23" s="124">
        <v>5952.74296875</v>
      </c>
      <c r="E23" s="83">
        <v>1</v>
      </c>
      <c r="F23" s="128">
        <v>71432.915625</v>
      </c>
      <c r="G23" s="141">
        <f>References!B24</f>
        <v>34</v>
      </c>
      <c r="H23" s="124">
        <f>G23*F23</f>
        <v>2428719.1312499996</v>
      </c>
      <c r="I23" s="82">
        <f t="shared" si="1"/>
        <v>1832176.8368577873</v>
      </c>
      <c r="J23" s="78">
        <f>(References!$C$49*I23)</f>
        <v>4580.442092144473</v>
      </c>
      <c r="K23" s="129">
        <f>J23/References!$G$57</f>
        <v>4763.553072241433</v>
      </c>
      <c r="L23" s="148">
        <f t="shared" si="5"/>
        <v>0.07</v>
      </c>
      <c r="M23" s="29">
        <v>3.38</v>
      </c>
      <c r="N23" s="78">
        <f>L23+M23</f>
        <v>3.4499999999999997</v>
      </c>
      <c r="O23" s="129">
        <f>F23*M23</f>
        <v>241443.25481249997</v>
      </c>
      <c r="P23" s="79">
        <f t="shared" si="3"/>
        <v>3.4499999999999997</v>
      </c>
      <c r="Q23" s="79">
        <f>F23*P23</f>
        <v>246443.55890624996</v>
      </c>
      <c r="R23" s="79">
        <f t="shared" si="4"/>
        <v>5000.30409374999</v>
      </c>
      <c r="U23" s="164">
        <f t="shared" si="6"/>
        <v>0.020710059171597628</v>
      </c>
      <c r="V23" s="125"/>
    </row>
    <row r="24" spans="1:22" s="80" customFormat="1" ht="15">
      <c r="A24" s="86"/>
      <c r="B24" s="87"/>
      <c r="C24" s="88" t="s">
        <v>3</v>
      </c>
      <c r="D24" s="89">
        <f>SUM(D2:D23)</f>
        <v>45626.74297875</v>
      </c>
      <c r="E24" s="90"/>
      <c r="F24" s="89">
        <f>SUM(F2:F23)</f>
        <v>2095724.915625</v>
      </c>
      <c r="G24" s="143"/>
      <c r="H24" s="91">
        <f>SUM(H2:H23)</f>
        <v>84038847.13125</v>
      </c>
      <c r="I24" s="92">
        <f>SUM(I2:I23)</f>
        <v>63397215.0706707</v>
      </c>
      <c r="J24" s="93"/>
      <c r="K24" s="93"/>
      <c r="L24" s="93"/>
      <c r="M24" s="93"/>
      <c r="N24" s="93"/>
      <c r="O24" s="94">
        <f>SUM(O2:O23)</f>
        <v>7449172.336097699</v>
      </c>
      <c r="P24" s="94"/>
      <c r="Q24" s="94">
        <f>SUM(Q2:Q23)</f>
        <v>7613532.28021185</v>
      </c>
      <c r="R24" s="94">
        <f>SUM(R2:R23)</f>
        <v>164359.94411414972</v>
      </c>
      <c r="U24" s="164">
        <f>+Q24/O24-1</f>
        <v>0.02206418870425164</v>
      </c>
      <c r="V24" s="125"/>
    </row>
    <row r="25" spans="1:22" s="80" customFormat="1" ht="15" customHeight="1">
      <c r="A25" s="171" t="s">
        <v>102</v>
      </c>
      <c r="B25" s="76">
        <v>34</v>
      </c>
      <c r="C25" t="s">
        <v>132</v>
      </c>
      <c r="D25" s="124"/>
      <c r="E25" s="81"/>
      <c r="F25" s="96">
        <v>2184</v>
      </c>
      <c r="G25" s="142">
        <f>References!$B$26</f>
        <v>29</v>
      </c>
      <c r="H25" s="85">
        <f aca="true" t="shared" si="9" ref="H25:H75">F25*G25</f>
        <v>63336</v>
      </c>
      <c r="I25" s="82">
        <f aca="true" t="shared" si="10" ref="I25:I56">$C$117*H25</f>
        <v>47779.403820770574</v>
      </c>
      <c r="J25" s="78">
        <f>References!$C$49*I25</f>
        <v>119.44850955192655</v>
      </c>
      <c r="K25" s="78">
        <f>J25/References!$G$57</f>
        <v>124.22366732385557</v>
      </c>
      <c r="L25" s="129">
        <f>ROUND((K25/F25),2)</f>
        <v>0.06</v>
      </c>
      <c r="M25" s="29">
        <v>2.5599999999999996</v>
      </c>
      <c r="N25" s="78">
        <f aca="true" t="shared" si="11" ref="N25:N75">L25+M25</f>
        <v>2.6199999999999997</v>
      </c>
      <c r="O25" s="78">
        <f aca="true" t="shared" si="12" ref="O25:O56">F25*M25</f>
        <v>5591.039999999999</v>
      </c>
      <c r="P25" s="79">
        <f aca="true" t="shared" si="13" ref="P25:P56">N25</f>
        <v>2.6199999999999997</v>
      </c>
      <c r="Q25" s="79">
        <f aca="true" t="shared" si="14" ref="Q25:Q56">F25*P25</f>
        <v>5722.079999999999</v>
      </c>
      <c r="R25" s="79">
        <f aca="true" t="shared" si="15" ref="R25:R56">Q25-O25</f>
        <v>131.03999999999996</v>
      </c>
      <c r="U25" s="164">
        <f t="shared" si="6"/>
        <v>0.0234375</v>
      </c>
      <c r="V25" s="125"/>
    </row>
    <row r="26" spans="1:22" s="80" customFormat="1" ht="15">
      <c r="A26" s="170"/>
      <c r="B26" s="76">
        <v>34</v>
      </c>
      <c r="C26" t="s">
        <v>133</v>
      </c>
      <c r="D26" s="124"/>
      <c r="E26" s="81"/>
      <c r="F26" s="96">
        <v>832</v>
      </c>
      <c r="G26" s="142">
        <f>References!$B$26</f>
        <v>29</v>
      </c>
      <c r="H26" s="85">
        <f t="shared" si="9"/>
        <v>24128</v>
      </c>
      <c r="I26" s="82">
        <f t="shared" si="10"/>
        <v>18201.677646007836</v>
      </c>
      <c r="J26" s="78">
        <f>References!$C$49*I26</f>
        <v>45.50419411501963</v>
      </c>
      <c r="K26" s="129">
        <f>J26/References!$G$57</f>
        <v>47.32330183765925</v>
      </c>
      <c r="L26" s="129">
        <f aca="true" t="shared" si="16" ref="L26:L89">ROUND((K26/F26),2)</f>
        <v>0.06</v>
      </c>
      <c r="M26" s="29">
        <v>2.5599999999999996</v>
      </c>
      <c r="N26" s="78">
        <f t="shared" si="11"/>
        <v>2.6199999999999997</v>
      </c>
      <c r="O26" s="78">
        <f t="shared" si="12"/>
        <v>2129.9199999999996</v>
      </c>
      <c r="P26" s="79">
        <f t="shared" si="13"/>
        <v>2.6199999999999997</v>
      </c>
      <c r="Q26" s="79">
        <f t="shared" si="14"/>
        <v>2179.8399999999997</v>
      </c>
      <c r="R26" s="79">
        <f t="shared" si="15"/>
        <v>49.92000000000007</v>
      </c>
      <c r="U26" s="164">
        <f t="shared" si="6"/>
        <v>0.0234375</v>
      </c>
      <c r="V26" s="125"/>
    </row>
    <row r="27" spans="1:22" s="80" customFormat="1" ht="15">
      <c r="A27" s="170"/>
      <c r="B27" s="76">
        <v>34</v>
      </c>
      <c r="C27" t="s">
        <v>134</v>
      </c>
      <c r="D27" s="124"/>
      <c r="E27" s="81"/>
      <c r="F27" s="96">
        <v>467.99999999999994</v>
      </c>
      <c r="G27" s="142">
        <f>References!$B$26</f>
        <v>29</v>
      </c>
      <c r="H27" s="85">
        <f t="shared" si="9"/>
        <v>13571.999999999998</v>
      </c>
      <c r="I27" s="82">
        <f t="shared" si="10"/>
        <v>10238.443675879407</v>
      </c>
      <c r="J27" s="78">
        <f>References!$C$49*I27</f>
        <v>25.59610918969854</v>
      </c>
      <c r="K27" s="129">
        <f>J27/References!$G$57</f>
        <v>26.61935728368333</v>
      </c>
      <c r="L27" s="129">
        <f t="shared" si="16"/>
        <v>0.06</v>
      </c>
      <c r="M27" s="29">
        <v>2.5599999999999996</v>
      </c>
      <c r="N27" s="78">
        <f t="shared" si="11"/>
        <v>2.6199999999999997</v>
      </c>
      <c r="O27" s="78">
        <f t="shared" si="12"/>
        <v>1198.0799999999997</v>
      </c>
      <c r="P27" s="79">
        <f t="shared" si="13"/>
        <v>2.6199999999999997</v>
      </c>
      <c r="Q27" s="79">
        <f t="shared" si="14"/>
        <v>1226.1599999999996</v>
      </c>
      <c r="R27" s="79">
        <f t="shared" si="15"/>
        <v>28.079999999999927</v>
      </c>
      <c r="U27" s="164">
        <f t="shared" si="6"/>
        <v>0.0234375</v>
      </c>
      <c r="V27" s="125"/>
    </row>
    <row r="28" spans="1:22" s="80" customFormat="1" ht="15">
      <c r="A28" s="170"/>
      <c r="B28" s="76">
        <v>34</v>
      </c>
      <c r="C28" t="s">
        <v>135</v>
      </c>
      <c r="D28" s="124"/>
      <c r="E28" s="81"/>
      <c r="F28" s="96">
        <v>624</v>
      </c>
      <c r="G28" s="142">
        <f>References!$B$26</f>
        <v>29</v>
      </c>
      <c r="H28" s="85">
        <f t="shared" si="9"/>
        <v>18096</v>
      </c>
      <c r="I28" s="82">
        <f t="shared" si="10"/>
        <v>13651.258234505878</v>
      </c>
      <c r="J28" s="78">
        <f>References!$C$49*I28</f>
        <v>34.12814558626473</v>
      </c>
      <c r="K28" s="129">
        <f>J28/References!$G$57</f>
        <v>35.49247637824445</v>
      </c>
      <c r="L28" s="129">
        <f t="shared" si="16"/>
        <v>0.06</v>
      </c>
      <c r="M28" s="29">
        <v>2.5599999999999996</v>
      </c>
      <c r="N28" s="78">
        <f t="shared" si="11"/>
        <v>2.6199999999999997</v>
      </c>
      <c r="O28" s="78">
        <f t="shared" si="12"/>
        <v>1597.4399999999998</v>
      </c>
      <c r="P28" s="79">
        <f t="shared" si="13"/>
        <v>2.6199999999999997</v>
      </c>
      <c r="Q28" s="79">
        <f t="shared" si="14"/>
        <v>1634.8799999999999</v>
      </c>
      <c r="R28" s="79">
        <f t="shared" si="15"/>
        <v>37.440000000000055</v>
      </c>
      <c r="U28" s="164">
        <f t="shared" si="6"/>
        <v>0.0234375</v>
      </c>
      <c r="V28" s="125"/>
    </row>
    <row r="29" spans="1:22" s="80" customFormat="1" ht="15">
      <c r="A29" s="170"/>
      <c r="B29" s="76">
        <v>34</v>
      </c>
      <c r="C29" t="s">
        <v>136</v>
      </c>
      <c r="D29" s="124"/>
      <c r="E29" s="81"/>
      <c r="F29" s="96">
        <v>260</v>
      </c>
      <c r="G29" s="142">
        <f>References!$B$26</f>
        <v>29</v>
      </c>
      <c r="H29" s="85">
        <f t="shared" si="9"/>
        <v>7540</v>
      </c>
      <c r="I29" s="82">
        <f t="shared" si="10"/>
        <v>5688.024264377449</v>
      </c>
      <c r="J29" s="78">
        <f>References!$C$49*I29</f>
        <v>14.220060660943636</v>
      </c>
      <c r="K29" s="129">
        <f>J29/References!$G$57</f>
        <v>14.788531824268519</v>
      </c>
      <c r="L29" s="129">
        <f t="shared" si="16"/>
        <v>0.06</v>
      </c>
      <c r="M29" s="29">
        <v>2.5599999999999996</v>
      </c>
      <c r="N29" s="78">
        <f t="shared" si="11"/>
        <v>2.6199999999999997</v>
      </c>
      <c r="O29" s="78">
        <f t="shared" si="12"/>
        <v>665.5999999999999</v>
      </c>
      <c r="P29" s="79">
        <f t="shared" si="13"/>
        <v>2.6199999999999997</v>
      </c>
      <c r="Q29" s="79">
        <f t="shared" si="14"/>
        <v>681.1999999999999</v>
      </c>
      <c r="R29" s="79">
        <f t="shared" si="15"/>
        <v>15.600000000000023</v>
      </c>
      <c r="U29" s="164">
        <f t="shared" si="6"/>
        <v>0.0234375</v>
      </c>
      <c r="V29" s="125"/>
    </row>
    <row r="30" spans="1:22" s="80" customFormat="1" ht="15">
      <c r="A30" s="170"/>
      <c r="B30" s="76">
        <v>34</v>
      </c>
      <c r="C30" s="31" t="s">
        <v>137</v>
      </c>
      <c r="D30" s="124"/>
      <c r="E30" s="81"/>
      <c r="F30" s="96">
        <v>312</v>
      </c>
      <c r="G30" s="142">
        <f>References!$B$26</f>
        <v>29</v>
      </c>
      <c r="H30" s="85">
        <f t="shared" si="9"/>
        <v>9048</v>
      </c>
      <c r="I30" s="82">
        <f t="shared" si="10"/>
        <v>6825.629117252939</v>
      </c>
      <c r="J30" s="78">
        <f>References!$C$49*I30</f>
        <v>17.064072793132365</v>
      </c>
      <c r="K30" s="129">
        <f>J30/References!$G$57</f>
        <v>17.746238189122224</v>
      </c>
      <c r="L30" s="129">
        <f t="shared" si="16"/>
        <v>0.06</v>
      </c>
      <c r="M30" s="29">
        <v>2.5599999999999996</v>
      </c>
      <c r="N30" s="78">
        <f t="shared" si="11"/>
        <v>2.6199999999999997</v>
      </c>
      <c r="O30" s="78">
        <f t="shared" si="12"/>
        <v>798.7199999999999</v>
      </c>
      <c r="P30" s="79">
        <f t="shared" si="13"/>
        <v>2.6199999999999997</v>
      </c>
      <c r="Q30" s="79">
        <f t="shared" si="14"/>
        <v>817.4399999999999</v>
      </c>
      <c r="R30" s="79">
        <f t="shared" si="15"/>
        <v>18.720000000000027</v>
      </c>
      <c r="U30" s="164">
        <f t="shared" si="6"/>
        <v>0.0234375</v>
      </c>
      <c r="V30" s="125"/>
    </row>
    <row r="31" spans="1:22" s="80" customFormat="1" ht="15">
      <c r="A31" s="170"/>
      <c r="B31" s="76">
        <v>34</v>
      </c>
      <c r="C31" s="31" t="s">
        <v>138</v>
      </c>
      <c r="D31" s="124"/>
      <c r="E31" s="81"/>
      <c r="F31" s="96">
        <v>4992</v>
      </c>
      <c r="G31" s="142">
        <f>References!$B$26</f>
        <v>29</v>
      </c>
      <c r="H31" s="85">
        <f t="shared" si="9"/>
        <v>144768</v>
      </c>
      <c r="I31" s="82">
        <f t="shared" si="10"/>
        <v>109210.06587604703</v>
      </c>
      <c r="J31" s="78">
        <f>References!$C$49*I31</f>
        <v>273.02516469011783</v>
      </c>
      <c r="K31" s="129">
        <f>J31/References!$G$57</f>
        <v>283.9398110259556</v>
      </c>
      <c r="L31" s="129">
        <f t="shared" si="16"/>
        <v>0.06</v>
      </c>
      <c r="M31" s="29">
        <v>2.5599999999999996</v>
      </c>
      <c r="N31" s="78">
        <f t="shared" si="11"/>
        <v>2.6199999999999997</v>
      </c>
      <c r="O31" s="78">
        <f t="shared" si="12"/>
        <v>12779.519999999999</v>
      </c>
      <c r="P31" s="79">
        <f t="shared" si="13"/>
        <v>2.6199999999999997</v>
      </c>
      <c r="Q31" s="79">
        <f t="shared" si="14"/>
        <v>13079.039999999999</v>
      </c>
      <c r="R31" s="79">
        <f t="shared" si="15"/>
        <v>299.52000000000044</v>
      </c>
      <c r="U31" s="164">
        <f t="shared" si="6"/>
        <v>0.0234375</v>
      </c>
      <c r="V31" s="127"/>
    </row>
    <row r="32" spans="1:22" s="80" customFormat="1" ht="15">
      <c r="A32" s="170"/>
      <c r="B32" s="76">
        <v>27</v>
      </c>
      <c r="C32" s="31" t="s">
        <v>139</v>
      </c>
      <c r="D32" s="124"/>
      <c r="E32" s="81"/>
      <c r="F32" s="96">
        <v>1248</v>
      </c>
      <c r="G32" s="142">
        <f>References!$B$26</f>
        <v>29</v>
      </c>
      <c r="H32" s="85">
        <f t="shared" si="9"/>
        <v>36192</v>
      </c>
      <c r="I32" s="82">
        <f t="shared" si="10"/>
        <v>27302.516469011756</v>
      </c>
      <c r="J32" s="78">
        <f>References!$C$49*I32</f>
        <v>68.25629117252946</v>
      </c>
      <c r="K32" s="129">
        <f>J32/References!$G$57</f>
        <v>70.9849527564889</v>
      </c>
      <c r="L32" s="129">
        <f t="shared" si="16"/>
        <v>0.06</v>
      </c>
      <c r="M32" s="29">
        <v>3.28</v>
      </c>
      <c r="N32" s="78">
        <f t="shared" si="11"/>
        <v>3.34</v>
      </c>
      <c r="O32" s="78">
        <f t="shared" si="12"/>
        <v>4093.4399999999996</v>
      </c>
      <c r="P32" s="79">
        <f t="shared" si="13"/>
        <v>3.34</v>
      </c>
      <c r="Q32" s="79">
        <f t="shared" si="14"/>
        <v>4168.32</v>
      </c>
      <c r="R32" s="79">
        <f t="shared" si="15"/>
        <v>74.88000000000011</v>
      </c>
      <c r="U32" s="164">
        <f t="shared" si="6"/>
        <v>0.018292682926829285</v>
      </c>
      <c r="V32" s="127"/>
    </row>
    <row r="33" spans="1:22" s="80" customFormat="1" ht="15">
      <c r="A33" s="170"/>
      <c r="B33" s="76">
        <v>27</v>
      </c>
      <c r="C33" s="31" t="s">
        <v>140</v>
      </c>
      <c r="D33" s="124"/>
      <c r="E33" s="81"/>
      <c r="F33" s="96">
        <v>104</v>
      </c>
      <c r="G33" s="142">
        <f>References!$B$26</f>
        <v>29</v>
      </c>
      <c r="H33" s="85">
        <f t="shared" si="9"/>
        <v>3016</v>
      </c>
      <c r="I33" s="82">
        <f t="shared" si="10"/>
        <v>2275.2097057509795</v>
      </c>
      <c r="J33" s="78">
        <f>References!$C$49*I33</f>
        <v>5.688024264377454</v>
      </c>
      <c r="K33" s="129">
        <f>J33/References!$G$57</f>
        <v>5.915412729707406</v>
      </c>
      <c r="L33" s="129">
        <f t="shared" si="16"/>
        <v>0.06</v>
      </c>
      <c r="M33" s="29">
        <v>3.28</v>
      </c>
      <c r="N33" s="78">
        <f t="shared" si="11"/>
        <v>3.34</v>
      </c>
      <c r="O33" s="78">
        <f t="shared" si="12"/>
        <v>341.12</v>
      </c>
      <c r="P33" s="79">
        <f t="shared" si="13"/>
        <v>3.34</v>
      </c>
      <c r="Q33" s="79">
        <f t="shared" si="14"/>
        <v>347.36</v>
      </c>
      <c r="R33" s="79">
        <f t="shared" si="15"/>
        <v>6.240000000000009</v>
      </c>
      <c r="U33" s="164">
        <f t="shared" si="6"/>
        <v>0.018292682926829285</v>
      </c>
      <c r="V33" s="127"/>
    </row>
    <row r="34" spans="1:22" s="80" customFormat="1" ht="15">
      <c r="A34" s="170"/>
      <c r="B34" s="76">
        <v>27</v>
      </c>
      <c r="C34" s="31" t="s">
        <v>141</v>
      </c>
      <c r="D34" s="124"/>
      <c r="E34" s="81"/>
      <c r="F34" s="96">
        <v>4160</v>
      </c>
      <c r="G34" s="142">
        <f>References!$B$21</f>
        <v>47</v>
      </c>
      <c r="H34" s="85">
        <f t="shared" si="9"/>
        <v>195520</v>
      </c>
      <c r="I34" s="82">
        <f t="shared" si="10"/>
        <v>147496.35333833937</v>
      </c>
      <c r="J34" s="78">
        <f>References!$C$49*I34</f>
        <v>368.7408833458487</v>
      </c>
      <c r="K34" s="129">
        <f>J34/References!$G$57</f>
        <v>383.4819286844801</v>
      </c>
      <c r="L34" s="129">
        <f t="shared" si="16"/>
        <v>0.09</v>
      </c>
      <c r="M34" s="29">
        <v>4.17</v>
      </c>
      <c r="N34" s="78">
        <f t="shared" si="11"/>
        <v>4.26</v>
      </c>
      <c r="O34" s="78">
        <f t="shared" si="12"/>
        <v>17347.2</v>
      </c>
      <c r="P34" s="79">
        <f t="shared" si="13"/>
        <v>4.26</v>
      </c>
      <c r="Q34" s="79">
        <f t="shared" si="14"/>
        <v>17721.6</v>
      </c>
      <c r="R34" s="79">
        <f t="shared" si="15"/>
        <v>374.3999999999978</v>
      </c>
      <c r="U34" s="164">
        <f t="shared" si="6"/>
        <v>0.021582733812949506</v>
      </c>
      <c r="V34" s="127"/>
    </row>
    <row r="35" spans="1:22" s="80" customFormat="1" ht="15">
      <c r="A35" s="170"/>
      <c r="B35" s="76">
        <v>27</v>
      </c>
      <c r="C35" s="31" t="s">
        <v>142</v>
      </c>
      <c r="D35" s="124"/>
      <c r="E35" s="81"/>
      <c r="F35" s="96">
        <v>2600</v>
      </c>
      <c r="G35" s="142">
        <f>References!$B$21</f>
        <v>47</v>
      </c>
      <c r="H35" s="85">
        <f t="shared" si="9"/>
        <v>122200</v>
      </c>
      <c r="I35" s="82">
        <f t="shared" si="10"/>
        <v>92185.2208364621</v>
      </c>
      <c r="J35" s="78">
        <f>References!$C$49*I35</f>
        <v>230.46305209115548</v>
      </c>
      <c r="K35" s="129">
        <f>J35/References!$G$57</f>
        <v>239.6762054278001</v>
      </c>
      <c r="L35" s="129">
        <f t="shared" si="16"/>
        <v>0.09</v>
      </c>
      <c r="M35" s="29">
        <v>4.17</v>
      </c>
      <c r="N35" s="78">
        <f t="shared" si="11"/>
        <v>4.26</v>
      </c>
      <c r="O35" s="78">
        <f t="shared" si="12"/>
        <v>10842</v>
      </c>
      <c r="P35" s="79">
        <f t="shared" si="13"/>
        <v>4.26</v>
      </c>
      <c r="Q35" s="79">
        <f t="shared" si="14"/>
        <v>11076</v>
      </c>
      <c r="R35" s="79">
        <f t="shared" si="15"/>
        <v>234</v>
      </c>
      <c r="U35" s="164">
        <f t="shared" si="6"/>
        <v>0.021582733812949506</v>
      </c>
      <c r="V35" s="127"/>
    </row>
    <row r="36" spans="1:22" s="80" customFormat="1" ht="15">
      <c r="A36" s="170"/>
      <c r="B36" s="76">
        <v>27</v>
      </c>
      <c r="C36" s="31" t="s">
        <v>143</v>
      </c>
      <c r="D36" s="124"/>
      <c r="E36" s="81"/>
      <c r="F36" s="96">
        <v>312</v>
      </c>
      <c r="G36" s="142">
        <f>References!$B$21</f>
        <v>47</v>
      </c>
      <c r="H36" s="85">
        <f t="shared" si="9"/>
        <v>14664</v>
      </c>
      <c r="I36" s="82">
        <f t="shared" si="10"/>
        <v>11062.226500375453</v>
      </c>
      <c r="J36" s="78">
        <f>References!$C$49*I36</f>
        <v>27.655566250938655</v>
      </c>
      <c r="K36" s="129">
        <f>J36/References!$G$57</f>
        <v>28.76114465133601</v>
      </c>
      <c r="L36" s="129">
        <f t="shared" si="16"/>
        <v>0.09</v>
      </c>
      <c r="M36" s="29">
        <v>4.17</v>
      </c>
      <c r="N36" s="78">
        <f t="shared" si="11"/>
        <v>4.26</v>
      </c>
      <c r="O36" s="78">
        <f t="shared" si="12"/>
        <v>1301.04</v>
      </c>
      <c r="P36" s="79">
        <f t="shared" si="13"/>
        <v>4.26</v>
      </c>
      <c r="Q36" s="79">
        <f t="shared" si="14"/>
        <v>1329.12</v>
      </c>
      <c r="R36" s="79">
        <f t="shared" si="15"/>
        <v>28.079999999999927</v>
      </c>
      <c r="U36" s="164">
        <f t="shared" si="6"/>
        <v>0.021582733812949506</v>
      </c>
      <c r="V36" s="127"/>
    </row>
    <row r="37" spans="1:22" s="80" customFormat="1" ht="15">
      <c r="A37" s="170"/>
      <c r="B37" s="76">
        <v>27</v>
      </c>
      <c r="C37" s="31" t="s">
        <v>144</v>
      </c>
      <c r="D37" s="124"/>
      <c r="E37" s="81"/>
      <c r="F37" s="96">
        <v>208</v>
      </c>
      <c r="G37" s="142">
        <f>References!$B$21</f>
        <v>47</v>
      </c>
      <c r="H37" s="85">
        <f t="shared" si="9"/>
        <v>9776</v>
      </c>
      <c r="I37" s="82">
        <f t="shared" si="10"/>
        <v>7374.817666916968</v>
      </c>
      <c r="J37" s="78">
        <f>References!$C$49*I37</f>
        <v>18.437044167292438</v>
      </c>
      <c r="K37" s="129">
        <f>J37/References!$G$57</f>
        <v>19.17409643422401</v>
      </c>
      <c r="L37" s="129">
        <f t="shared" si="16"/>
        <v>0.09</v>
      </c>
      <c r="M37" s="29">
        <v>4.17</v>
      </c>
      <c r="N37" s="78">
        <f t="shared" si="11"/>
        <v>4.26</v>
      </c>
      <c r="O37" s="78">
        <f t="shared" si="12"/>
        <v>867.36</v>
      </c>
      <c r="P37" s="79">
        <f t="shared" si="13"/>
        <v>4.26</v>
      </c>
      <c r="Q37" s="79">
        <f t="shared" si="14"/>
        <v>886.0799999999999</v>
      </c>
      <c r="R37" s="79">
        <f t="shared" si="15"/>
        <v>18.719999999999914</v>
      </c>
      <c r="U37" s="164">
        <f t="shared" si="6"/>
        <v>0.021582733812949506</v>
      </c>
      <c r="V37" s="127"/>
    </row>
    <row r="38" spans="1:22" s="80" customFormat="1" ht="15">
      <c r="A38" s="170"/>
      <c r="B38" s="76">
        <v>27</v>
      </c>
      <c r="C38" s="31" t="s">
        <v>145</v>
      </c>
      <c r="D38" s="124"/>
      <c r="E38" s="81"/>
      <c r="F38" s="96">
        <v>312</v>
      </c>
      <c r="G38" s="142">
        <f>References!$B$21</f>
        <v>47</v>
      </c>
      <c r="H38" s="85">
        <f t="shared" si="9"/>
        <v>14664</v>
      </c>
      <c r="I38" s="82">
        <f t="shared" si="10"/>
        <v>11062.226500375453</v>
      </c>
      <c r="J38" s="78">
        <f>References!$C$49*I38</f>
        <v>27.655566250938655</v>
      </c>
      <c r="K38" s="129">
        <f>J38/References!$G$57</f>
        <v>28.76114465133601</v>
      </c>
      <c r="L38" s="129">
        <f t="shared" si="16"/>
        <v>0.09</v>
      </c>
      <c r="M38" s="29">
        <v>4.17</v>
      </c>
      <c r="N38" s="78">
        <f t="shared" si="11"/>
        <v>4.26</v>
      </c>
      <c r="O38" s="78">
        <f t="shared" si="12"/>
        <v>1301.04</v>
      </c>
      <c r="P38" s="79">
        <f t="shared" si="13"/>
        <v>4.26</v>
      </c>
      <c r="Q38" s="79">
        <f t="shared" si="14"/>
        <v>1329.12</v>
      </c>
      <c r="R38" s="79">
        <f t="shared" si="15"/>
        <v>28.079999999999927</v>
      </c>
      <c r="U38" s="164">
        <f t="shared" si="6"/>
        <v>0.021582733812949506</v>
      </c>
      <c r="V38" s="127"/>
    </row>
    <row r="39" spans="1:22" s="80" customFormat="1" ht="15">
      <c r="A39" s="170"/>
      <c r="B39" s="76">
        <v>27</v>
      </c>
      <c r="C39" s="31" t="s">
        <v>146</v>
      </c>
      <c r="D39" s="124"/>
      <c r="E39" s="81"/>
      <c r="F39" s="96">
        <v>4524</v>
      </c>
      <c r="G39" s="142">
        <f>References!$B$22</f>
        <v>68</v>
      </c>
      <c r="H39" s="85">
        <f t="shared" si="9"/>
        <v>307632</v>
      </c>
      <c r="I39" s="82">
        <f t="shared" si="10"/>
        <v>232071.3899865999</v>
      </c>
      <c r="J39" s="78">
        <f>References!$C$49*I39</f>
        <v>580.1784749665003</v>
      </c>
      <c r="K39" s="129">
        <f>J39/References!$G$57</f>
        <v>603.3720984301555</v>
      </c>
      <c r="L39" s="129">
        <f t="shared" si="16"/>
        <v>0.13</v>
      </c>
      <c r="M39" s="29">
        <v>5.38</v>
      </c>
      <c r="N39" s="78">
        <f t="shared" si="11"/>
        <v>5.51</v>
      </c>
      <c r="O39" s="78">
        <f t="shared" si="12"/>
        <v>24339.12</v>
      </c>
      <c r="P39" s="79">
        <f t="shared" si="13"/>
        <v>5.51</v>
      </c>
      <c r="Q39" s="79">
        <f t="shared" si="14"/>
        <v>24927.239999999998</v>
      </c>
      <c r="R39" s="79">
        <f t="shared" si="15"/>
        <v>588.119999999999</v>
      </c>
      <c r="U39" s="164">
        <f t="shared" si="6"/>
        <v>0.024163568773234223</v>
      </c>
      <c r="V39" s="127"/>
    </row>
    <row r="40" spans="1:22" s="80" customFormat="1" ht="15">
      <c r="A40" s="170"/>
      <c r="B40" s="76">
        <v>27</v>
      </c>
      <c r="C40" s="32" t="s">
        <v>146</v>
      </c>
      <c r="D40" s="124"/>
      <c r="E40" s="81"/>
      <c r="F40" s="96">
        <v>104</v>
      </c>
      <c r="G40" s="142">
        <f>References!$B$22</f>
        <v>68</v>
      </c>
      <c r="H40" s="85">
        <f t="shared" si="9"/>
        <v>7072</v>
      </c>
      <c r="I40" s="82">
        <f t="shared" si="10"/>
        <v>5334.974482450573</v>
      </c>
      <c r="J40" s="78">
        <f>References!$C$49*I40</f>
        <v>13.337436206126446</v>
      </c>
      <c r="K40" s="129">
        <f>J40/References!$G$57</f>
        <v>13.87062295241737</v>
      </c>
      <c r="L40" s="129">
        <f t="shared" si="16"/>
        <v>0.13</v>
      </c>
      <c r="M40" s="29">
        <v>5.38</v>
      </c>
      <c r="N40" s="78">
        <f t="shared" si="11"/>
        <v>5.51</v>
      </c>
      <c r="O40" s="78">
        <f t="shared" si="12"/>
        <v>559.52</v>
      </c>
      <c r="P40" s="79">
        <f t="shared" si="13"/>
        <v>5.51</v>
      </c>
      <c r="Q40" s="79">
        <f t="shared" si="14"/>
        <v>573.04</v>
      </c>
      <c r="R40" s="79">
        <f t="shared" si="15"/>
        <v>13.519999999999982</v>
      </c>
      <c r="U40" s="164">
        <f t="shared" si="6"/>
        <v>0.024163568773234223</v>
      </c>
      <c r="V40" s="127"/>
    </row>
    <row r="41" spans="1:22" s="80" customFormat="1" ht="15">
      <c r="A41" s="170"/>
      <c r="B41" s="76">
        <v>27</v>
      </c>
      <c r="C41" s="32" t="s">
        <v>146</v>
      </c>
      <c r="D41" s="124"/>
      <c r="E41" s="81"/>
      <c r="F41" s="96">
        <v>156</v>
      </c>
      <c r="G41" s="142">
        <f>References!$B$22</f>
        <v>68</v>
      </c>
      <c r="H41" s="85">
        <f t="shared" si="9"/>
        <v>10608</v>
      </c>
      <c r="I41" s="82">
        <f t="shared" si="10"/>
        <v>8002.4617236758595</v>
      </c>
      <c r="J41" s="78">
        <f>References!$C$49*I41</f>
        <v>20.006154309189668</v>
      </c>
      <c r="K41" s="129">
        <f>J41/References!$G$57</f>
        <v>20.805934428626053</v>
      </c>
      <c r="L41" s="129">
        <f t="shared" si="16"/>
        <v>0.13</v>
      </c>
      <c r="M41" s="29">
        <v>5.38</v>
      </c>
      <c r="N41" s="78">
        <f t="shared" si="11"/>
        <v>5.51</v>
      </c>
      <c r="O41" s="78">
        <f t="shared" si="12"/>
        <v>839.28</v>
      </c>
      <c r="P41" s="79">
        <f t="shared" si="13"/>
        <v>5.51</v>
      </c>
      <c r="Q41" s="79">
        <f t="shared" si="14"/>
        <v>859.56</v>
      </c>
      <c r="R41" s="79">
        <f t="shared" si="15"/>
        <v>20.279999999999973</v>
      </c>
      <c r="U41" s="164">
        <f t="shared" si="6"/>
        <v>0.024163568773234223</v>
      </c>
      <c r="V41" s="127"/>
    </row>
    <row r="42" spans="1:22" s="80" customFormat="1" ht="15">
      <c r="A42" s="170"/>
      <c r="B42" s="76">
        <v>27</v>
      </c>
      <c r="C42" s="31" t="s">
        <v>147</v>
      </c>
      <c r="D42" s="124"/>
      <c r="E42" s="81"/>
      <c r="F42" s="96">
        <v>2808</v>
      </c>
      <c r="G42" s="142">
        <f>References!$B$22</f>
        <v>68</v>
      </c>
      <c r="H42" s="85">
        <f t="shared" si="9"/>
        <v>190944</v>
      </c>
      <c r="I42" s="82">
        <f t="shared" si="10"/>
        <v>144044.31102616547</v>
      </c>
      <c r="J42" s="78">
        <f>References!$C$49*I42</f>
        <v>360.11077756541397</v>
      </c>
      <c r="K42" s="129">
        <f>J42/References!$G$57</f>
        <v>374.50681971526893</v>
      </c>
      <c r="L42" s="129">
        <f t="shared" si="16"/>
        <v>0.13</v>
      </c>
      <c r="M42" s="29">
        <v>5.38</v>
      </c>
      <c r="N42" s="78">
        <f t="shared" si="11"/>
        <v>5.51</v>
      </c>
      <c r="O42" s="78">
        <f t="shared" si="12"/>
        <v>15107.039999999999</v>
      </c>
      <c r="P42" s="79">
        <f t="shared" si="13"/>
        <v>5.51</v>
      </c>
      <c r="Q42" s="79">
        <f t="shared" si="14"/>
        <v>15472.08</v>
      </c>
      <c r="R42" s="79">
        <f t="shared" si="15"/>
        <v>365.0400000000009</v>
      </c>
      <c r="U42" s="164">
        <f t="shared" si="6"/>
        <v>0.024163568773234223</v>
      </c>
      <c r="V42" s="127"/>
    </row>
    <row r="43" spans="1:22" s="80" customFormat="1" ht="15">
      <c r="A43" s="170"/>
      <c r="B43" s="76">
        <v>27</v>
      </c>
      <c r="C43" s="31" t="s">
        <v>148</v>
      </c>
      <c r="D43" s="124"/>
      <c r="E43" s="81"/>
      <c r="F43" s="96">
        <v>1092</v>
      </c>
      <c r="G43" s="142">
        <f>References!$B$22</f>
        <v>68</v>
      </c>
      <c r="H43" s="85">
        <f t="shared" si="9"/>
        <v>74256</v>
      </c>
      <c r="I43" s="82">
        <f t="shared" si="10"/>
        <v>56017.23206573101</v>
      </c>
      <c r="J43" s="78">
        <f>References!$C$49*I43</f>
        <v>140.04308016432765</v>
      </c>
      <c r="K43" s="129">
        <f>J43/References!$G$57</f>
        <v>145.64154100038235</v>
      </c>
      <c r="L43" s="129">
        <f t="shared" si="16"/>
        <v>0.13</v>
      </c>
      <c r="M43" s="29">
        <v>5.38</v>
      </c>
      <c r="N43" s="78">
        <f t="shared" si="11"/>
        <v>5.51</v>
      </c>
      <c r="O43" s="78">
        <f t="shared" si="12"/>
        <v>5874.96</v>
      </c>
      <c r="P43" s="79">
        <f t="shared" si="13"/>
        <v>5.51</v>
      </c>
      <c r="Q43" s="79">
        <f t="shared" si="14"/>
        <v>6016.92</v>
      </c>
      <c r="R43" s="79">
        <f t="shared" si="15"/>
        <v>141.96000000000004</v>
      </c>
      <c r="U43" s="164">
        <f t="shared" si="6"/>
        <v>0.024163568773234223</v>
      </c>
      <c r="V43" s="127"/>
    </row>
    <row r="44" spans="1:22" s="80" customFormat="1" ht="15">
      <c r="A44" s="170"/>
      <c r="B44" s="76">
        <v>27</v>
      </c>
      <c r="C44" s="31" t="s">
        <v>149</v>
      </c>
      <c r="D44" s="124"/>
      <c r="E44" s="81"/>
      <c r="F44" s="96">
        <v>416</v>
      </c>
      <c r="G44" s="142">
        <f>References!$B$22</f>
        <v>68</v>
      </c>
      <c r="H44" s="85">
        <f t="shared" si="9"/>
        <v>28288</v>
      </c>
      <c r="I44" s="82">
        <f t="shared" si="10"/>
        <v>21339.897929802293</v>
      </c>
      <c r="J44" s="78">
        <f>References!$C$49*I44</f>
        <v>53.349744824505784</v>
      </c>
      <c r="K44" s="129">
        <f>J44/References!$G$57</f>
        <v>55.48249180966948</v>
      </c>
      <c r="L44" s="129">
        <f t="shared" si="16"/>
        <v>0.13</v>
      </c>
      <c r="M44" s="29">
        <v>5.38</v>
      </c>
      <c r="N44" s="78">
        <f t="shared" si="11"/>
        <v>5.51</v>
      </c>
      <c r="O44" s="78">
        <f t="shared" si="12"/>
        <v>2238.08</v>
      </c>
      <c r="P44" s="79">
        <f t="shared" si="13"/>
        <v>5.51</v>
      </c>
      <c r="Q44" s="79">
        <f t="shared" si="14"/>
        <v>2292.16</v>
      </c>
      <c r="R44" s="79">
        <f t="shared" si="15"/>
        <v>54.07999999999993</v>
      </c>
      <c r="U44" s="164">
        <f t="shared" si="6"/>
        <v>0.024163568773234223</v>
      </c>
      <c r="V44" s="127"/>
    </row>
    <row r="45" spans="1:22" s="80" customFormat="1" ht="15">
      <c r="A45" s="170"/>
      <c r="B45" s="76">
        <v>33</v>
      </c>
      <c r="C45" s="31" t="s">
        <v>150</v>
      </c>
      <c r="D45" s="124"/>
      <c r="E45" s="81"/>
      <c r="F45" s="96">
        <v>6084</v>
      </c>
      <c r="G45" s="142">
        <f>References!$B$27</f>
        <v>175</v>
      </c>
      <c r="H45" s="85">
        <f t="shared" si="9"/>
        <v>1064700</v>
      </c>
      <c r="I45" s="82">
        <f t="shared" si="10"/>
        <v>803188.2538836432</v>
      </c>
      <c r="J45" s="78">
        <f>References!$C$49*I45</f>
        <v>2007.9706347091098</v>
      </c>
      <c r="K45" s="129">
        <f>J45/References!$G$57</f>
        <v>2088.242683461365</v>
      </c>
      <c r="L45" s="129">
        <f t="shared" si="16"/>
        <v>0.34</v>
      </c>
      <c r="M45" s="29">
        <v>10.29</v>
      </c>
      <c r="N45" s="78">
        <f t="shared" si="11"/>
        <v>10.629999999999999</v>
      </c>
      <c r="O45" s="78">
        <f t="shared" si="12"/>
        <v>62604.35999999999</v>
      </c>
      <c r="P45" s="79">
        <f t="shared" si="13"/>
        <v>10.629999999999999</v>
      </c>
      <c r="Q45" s="79">
        <f t="shared" si="14"/>
        <v>64672.91999999999</v>
      </c>
      <c r="R45" s="79">
        <f t="shared" si="15"/>
        <v>2068.5599999999977</v>
      </c>
      <c r="U45" s="164">
        <f t="shared" si="6"/>
        <v>0.033041788143828965</v>
      </c>
      <c r="V45" s="127"/>
    </row>
    <row r="46" spans="1:22" s="80" customFormat="1" ht="15">
      <c r="A46" s="170"/>
      <c r="B46" s="76">
        <v>33</v>
      </c>
      <c r="C46" s="31" t="s">
        <v>151</v>
      </c>
      <c r="D46" s="124"/>
      <c r="E46" s="81"/>
      <c r="F46" s="96">
        <v>21112</v>
      </c>
      <c r="G46" s="142">
        <f>References!$B$28</f>
        <v>250</v>
      </c>
      <c r="H46" s="85">
        <f t="shared" si="9"/>
        <v>5278000</v>
      </c>
      <c r="I46" s="82">
        <f t="shared" si="10"/>
        <v>3981616.985064214</v>
      </c>
      <c r="J46" s="78">
        <f>References!$C$49*I46</f>
        <v>9954.042462660544</v>
      </c>
      <c r="K46" s="129">
        <f>J46/References!$G$57</f>
        <v>10351.97227698796</v>
      </c>
      <c r="L46" s="129">
        <f t="shared" si="16"/>
        <v>0.49</v>
      </c>
      <c r="M46" s="29">
        <v>15.38</v>
      </c>
      <c r="N46" s="78">
        <f t="shared" si="11"/>
        <v>15.870000000000001</v>
      </c>
      <c r="O46" s="78">
        <f t="shared" si="12"/>
        <v>324702.56</v>
      </c>
      <c r="P46" s="79">
        <f t="shared" si="13"/>
        <v>15.870000000000001</v>
      </c>
      <c r="Q46" s="79">
        <f t="shared" si="14"/>
        <v>335047.44</v>
      </c>
      <c r="R46" s="79">
        <f t="shared" si="15"/>
        <v>10344.880000000005</v>
      </c>
      <c r="U46" s="164">
        <f t="shared" si="6"/>
        <v>0.031859557867360166</v>
      </c>
      <c r="V46" s="127"/>
    </row>
    <row r="47" spans="1:22" s="80" customFormat="1" ht="15">
      <c r="A47" s="170"/>
      <c r="B47" s="76">
        <v>33</v>
      </c>
      <c r="C47" s="31" t="s">
        <v>151</v>
      </c>
      <c r="D47" s="124"/>
      <c r="E47" s="81"/>
      <c r="F47" s="96">
        <v>312</v>
      </c>
      <c r="G47" s="142">
        <f>References!$B$28</f>
        <v>250</v>
      </c>
      <c r="H47" s="85">
        <f t="shared" si="9"/>
        <v>78000</v>
      </c>
      <c r="I47" s="82">
        <f t="shared" si="10"/>
        <v>58841.630321146025</v>
      </c>
      <c r="J47" s="78">
        <f>References!$C$49*I47</f>
        <v>147.1040758028652</v>
      </c>
      <c r="K47" s="129">
        <f>J47/References!$G$57</f>
        <v>152.98481197519158</v>
      </c>
      <c r="L47" s="129">
        <f t="shared" si="16"/>
        <v>0.49</v>
      </c>
      <c r="M47" s="29">
        <v>15.38</v>
      </c>
      <c r="N47" s="78">
        <f t="shared" si="11"/>
        <v>15.870000000000001</v>
      </c>
      <c r="O47" s="78">
        <f t="shared" si="12"/>
        <v>4798.56</v>
      </c>
      <c r="P47" s="79">
        <f t="shared" si="13"/>
        <v>15.870000000000001</v>
      </c>
      <c r="Q47" s="79">
        <f t="shared" si="14"/>
        <v>4951.4400000000005</v>
      </c>
      <c r="R47" s="79">
        <f t="shared" si="15"/>
        <v>152.8800000000001</v>
      </c>
      <c r="U47" s="164">
        <f t="shared" si="6"/>
        <v>0.031859557867360166</v>
      </c>
      <c r="V47" s="127"/>
    </row>
    <row r="48" spans="1:22" s="80" customFormat="1" ht="15">
      <c r="A48" s="170"/>
      <c r="B48" s="76">
        <v>33</v>
      </c>
      <c r="C48" s="31" t="s">
        <v>152</v>
      </c>
      <c r="D48" s="124"/>
      <c r="E48" s="81"/>
      <c r="F48" s="96">
        <v>520</v>
      </c>
      <c r="G48" s="142">
        <f>References!$B$28</f>
        <v>250</v>
      </c>
      <c r="H48" s="85">
        <f t="shared" si="9"/>
        <v>130000</v>
      </c>
      <c r="I48" s="82">
        <f t="shared" si="10"/>
        <v>98069.38386857671</v>
      </c>
      <c r="J48" s="78">
        <f>References!$C$49*I48</f>
        <v>245.173459671442</v>
      </c>
      <c r="K48" s="129">
        <f>J48/References!$G$57</f>
        <v>254.9746866253193</v>
      </c>
      <c r="L48" s="129">
        <f t="shared" si="16"/>
        <v>0.49</v>
      </c>
      <c r="M48" s="29">
        <v>15.38</v>
      </c>
      <c r="N48" s="78">
        <f t="shared" si="11"/>
        <v>15.870000000000001</v>
      </c>
      <c r="O48" s="78">
        <f t="shared" si="12"/>
        <v>7997.6</v>
      </c>
      <c r="P48" s="79">
        <f t="shared" si="13"/>
        <v>15.870000000000001</v>
      </c>
      <c r="Q48" s="79">
        <f t="shared" si="14"/>
        <v>8252.4</v>
      </c>
      <c r="R48" s="79">
        <f t="shared" si="15"/>
        <v>254.79999999999927</v>
      </c>
      <c r="U48" s="164">
        <f t="shared" si="6"/>
        <v>0.031859557867360166</v>
      </c>
      <c r="V48" s="127"/>
    </row>
    <row r="49" spans="1:22" s="80" customFormat="1" ht="15">
      <c r="A49" s="170"/>
      <c r="B49" s="76">
        <v>33</v>
      </c>
      <c r="C49" s="31" t="s">
        <v>151</v>
      </c>
      <c r="D49" s="124"/>
      <c r="E49" s="81"/>
      <c r="F49" s="96">
        <v>156</v>
      </c>
      <c r="G49" s="142">
        <f>References!$B$28</f>
        <v>250</v>
      </c>
      <c r="H49" s="85">
        <f t="shared" si="9"/>
        <v>39000</v>
      </c>
      <c r="I49" s="82">
        <f t="shared" si="10"/>
        <v>29420.815160573013</v>
      </c>
      <c r="J49" s="78">
        <f>References!$C$49*I49</f>
        <v>73.5520379014326</v>
      </c>
      <c r="K49" s="129">
        <f>J49/References!$G$57</f>
        <v>76.49240598759579</v>
      </c>
      <c r="L49" s="129">
        <f t="shared" si="16"/>
        <v>0.49</v>
      </c>
      <c r="M49" s="29">
        <v>15.38</v>
      </c>
      <c r="N49" s="78">
        <f t="shared" si="11"/>
        <v>15.870000000000001</v>
      </c>
      <c r="O49" s="78">
        <f t="shared" si="12"/>
        <v>2399.28</v>
      </c>
      <c r="P49" s="79">
        <f t="shared" si="13"/>
        <v>15.870000000000001</v>
      </c>
      <c r="Q49" s="79">
        <f t="shared" si="14"/>
        <v>2475.7200000000003</v>
      </c>
      <c r="R49" s="79">
        <f t="shared" si="15"/>
        <v>76.44000000000005</v>
      </c>
      <c r="U49" s="164">
        <f t="shared" si="6"/>
        <v>0.031859557867360166</v>
      </c>
      <c r="V49" s="127"/>
    </row>
    <row r="50" spans="1:22" s="80" customFormat="1" ht="15">
      <c r="A50" s="170"/>
      <c r="B50" s="76">
        <v>33</v>
      </c>
      <c r="C50" s="31" t="s">
        <v>153</v>
      </c>
      <c r="D50" s="124"/>
      <c r="E50" s="81"/>
      <c r="F50" s="96">
        <v>11752</v>
      </c>
      <c r="G50" s="142">
        <f>References!$B$29</f>
        <v>324</v>
      </c>
      <c r="H50" s="85">
        <f t="shared" si="9"/>
        <v>3807648</v>
      </c>
      <c r="I50" s="82">
        <f t="shared" si="10"/>
        <v>2872413.025757064</v>
      </c>
      <c r="J50" s="78">
        <f>References!$C$49*I50</f>
        <v>7181.032564392666</v>
      </c>
      <c r="K50" s="129">
        <f>J50/References!$G$57</f>
        <v>7468.10658138095</v>
      </c>
      <c r="L50" s="129">
        <f t="shared" si="16"/>
        <v>0.64</v>
      </c>
      <c r="M50" s="29">
        <v>19.25</v>
      </c>
      <c r="N50" s="78">
        <f t="shared" si="11"/>
        <v>19.89</v>
      </c>
      <c r="O50" s="78">
        <f t="shared" si="12"/>
        <v>226226</v>
      </c>
      <c r="P50" s="79">
        <f t="shared" si="13"/>
        <v>19.89</v>
      </c>
      <c r="Q50" s="79">
        <f t="shared" si="14"/>
        <v>233747.28</v>
      </c>
      <c r="R50" s="79">
        <f t="shared" si="15"/>
        <v>7521.279999999999</v>
      </c>
      <c r="U50" s="164">
        <f t="shared" si="6"/>
        <v>0.0332467532467533</v>
      </c>
      <c r="V50" s="127"/>
    </row>
    <row r="51" spans="1:22" s="80" customFormat="1" ht="15">
      <c r="A51" s="170"/>
      <c r="B51" s="76">
        <v>33</v>
      </c>
      <c r="C51" s="31" t="s">
        <v>153</v>
      </c>
      <c r="D51" s="124"/>
      <c r="E51" s="81"/>
      <c r="F51" s="96">
        <v>624</v>
      </c>
      <c r="G51" s="142">
        <f>References!$B$29</f>
        <v>324</v>
      </c>
      <c r="H51" s="85">
        <f t="shared" si="9"/>
        <v>202176</v>
      </c>
      <c r="I51" s="82">
        <f t="shared" si="10"/>
        <v>152517.5057924105</v>
      </c>
      <c r="J51" s="78">
        <f>References!$C$49*I51</f>
        <v>381.2937644810266</v>
      </c>
      <c r="K51" s="129">
        <f>J51/References!$G$57</f>
        <v>396.5366326396965</v>
      </c>
      <c r="L51" s="129">
        <f t="shared" si="16"/>
        <v>0.64</v>
      </c>
      <c r="M51" s="29">
        <v>19.25</v>
      </c>
      <c r="N51" s="78">
        <f t="shared" si="11"/>
        <v>19.89</v>
      </c>
      <c r="O51" s="78">
        <f t="shared" si="12"/>
        <v>12012</v>
      </c>
      <c r="P51" s="79">
        <f t="shared" si="13"/>
        <v>19.89</v>
      </c>
      <c r="Q51" s="79">
        <f t="shared" si="14"/>
        <v>12411.36</v>
      </c>
      <c r="R51" s="79">
        <f t="shared" si="15"/>
        <v>399.3600000000006</v>
      </c>
      <c r="U51" s="164">
        <f t="shared" si="6"/>
        <v>0.0332467532467533</v>
      </c>
      <c r="V51" s="127"/>
    </row>
    <row r="52" spans="1:22" s="80" customFormat="1" ht="15">
      <c r="A52" s="170"/>
      <c r="B52" s="76">
        <v>33</v>
      </c>
      <c r="C52" s="31" t="s">
        <v>153</v>
      </c>
      <c r="D52" s="124"/>
      <c r="E52" s="81"/>
      <c r="F52" s="96">
        <v>156</v>
      </c>
      <c r="G52" s="142">
        <f>References!$B$29</f>
        <v>324</v>
      </c>
      <c r="H52" s="85">
        <f t="shared" si="9"/>
        <v>50544</v>
      </c>
      <c r="I52" s="82">
        <f t="shared" si="10"/>
        <v>38129.37644810262</v>
      </c>
      <c r="J52" s="78">
        <f>References!$C$49*I52</f>
        <v>95.32344112025665</v>
      </c>
      <c r="K52" s="129">
        <f>J52/References!$G$57</f>
        <v>99.13415815992413</v>
      </c>
      <c r="L52" s="129">
        <f t="shared" si="16"/>
        <v>0.64</v>
      </c>
      <c r="M52" s="29">
        <v>19.25</v>
      </c>
      <c r="N52" s="78">
        <f t="shared" si="11"/>
        <v>19.89</v>
      </c>
      <c r="O52" s="78">
        <f t="shared" si="12"/>
        <v>3003</v>
      </c>
      <c r="P52" s="79">
        <f t="shared" si="13"/>
        <v>19.89</v>
      </c>
      <c r="Q52" s="79">
        <f t="shared" si="14"/>
        <v>3102.84</v>
      </c>
      <c r="R52" s="79">
        <f t="shared" si="15"/>
        <v>99.84000000000015</v>
      </c>
      <c r="U52" s="164">
        <f t="shared" si="6"/>
        <v>0.0332467532467533</v>
      </c>
      <c r="V52" s="127"/>
    </row>
    <row r="53" spans="1:22" s="80" customFormat="1" ht="15">
      <c r="A53" s="170"/>
      <c r="B53" s="76">
        <v>33</v>
      </c>
      <c r="C53" s="31" t="s">
        <v>154</v>
      </c>
      <c r="D53" s="124"/>
      <c r="E53" s="81"/>
      <c r="F53" s="96">
        <v>104</v>
      </c>
      <c r="G53" s="142">
        <f>References!$B$29</f>
        <v>324</v>
      </c>
      <c r="H53" s="85">
        <f t="shared" si="9"/>
        <v>33696</v>
      </c>
      <c r="I53" s="82">
        <f t="shared" si="10"/>
        <v>25419.584298735084</v>
      </c>
      <c r="J53" s="78">
        <f>References!$C$49*I53</f>
        <v>63.548960746837764</v>
      </c>
      <c r="K53" s="129">
        <f>J53/References!$G$57</f>
        <v>66.08943877328275</v>
      </c>
      <c r="L53" s="129">
        <f t="shared" si="16"/>
        <v>0.64</v>
      </c>
      <c r="M53" s="29">
        <v>19.25</v>
      </c>
      <c r="N53" s="78">
        <f t="shared" si="11"/>
        <v>19.89</v>
      </c>
      <c r="O53" s="78">
        <f t="shared" si="12"/>
        <v>2002</v>
      </c>
      <c r="P53" s="79">
        <f t="shared" si="13"/>
        <v>19.89</v>
      </c>
      <c r="Q53" s="79">
        <f t="shared" si="14"/>
        <v>2068.56</v>
      </c>
      <c r="R53" s="79">
        <f t="shared" si="15"/>
        <v>66.55999999999995</v>
      </c>
      <c r="U53" s="164">
        <f t="shared" si="6"/>
        <v>0.0332467532467533</v>
      </c>
      <c r="V53" s="127"/>
    </row>
    <row r="54" spans="1:22" s="80" customFormat="1" ht="15">
      <c r="A54" s="170"/>
      <c r="B54" s="76">
        <v>33</v>
      </c>
      <c r="C54" s="31" t="s">
        <v>155</v>
      </c>
      <c r="D54" s="124"/>
      <c r="E54" s="81"/>
      <c r="F54" s="96">
        <v>11544</v>
      </c>
      <c r="G54" s="142">
        <f>References!$B$30</f>
        <v>473</v>
      </c>
      <c r="H54" s="85">
        <f t="shared" si="9"/>
        <v>5460312</v>
      </c>
      <c r="I54" s="82">
        <f t="shared" si="10"/>
        <v>4119149.4890015065</v>
      </c>
      <c r="J54" s="78">
        <f>References!$C$49*I54</f>
        <v>10297.873722503775</v>
      </c>
      <c r="K54" s="129">
        <f>J54/References!$G$57</f>
        <v>10709.54877751131</v>
      </c>
      <c r="L54" s="129">
        <f t="shared" si="16"/>
        <v>0.93</v>
      </c>
      <c r="M54" s="29">
        <v>26.99</v>
      </c>
      <c r="N54" s="78">
        <f t="shared" si="11"/>
        <v>27.919999999999998</v>
      </c>
      <c r="O54" s="78">
        <f t="shared" si="12"/>
        <v>311572.56</v>
      </c>
      <c r="P54" s="79">
        <f t="shared" si="13"/>
        <v>27.919999999999998</v>
      </c>
      <c r="Q54" s="79">
        <f t="shared" si="14"/>
        <v>322308.48</v>
      </c>
      <c r="R54" s="79">
        <f t="shared" si="15"/>
        <v>10735.919999999984</v>
      </c>
      <c r="U54" s="164">
        <f t="shared" si="6"/>
        <v>0.03445720637273064</v>
      </c>
      <c r="V54" s="127"/>
    </row>
    <row r="55" spans="1:22" s="80" customFormat="1" ht="15">
      <c r="A55" s="170"/>
      <c r="B55" s="76">
        <v>33</v>
      </c>
      <c r="C55" s="31" t="s">
        <v>155</v>
      </c>
      <c r="D55" s="124"/>
      <c r="E55" s="81"/>
      <c r="F55" s="96">
        <v>2912</v>
      </c>
      <c r="G55" s="142">
        <f>References!$B$30</f>
        <v>473</v>
      </c>
      <c r="H55" s="85">
        <f t="shared" si="9"/>
        <v>1377376</v>
      </c>
      <c r="I55" s="82">
        <f t="shared" si="10"/>
        <v>1039064.7359643439</v>
      </c>
      <c r="J55" s="78">
        <f>References!$C$49*I55</f>
        <v>2597.661839910862</v>
      </c>
      <c r="K55" s="129">
        <f>J55/References!$G$57</f>
        <v>2701.5077997325825</v>
      </c>
      <c r="L55" s="129">
        <f t="shared" si="16"/>
        <v>0.93</v>
      </c>
      <c r="M55" s="29">
        <v>26.99</v>
      </c>
      <c r="N55" s="78">
        <f t="shared" si="11"/>
        <v>27.919999999999998</v>
      </c>
      <c r="O55" s="78">
        <f t="shared" si="12"/>
        <v>78594.87999999999</v>
      </c>
      <c r="P55" s="79">
        <f t="shared" si="13"/>
        <v>27.919999999999998</v>
      </c>
      <c r="Q55" s="79">
        <f t="shared" si="14"/>
        <v>81303.04</v>
      </c>
      <c r="R55" s="79">
        <f t="shared" si="15"/>
        <v>2708.1600000000035</v>
      </c>
      <c r="U55" s="164">
        <f t="shared" si="6"/>
        <v>0.03445720637273064</v>
      </c>
      <c r="V55" s="127"/>
    </row>
    <row r="56" spans="1:22" s="80" customFormat="1" ht="15">
      <c r="A56" s="170"/>
      <c r="B56" s="76">
        <v>33</v>
      </c>
      <c r="C56" s="31" t="s">
        <v>155</v>
      </c>
      <c r="D56" s="124"/>
      <c r="E56" s="81"/>
      <c r="F56" s="96">
        <v>1404</v>
      </c>
      <c r="G56" s="142">
        <f>References!$B$30</f>
        <v>473</v>
      </c>
      <c r="H56" s="85">
        <f t="shared" si="9"/>
        <v>664092</v>
      </c>
      <c r="I56" s="82">
        <f t="shared" si="10"/>
        <v>500977.64055423724</v>
      </c>
      <c r="J56" s="78">
        <f>References!$C$49*I56</f>
        <v>1252.4441013855942</v>
      </c>
      <c r="K56" s="129">
        <f>J56/References!$G$57</f>
        <v>1302.5126891567809</v>
      </c>
      <c r="L56" s="129">
        <f t="shared" si="16"/>
        <v>0.93</v>
      </c>
      <c r="M56" s="29">
        <v>26.99</v>
      </c>
      <c r="N56" s="78">
        <f t="shared" si="11"/>
        <v>27.919999999999998</v>
      </c>
      <c r="O56" s="78">
        <f t="shared" si="12"/>
        <v>37893.96</v>
      </c>
      <c r="P56" s="79">
        <f t="shared" si="13"/>
        <v>27.919999999999998</v>
      </c>
      <c r="Q56" s="79">
        <f t="shared" si="14"/>
        <v>39199.68</v>
      </c>
      <c r="R56" s="79">
        <f t="shared" si="15"/>
        <v>1305.7200000000012</v>
      </c>
      <c r="U56" s="164">
        <f t="shared" si="6"/>
        <v>0.03445720637273064</v>
      </c>
      <c r="V56" s="127"/>
    </row>
    <row r="57" spans="1:22" s="80" customFormat="1" ht="15">
      <c r="A57" s="170"/>
      <c r="B57" s="76">
        <v>33</v>
      </c>
      <c r="C57" s="31" t="s">
        <v>155</v>
      </c>
      <c r="D57" s="124"/>
      <c r="E57" s="81"/>
      <c r="F57" s="96">
        <v>208</v>
      </c>
      <c r="G57" s="142">
        <f>References!$B$30</f>
        <v>473</v>
      </c>
      <c r="H57" s="85">
        <f t="shared" si="9"/>
        <v>98384</v>
      </c>
      <c r="I57" s="82">
        <f aca="true" t="shared" si="17" ref="I57:I88">$C$117*H57</f>
        <v>74218.90971173886</v>
      </c>
      <c r="J57" s="78">
        <f>References!$C$49*I57</f>
        <v>185.5472742793473</v>
      </c>
      <c r="K57" s="129">
        <f>J57/References!$G$57</f>
        <v>192.96484283804162</v>
      </c>
      <c r="L57" s="129">
        <f t="shared" si="16"/>
        <v>0.93</v>
      </c>
      <c r="M57" s="29">
        <v>26.99</v>
      </c>
      <c r="N57" s="78">
        <f t="shared" si="11"/>
        <v>27.919999999999998</v>
      </c>
      <c r="O57" s="78">
        <f aca="true" t="shared" si="18" ref="O57:O88">F57*M57</f>
        <v>5613.92</v>
      </c>
      <c r="P57" s="79">
        <f aca="true" t="shared" si="19" ref="P57:P88">N57</f>
        <v>27.919999999999998</v>
      </c>
      <c r="Q57" s="79">
        <f aca="true" t="shared" si="20" ref="Q57:Q88">F57*P57</f>
        <v>5807.36</v>
      </c>
      <c r="R57" s="79">
        <f aca="true" t="shared" si="21" ref="R57:R88">Q57-O57</f>
        <v>193.4399999999996</v>
      </c>
      <c r="U57" s="164">
        <f t="shared" si="6"/>
        <v>0.03445720637273064</v>
      </c>
      <c r="V57" s="127"/>
    </row>
    <row r="58" spans="1:22" s="80" customFormat="1" ht="15">
      <c r="A58" s="170"/>
      <c r="B58" s="76">
        <v>33</v>
      </c>
      <c r="C58" s="31" t="s">
        <v>155</v>
      </c>
      <c r="D58" s="124"/>
      <c r="E58" s="81"/>
      <c r="F58" s="96">
        <v>780</v>
      </c>
      <c r="G58" s="142">
        <f>References!$B$30</f>
        <v>473</v>
      </c>
      <c r="H58" s="85">
        <f t="shared" si="9"/>
        <v>368940</v>
      </c>
      <c r="I58" s="82">
        <f t="shared" si="17"/>
        <v>278320.9114190207</v>
      </c>
      <c r="J58" s="78">
        <f>References!$C$49*I58</f>
        <v>695.8022785475523</v>
      </c>
      <c r="K58" s="129">
        <f>J58/References!$G$57</f>
        <v>723.618160642656</v>
      </c>
      <c r="L58" s="129">
        <f t="shared" si="16"/>
        <v>0.93</v>
      </c>
      <c r="M58" s="29">
        <v>26.99</v>
      </c>
      <c r="N58" s="78">
        <f t="shared" si="11"/>
        <v>27.919999999999998</v>
      </c>
      <c r="O58" s="78">
        <f t="shared" si="18"/>
        <v>21052.199999999997</v>
      </c>
      <c r="P58" s="79">
        <f t="shared" si="19"/>
        <v>27.919999999999998</v>
      </c>
      <c r="Q58" s="79">
        <f t="shared" si="20"/>
        <v>21777.6</v>
      </c>
      <c r="R58" s="79">
        <f t="shared" si="21"/>
        <v>725.4000000000015</v>
      </c>
      <c r="U58" s="164">
        <f t="shared" si="6"/>
        <v>0.03445720637273064</v>
      </c>
      <c r="V58" s="127"/>
    </row>
    <row r="59" spans="1:22" s="80" customFormat="1" ht="15">
      <c r="A59" s="170"/>
      <c r="B59" s="76">
        <v>33</v>
      </c>
      <c r="C59" s="31" t="s">
        <v>155</v>
      </c>
      <c r="D59" s="124"/>
      <c r="E59" s="81"/>
      <c r="F59" s="96">
        <v>312</v>
      </c>
      <c r="G59" s="142">
        <f>References!$B$30</f>
        <v>473</v>
      </c>
      <c r="H59" s="85">
        <f t="shared" si="9"/>
        <v>147576</v>
      </c>
      <c r="I59" s="82">
        <f t="shared" si="17"/>
        <v>111328.36456760828</v>
      </c>
      <c r="J59" s="78">
        <f>References!$C$49*I59</f>
        <v>278.32091141902094</v>
      </c>
      <c r="K59" s="129">
        <f>J59/References!$G$57</f>
        <v>289.44726425706244</v>
      </c>
      <c r="L59" s="129">
        <f t="shared" si="16"/>
        <v>0.93</v>
      </c>
      <c r="M59" s="29">
        <v>26.99</v>
      </c>
      <c r="N59" s="78">
        <f t="shared" si="11"/>
        <v>27.919999999999998</v>
      </c>
      <c r="O59" s="78">
        <f t="shared" si="18"/>
        <v>8420.88</v>
      </c>
      <c r="P59" s="79">
        <f t="shared" si="19"/>
        <v>27.919999999999998</v>
      </c>
      <c r="Q59" s="79">
        <f t="shared" si="20"/>
        <v>8711.039999999999</v>
      </c>
      <c r="R59" s="79">
        <f t="shared" si="21"/>
        <v>290.15999999999985</v>
      </c>
      <c r="U59" s="164">
        <f t="shared" si="6"/>
        <v>0.03445720637273064</v>
      </c>
      <c r="V59" s="127"/>
    </row>
    <row r="60" spans="1:22" s="80" customFormat="1" ht="15">
      <c r="A60" s="170"/>
      <c r="B60" s="76">
        <v>33</v>
      </c>
      <c r="C60" s="31" t="s">
        <v>156</v>
      </c>
      <c r="D60" s="124"/>
      <c r="E60" s="81"/>
      <c r="F60" s="96">
        <v>832</v>
      </c>
      <c r="G60" s="142">
        <f>References!$B$30</f>
        <v>473</v>
      </c>
      <c r="H60" s="85">
        <f t="shared" si="9"/>
        <v>393536</v>
      </c>
      <c r="I60" s="82">
        <f t="shared" si="17"/>
        <v>296875.63884695544</v>
      </c>
      <c r="J60" s="78">
        <f>References!$C$49*I60</f>
        <v>742.1890971173892</v>
      </c>
      <c r="K60" s="129">
        <f>J60/References!$G$57</f>
        <v>771.8593713521665</v>
      </c>
      <c r="L60" s="129">
        <f t="shared" si="16"/>
        <v>0.93</v>
      </c>
      <c r="M60" s="29">
        <v>26.99</v>
      </c>
      <c r="N60" s="78">
        <f t="shared" si="11"/>
        <v>27.919999999999998</v>
      </c>
      <c r="O60" s="78">
        <f t="shared" si="18"/>
        <v>22455.68</v>
      </c>
      <c r="P60" s="79">
        <f t="shared" si="19"/>
        <v>27.919999999999998</v>
      </c>
      <c r="Q60" s="79">
        <f t="shared" si="20"/>
        <v>23229.44</v>
      </c>
      <c r="R60" s="79">
        <f t="shared" si="21"/>
        <v>773.7599999999984</v>
      </c>
      <c r="U60" s="164">
        <f t="shared" si="6"/>
        <v>0.03445720637273064</v>
      </c>
      <c r="V60" s="127"/>
    </row>
    <row r="61" spans="1:22" s="80" customFormat="1" ht="15">
      <c r="A61" s="170"/>
      <c r="B61" s="76">
        <v>33</v>
      </c>
      <c r="C61" s="31" t="s">
        <v>156</v>
      </c>
      <c r="D61" s="124"/>
      <c r="E61" s="81"/>
      <c r="F61" s="96">
        <v>624</v>
      </c>
      <c r="G61" s="142">
        <f>References!$B$30</f>
        <v>473</v>
      </c>
      <c r="H61" s="85">
        <f t="shared" si="9"/>
        <v>295152</v>
      </c>
      <c r="I61" s="82">
        <f t="shared" si="17"/>
        <v>222656.72913521656</v>
      </c>
      <c r="J61" s="78">
        <f>References!$C$49*I61</f>
        <v>556.6418228380419</v>
      </c>
      <c r="K61" s="129">
        <f>J61/References!$G$57</f>
        <v>578.8945285141249</v>
      </c>
      <c r="L61" s="129">
        <f t="shared" si="16"/>
        <v>0.93</v>
      </c>
      <c r="M61" s="29">
        <v>26.99</v>
      </c>
      <c r="N61" s="78">
        <f t="shared" si="11"/>
        <v>27.919999999999998</v>
      </c>
      <c r="O61" s="78">
        <f t="shared" si="18"/>
        <v>16841.76</v>
      </c>
      <c r="P61" s="79">
        <f t="shared" si="19"/>
        <v>27.919999999999998</v>
      </c>
      <c r="Q61" s="79">
        <f t="shared" si="20"/>
        <v>17422.079999999998</v>
      </c>
      <c r="R61" s="79">
        <f t="shared" si="21"/>
        <v>580.3199999999997</v>
      </c>
      <c r="U61" s="164">
        <f t="shared" si="6"/>
        <v>0.03445720637273064</v>
      </c>
      <c r="V61" s="127"/>
    </row>
    <row r="62" spans="1:22" s="80" customFormat="1" ht="15">
      <c r="A62" s="170"/>
      <c r="B62" s="76">
        <v>33</v>
      </c>
      <c r="C62" s="31" t="s">
        <v>156</v>
      </c>
      <c r="D62" s="124"/>
      <c r="E62" s="81"/>
      <c r="F62" s="96">
        <v>312</v>
      </c>
      <c r="G62" s="142">
        <f>References!$B$30</f>
        <v>473</v>
      </c>
      <c r="H62" s="85">
        <f t="shared" si="9"/>
        <v>147576</v>
      </c>
      <c r="I62" s="82">
        <f t="shared" si="17"/>
        <v>111328.36456760828</v>
      </c>
      <c r="J62" s="78">
        <f>References!$C$49*I62</f>
        <v>278.32091141902094</v>
      </c>
      <c r="K62" s="129">
        <f>J62/References!$G$57</f>
        <v>289.44726425706244</v>
      </c>
      <c r="L62" s="129">
        <f t="shared" si="16"/>
        <v>0.93</v>
      </c>
      <c r="M62" s="29">
        <v>26.99</v>
      </c>
      <c r="N62" s="78">
        <f t="shared" si="11"/>
        <v>27.919999999999998</v>
      </c>
      <c r="O62" s="78">
        <f t="shared" si="18"/>
        <v>8420.88</v>
      </c>
      <c r="P62" s="79">
        <f t="shared" si="19"/>
        <v>27.919999999999998</v>
      </c>
      <c r="Q62" s="79">
        <f t="shared" si="20"/>
        <v>8711.039999999999</v>
      </c>
      <c r="R62" s="79">
        <f t="shared" si="21"/>
        <v>290.15999999999985</v>
      </c>
      <c r="U62" s="164">
        <f t="shared" si="6"/>
        <v>0.03445720637273064</v>
      </c>
      <c r="V62" s="127"/>
    </row>
    <row r="63" spans="1:22" s="80" customFormat="1" ht="15">
      <c r="A63" s="170"/>
      <c r="B63" s="76">
        <v>33</v>
      </c>
      <c r="C63" s="31" t="s">
        <v>157</v>
      </c>
      <c r="D63" s="124"/>
      <c r="E63" s="81"/>
      <c r="F63" s="96">
        <v>312</v>
      </c>
      <c r="G63" s="142">
        <f>References!$B$30</f>
        <v>473</v>
      </c>
      <c r="H63" s="85">
        <f t="shared" si="9"/>
        <v>147576</v>
      </c>
      <c r="I63" s="82">
        <f t="shared" si="17"/>
        <v>111328.36456760828</v>
      </c>
      <c r="J63" s="78">
        <f>References!$C$49*I63</f>
        <v>278.32091141902094</v>
      </c>
      <c r="K63" s="129">
        <f>J63/References!$G$57</f>
        <v>289.44726425706244</v>
      </c>
      <c r="L63" s="129">
        <f t="shared" si="16"/>
        <v>0.93</v>
      </c>
      <c r="M63" s="29">
        <v>26.99</v>
      </c>
      <c r="N63" s="78">
        <f t="shared" si="11"/>
        <v>27.919999999999998</v>
      </c>
      <c r="O63" s="78">
        <f t="shared" si="18"/>
        <v>8420.88</v>
      </c>
      <c r="P63" s="79">
        <f t="shared" si="19"/>
        <v>27.919999999999998</v>
      </c>
      <c r="Q63" s="79">
        <f t="shared" si="20"/>
        <v>8711.039999999999</v>
      </c>
      <c r="R63" s="79">
        <f t="shared" si="21"/>
        <v>290.15999999999985</v>
      </c>
      <c r="U63" s="164">
        <f t="shared" si="6"/>
        <v>0.03445720637273064</v>
      </c>
      <c r="V63" s="127"/>
    </row>
    <row r="64" spans="1:22" s="80" customFormat="1" ht="15">
      <c r="A64" s="170"/>
      <c r="B64" s="76">
        <v>33</v>
      </c>
      <c r="C64" s="31" t="s">
        <v>157</v>
      </c>
      <c r="D64" s="124"/>
      <c r="E64" s="81"/>
      <c r="F64" s="96">
        <v>1248</v>
      </c>
      <c r="G64" s="142">
        <f>References!$B$30</f>
        <v>473</v>
      </c>
      <c r="H64" s="85">
        <f t="shared" si="9"/>
        <v>590304</v>
      </c>
      <c r="I64" s="82">
        <f t="shared" si="17"/>
        <v>445313.4582704331</v>
      </c>
      <c r="J64" s="78">
        <f>References!$C$49*I64</f>
        <v>1113.2836456760838</v>
      </c>
      <c r="K64" s="129">
        <f>J64/References!$G$57</f>
        <v>1157.7890570282498</v>
      </c>
      <c r="L64" s="129">
        <f t="shared" si="16"/>
        <v>0.93</v>
      </c>
      <c r="M64" s="29">
        <v>26.99</v>
      </c>
      <c r="N64" s="78">
        <f t="shared" si="11"/>
        <v>27.919999999999998</v>
      </c>
      <c r="O64" s="78">
        <f t="shared" si="18"/>
        <v>33683.52</v>
      </c>
      <c r="P64" s="79">
        <f t="shared" si="19"/>
        <v>27.919999999999998</v>
      </c>
      <c r="Q64" s="79">
        <f t="shared" si="20"/>
        <v>34844.159999999996</v>
      </c>
      <c r="R64" s="79">
        <f t="shared" si="21"/>
        <v>1160.6399999999994</v>
      </c>
      <c r="U64" s="164">
        <f t="shared" si="6"/>
        <v>0.03445720637273064</v>
      </c>
      <c r="V64" s="127"/>
    </row>
    <row r="65" spans="1:22" s="80" customFormat="1" ht="15">
      <c r="A65" s="170"/>
      <c r="B65" s="76">
        <v>33</v>
      </c>
      <c r="C65" s="31" t="s">
        <v>158</v>
      </c>
      <c r="D65" s="124"/>
      <c r="E65" s="81"/>
      <c r="F65" s="96">
        <v>935.9999999999999</v>
      </c>
      <c r="G65" s="142">
        <f>References!$B$30</f>
        <v>473</v>
      </c>
      <c r="H65" s="85">
        <f t="shared" si="9"/>
        <v>442727.99999999994</v>
      </c>
      <c r="I65" s="82">
        <f t="shared" si="17"/>
        <v>333985.0937028248</v>
      </c>
      <c r="J65" s="78">
        <f>References!$C$49*I65</f>
        <v>834.9627342570627</v>
      </c>
      <c r="K65" s="129">
        <f>J65/References!$G$57</f>
        <v>868.3417927711872</v>
      </c>
      <c r="L65" s="129">
        <f t="shared" si="16"/>
        <v>0.93</v>
      </c>
      <c r="M65" s="29">
        <v>26.99</v>
      </c>
      <c r="N65" s="78">
        <f t="shared" si="11"/>
        <v>27.919999999999998</v>
      </c>
      <c r="O65" s="78">
        <f t="shared" si="18"/>
        <v>25262.639999999996</v>
      </c>
      <c r="P65" s="79">
        <f t="shared" si="19"/>
        <v>27.919999999999998</v>
      </c>
      <c r="Q65" s="79">
        <f t="shared" si="20"/>
        <v>26133.119999999995</v>
      </c>
      <c r="R65" s="79">
        <f t="shared" si="21"/>
        <v>870.4799999999996</v>
      </c>
      <c r="U65" s="164">
        <f t="shared" si="6"/>
        <v>0.03445720637273064</v>
      </c>
      <c r="V65" s="127"/>
    </row>
    <row r="66" spans="1:22" s="80" customFormat="1" ht="15">
      <c r="A66" s="170"/>
      <c r="B66" s="76">
        <v>33</v>
      </c>
      <c r="C66" s="31" t="s">
        <v>159</v>
      </c>
      <c r="D66" s="124"/>
      <c r="E66" s="81"/>
      <c r="F66" s="96">
        <v>1248</v>
      </c>
      <c r="G66" s="142">
        <f>References!$B$30</f>
        <v>473</v>
      </c>
      <c r="H66" s="85">
        <f t="shared" si="9"/>
        <v>590304</v>
      </c>
      <c r="I66" s="82">
        <f t="shared" si="17"/>
        <v>445313.4582704331</v>
      </c>
      <c r="J66" s="78">
        <f>References!$C$49*I66</f>
        <v>1113.2836456760838</v>
      </c>
      <c r="K66" s="129">
        <f>J66/References!$G$57</f>
        <v>1157.7890570282498</v>
      </c>
      <c r="L66" s="129">
        <f t="shared" si="16"/>
        <v>0.93</v>
      </c>
      <c r="M66" s="29">
        <v>26.99</v>
      </c>
      <c r="N66" s="78">
        <f t="shared" si="11"/>
        <v>27.919999999999998</v>
      </c>
      <c r="O66" s="78">
        <f t="shared" si="18"/>
        <v>33683.52</v>
      </c>
      <c r="P66" s="79">
        <f t="shared" si="19"/>
        <v>27.919999999999998</v>
      </c>
      <c r="Q66" s="79">
        <f t="shared" si="20"/>
        <v>34844.159999999996</v>
      </c>
      <c r="R66" s="79">
        <f t="shared" si="21"/>
        <v>1160.6399999999994</v>
      </c>
      <c r="U66" s="164">
        <f t="shared" si="6"/>
        <v>0.03445720637273064</v>
      </c>
      <c r="V66" s="127"/>
    </row>
    <row r="67" spans="1:22" s="80" customFormat="1" ht="15">
      <c r="A67" s="170"/>
      <c r="B67" s="76">
        <v>33</v>
      </c>
      <c r="C67" s="31" t="s">
        <v>159</v>
      </c>
      <c r="D67" s="124"/>
      <c r="E67" s="81"/>
      <c r="F67" s="96">
        <v>208</v>
      </c>
      <c r="G67" s="142">
        <f>References!$B$30</f>
        <v>473</v>
      </c>
      <c r="H67" s="85">
        <f t="shared" si="9"/>
        <v>98384</v>
      </c>
      <c r="I67" s="82">
        <f t="shared" si="17"/>
        <v>74218.90971173886</v>
      </c>
      <c r="J67" s="78">
        <f>References!$C$49*I67</f>
        <v>185.5472742793473</v>
      </c>
      <c r="K67" s="129">
        <f>J67/References!$G$57</f>
        <v>192.96484283804162</v>
      </c>
      <c r="L67" s="129">
        <f t="shared" si="16"/>
        <v>0.93</v>
      </c>
      <c r="M67" s="29">
        <v>26.99</v>
      </c>
      <c r="N67" s="78">
        <f t="shared" si="11"/>
        <v>27.919999999999998</v>
      </c>
      <c r="O67" s="78">
        <f t="shared" si="18"/>
        <v>5613.92</v>
      </c>
      <c r="P67" s="79">
        <f t="shared" si="19"/>
        <v>27.919999999999998</v>
      </c>
      <c r="Q67" s="79">
        <f t="shared" si="20"/>
        <v>5807.36</v>
      </c>
      <c r="R67" s="79">
        <f t="shared" si="21"/>
        <v>193.4399999999996</v>
      </c>
      <c r="U67" s="164">
        <f t="shared" si="6"/>
        <v>0.03445720637273064</v>
      </c>
      <c r="V67" s="127"/>
    </row>
    <row r="68" spans="1:22" s="80" customFormat="1" ht="15">
      <c r="A68" s="170"/>
      <c r="B68" s="76">
        <v>33</v>
      </c>
      <c r="C68" s="31" t="s">
        <v>159</v>
      </c>
      <c r="D68" s="124"/>
      <c r="E68" s="81"/>
      <c r="F68" s="96">
        <v>416</v>
      </c>
      <c r="G68" s="142">
        <f>References!$B$30</f>
        <v>473</v>
      </c>
      <c r="H68" s="85">
        <f t="shared" si="9"/>
        <v>196768</v>
      </c>
      <c r="I68" s="82">
        <f t="shared" si="17"/>
        <v>148437.81942347772</v>
      </c>
      <c r="J68" s="78">
        <f>References!$C$49*I68</f>
        <v>371.0945485586946</v>
      </c>
      <c r="K68" s="129">
        <f>J68/References!$G$57</f>
        <v>385.92968567608324</v>
      </c>
      <c r="L68" s="129">
        <f t="shared" si="16"/>
        <v>0.93</v>
      </c>
      <c r="M68" s="29">
        <v>26.99</v>
      </c>
      <c r="N68" s="78">
        <f t="shared" si="11"/>
        <v>27.919999999999998</v>
      </c>
      <c r="O68" s="78">
        <f t="shared" si="18"/>
        <v>11227.84</v>
      </c>
      <c r="P68" s="79">
        <f t="shared" si="19"/>
        <v>27.919999999999998</v>
      </c>
      <c r="Q68" s="79">
        <f t="shared" si="20"/>
        <v>11614.72</v>
      </c>
      <c r="R68" s="79">
        <f t="shared" si="21"/>
        <v>386.8799999999992</v>
      </c>
      <c r="U68" s="164">
        <f aca="true" t="shared" si="22" ref="U68:U105">+N68/M68-1</f>
        <v>0.03445720637273064</v>
      </c>
      <c r="V68" s="127"/>
    </row>
    <row r="69" spans="1:22" s="80" customFormat="1" ht="15">
      <c r="A69" s="170"/>
      <c r="B69" s="76">
        <v>33</v>
      </c>
      <c r="C69" s="31" t="s">
        <v>160</v>
      </c>
      <c r="D69" s="124"/>
      <c r="E69" s="81"/>
      <c r="F69" s="96">
        <v>260</v>
      </c>
      <c r="G69" s="142">
        <f>References!$B$30</f>
        <v>473</v>
      </c>
      <c r="H69" s="85">
        <f t="shared" si="9"/>
        <v>122980</v>
      </c>
      <c r="I69" s="82">
        <f t="shared" si="17"/>
        <v>92773.63713967356</v>
      </c>
      <c r="J69" s="78">
        <f>References!$C$49*I69</f>
        <v>231.9340928491841</v>
      </c>
      <c r="K69" s="129">
        <f>J69/References!$G$57</f>
        <v>241.20605354755202</v>
      </c>
      <c r="L69" s="129">
        <f t="shared" si="16"/>
        <v>0.93</v>
      </c>
      <c r="M69" s="29">
        <v>26.99</v>
      </c>
      <c r="N69" s="78">
        <f t="shared" si="11"/>
        <v>27.919999999999998</v>
      </c>
      <c r="O69" s="78">
        <f t="shared" si="18"/>
        <v>7017.4</v>
      </c>
      <c r="P69" s="79">
        <f t="shared" si="19"/>
        <v>27.919999999999998</v>
      </c>
      <c r="Q69" s="79">
        <f t="shared" si="20"/>
        <v>7259.2</v>
      </c>
      <c r="R69" s="79">
        <f t="shared" si="21"/>
        <v>241.80000000000018</v>
      </c>
      <c r="U69" s="164">
        <f t="shared" si="22"/>
        <v>0.03445720637273064</v>
      </c>
      <c r="V69" s="127"/>
    </row>
    <row r="70" spans="1:22" s="80" customFormat="1" ht="15">
      <c r="A70" s="170"/>
      <c r="B70" s="76">
        <v>33</v>
      </c>
      <c r="C70" s="31" t="s">
        <v>160</v>
      </c>
      <c r="D70" s="124"/>
      <c r="E70" s="81"/>
      <c r="F70" s="96">
        <v>520</v>
      </c>
      <c r="G70" s="142">
        <f>References!$B$30</f>
        <v>473</v>
      </c>
      <c r="H70" s="85">
        <f t="shared" si="9"/>
        <v>245960</v>
      </c>
      <c r="I70" s="82">
        <f t="shared" si="17"/>
        <v>185547.27427934713</v>
      </c>
      <c r="J70" s="78">
        <f>References!$C$49*I70</f>
        <v>463.8681856983682</v>
      </c>
      <c r="K70" s="129">
        <f>J70/References!$G$57</f>
        <v>482.41210709510403</v>
      </c>
      <c r="L70" s="129">
        <f t="shared" si="16"/>
        <v>0.93</v>
      </c>
      <c r="M70" s="29">
        <v>26.99</v>
      </c>
      <c r="N70" s="78">
        <f t="shared" si="11"/>
        <v>27.919999999999998</v>
      </c>
      <c r="O70" s="78">
        <f t="shared" si="18"/>
        <v>14034.8</v>
      </c>
      <c r="P70" s="79">
        <f t="shared" si="19"/>
        <v>27.919999999999998</v>
      </c>
      <c r="Q70" s="79">
        <f t="shared" si="20"/>
        <v>14518.4</v>
      </c>
      <c r="R70" s="79">
        <f t="shared" si="21"/>
        <v>483.60000000000036</v>
      </c>
      <c r="U70" s="164">
        <f t="shared" si="22"/>
        <v>0.03445720637273064</v>
      </c>
      <c r="V70" s="127"/>
    </row>
    <row r="71" spans="1:22" s="80" customFormat="1" ht="15">
      <c r="A71" s="170"/>
      <c r="B71" s="76">
        <v>33</v>
      </c>
      <c r="C71" s="31" t="s">
        <v>161</v>
      </c>
      <c r="D71" s="124"/>
      <c r="E71" s="81"/>
      <c r="F71" s="96">
        <v>6396</v>
      </c>
      <c r="G71" s="142">
        <f>References!$B$31</f>
        <v>613</v>
      </c>
      <c r="H71" s="85">
        <f t="shared" si="9"/>
        <v>3920748</v>
      </c>
      <c r="I71" s="82">
        <f t="shared" si="17"/>
        <v>2957733.389722726</v>
      </c>
      <c r="J71" s="78">
        <f>References!$C$49*I71</f>
        <v>7394.333474306821</v>
      </c>
      <c r="K71" s="129">
        <f>J71/References!$G$57</f>
        <v>7689.934558744978</v>
      </c>
      <c r="L71" s="129">
        <f t="shared" si="16"/>
        <v>1.2</v>
      </c>
      <c r="M71" s="29">
        <v>34.38</v>
      </c>
      <c r="N71" s="78">
        <f t="shared" si="11"/>
        <v>35.580000000000005</v>
      </c>
      <c r="O71" s="78">
        <f t="shared" si="18"/>
        <v>219894.48</v>
      </c>
      <c r="P71" s="79">
        <f t="shared" si="19"/>
        <v>35.580000000000005</v>
      </c>
      <c r="Q71" s="79">
        <f t="shared" si="20"/>
        <v>227569.68000000002</v>
      </c>
      <c r="R71" s="79">
        <f t="shared" si="21"/>
        <v>7675.200000000012</v>
      </c>
      <c r="U71" s="164">
        <f t="shared" si="22"/>
        <v>0.034904013961605695</v>
      </c>
      <c r="V71" s="127"/>
    </row>
    <row r="72" spans="1:22" s="80" customFormat="1" ht="15">
      <c r="A72" s="170"/>
      <c r="B72" s="76">
        <v>33</v>
      </c>
      <c r="C72" s="31" t="s">
        <v>161</v>
      </c>
      <c r="D72" s="124"/>
      <c r="E72" s="81"/>
      <c r="F72" s="96">
        <v>3535.9999999999995</v>
      </c>
      <c r="G72" s="142">
        <f>References!$B$31</f>
        <v>613</v>
      </c>
      <c r="H72" s="85">
        <f t="shared" si="9"/>
        <v>2167567.9999999995</v>
      </c>
      <c r="I72" s="82">
        <f t="shared" si="17"/>
        <v>1635169.6788711003</v>
      </c>
      <c r="J72" s="78">
        <f>References!$C$49*I72</f>
        <v>4087.924197177754</v>
      </c>
      <c r="K72" s="129">
        <f>J72/References!$G$57</f>
        <v>4251.345934915922</v>
      </c>
      <c r="L72" s="129">
        <f t="shared" si="16"/>
        <v>1.2</v>
      </c>
      <c r="M72" s="29">
        <v>34.38</v>
      </c>
      <c r="N72" s="78">
        <f t="shared" si="11"/>
        <v>35.580000000000005</v>
      </c>
      <c r="O72" s="78">
        <f t="shared" si="18"/>
        <v>121567.68</v>
      </c>
      <c r="P72" s="79">
        <f t="shared" si="19"/>
        <v>35.580000000000005</v>
      </c>
      <c r="Q72" s="79">
        <f t="shared" si="20"/>
        <v>125810.88</v>
      </c>
      <c r="R72" s="79">
        <f t="shared" si="21"/>
        <v>4243.200000000012</v>
      </c>
      <c r="U72" s="164">
        <f t="shared" si="22"/>
        <v>0.034904013961605695</v>
      </c>
      <c r="V72" s="127"/>
    </row>
    <row r="73" spans="1:22" s="80" customFormat="1" ht="15">
      <c r="A73" s="170"/>
      <c r="B73" s="76">
        <v>33</v>
      </c>
      <c r="C73" s="31" t="s">
        <v>161</v>
      </c>
      <c r="D73" s="124"/>
      <c r="E73" s="81"/>
      <c r="F73" s="96">
        <v>624</v>
      </c>
      <c r="G73" s="142">
        <f>References!$B$31</f>
        <v>613</v>
      </c>
      <c r="H73" s="85">
        <f t="shared" si="9"/>
        <v>382512</v>
      </c>
      <c r="I73" s="82">
        <f t="shared" si="17"/>
        <v>288559.3550949001</v>
      </c>
      <c r="J73" s="78">
        <f>References!$C$49*I73</f>
        <v>721.3983877372509</v>
      </c>
      <c r="K73" s="129">
        <f>J73/References!$G$57</f>
        <v>750.2375179263395</v>
      </c>
      <c r="L73" s="129">
        <f t="shared" si="16"/>
        <v>1.2</v>
      </c>
      <c r="M73" s="29">
        <v>34.38</v>
      </c>
      <c r="N73" s="78">
        <f t="shared" si="11"/>
        <v>35.580000000000005</v>
      </c>
      <c r="O73" s="78">
        <f t="shared" si="18"/>
        <v>21453.120000000003</v>
      </c>
      <c r="P73" s="79">
        <f t="shared" si="19"/>
        <v>35.580000000000005</v>
      </c>
      <c r="Q73" s="79">
        <f t="shared" si="20"/>
        <v>22201.920000000002</v>
      </c>
      <c r="R73" s="79">
        <f t="shared" si="21"/>
        <v>748.7999999999993</v>
      </c>
      <c r="U73" s="164">
        <f t="shared" si="22"/>
        <v>0.034904013961605695</v>
      </c>
      <c r="V73" s="127"/>
    </row>
    <row r="74" spans="1:22" s="80" customFormat="1" ht="15">
      <c r="A74" s="170"/>
      <c r="B74" s="76">
        <v>33</v>
      </c>
      <c r="C74" s="31" t="s">
        <v>161</v>
      </c>
      <c r="D74" s="124"/>
      <c r="E74" s="81"/>
      <c r="F74" s="96">
        <v>208</v>
      </c>
      <c r="G74" s="142">
        <f>References!$B$31</f>
        <v>613</v>
      </c>
      <c r="H74" s="85">
        <f t="shared" si="9"/>
        <v>127504</v>
      </c>
      <c r="I74" s="82">
        <f t="shared" si="17"/>
        <v>96186.45169830004</v>
      </c>
      <c r="J74" s="78">
        <f>References!$C$49*I74</f>
        <v>240.4661292457503</v>
      </c>
      <c r="K74" s="129">
        <f>J74/References!$G$57</f>
        <v>250.07917264211312</v>
      </c>
      <c r="L74" s="129">
        <f t="shared" si="16"/>
        <v>1.2</v>
      </c>
      <c r="M74" s="29">
        <v>34.38</v>
      </c>
      <c r="N74" s="78">
        <f t="shared" si="11"/>
        <v>35.580000000000005</v>
      </c>
      <c r="O74" s="78">
        <f t="shared" si="18"/>
        <v>7151.040000000001</v>
      </c>
      <c r="P74" s="79">
        <f t="shared" si="19"/>
        <v>35.580000000000005</v>
      </c>
      <c r="Q74" s="79">
        <f t="shared" si="20"/>
        <v>7400.640000000001</v>
      </c>
      <c r="R74" s="79">
        <f t="shared" si="21"/>
        <v>249.60000000000036</v>
      </c>
      <c r="U74" s="164">
        <f t="shared" si="22"/>
        <v>0.034904013961605695</v>
      </c>
      <c r="V74" s="127"/>
    </row>
    <row r="75" spans="1:22" s="80" customFormat="1" ht="15">
      <c r="A75" s="170"/>
      <c r="B75" s="76">
        <v>33</v>
      </c>
      <c r="C75" s="31" t="s">
        <v>162</v>
      </c>
      <c r="D75" s="124"/>
      <c r="E75" s="81"/>
      <c r="F75" s="96">
        <v>520</v>
      </c>
      <c r="G75" s="142">
        <f>References!$B$31</f>
        <v>613</v>
      </c>
      <c r="H75" s="85">
        <f t="shared" si="9"/>
        <v>318760</v>
      </c>
      <c r="I75" s="82">
        <f t="shared" si="17"/>
        <v>240466.12924575008</v>
      </c>
      <c r="J75" s="78">
        <f>References!$C$49*I75</f>
        <v>601.1653231143757</v>
      </c>
      <c r="K75" s="129">
        <f>J75/References!$G$57</f>
        <v>625.1979316052829</v>
      </c>
      <c r="L75" s="129">
        <f t="shared" si="16"/>
        <v>1.2</v>
      </c>
      <c r="M75" s="29">
        <v>34.38</v>
      </c>
      <c r="N75" s="78">
        <f t="shared" si="11"/>
        <v>35.580000000000005</v>
      </c>
      <c r="O75" s="78">
        <f t="shared" si="18"/>
        <v>17877.600000000002</v>
      </c>
      <c r="P75" s="79">
        <f t="shared" si="19"/>
        <v>35.580000000000005</v>
      </c>
      <c r="Q75" s="79">
        <f t="shared" si="20"/>
        <v>18501.600000000002</v>
      </c>
      <c r="R75" s="79">
        <f t="shared" si="21"/>
        <v>624</v>
      </c>
      <c r="U75" s="164">
        <f t="shared" si="22"/>
        <v>0.034904013961605695</v>
      </c>
      <c r="V75" s="127"/>
    </row>
    <row r="76" spans="1:22" s="80" customFormat="1" ht="15">
      <c r="A76" s="170"/>
      <c r="B76" s="76">
        <v>33</v>
      </c>
      <c r="C76" s="31" t="s">
        <v>162</v>
      </c>
      <c r="D76" s="124"/>
      <c r="E76" s="81"/>
      <c r="F76" s="96">
        <v>416</v>
      </c>
      <c r="G76" s="142">
        <f>References!$B$31</f>
        <v>613</v>
      </c>
      <c r="H76" s="85">
        <f aca="true" t="shared" si="23" ref="H76:H105">F76*G76</f>
        <v>255008</v>
      </c>
      <c r="I76" s="82">
        <f t="shared" si="17"/>
        <v>192372.90339660007</v>
      </c>
      <c r="J76" s="78">
        <f>References!$C$49*I76</f>
        <v>480.9322584915006</v>
      </c>
      <c r="K76" s="129">
        <f>J76/References!$G$57</f>
        <v>500.15834528422624</v>
      </c>
      <c r="L76" s="129">
        <f t="shared" si="16"/>
        <v>1.2</v>
      </c>
      <c r="M76" s="29">
        <v>34.38</v>
      </c>
      <c r="N76" s="78">
        <f aca="true" t="shared" si="24" ref="N76:N105">L76+M76</f>
        <v>35.580000000000005</v>
      </c>
      <c r="O76" s="78">
        <f t="shared" si="18"/>
        <v>14302.080000000002</v>
      </c>
      <c r="P76" s="79">
        <f t="shared" si="19"/>
        <v>35.580000000000005</v>
      </c>
      <c r="Q76" s="79">
        <f t="shared" si="20"/>
        <v>14801.280000000002</v>
      </c>
      <c r="R76" s="79">
        <f t="shared" si="21"/>
        <v>499.2000000000007</v>
      </c>
      <c r="U76" s="164">
        <f t="shared" si="22"/>
        <v>0.034904013961605695</v>
      </c>
      <c r="V76" s="127"/>
    </row>
    <row r="77" spans="1:22" s="80" customFormat="1" ht="15">
      <c r="A77" s="170"/>
      <c r="B77" s="76">
        <v>33</v>
      </c>
      <c r="C77" s="31" t="s">
        <v>161</v>
      </c>
      <c r="D77" s="124"/>
      <c r="E77" s="81"/>
      <c r="F77" s="96">
        <v>260</v>
      </c>
      <c r="G77" s="142">
        <f>References!$B$31</f>
        <v>613</v>
      </c>
      <c r="H77" s="85">
        <f t="shared" si="23"/>
        <v>159380</v>
      </c>
      <c r="I77" s="82">
        <f t="shared" si="17"/>
        <v>120233.06462287504</v>
      </c>
      <c r="J77" s="78">
        <f>References!$C$49*I77</f>
        <v>300.58266155718786</v>
      </c>
      <c r="K77" s="129">
        <f>J77/References!$G$57</f>
        <v>312.59896580264143</v>
      </c>
      <c r="L77" s="129">
        <f t="shared" si="16"/>
        <v>1.2</v>
      </c>
      <c r="M77" s="29">
        <v>34.38</v>
      </c>
      <c r="N77" s="78">
        <f t="shared" si="24"/>
        <v>35.580000000000005</v>
      </c>
      <c r="O77" s="78">
        <f t="shared" si="18"/>
        <v>8938.800000000001</v>
      </c>
      <c r="P77" s="79">
        <f t="shared" si="19"/>
        <v>35.580000000000005</v>
      </c>
      <c r="Q77" s="79">
        <f t="shared" si="20"/>
        <v>9250.800000000001</v>
      </c>
      <c r="R77" s="79">
        <f t="shared" si="21"/>
        <v>312</v>
      </c>
      <c r="U77" s="164">
        <f t="shared" si="22"/>
        <v>0.034904013961605695</v>
      </c>
      <c r="V77" s="127"/>
    </row>
    <row r="78" spans="1:22" s="80" customFormat="1" ht="15">
      <c r="A78" s="170"/>
      <c r="B78" s="76">
        <v>33</v>
      </c>
      <c r="C78" s="31" t="s">
        <v>163</v>
      </c>
      <c r="D78" s="124"/>
      <c r="E78" s="81"/>
      <c r="F78" s="96">
        <v>624</v>
      </c>
      <c r="G78" s="142">
        <f>References!$B$31</f>
        <v>613</v>
      </c>
      <c r="H78" s="85">
        <f t="shared" si="23"/>
        <v>382512</v>
      </c>
      <c r="I78" s="82">
        <f t="shared" si="17"/>
        <v>288559.3550949001</v>
      </c>
      <c r="J78" s="78">
        <f>References!$C$49*I78</f>
        <v>721.3983877372509</v>
      </c>
      <c r="K78" s="129">
        <f>J78/References!$G$57</f>
        <v>750.2375179263395</v>
      </c>
      <c r="L78" s="129">
        <f t="shared" si="16"/>
        <v>1.2</v>
      </c>
      <c r="M78" s="29">
        <v>34.38</v>
      </c>
      <c r="N78" s="78">
        <f t="shared" si="24"/>
        <v>35.580000000000005</v>
      </c>
      <c r="O78" s="78">
        <f t="shared" si="18"/>
        <v>21453.120000000003</v>
      </c>
      <c r="P78" s="79">
        <f t="shared" si="19"/>
        <v>35.580000000000005</v>
      </c>
      <c r="Q78" s="79">
        <f t="shared" si="20"/>
        <v>22201.920000000002</v>
      </c>
      <c r="R78" s="79">
        <f t="shared" si="21"/>
        <v>748.7999999999993</v>
      </c>
      <c r="U78" s="164">
        <f t="shared" si="22"/>
        <v>0.034904013961605695</v>
      </c>
      <c r="V78" s="127"/>
    </row>
    <row r="79" spans="1:22" s="80" customFormat="1" ht="15">
      <c r="A79" s="170"/>
      <c r="B79" s="76">
        <v>33</v>
      </c>
      <c r="C79" s="31" t="s">
        <v>164</v>
      </c>
      <c r="D79" s="124"/>
      <c r="E79" s="81"/>
      <c r="F79" s="96">
        <v>6811.999999999999</v>
      </c>
      <c r="G79" s="142">
        <f>References!$B$32</f>
        <v>840</v>
      </c>
      <c r="H79" s="85">
        <f t="shared" si="23"/>
        <v>5722079.999999999</v>
      </c>
      <c r="I79" s="82">
        <f t="shared" si="17"/>
        <v>4316622.000359272</v>
      </c>
      <c r="J79" s="78">
        <f>References!$C$49*I79</f>
        <v>10791.555000898188</v>
      </c>
      <c r="K79" s="129">
        <f>J79/References!$G$57</f>
        <v>11222.965806500051</v>
      </c>
      <c r="L79" s="129">
        <f t="shared" si="16"/>
        <v>1.65</v>
      </c>
      <c r="M79" s="29">
        <v>46.42</v>
      </c>
      <c r="N79" s="78">
        <f t="shared" si="24"/>
        <v>48.07</v>
      </c>
      <c r="O79" s="78">
        <f t="shared" si="18"/>
        <v>316213.04</v>
      </c>
      <c r="P79" s="79">
        <f t="shared" si="19"/>
        <v>48.07</v>
      </c>
      <c r="Q79" s="79">
        <f t="shared" si="20"/>
        <v>327452.83999999997</v>
      </c>
      <c r="R79" s="79">
        <f t="shared" si="21"/>
        <v>11239.799999999988</v>
      </c>
      <c r="U79" s="164">
        <f t="shared" si="22"/>
        <v>0.03554502369668233</v>
      </c>
      <c r="V79" s="127"/>
    </row>
    <row r="80" spans="1:22" s="80" customFormat="1" ht="15">
      <c r="A80" s="170"/>
      <c r="B80" s="76">
        <v>33</v>
      </c>
      <c r="C80" s="31" t="s">
        <v>164</v>
      </c>
      <c r="D80" s="124"/>
      <c r="E80" s="81"/>
      <c r="F80" s="96">
        <v>5512</v>
      </c>
      <c r="G80" s="142">
        <f>References!$B$32</f>
        <v>840</v>
      </c>
      <c r="H80" s="85">
        <f t="shared" si="23"/>
        <v>4630080</v>
      </c>
      <c r="I80" s="82">
        <f t="shared" si="17"/>
        <v>3492839.175863228</v>
      </c>
      <c r="J80" s="78">
        <f>References!$C$49*I80</f>
        <v>8732.097939658077</v>
      </c>
      <c r="K80" s="129">
        <f>J80/References!$G$57</f>
        <v>9081.17843884737</v>
      </c>
      <c r="L80" s="129">
        <f t="shared" si="16"/>
        <v>1.65</v>
      </c>
      <c r="M80" s="29">
        <v>46.42</v>
      </c>
      <c r="N80" s="78">
        <f t="shared" si="24"/>
        <v>48.07</v>
      </c>
      <c r="O80" s="78">
        <f t="shared" si="18"/>
        <v>255867.04</v>
      </c>
      <c r="P80" s="79">
        <f t="shared" si="19"/>
        <v>48.07</v>
      </c>
      <c r="Q80" s="79">
        <f t="shared" si="20"/>
        <v>264961.84</v>
      </c>
      <c r="R80" s="79">
        <f t="shared" si="21"/>
        <v>9094.800000000017</v>
      </c>
      <c r="U80" s="164">
        <f t="shared" si="22"/>
        <v>0.03554502369668233</v>
      </c>
      <c r="V80" s="127"/>
    </row>
    <row r="81" spans="1:22" s="80" customFormat="1" ht="15">
      <c r="A81" s="170"/>
      <c r="B81" s="76">
        <v>33</v>
      </c>
      <c r="C81" s="31" t="s">
        <v>164</v>
      </c>
      <c r="D81" s="124"/>
      <c r="E81" s="81"/>
      <c r="F81" s="96">
        <v>4055.9999999999995</v>
      </c>
      <c r="G81" s="142">
        <f>References!$B$32</f>
        <v>840</v>
      </c>
      <c r="H81" s="85">
        <f t="shared" si="23"/>
        <v>3407039.9999999995</v>
      </c>
      <c r="I81" s="82">
        <f t="shared" si="17"/>
        <v>2570202.412427658</v>
      </c>
      <c r="J81" s="78">
        <f>References!$C$49*I81</f>
        <v>6425.5060310691515</v>
      </c>
      <c r="K81" s="129">
        <f>J81/References!$G$57</f>
        <v>6682.376587076367</v>
      </c>
      <c r="L81" s="129">
        <f t="shared" si="16"/>
        <v>1.65</v>
      </c>
      <c r="M81" s="29">
        <v>46.42</v>
      </c>
      <c r="N81" s="78">
        <f t="shared" si="24"/>
        <v>48.07</v>
      </c>
      <c r="O81" s="78">
        <f t="shared" si="18"/>
        <v>188279.52</v>
      </c>
      <c r="P81" s="79">
        <f t="shared" si="19"/>
        <v>48.07</v>
      </c>
      <c r="Q81" s="79">
        <f t="shared" si="20"/>
        <v>194971.91999999998</v>
      </c>
      <c r="R81" s="79">
        <f t="shared" si="21"/>
        <v>6692.399999999994</v>
      </c>
      <c r="U81" s="164">
        <f t="shared" si="22"/>
        <v>0.03554502369668233</v>
      </c>
      <c r="V81" s="127"/>
    </row>
    <row r="82" spans="1:22" s="80" customFormat="1" ht="15">
      <c r="A82" s="170"/>
      <c r="B82" s="76">
        <v>33</v>
      </c>
      <c r="C82" s="31" t="s">
        <v>164</v>
      </c>
      <c r="D82" s="124"/>
      <c r="E82" s="81"/>
      <c r="F82" s="96">
        <v>1456</v>
      </c>
      <c r="G82" s="142">
        <f>References!$B$32</f>
        <v>840</v>
      </c>
      <c r="H82" s="85">
        <f t="shared" si="23"/>
        <v>1223040</v>
      </c>
      <c r="I82" s="82">
        <f t="shared" si="17"/>
        <v>922636.7634355697</v>
      </c>
      <c r="J82" s="78">
        <f>References!$C$49*I82</f>
        <v>2306.5919085889263</v>
      </c>
      <c r="K82" s="129">
        <f>J82/References!$G$57</f>
        <v>2398.801851771004</v>
      </c>
      <c r="L82" s="129">
        <f t="shared" si="16"/>
        <v>1.65</v>
      </c>
      <c r="M82" s="29">
        <v>46.42</v>
      </c>
      <c r="N82" s="78">
        <f t="shared" si="24"/>
        <v>48.07</v>
      </c>
      <c r="O82" s="78">
        <f t="shared" si="18"/>
        <v>67587.52</v>
      </c>
      <c r="P82" s="79">
        <f t="shared" si="19"/>
        <v>48.07</v>
      </c>
      <c r="Q82" s="79">
        <f t="shared" si="20"/>
        <v>69989.92</v>
      </c>
      <c r="R82" s="79">
        <f t="shared" si="21"/>
        <v>2402.399999999994</v>
      </c>
      <c r="U82" s="164">
        <f t="shared" si="22"/>
        <v>0.03554502369668233</v>
      </c>
      <c r="V82" s="127"/>
    </row>
    <row r="83" spans="1:22" s="80" customFormat="1" ht="15">
      <c r="A83" s="170"/>
      <c r="B83" s="76">
        <v>33</v>
      </c>
      <c r="C83" s="31" t="s">
        <v>164</v>
      </c>
      <c r="D83" s="124"/>
      <c r="E83" s="81"/>
      <c r="F83" s="96">
        <v>1560</v>
      </c>
      <c r="G83" s="142">
        <f>References!$B$32</f>
        <v>840</v>
      </c>
      <c r="H83" s="85">
        <f t="shared" si="23"/>
        <v>1310400</v>
      </c>
      <c r="I83" s="82">
        <f t="shared" si="17"/>
        <v>988539.3893952532</v>
      </c>
      <c r="J83" s="78">
        <f>References!$C$49*I83</f>
        <v>2471.348473488135</v>
      </c>
      <c r="K83" s="129">
        <f>J83/References!$G$57</f>
        <v>2570.144841183218</v>
      </c>
      <c r="L83" s="129">
        <f t="shared" si="16"/>
        <v>1.65</v>
      </c>
      <c r="M83" s="29">
        <v>46.42</v>
      </c>
      <c r="N83" s="78">
        <f t="shared" si="24"/>
        <v>48.07</v>
      </c>
      <c r="O83" s="78">
        <f t="shared" si="18"/>
        <v>72415.2</v>
      </c>
      <c r="P83" s="79">
        <f t="shared" si="19"/>
        <v>48.07</v>
      </c>
      <c r="Q83" s="79">
        <f t="shared" si="20"/>
        <v>74989.2</v>
      </c>
      <c r="R83" s="79">
        <f t="shared" si="21"/>
        <v>2574</v>
      </c>
      <c r="U83" s="164">
        <f t="shared" si="22"/>
        <v>0.03554502369668233</v>
      </c>
      <c r="V83" s="127"/>
    </row>
    <row r="84" spans="1:22" s="80" customFormat="1" ht="15">
      <c r="A84" s="170"/>
      <c r="B84" s="76">
        <v>33</v>
      </c>
      <c r="C84" s="31" t="s">
        <v>164</v>
      </c>
      <c r="D84" s="124"/>
      <c r="E84" s="81"/>
      <c r="F84" s="96">
        <v>624</v>
      </c>
      <c r="G84" s="142">
        <f>References!$B$32</f>
        <v>840</v>
      </c>
      <c r="H84" s="85">
        <f t="shared" si="23"/>
        <v>524160</v>
      </c>
      <c r="I84" s="82">
        <f t="shared" si="17"/>
        <v>395415.7557581013</v>
      </c>
      <c r="J84" s="78">
        <f>References!$C$49*I84</f>
        <v>988.5393893952541</v>
      </c>
      <c r="K84" s="129">
        <f>J84/References!$G$57</f>
        <v>1028.0579364732873</v>
      </c>
      <c r="L84" s="129">
        <f t="shared" si="16"/>
        <v>1.65</v>
      </c>
      <c r="M84" s="29">
        <v>46.42</v>
      </c>
      <c r="N84" s="78">
        <f t="shared" si="24"/>
        <v>48.07</v>
      </c>
      <c r="O84" s="78">
        <f t="shared" si="18"/>
        <v>28966.08</v>
      </c>
      <c r="P84" s="79">
        <f t="shared" si="19"/>
        <v>48.07</v>
      </c>
      <c r="Q84" s="79">
        <f t="shared" si="20"/>
        <v>29995.68</v>
      </c>
      <c r="R84" s="79">
        <f t="shared" si="21"/>
        <v>1029.5999999999985</v>
      </c>
      <c r="U84" s="164">
        <f t="shared" si="22"/>
        <v>0.03554502369668233</v>
      </c>
      <c r="V84" s="127"/>
    </row>
    <row r="85" spans="1:22" s="80" customFormat="1" ht="15">
      <c r="A85" s="170"/>
      <c r="B85" s="76">
        <v>33</v>
      </c>
      <c r="C85" s="31" t="s">
        <v>165</v>
      </c>
      <c r="D85" s="124"/>
      <c r="E85" s="81"/>
      <c r="F85" s="96">
        <v>832</v>
      </c>
      <c r="G85" s="142">
        <f>References!$B$32</f>
        <v>840</v>
      </c>
      <c r="H85" s="85">
        <f t="shared" si="23"/>
        <v>698880</v>
      </c>
      <c r="I85" s="82">
        <f t="shared" si="17"/>
        <v>527221.0076774684</v>
      </c>
      <c r="J85" s="78">
        <f>References!$C$49*I85</f>
        <v>1318.052519193672</v>
      </c>
      <c r="K85" s="129">
        <f>J85/References!$G$57</f>
        <v>1370.7439152977163</v>
      </c>
      <c r="L85" s="129">
        <f t="shared" si="16"/>
        <v>1.65</v>
      </c>
      <c r="M85" s="29">
        <v>46.42</v>
      </c>
      <c r="N85" s="78">
        <f t="shared" si="24"/>
        <v>48.07</v>
      </c>
      <c r="O85" s="78">
        <f t="shared" si="18"/>
        <v>38621.44</v>
      </c>
      <c r="P85" s="79">
        <f t="shared" si="19"/>
        <v>48.07</v>
      </c>
      <c r="Q85" s="79">
        <f t="shared" si="20"/>
        <v>39994.24</v>
      </c>
      <c r="R85" s="79">
        <f t="shared" si="21"/>
        <v>1372.7999999999956</v>
      </c>
      <c r="U85" s="164">
        <f t="shared" si="22"/>
        <v>0.03554502369668233</v>
      </c>
      <c r="V85" s="127"/>
    </row>
    <row r="86" spans="1:22" s="80" customFormat="1" ht="15">
      <c r="A86" s="170"/>
      <c r="B86" s="76">
        <v>33</v>
      </c>
      <c r="C86" s="31" t="s">
        <v>165</v>
      </c>
      <c r="D86" s="124"/>
      <c r="E86" s="81"/>
      <c r="F86" s="96">
        <v>1456</v>
      </c>
      <c r="G86" s="142">
        <f>References!$B$32</f>
        <v>840</v>
      </c>
      <c r="H86" s="85">
        <f t="shared" si="23"/>
        <v>1223040</v>
      </c>
      <c r="I86" s="82">
        <f t="shared" si="17"/>
        <v>922636.7634355697</v>
      </c>
      <c r="J86" s="78">
        <f>References!$C$49*I86</f>
        <v>2306.5919085889263</v>
      </c>
      <c r="K86" s="129">
        <f>J86/References!$G$57</f>
        <v>2398.801851771004</v>
      </c>
      <c r="L86" s="129">
        <f t="shared" si="16"/>
        <v>1.65</v>
      </c>
      <c r="M86" s="29">
        <v>46.42</v>
      </c>
      <c r="N86" s="78">
        <f t="shared" si="24"/>
        <v>48.07</v>
      </c>
      <c r="O86" s="78">
        <f t="shared" si="18"/>
        <v>67587.52</v>
      </c>
      <c r="P86" s="79">
        <f t="shared" si="19"/>
        <v>48.07</v>
      </c>
      <c r="Q86" s="79">
        <f t="shared" si="20"/>
        <v>69989.92</v>
      </c>
      <c r="R86" s="79">
        <f t="shared" si="21"/>
        <v>2402.399999999994</v>
      </c>
      <c r="U86" s="164">
        <f t="shared" si="22"/>
        <v>0.03554502369668233</v>
      </c>
      <c r="V86" s="127"/>
    </row>
    <row r="87" spans="1:22" s="80" customFormat="1" ht="15">
      <c r="A87" s="170"/>
      <c r="B87" s="76">
        <v>33</v>
      </c>
      <c r="C87" s="31" t="s">
        <v>165</v>
      </c>
      <c r="D87" s="124"/>
      <c r="E87" s="81"/>
      <c r="F87" s="96">
        <v>312</v>
      </c>
      <c r="G87" s="142">
        <f>References!$B$32</f>
        <v>840</v>
      </c>
      <c r="H87" s="85">
        <f t="shared" si="23"/>
        <v>262080</v>
      </c>
      <c r="I87" s="82">
        <f t="shared" si="17"/>
        <v>197707.87787905065</v>
      </c>
      <c r="J87" s="78">
        <f>References!$C$49*I87</f>
        <v>494.2696946976271</v>
      </c>
      <c r="K87" s="129">
        <f>J87/References!$G$57</f>
        <v>514.0289682366437</v>
      </c>
      <c r="L87" s="129">
        <f t="shared" si="16"/>
        <v>1.65</v>
      </c>
      <c r="M87" s="29">
        <v>46.42</v>
      </c>
      <c r="N87" s="78">
        <f t="shared" si="24"/>
        <v>48.07</v>
      </c>
      <c r="O87" s="78">
        <f t="shared" si="18"/>
        <v>14483.04</v>
      </c>
      <c r="P87" s="79">
        <f t="shared" si="19"/>
        <v>48.07</v>
      </c>
      <c r="Q87" s="79">
        <f t="shared" si="20"/>
        <v>14997.84</v>
      </c>
      <c r="R87" s="79">
        <f t="shared" si="21"/>
        <v>514.7999999999993</v>
      </c>
      <c r="U87" s="164">
        <f t="shared" si="22"/>
        <v>0.03554502369668233</v>
      </c>
      <c r="V87" s="127"/>
    </row>
    <row r="88" spans="1:22" s="80" customFormat="1" ht="15">
      <c r="A88" s="170"/>
      <c r="B88" s="76">
        <v>33</v>
      </c>
      <c r="C88" s="31" t="s">
        <v>166</v>
      </c>
      <c r="D88" s="124"/>
      <c r="E88" s="81"/>
      <c r="F88" s="96">
        <v>780</v>
      </c>
      <c r="G88" s="142">
        <f>References!$B$32</f>
        <v>840</v>
      </c>
      <c r="H88" s="85">
        <f t="shared" si="23"/>
        <v>655200</v>
      </c>
      <c r="I88" s="82">
        <f t="shared" si="17"/>
        <v>494269.6946976266</v>
      </c>
      <c r="J88" s="78">
        <f>References!$C$49*I88</f>
        <v>1235.6742367440675</v>
      </c>
      <c r="K88" s="129">
        <f>J88/References!$G$57</f>
        <v>1285.072420591609</v>
      </c>
      <c r="L88" s="129">
        <f t="shared" si="16"/>
        <v>1.65</v>
      </c>
      <c r="M88" s="29">
        <v>46.42</v>
      </c>
      <c r="N88" s="78">
        <f t="shared" si="24"/>
        <v>48.07</v>
      </c>
      <c r="O88" s="78">
        <f t="shared" si="18"/>
        <v>36207.6</v>
      </c>
      <c r="P88" s="79">
        <f t="shared" si="19"/>
        <v>48.07</v>
      </c>
      <c r="Q88" s="79">
        <f t="shared" si="20"/>
        <v>37494.6</v>
      </c>
      <c r="R88" s="79">
        <f t="shared" si="21"/>
        <v>1287</v>
      </c>
      <c r="U88" s="164">
        <f t="shared" si="22"/>
        <v>0.03554502369668233</v>
      </c>
      <c r="V88" s="127"/>
    </row>
    <row r="89" spans="1:22" s="80" customFormat="1" ht="15">
      <c r="A89" s="170"/>
      <c r="B89" s="76">
        <v>33</v>
      </c>
      <c r="C89" s="31" t="s">
        <v>166</v>
      </c>
      <c r="D89" s="124"/>
      <c r="E89" s="81"/>
      <c r="F89" s="96">
        <v>935.9999999999999</v>
      </c>
      <c r="G89" s="142">
        <f>References!$B$32</f>
        <v>840</v>
      </c>
      <c r="H89" s="85">
        <f t="shared" si="23"/>
        <v>786239.9999999999</v>
      </c>
      <c r="I89" s="82">
        <f aca="true" t="shared" si="25" ref="I89:I105">$C$117*H89</f>
        <v>593123.6336371518</v>
      </c>
      <c r="J89" s="78">
        <f>References!$C$49*I89</f>
        <v>1482.8090840928808</v>
      </c>
      <c r="K89" s="129">
        <f>J89/References!$G$57</f>
        <v>1542.0869047099306</v>
      </c>
      <c r="L89" s="129">
        <f t="shared" si="16"/>
        <v>1.65</v>
      </c>
      <c r="M89" s="29">
        <v>46.42</v>
      </c>
      <c r="N89" s="78">
        <f t="shared" si="24"/>
        <v>48.07</v>
      </c>
      <c r="O89" s="78">
        <f aca="true" t="shared" si="26" ref="O89:O105">F89*M89</f>
        <v>43449.119999999995</v>
      </c>
      <c r="P89" s="79">
        <f aca="true" t="shared" si="27" ref="P89:P105">N89</f>
        <v>48.07</v>
      </c>
      <c r="Q89" s="79">
        <f aca="true" t="shared" si="28" ref="Q89:Q105">F89*P89</f>
        <v>44993.52</v>
      </c>
      <c r="R89" s="79">
        <f aca="true" t="shared" si="29" ref="R89:R105">Q89-O89</f>
        <v>1544.4000000000015</v>
      </c>
      <c r="U89" s="164">
        <f t="shared" si="22"/>
        <v>0.03554502369668233</v>
      </c>
      <c r="V89" s="127"/>
    </row>
    <row r="90" spans="1:22" s="80" customFormat="1" ht="15">
      <c r="A90" s="170"/>
      <c r="B90" s="76">
        <v>33</v>
      </c>
      <c r="C90" s="31" t="s">
        <v>166</v>
      </c>
      <c r="D90" s="124"/>
      <c r="E90" s="81"/>
      <c r="F90" s="96">
        <v>467.99999999999994</v>
      </c>
      <c r="G90" s="142">
        <f>References!$B$32</f>
        <v>840</v>
      </c>
      <c r="H90" s="85">
        <f t="shared" si="23"/>
        <v>393119.99999999994</v>
      </c>
      <c r="I90" s="82">
        <f t="shared" si="25"/>
        <v>296561.8168185759</v>
      </c>
      <c r="J90" s="78">
        <f>References!$C$49*I90</f>
        <v>741.4045420464404</v>
      </c>
      <c r="K90" s="129">
        <f>J90/References!$G$57</f>
        <v>771.0434523549653</v>
      </c>
      <c r="L90" s="129">
        <f aca="true" t="shared" si="30" ref="L90:L105">ROUND((K90/F90),2)</f>
        <v>1.65</v>
      </c>
      <c r="M90" s="29">
        <v>46.42</v>
      </c>
      <c r="N90" s="78">
        <f t="shared" si="24"/>
        <v>48.07</v>
      </c>
      <c r="O90" s="78">
        <f t="shared" si="26"/>
        <v>21724.559999999998</v>
      </c>
      <c r="P90" s="79">
        <f t="shared" si="27"/>
        <v>48.07</v>
      </c>
      <c r="Q90" s="79">
        <f t="shared" si="28"/>
        <v>22496.76</v>
      </c>
      <c r="R90" s="79">
        <f t="shared" si="29"/>
        <v>772.2000000000007</v>
      </c>
      <c r="U90" s="164">
        <f t="shared" si="22"/>
        <v>0.03554502369668233</v>
      </c>
      <c r="V90" s="127"/>
    </row>
    <row r="91" spans="1:22" s="80" customFormat="1" ht="15">
      <c r="A91" s="170"/>
      <c r="B91" s="76">
        <v>33</v>
      </c>
      <c r="C91" s="31" t="s">
        <v>166</v>
      </c>
      <c r="D91" s="124"/>
      <c r="E91" s="81"/>
      <c r="F91" s="96">
        <v>624</v>
      </c>
      <c r="G91" s="142">
        <f>References!$B$32</f>
        <v>840</v>
      </c>
      <c r="H91" s="85">
        <f t="shared" si="23"/>
        <v>524160</v>
      </c>
      <c r="I91" s="82">
        <f t="shared" si="25"/>
        <v>395415.7557581013</v>
      </c>
      <c r="J91" s="78">
        <f>References!$C$49*I91</f>
        <v>988.5393893952541</v>
      </c>
      <c r="K91" s="129">
        <f>J91/References!$G$57</f>
        <v>1028.0579364732873</v>
      </c>
      <c r="L91" s="129">
        <f t="shared" si="30"/>
        <v>1.65</v>
      </c>
      <c r="M91" s="29">
        <v>46.42</v>
      </c>
      <c r="N91" s="78">
        <f t="shared" si="24"/>
        <v>48.07</v>
      </c>
      <c r="O91" s="78">
        <f t="shared" si="26"/>
        <v>28966.08</v>
      </c>
      <c r="P91" s="79">
        <f t="shared" si="27"/>
        <v>48.07</v>
      </c>
      <c r="Q91" s="79">
        <f t="shared" si="28"/>
        <v>29995.68</v>
      </c>
      <c r="R91" s="79">
        <f t="shared" si="29"/>
        <v>1029.5999999999985</v>
      </c>
      <c r="U91" s="164">
        <f t="shared" si="22"/>
        <v>0.03554502369668233</v>
      </c>
      <c r="V91" s="127"/>
    </row>
    <row r="92" spans="1:22" s="80" customFormat="1" ht="15">
      <c r="A92" s="170"/>
      <c r="B92" s="76">
        <v>33</v>
      </c>
      <c r="C92" s="31" t="s">
        <v>167</v>
      </c>
      <c r="D92" s="124"/>
      <c r="E92" s="81"/>
      <c r="F92" s="96">
        <v>416</v>
      </c>
      <c r="G92" s="142">
        <f>References!$B$32</f>
        <v>840</v>
      </c>
      <c r="H92" s="85">
        <f t="shared" si="23"/>
        <v>349440</v>
      </c>
      <c r="I92" s="82">
        <f t="shared" si="25"/>
        <v>263610.5038387342</v>
      </c>
      <c r="J92" s="78">
        <f>References!$C$49*I92</f>
        <v>659.026259596836</v>
      </c>
      <c r="K92" s="129">
        <f>J92/References!$G$57</f>
        <v>685.3719576488581</v>
      </c>
      <c r="L92" s="129">
        <f t="shared" si="30"/>
        <v>1.65</v>
      </c>
      <c r="M92" s="29">
        <v>46.42</v>
      </c>
      <c r="N92" s="78">
        <f t="shared" si="24"/>
        <v>48.07</v>
      </c>
      <c r="O92" s="78">
        <f t="shared" si="26"/>
        <v>19310.72</v>
      </c>
      <c r="P92" s="79">
        <f t="shared" si="27"/>
        <v>48.07</v>
      </c>
      <c r="Q92" s="79">
        <f t="shared" si="28"/>
        <v>19997.12</v>
      </c>
      <c r="R92" s="79">
        <f t="shared" si="29"/>
        <v>686.3999999999978</v>
      </c>
      <c r="U92" s="164">
        <f t="shared" si="22"/>
        <v>0.03554502369668233</v>
      </c>
      <c r="V92" s="127"/>
    </row>
    <row r="93" spans="1:22" s="80" customFormat="1" ht="15">
      <c r="A93" s="170"/>
      <c r="B93" s="76">
        <v>33</v>
      </c>
      <c r="C93" s="31" t="s">
        <v>167</v>
      </c>
      <c r="D93" s="124"/>
      <c r="E93" s="81"/>
      <c r="F93" s="96">
        <v>416</v>
      </c>
      <c r="G93" s="142">
        <f>References!$B$32</f>
        <v>840</v>
      </c>
      <c r="H93" s="85">
        <f t="shared" si="23"/>
        <v>349440</v>
      </c>
      <c r="I93" s="82">
        <f t="shared" si="25"/>
        <v>263610.5038387342</v>
      </c>
      <c r="J93" s="78">
        <f>References!$C$49*I93</f>
        <v>659.026259596836</v>
      </c>
      <c r="K93" s="129">
        <f>J93/References!$G$57</f>
        <v>685.3719576488581</v>
      </c>
      <c r="L93" s="129">
        <f t="shared" si="30"/>
        <v>1.65</v>
      </c>
      <c r="M93" s="29">
        <v>46.42</v>
      </c>
      <c r="N93" s="78">
        <f t="shared" si="24"/>
        <v>48.07</v>
      </c>
      <c r="O93" s="78">
        <f t="shared" si="26"/>
        <v>19310.72</v>
      </c>
      <c r="P93" s="79">
        <f t="shared" si="27"/>
        <v>48.07</v>
      </c>
      <c r="Q93" s="79">
        <f t="shared" si="28"/>
        <v>19997.12</v>
      </c>
      <c r="R93" s="79">
        <f t="shared" si="29"/>
        <v>686.3999999999978</v>
      </c>
      <c r="U93" s="164">
        <f t="shared" si="22"/>
        <v>0.03554502369668233</v>
      </c>
      <c r="V93" s="127"/>
    </row>
    <row r="94" spans="1:22" s="80" customFormat="1" ht="15">
      <c r="A94" s="170"/>
      <c r="B94" s="76">
        <v>33</v>
      </c>
      <c r="C94" s="31" t="s">
        <v>168</v>
      </c>
      <c r="D94" s="124"/>
      <c r="E94" s="81"/>
      <c r="F94" s="96">
        <v>520</v>
      </c>
      <c r="G94" s="142">
        <f>References!$B$32</f>
        <v>840</v>
      </c>
      <c r="H94" s="85">
        <f t="shared" si="23"/>
        <v>436800</v>
      </c>
      <c r="I94" s="82">
        <f t="shared" si="25"/>
        <v>329513.12979841774</v>
      </c>
      <c r="J94" s="78">
        <f>References!$C$49*I94</f>
        <v>823.7828244960451</v>
      </c>
      <c r="K94" s="129">
        <f>J94/References!$G$57</f>
        <v>856.7149470610727</v>
      </c>
      <c r="L94" s="129">
        <f t="shared" si="30"/>
        <v>1.65</v>
      </c>
      <c r="M94" s="29">
        <v>46.42</v>
      </c>
      <c r="N94" s="78">
        <f t="shared" si="24"/>
        <v>48.07</v>
      </c>
      <c r="O94" s="78">
        <f t="shared" si="26"/>
        <v>24138.4</v>
      </c>
      <c r="P94" s="79">
        <f t="shared" si="27"/>
        <v>48.07</v>
      </c>
      <c r="Q94" s="79">
        <f t="shared" si="28"/>
        <v>24996.4</v>
      </c>
      <c r="R94" s="79">
        <f t="shared" si="29"/>
        <v>858</v>
      </c>
      <c r="U94" s="164">
        <f t="shared" si="22"/>
        <v>0.03554502369668233</v>
      </c>
      <c r="V94" s="127"/>
    </row>
    <row r="95" spans="1:22" s="80" customFormat="1" ht="15">
      <c r="A95" s="170"/>
      <c r="B95" s="76">
        <v>33</v>
      </c>
      <c r="C95" s="31" t="s">
        <v>169</v>
      </c>
      <c r="D95" s="124"/>
      <c r="E95" s="81"/>
      <c r="F95" s="96">
        <v>624</v>
      </c>
      <c r="G95" s="142">
        <f>References!$B$32</f>
        <v>840</v>
      </c>
      <c r="H95" s="85">
        <f t="shared" si="23"/>
        <v>524160</v>
      </c>
      <c r="I95" s="82">
        <f t="shared" si="25"/>
        <v>395415.7557581013</v>
      </c>
      <c r="J95" s="78">
        <f>References!$C$49*I95</f>
        <v>988.5393893952541</v>
      </c>
      <c r="K95" s="129">
        <f>J95/References!$G$57</f>
        <v>1028.0579364732873</v>
      </c>
      <c r="L95" s="129">
        <f t="shared" si="30"/>
        <v>1.65</v>
      </c>
      <c r="M95" s="29">
        <v>46.42</v>
      </c>
      <c r="N95" s="78">
        <f t="shared" si="24"/>
        <v>48.07</v>
      </c>
      <c r="O95" s="78">
        <f t="shared" si="26"/>
        <v>28966.08</v>
      </c>
      <c r="P95" s="79">
        <f t="shared" si="27"/>
        <v>48.07</v>
      </c>
      <c r="Q95" s="79">
        <f t="shared" si="28"/>
        <v>29995.68</v>
      </c>
      <c r="R95" s="79">
        <f t="shared" si="29"/>
        <v>1029.5999999999985</v>
      </c>
      <c r="U95" s="164">
        <f t="shared" si="22"/>
        <v>0.03554502369668233</v>
      </c>
      <c r="V95" s="127"/>
    </row>
    <row r="96" spans="1:22" s="80" customFormat="1" ht="15">
      <c r="A96" s="170"/>
      <c r="B96" s="76">
        <v>33</v>
      </c>
      <c r="C96" s="31" t="s">
        <v>170</v>
      </c>
      <c r="D96" s="124"/>
      <c r="E96" s="81"/>
      <c r="F96" s="96">
        <v>728</v>
      </c>
      <c r="G96" s="142">
        <f>References!$B$32</f>
        <v>840</v>
      </c>
      <c r="H96" s="85">
        <f t="shared" si="23"/>
        <v>611520</v>
      </c>
      <c r="I96" s="82">
        <f t="shared" si="25"/>
        <v>461318.38171778485</v>
      </c>
      <c r="J96" s="78">
        <f>References!$C$49*I96</f>
        <v>1153.2959542944632</v>
      </c>
      <c r="K96" s="129">
        <f>J96/References!$G$57</f>
        <v>1199.400925885502</v>
      </c>
      <c r="L96" s="129">
        <f t="shared" si="30"/>
        <v>1.65</v>
      </c>
      <c r="M96" s="29">
        <v>46.42</v>
      </c>
      <c r="N96" s="78">
        <f t="shared" si="24"/>
        <v>48.07</v>
      </c>
      <c r="O96" s="78">
        <f t="shared" si="26"/>
        <v>33793.76</v>
      </c>
      <c r="P96" s="79">
        <f t="shared" si="27"/>
        <v>48.07</v>
      </c>
      <c r="Q96" s="79">
        <f t="shared" si="28"/>
        <v>34994.96</v>
      </c>
      <c r="R96" s="79">
        <f t="shared" si="29"/>
        <v>1201.199999999997</v>
      </c>
      <c r="U96" s="164">
        <f t="shared" si="22"/>
        <v>0.03554502369668233</v>
      </c>
      <c r="V96" s="127"/>
    </row>
    <row r="97" spans="1:22" s="80" customFormat="1" ht="15">
      <c r="A97" s="170"/>
      <c r="B97" s="76">
        <v>33</v>
      </c>
      <c r="C97" s="31" t="s">
        <v>171</v>
      </c>
      <c r="D97" s="124"/>
      <c r="E97" s="81"/>
      <c r="F97" s="96">
        <v>780</v>
      </c>
      <c r="G97" s="142">
        <f>References!$B$33</f>
        <v>980</v>
      </c>
      <c r="H97" s="85">
        <f t="shared" si="23"/>
        <v>764400</v>
      </c>
      <c r="I97" s="82">
        <f t="shared" si="25"/>
        <v>576647.977147231</v>
      </c>
      <c r="J97" s="78">
        <f>References!$C$49*I97</f>
        <v>1441.6199428680789</v>
      </c>
      <c r="K97" s="129">
        <f>J97/References!$G$57</f>
        <v>1499.2511573568772</v>
      </c>
      <c r="L97" s="129">
        <f t="shared" si="30"/>
        <v>1.92</v>
      </c>
      <c r="M97" s="29">
        <v>57.089999999999996</v>
      </c>
      <c r="N97" s="78">
        <f t="shared" si="24"/>
        <v>59.01</v>
      </c>
      <c r="O97" s="78">
        <f t="shared" si="26"/>
        <v>44530.2</v>
      </c>
      <c r="P97" s="79">
        <f t="shared" si="27"/>
        <v>59.01</v>
      </c>
      <c r="Q97" s="79">
        <f t="shared" si="28"/>
        <v>46027.799999999996</v>
      </c>
      <c r="R97" s="79">
        <f t="shared" si="29"/>
        <v>1497.5999999999985</v>
      </c>
      <c r="U97" s="164">
        <f t="shared" si="22"/>
        <v>0.03363110877561737</v>
      </c>
      <c r="V97" s="127"/>
    </row>
    <row r="98" spans="1:22" s="80" customFormat="1" ht="15">
      <c r="A98" s="170"/>
      <c r="B98" s="76">
        <v>33</v>
      </c>
      <c r="C98" s="31" t="s">
        <v>172</v>
      </c>
      <c r="D98" s="124"/>
      <c r="E98" s="81"/>
      <c r="F98" s="96">
        <v>260</v>
      </c>
      <c r="G98" s="142">
        <f>References!$B$33</f>
        <v>980</v>
      </c>
      <c r="H98" s="85">
        <f t="shared" si="23"/>
        <v>254800</v>
      </c>
      <c r="I98" s="82">
        <f t="shared" si="25"/>
        <v>192215.99238241033</v>
      </c>
      <c r="J98" s="78">
        <f>References!$C$49*I98</f>
        <v>480.5399809560263</v>
      </c>
      <c r="K98" s="129">
        <f>J98/References!$G$57</f>
        <v>499.7503857856258</v>
      </c>
      <c r="L98" s="129">
        <f t="shared" si="30"/>
        <v>1.92</v>
      </c>
      <c r="M98" s="29">
        <v>57.089999999999996</v>
      </c>
      <c r="N98" s="78">
        <f t="shared" si="24"/>
        <v>59.01</v>
      </c>
      <c r="O98" s="78">
        <f t="shared" si="26"/>
        <v>14843.4</v>
      </c>
      <c r="P98" s="79">
        <f t="shared" si="27"/>
        <v>59.01</v>
      </c>
      <c r="Q98" s="79">
        <f t="shared" si="28"/>
        <v>15342.6</v>
      </c>
      <c r="R98" s="79">
        <f t="shared" si="29"/>
        <v>499.2000000000007</v>
      </c>
      <c r="U98" s="164">
        <f t="shared" si="22"/>
        <v>0.03363110877561737</v>
      </c>
      <c r="V98" s="127"/>
    </row>
    <row r="99" spans="1:22" s="80" customFormat="1" ht="15">
      <c r="A99" s="170"/>
      <c r="B99" s="76">
        <v>33</v>
      </c>
      <c r="C99" s="31" t="s">
        <v>171</v>
      </c>
      <c r="D99" s="124"/>
      <c r="E99" s="81"/>
      <c r="F99" s="96">
        <v>624</v>
      </c>
      <c r="G99" s="142">
        <f>References!$B$33</f>
        <v>980</v>
      </c>
      <c r="H99" s="85">
        <f t="shared" si="23"/>
        <v>611520</v>
      </c>
      <c r="I99" s="82">
        <f t="shared" si="25"/>
        <v>461318.38171778485</v>
      </c>
      <c r="J99" s="78">
        <f>References!$C$49*I99</f>
        <v>1153.2959542944632</v>
      </c>
      <c r="K99" s="129">
        <f>J99/References!$G$57</f>
        <v>1199.400925885502</v>
      </c>
      <c r="L99" s="129">
        <f t="shared" si="30"/>
        <v>1.92</v>
      </c>
      <c r="M99" s="29">
        <v>57.089999999999996</v>
      </c>
      <c r="N99" s="78">
        <f t="shared" si="24"/>
        <v>59.01</v>
      </c>
      <c r="O99" s="78">
        <f t="shared" si="26"/>
        <v>35624.159999999996</v>
      </c>
      <c r="P99" s="79">
        <f t="shared" si="27"/>
        <v>59.01</v>
      </c>
      <c r="Q99" s="79">
        <f t="shared" si="28"/>
        <v>36822.24</v>
      </c>
      <c r="R99" s="79">
        <f t="shared" si="29"/>
        <v>1198.0800000000017</v>
      </c>
      <c r="U99" s="164">
        <f t="shared" si="22"/>
        <v>0.03363110877561737</v>
      </c>
      <c r="V99" s="127"/>
    </row>
    <row r="100" spans="1:22" s="80" customFormat="1" ht="15">
      <c r="A100" s="170"/>
      <c r="B100" s="76">
        <v>33</v>
      </c>
      <c r="C100" s="31" t="s">
        <v>171</v>
      </c>
      <c r="D100" s="124"/>
      <c r="E100" s="81"/>
      <c r="F100" s="96">
        <v>312</v>
      </c>
      <c r="G100" s="142">
        <f>References!$B$33</f>
        <v>980</v>
      </c>
      <c r="H100" s="85">
        <f t="shared" si="23"/>
        <v>305760</v>
      </c>
      <c r="I100" s="82">
        <f t="shared" si="25"/>
        <v>230659.19085889243</v>
      </c>
      <c r="J100" s="78">
        <f>References!$C$49*I100</f>
        <v>576.6479771472316</v>
      </c>
      <c r="K100" s="129">
        <f>J100/References!$G$57</f>
        <v>599.700462942751</v>
      </c>
      <c r="L100" s="129">
        <f t="shared" si="30"/>
        <v>1.92</v>
      </c>
      <c r="M100" s="29">
        <v>57.089999999999996</v>
      </c>
      <c r="N100" s="78">
        <f t="shared" si="24"/>
        <v>59.01</v>
      </c>
      <c r="O100" s="78">
        <f t="shared" si="26"/>
        <v>17812.079999999998</v>
      </c>
      <c r="P100" s="79">
        <f t="shared" si="27"/>
        <v>59.01</v>
      </c>
      <c r="Q100" s="79">
        <f t="shared" si="28"/>
        <v>18411.12</v>
      </c>
      <c r="R100" s="79">
        <f t="shared" si="29"/>
        <v>599.0400000000009</v>
      </c>
      <c r="U100" s="164">
        <f t="shared" si="22"/>
        <v>0.03363110877561737</v>
      </c>
      <c r="V100" s="127"/>
    </row>
    <row r="101" spans="1:22" s="80" customFormat="1" ht="15">
      <c r="A101" s="170"/>
      <c r="B101" s="76">
        <v>33</v>
      </c>
      <c r="C101" s="31" t="s">
        <v>171</v>
      </c>
      <c r="D101" s="124"/>
      <c r="E101" s="81"/>
      <c r="F101" s="96">
        <v>624</v>
      </c>
      <c r="G101" s="142">
        <f>References!$B$33</f>
        <v>980</v>
      </c>
      <c r="H101" s="85">
        <f t="shared" si="23"/>
        <v>611520</v>
      </c>
      <c r="I101" s="82">
        <f t="shared" si="25"/>
        <v>461318.38171778485</v>
      </c>
      <c r="J101" s="78">
        <f>References!$C$49*I101</f>
        <v>1153.2959542944632</v>
      </c>
      <c r="K101" s="129">
        <f>J101/References!$G$57</f>
        <v>1199.400925885502</v>
      </c>
      <c r="L101" s="129">
        <f t="shared" si="30"/>
        <v>1.92</v>
      </c>
      <c r="M101" s="29">
        <v>57.089999999999996</v>
      </c>
      <c r="N101" s="78">
        <f t="shared" si="24"/>
        <v>59.01</v>
      </c>
      <c r="O101" s="78">
        <f t="shared" si="26"/>
        <v>35624.159999999996</v>
      </c>
      <c r="P101" s="79">
        <f t="shared" si="27"/>
        <v>59.01</v>
      </c>
      <c r="Q101" s="79">
        <f t="shared" si="28"/>
        <v>36822.24</v>
      </c>
      <c r="R101" s="79">
        <f t="shared" si="29"/>
        <v>1198.0800000000017</v>
      </c>
      <c r="U101" s="164">
        <f t="shared" si="22"/>
        <v>0.03363110877561737</v>
      </c>
      <c r="V101" s="127"/>
    </row>
    <row r="102" spans="1:22" s="80" customFormat="1" ht="15">
      <c r="A102" s="170"/>
      <c r="B102" s="76">
        <v>35</v>
      </c>
      <c r="C102" s="31" t="s">
        <v>173</v>
      </c>
      <c r="D102" s="124"/>
      <c r="E102" s="81"/>
      <c r="F102" s="96">
        <v>52</v>
      </c>
      <c r="G102" s="144">
        <f>References!B36</f>
        <v>892</v>
      </c>
      <c r="H102" s="85">
        <f t="shared" si="23"/>
        <v>46384</v>
      </c>
      <c r="I102" s="82">
        <f t="shared" si="25"/>
        <v>34991.156164308166</v>
      </c>
      <c r="J102" s="78">
        <f>References!$C$49*I102</f>
        <v>87.4778904107705</v>
      </c>
      <c r="K102" s="129">
        <f>J102/References!$G$57</f>
        <v>90.97496818791392</v>
      </c>
      <c r="L102" s="129">
        <f t="shared" si="30"/>
        <v>1.75</v>
      </c>
      <c r="M102" s="29">
        <v>56.629999999999995</v>
      </c>
      <c r="N102" s="78">
        <f t="shared" si="24"/>
        <v>58.379999999999995</v>
      </c>
      <c r="O102" s="78">
        <f t="shared" si="26"/>
        <v>2944.7599999999998</v>
      </c>
      <c r="P102" s="79">
        <f t="shared" si="27"/>
        <v>58.379999999999995</v>
      </c>
      <c r="Q102" s="79">
        <f t="shared" si="28"/>
        <v>3035.7599999999998</v>
      </c>
      <c r="R102" s="79">
        <f t="shared" si="29"/>
        <v>91</v>
      </c>
      <c r="U102" s="164">
        <f t="shared" si="22"/>
        <v>0.030902348578492056</v>
      </c>
      <c r="V102" s="127"/>
    </row>
    <row r="103" spans="1:22" s="80" customFormat="1" ht="15">
      <c r="A103" s="170"/>
      <c r="B103" s="76">
        <v>35</v>
      </c>
      <c r="C103" s="31" t="s">
        <v>174</v>
      </c>
      <c r="D103" s="124"/>
      <c r="E103" s="81"/>
      <c r="F103" s="96">
        <v>312</v>
      </c>
      <c r="G103" s="142">
        <f>References!B37</f>
        <v>1301</v>
      </c>
      <c r="H103" s="85">
        <f t="shared" si="23"/>
        <v>405912</v>
      </c>
      <c r="I103" s="82">
        <f t="shared" si="25"/>
        <v>306211.84419124393</v>
      </c>
      <c r="J103" s="78">
        <f>References!$C$49*I103</f>
        <v>765.5296104781105</v>
      </c>
      <c r="K103" s="129">
        <f>J103/References!$G$57</f>
        <v>796.1329615188969</v>
      </c>
      <c r="L103" s="129">
        <f t="shared" si="30"/>
        <v>2.55</v>
      </c>
      <c r="M103" s="29">
        <v>73.15</v>
      </c>
      <c r="N103" s="78">
        <f t="shared" si="24"/>
        <v>75.7</v>
      </c>
      <c r="O103" s="78">
        <f t="shared" si="26"/>
        <v>22822.800000000003</v>
      </c>
      <c r="P103" s="79">
        <f t="shared" si="27"/>
        <v>75.7</v>
      </c>
      <c r="Q103" s="79">
        <f t="shared" si="28"/>
        <v>23618.4</v>
      </c>
      <c r="R103" s="79">
        <f t="shared" si="29"/>
        <v>795.5999999999985</v>
      </c>
      <c r="U103" s="164">
        <f t="shared" si="22"/>
        <v>0.034859876965140035</v>
      </c>
      <c r="V103" s="127"/>
    </row>
    <row r="104" spans="1:22" s="80" customFormat="1" ht="15">
      <c r="A104" s="170"/>
      <c r="B104" s="76">
        <v>35</v>
      </c>
      <c r="C104" s="31" t="s">
        <v>175</v>
      </c>
      <c r="D104" s="124"/>
      <c r="E104" s="81"/>
      <c r="F104" s="96">
        <v>156</v>
      </c>
      <c r="G104" s="142">
        <f>References!B38</f>
        <v>1686</v>
      </c>
      <c r="H104" s="85">
        <f t="shared" si="23"/>
        <v>263016</v>
      </c>
      <c r="I104" s="82">
        <f t="shared" si="25"/>
        <v>198413.9774429044</v>
      </c>
      <c r="J104" s="78">
        <f>References!$C$49*I104</f>
        <v>496.0349436072614</v>
      </c>
      <c r="K104" s="129">
        <f>J104/References!$G$57</f>
        <v>515.8647859803459</v>
      </c>
      <c r="L104" s="129">
        <f t="shared" si="30"/>
        <v>3.31</v>
      </c>
      <c r="M104" s="29">
        <v>81.62</v>
      </c>
      <c r="N104" s="78">
        <f t="shared" si="24"/>
        <v>84.93</v>
      </c>
      <c r="O104" s="78">
        <f t="shared" si="26"/>
        <v>12732.720000000001</v>
      </c>
      <c r="P104" s="79">
        <f t="shared" si="27"/>
        <v>84.93</v>
      </c>
      <c r="Q104" s="79">
        <f t="shared" si="28"/>
        <v>13249.080000000002</v>
      </c>
      <c r="R104" s="79">
        <f t="shared" si="29"/>
        <v>516.3600000000006</v>
      </c>
      <c r="U104" s="164">
        <f t="shared" si="22"/>
        <v>0.0405537858368048</v>
      </c>
      <c r="V104" s="127"/>
    </row>
    <row r="105" spans="1:22" s="80" customFormat="1" ht="15">
      <c r="A105" s="126"/>
      <c r="B105" s="76">
        <v>27</v>
      </c>
      <c r="C105" s="31" t="s">
        <v>177</v>
      </c>
      <c r="D105" s="124"/>
      <c r="E105" s="81"/>
      <c r="F105" s="135">
        <v>4861.2880794702</v>
      </c>
      <c r="G105" s="142">
        <f>References!B42</f>
        <v>125</v>
      </c>
      <c r="H105" s="85">
        <f t="shared" si="23"/>
        <v>607661.0099337749</v>
      </c>
      <c r="I105" s="82">
        <f t="shared" si="25"/>
        <v>458407.23727047985</v>
      </c>
      <c r="J105" s="78">
        <f>References!$C$49*I105</f>
        <v>1146.0180931762006</v>
      </c>
      <c r="K105" s="129">
        <f>J105/References!$G$57</f>
        <v>1191.8321198637636</v>
      </c>
      <c r="L105" s="129">
        <f t="shared" si="30"/>
        <v>0.25</v>
      </c>
      <c r="M105" s="29">
        <v>15.899999999999999</v>
      </c>
      <c r="N105" s="78">
        <f t="shared" si="24"/>
        <v>16.15</v>
      </c>
      <c r="O105" s="78">
        <f t="shared" si="26"/>
        <v>77294.48046357617</v>
      </c>
      <c r="P105" s="79">
        <f t="shared" si="27"/>
        <v>16.15</v>
      </c>
      <c r="Q105" s="79">
        <f t="shared" si="28"/>
        <v>78509.80248344372</v>
      </c>
      <c r="R105" s="79">
        <f t="shared" si="29"/>
        <v>1215.3220198675554</v>
      </c>
      <c r="U105" s="164">
        <f t="shared" si="22"/>
        <v>0.01572327044025168</v>
      </c>
      <c r="V105" s="127"/>
    </row>
    <row r="106" spans="1:21" s="80" customFormat="1" ht="15">
      <c r="A106" s="86"/>
      <c r="B106" s="65"/>
      <c r="C106" s="88" t="s">
        <v>3</v>
      </c>
      <c r="D106" s="89">
        <f>SUM(D25:D105)</f>
        <v>0</v>
      </c>
      <c r="E106" s="89"/>
      <c r="F106" s="89">
        <f>SUM(F25:F105)</f>
        <v>141309.2880794702</v>
      </c>
      <c r="G106" s="145"/>
      <c r="H106" s="89">
        <f>SUM(H25:H105)</f>
        <v>58582877.00993378</v>
      </c>
      <c r="I106" s="92">
        <f>SUM(I25:I105)</f>
        <v>44193743.48932932</v>
      </c>
      <c r="J106" s="94"/>
      <c r="K106" s="94"/>
      <c r="L106" s="94"/>
      <c r="M106" s="94"/>
      <c r="N106" s="94"/>
      <c r="O106" s="94">
        <f>SUM(O25:O105)</f>
        <v>3408122.2404635767</v>
      </c>
      <c r="P106" s="94"/>
      <c r="Q106" s="94">
        <f>SUM(Q25:Q105)</f>
        <v>3523154.1224834444</v>
      </c>
      <c r="R106" s="94">
        <f>SUM(R25:R105)</f>
        <v>115031.88201986754</v>
      </c>
      <c r="U106" s="164">
        <f>+R106/O106</f>
        <v>0.03375227585857389</v>
      </c>
    </row>
    <row r="107" spans="3:21" ht="25.5" customHeight="1">
      <c r="C107" s="98" t="s">
        <v>103</v>
      </c>
      <c r="D107" s="99">
        <f>D24+D106</f>
        <v>45626.74297875</v>
      </c>
      <c r="E107" s="99"/>
      <c r="F107" s="99">
        <f>F24+F106</f>
        <v>2237034.2037044703</v>
      </c>
      <c r="G107" s="99"/>
      <c r="H107" s="99">
        <f>H24+H106</f>
        <v>142621724.14118376</v>
      </c>
      <c r="I107" s="99">
        <f>I24+I106</f>
        <v>107590958.56000003</v>
      </c>
      <c r="J107" s="78"/>
      <c r="K107" s="100"/>
      <c r="L107" s="100"/>
      <c r="M107" s="100"/>
      <c r="N107" s="100"/>
      <c r="O107" s="147">
        <f>O24+O106</f>
        <v>10857294.576561276</v>
      </c>
      <c r="P107" s="147"/>
      <c r="Q107" s="147">
        <f>Q24+Q106</f>
        <v>11136686.402695294</v>
      </c>
      <c r="R107" s="147">
        <f>R24+R106</f>
        <v>279391.82613401726</v>
      </c>
      <c r="U107" s="165">
        <f>+R107/O107</f>
        <v>0.02573309807188692</v>
      </c>
    </row>
    <row r="108" spans="7:10" ht="15">
      <c r="G108" s="146"/>
      <c r="J108" s="102"/>
    </row>
    <row r="109" spans="7:10" ht="15">
      <c r="G109" s="146"/>
      <c r="J109" s="102"/>
    </row>
    <row r="110" spans="1:3" ht="15">
      <c r="A110" s="84"/>
      <c r="C110" s="105"/>
    </row>
    <row r="111" spans="1:3" ht="15">
      <c r="A111" s="84"/>
      <c r="C111" s="105"/>
    </row>
    <row r="112" spans="1:8" ht="15">
      <c r="A112" s="84"/>
      <c r="B112" s="172" t="s">
        <v>104</v>
      </c>
      <c r="C112" s="172"/>
      <c r="D112" s="75"/>
      <c r="E112" s="106"/>
      <c r="F112" s="106"/>
      <c r="H112" s="139"/>
    </row>
    <row r="113" spans="1:15" ht="15">
      <c r="A113" s="84"/>
      <c r="B113" s="75"/>
      <c r="C113" s="107" t="s">
        <v>3</v>
      </c>
      <c r="D113" s="75"/>
      <c r="E113" s="35"/>
      <c r="F113" s="35"/>
      <c r="H113" s="108" t="s">
        <v>105</v>
      </c>
      <c r="J113" s="109"/>
      <c r="O113" s="101"/>
    </row>
    <row r="114" spans="1:15" ht="15">
      <c r="A114" s="84"/>
      <c r="B114" s="75" t="s">
        <v>106</v>
      </c>
      <c r="C114" s="140">
        <f>'Co. Pro Tonnage'!E9</f>
        <v>53795.479280000014</v>
      </c>
      <c r="D114" s="75"/>
      <c r="E114" s="95"/>
      <c r="F114" s="95"/>
      <c r="G114" s="110"/>
      <c r="H114" s="137" t="s">
        <v>109</v>
      </c>
      <c r="I114" s="138"/>
      <c r="J114" s="109"/>
      <c r="O114" s="101"/>
    </row>
    <row r="115" spans="1:10" ht="15">
      <c r="A115" s="84"/>
      <c r="B115" s="75" t="s">
        <v>107</v>
      </c>
      <c r="C115" s="111">
        <f>C114*2000</f>
        <v>107590958.56000003</v>
      </c>
      <c r="D115" s="75"/>
      <c r="E115" s="111"/>
      <c r="F115" s="111"/>
      <c r="G115" s="111"/>
      <c r="H115" s="112"/>
      <c r="J115" s="109"/>
    </row>
    <row r="116" spans="1:15" ht="15">
      <c r="A116" s="84"/>
      <c r="B116" s="75" t="s">
        <v>108</v>
      </c>
      <c r="C116" s="111">
        <f>F24+F106</f>
        <v>2237034.2037044703</v>
      </c>
      <c r="D116" s="75"/>
      <c r="E116" s="95"/>
      <c r="F116" s="95"/>
      <c r="G116" s="95"/>
      <c r="I116" s="128"/>
      <c r="J116" s="109"/>
      <c r="O116" s="101"/>
    </row>
    <row r="117" spans="2:15" ht="15">
      <c r="B117" s="113" t="s">
        <v>110</v>
      </c>
      <c r="C117" s="114">
        <f>C115/$H$107</f>
        <v>0.7543798759121285</v>
      </c>
      <c r="D117" s="75"/>
      <c r="E117" s="114"/>
      <c r="F117" s="114"/>
      <c r="G117" s="114"/>
      <c r="H117" s="115"/>
      <c r="J117" s="109"/>
      <c r="M117" s="116"/>
      <c r="N117" s="116"/>
      <c r="O117" s="117"/>
    </row>
    <row r="118" spans="5:15" ht="15">
      <c r="E118" s="109"/>
      <c r="G118" s="118"/>
      <c r="H118" s="119"/>
      <c r="J118" s="109"/>
      <c r="M118" s="120"/>
      <c r="N118" s="121"/>
      <c r="O118" s="103"/>
    </row>
    <row r="119" spans="4:15" ht="15">
      <c r="D119" s="122"/>
      <c r="E119" s="123"/>
      <c r="G119" s="118"/>
      <c r="H119" s="119"/>
      <c r="J119" s="109"/>
      <c r="M119" s="120"/>
      <c r="N119" s="121"/>
      <c r="O119" s="103"/>
    </row>
    <row r="120" spans="4:15" ht="15">
      <c r="D120" s="122"/>
      <c r="E120" s="123"/>
      <c r="G120" s="118"/>
      <c r="H120" s="119"/>
      <c r="J120" s="109"/>
      <c r="M120" s="120"/>
      <c r="N120" s="121"/>
      <c r="O120" s="103"/>
    </row>
    <row r="121" spans="4:9" ht="15">
      <c r="D121" s="75"/>
      <c r="I121" s="75"/>
    </row>
    <row r="122" spans="4:9" ht="15">
      <c r="D122" s="75"/>
      <c r="E122" s="109"/>
      <c r="I122" s="75"/>
    </row>
    <row r="123" spans="4:9" ht="15">
      <c r="D123" s="75"/>
      <c r="I123" s="75"/>
    </row>
    <row r="124" spans="4:9" ht="15">
      <c r="D124" s="75"/>
      <c r="I124" s="75"/>
    </row>
    <row r="125" ht="15">
      <c r="D125" s="75"/>
    </row>
  </sheetData>
  <sheetProtection/>
  <mergeCells count="3">
    <mergeCell ref="A2:A23"/>
    <mergeCell ref="A25:A104"/>
    <mergeCell ref="B112:C112"/>
  </mergeCells>
  <printOptions/>
  <pageMargins left="0.45" right="0.2" top="0.25" bottom="0.25" header="0.3" footer="0.3"/>
  <pageSetup fitToHeight="0" fitToWidth="1" horizontalDpi="600" verticalDpi="600" orientation="landscape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8.8515625" style="0" bestFit="1" customWidth="1"/>
    <col min="3" max="3" width="12.8515625" style="0" bestFit="1" customWidth="1"/>
    <col min="4" max="4" width="12.421875" style="0" bestFit="1" customWidth="1"/>
    <col min="5" max="5" width="14.28125" style="0" bestFit="1" customWidth="1"/>
    <col min="6" max="6" width="11.00390625" style="0" bestFit="1" customWidth="1"/>
    <col min="7" max="7" width="17.57421875" style="0" bestFit="1" customWidth="1"/>
    <col min="8" max="8" width="13.57421875" style="0" bestFit="1" customWidth="1"/>
    <col min="9" max="9" width="14.28125" style="0" bestFit="1" customWidth="1"/>
    <col min="10" max="10" width="12.7109375" style="0" bestFit="1" customWidth="1"/>
    <col min="11" max="11" width="2.421875" style="0" customWidth="1"/>
    <col min="12" max="13" width="10.421875" style="0" bestFit="1" customWidth="1"/>
    <col min="14" max="14" width="14.421875" style="0" bestFit="1" customWidth="1"/>
    <col min="15" max="15" width="14.421875" style="0" customWidth="1"/>
    <col min="16" max="16" width="12.8515625" style="0" bestFit="1" customWidth="1"/>
    <col min="17" max="17" width="10.00390625" style="0" bestFit="1" customWidth="1"/>
    <col min="18" max="18" width="12.57421875" style="0" bestFit="1" customWidth="1"/>
  </cols>
  <sheetData>
    <row r="1" spans="1:10" ht="26.25">
      <c r="A1" s="9" t="s">
        <v>4</v>
      </c>
      <c r="B1" s="2"/>
      <c r="C1" s="2"/>
      <c r="D1" s="2"/>
      <c r="E1" s="2"/>
      <c r="F1" s="2"/>
      <c r="G1" s="2"/>
      <c r="H1" s="2"/>
      <c r="I1" s="2"/>
      <c r="J1" s="2"/>
    </row>
    <row r="2" spans="1:10" ht="20.25">
      <c r="A2" s="8" t="s">
        <v>5</v>
      </c>
      <c r="B2" s="2"/>
      <c r="C2" s="2"/>
      <c r="D2" s="2"/>
      <c r="E2" s="2"/>
      <c r="F2" s="2"/>
      <c r="G2" s="2"/>
      <c r="H2" s="2"/>
      <c r="I2" s="2"/>
      <c r="J2" s="2"/>
    </row>
    <row r="3" spans="1:16" ht="15.75">
      <c r="A3" s="34" t="s">
        <v>179</v>
      </c>
      <c r="G3" s="6" t="s">
        <v>183</v>
      </c>
      <c r="I3" s="6" t="s">
        <v>16</v>
      </c>
      <c r="L3" s="42"/>
      <c r="M3" s="41"/>
      <c r="N3" s="41"/>
      <c r="O3" s="158"/>
      <c r="P3" s="43"/>
    </row>
    <row r="4" spans="1:16" ht="15.75">
      <c r="A4" s="2"/>
      <c r="B4" s="2"/>
      <c r="C4" s="6" t="s">
        <v>3</v>
      </c>
      <c r="D4" s="6" t="s">
        <v>2</v>
      </c>
      <c r="E4" s="6" t="s">
        <v>16</v>
      </c>
      <c r="F4" s="7" t="s">
        <v>6</v>
      </c>
      <c r="G4" s="6" t="s">
        <v>16</v>
      </c>
      <c r="H4" s="7" t="s">
        <v>8</v>
      </c>
      <c r="I4" s="6" t="s">
        <v>0</v>
      </c>
      <c r="J4" s="6" t="s">
        <v>0</v>
      </c>
      <c r="L4" s="43"/>
      <c r="M4" s="43"/>
      <c r="N4" s="43"/>
      <c r="O4" s="43"/>
      <c r="P4" s="43"/>
    </row>
    <row r="5" spans="1:17" ht="20.25">
      <c r="A5" s="2"/>
      <c r="B5" s="2"/>
      <c r="C5" s="4" t="s">
        <v>9</v>
      </c>
      <c r="D5" s="4" t="s">
        <v>16</v>
      </c>
      <c r="E5" s="4" t="s">
        <v>9</v>
      </c>
      <c r="F5" s="5" t="s">
        <v>10</v>
      </c>
      <c r="G5" s="4" t="s">
        <v>7</v>
      </c>
      <c r="H5" s="5" t="s">
        <v>10</v>
      </c>
      <c r="I5" s="4" t="s">
        <v>11</v>
      </c>
      <c r="J5" s="4" t="s">
        <v>1</v>
      </c>
      <c r="L5" s="44"/>
      <c r="M5" s="44"/>
      <c r="N5" s="44"/>
      <c r="O5" s="44"/>
      <c r="P5" s="44"/>
      <c r="Q5" s="44"/>
    </row>
    <row r="6" spans="1:18" ht="15.75">
      <c r="A6" s="3" t="s">
        <v>12</v>
      </c>
      <c r="B6" s="2"/>
      <c r="C6" s="18">
        <v>33423.860000000015</v>
      </c>
      <c r="D6" s="36">
        <v>0.658</v>
      </c>
      <c r="E6" s="38">
        <f>+D6*C6</f>
        <v>21992.89988000001</v>
      </c>
      <c r="F6" s="10">
        <v>75</v>
      </c>
      <c r="G6" s="13">
        <f>+F6*E6</f>
        <v>1649467.4910000009</v>
      </c>
      <c r="H6" s="12">
        <v>80</v>
      </c>
      <c r="I6" s="13">
        <f>+H6*E6</f>
        <v>1759431.990400001</v>
      </c>
      <c r="J6" s="19">
        <f>+I6-G6</f>
        <v>109964.49940000009</v>
      </c>
      <c r="K6" s="33"/>
      <c r="L6" s="47"/>
      <c r="M6" s="47"/>
      <c r="N6" s="47"/>
      <c r="O6" s="47"/>
      <c r="P6" s="48"/>
      <c r="Q6" s="153"/>
      <c r="R6" s="30"/>
    </row>
    <row r="7" spans="1:16" ht="15.75">
      <c r="A7" s="2"/>
      <c r="B7" s="2"/>
      <c r="C7" s="11"/>
      <c r="D7" s="13"/>
      <c r="E7" s="13"/>
      <c r="F7" s="10"/>
      <c r="G7" s="13"/>
      <c r="H7" s="12"/>
      <c r="I7" s="13"/>
      <c r="J7" s="19"/>
      <c r="L7" s="48"/>
      <c r="M7" s="48"/>
      <c r="N7" s="48"/>
      <c r="O7" s="48"/>
      <c r="P7" s="48"/>
    </row>
    <row r="8" spans="1:18" ht="18">
      <c r="A8" s="3" t="s">
        <v>13</v>
      </c>
      <c r="B8" s="2"/>
      <c r="C8" s="25">
        <v>40512.840000000004</v>
      </c>
      <c r="D8" s="36">
        <v>0.785</v>
      </c>
      <c r="E8" s="39">
        <f>+D8*C8</f>
        <v>31802.579400000006</v>
      </c>
      <c r="F8" s="10">
        <f>+F6</f>
        <v>75</v>
      </c>
      <c r="G8" s="14">
        <f>+F8*E8</f>
        <v>2385193.4550000005</v>
      </c>
      <c r="H8" s="12">
        <f>+H6</f>
        <v>80</v>
      </c>
      <c r="I8" s="14">
        <f>+H8*E8</f>
        <v>2544206.3520000004</v>
      </c>
      <c r="J8" s="21">
        <f>+I8-G8</f>
        <v>159012.89699999988</v>
      </c>
      <c r="K8" s="33"/>
      <c r="L8" s="49"/>
      <c r="M8" s="49"/>
      <c r="N8" s="49"/>
      <c r="O8" s="49"/>
      <c r="P8" s="50"/>
      <c r="Q8" s="153"/>
      <c r="R8" s="30"/>
    </row>
    <row r="9" spans="1:18" ht="15.75">
      <c r="A9" s="3"/>
      <c r="B9" s="2"/>
      <c r="C9" s="23">
        <f>+C8+C6</f>
        <v>73936.70000000001</v>
      </c>
      <c r="D9" s="13"/>
      <c r="E9" s="23">
        <f>+E8+E6</f>
        <v>53795.479280000014</v>
      </c>
      <c r="F9" s="10"/>
      <c r="G9" s="37">
        <f>+G8+G6</f>
        <v>4034660.9460000014</v>
      </c>
      <c r="H9" s="12"/>
      <c r="J9" s="37">
        <f>+J8+J6</f>
        <v>268977.39639999997</v>
      </c>
      <c r="K9" s="37"/>
      <c r="L9" s="37"/>
      <c r="M9" s="37"/>
      <c r="N9" s="37"/>
      <c r="O9" s="37"/>
      <c r="P9" s="37"/>
      <c r="R9" s="30"/>
    </row>
    <row r="10" spans="1:16" ht="15.75">
      <c r="A10" s="2"/>
      <c r="B10" s="2"/>
      <c r="C10" s="11"/>
      <c r="D10" s="13"/>
      <c r="E10" s="13"/>
      <c r="F10" s="10"/>
      <c r="G10" s="13"/>
      <c r="H10" s="12"/>
      <c r="I10" s="13"/>
      <c r="J10" s="19"/>
      <c r="L10" s="46"/>
      <c r="M10" s="46"/>
      <c r="N10" s="46"/>
      <c r="O10" s="46"/>
      <c r="P10" s="46"/>
    </row>
    <row r="11" spans="1:16" ht="15.75">
      <c r="A11" s="3" t="s">
        <v>14</v>
      </c>
      <c r="B11" s="2"/>
      <c r="C11" s="18">
        <v>18977.64800000002</v>
      </c>
      <c r="D11" s="36">
        <v>0.637</v>
      </c>
      <c r="E11" s="38">
        <f>+D11*C11</f>
        <v>12088.761776000012</v>
      </c>
      <c r="F11" s="10">
        <f>+F8</f>
        <v>75</v>
      </c>
      <c r="G11" s="13">
        <f>+F11*E11</f>
        <v>906657.1332000009</v>
      </c>
      <c r="H11" s="12">
        <f>+H8</f>
        <v>80</v>
      </c>
      <c r="I11" s="13">
        <f>+H11*E11</f>
        <v>967100.942080001</v>
      </c>
      <c r="J11" s="19">
        <f>+I11-G11</f>
        <v>60443.80888000014</v>
      </c>
      <c r="L11" s="45"/>
      <c r="M11" s="45"/>
      <c r="N11" s="47"/>
      <c r="O11" s="47"/>
      <c r="P11" s="48"/>
    </row>
    <row r="12" spans="1:16" ht="17.25">
      <c r="A12" s="3" t="s">
        <v>15</v>
      </c>
      <c r="B12" s="2"/>
      <c r="C12" s="20">
        <v>1294.282</v>
      </c>
      <c r="D12" s="20">
        <v>0</v>
      </c>
      <c r="E12" s="39">
        <f>+D12*C12</f>
        <v>0</v>
      </c>
      <c r="F12" s="10"/>
      <c r="G12" s="14">
        <f>+F12*C12</f>
        <v>0</v>
      </c>
      <c r="H12" s="15"/>
      <c r="I12" s="14"/>
      <c r="J12" s="21">
        <f>+I12-G12</f>
        <v>0</v>
      </c>
      <c r="L12" s="46"/>
      <c r="M12" s="46"/>
      <c r="N12" s="46"/>
      <c r="O12" s="46"/>
      <c r="P12" s="46"/>
    </row>
    <row r="13" spans="1:16" ht="20.25">
      <c r="A13" s="2"/>
      <c r="B13" s="2"/>
      <c r="C13" s="22">
        <f>SUM(C11:C12)</f>
        <v>20271.93000000002</v>
      </c>
      <c r="D13" s="22"/>
      <c r="E13" s="22">
        <f>SUM(E11:E12)</f>
        <v>12088.761776000012</v>
      </c>
      <c r="F13" s="10"/>
      <c r="G13" s="16">
        <f>SUM(G11:G12)</f>
        <v>906657.1332000009</v>
      </c>
      <c r="H13" s="11"/>
      <c r="I13" s="16">
        <f>SUM(I11:I12)</f>
        <v>967100.942080001</v>
      </c>
      <c r="J13" s="16">
        <f>SUM(J11:J12)</f>
        <v>60443.80888000014</v>
      </c>
      <c r="L13" s="16"/>
      <c r="M13" s="16"/>
      <c r="N13" s="16"/>
      <c r="O13" s="16"/>
      <c r="P13" s="16"/>
    </row>
    <row r="14" spans="1:16" ht="15.75">
      <c r="A14" s="2"/>
      <c r="B14" s="2"/>
      <c r="C14" s="23"/>
      <c r="D14" s="23"/>
      <c r="E14" s="23"/>
      <c r="F14" s="10"/>
      <c r="G14" s="11"/>
      <c r="H14" s="11"/>
      <c r="I14" s="11"/>
      <c r="J14" s="11"/>
      <c r="L14" s="46"/>
      <c r="M14" s="46"/>
      <c r="N14" s="46"/>
      <c r="O14" s="46"/>
      <c r="P14" s="46"/>
    </row>
    <row r="15" spans="1:16" ht="18">
      <c r="A15" s="2"/>
      <c r="B15" s="2"/>
      <c r="C15" s="24">
        <f>+C13+C9</f>
        <v>94208.63000000003</v>
      </c>
      <c r="D15" s="24"/>
      <c r="E15" s="24">
        <f>+E13+E9</f>
        <v>65884.24105600003</v>
      </c>
      <c r="F15" s="10"/>
      <c r="G15" s="17">
        <f>+G13+G9</f>
        <v>4941318.079200002</v>
      </c>
      <c r="H15" s="17"/>
      <c r="I15" s="17">
        <f>+I13+N9</f>
        <v>967100.942080001</v>
      </c>
      <c r="J15" s="17">
        <f>+J13+J9</f>
        <v>329421.2052800001</v>
      </c>
      <c r="K15" s="17"/>
      <c r="L15" s="17"/>
      <c r="M15" s="17"/>
      <c r="N15" s="17"/>
      <c r="O15" s="17"/>
      <c r="P15" s="17"/>
    </row>
    <row r="16" spans="1:15" ht="17.25">
      <c r="A16" s="2"/>
      <c r="B16" s="2"/>
      <c r="C16" s="25"/>
      <c r="D16" s="25"/>
      <c r="E16" s="25"/>
      <c r="F16" s="10"/>
      <c r="G16" s="14"/>
      <c r="H16" s="11"/>
      <c r="I16" s="11"/>
      <c r="J16" s="11"/>
      <c r="K16" s="2"/>
      <c r="L16" s="2"/>
      <c r="N16" s="2"/>
      <c r="O16" s="2"/>
    </row>
    <row r="17" spans="1:15" ht="15.75">
      <c r="A17" s="2"/>
      <c r="B17" s="2"/>
      <c r="C17" s="11"/>
      <c r="D17" s="11"/>
      <c r="E17" s="11"/>
      <c r="F17" s="10"/>
      <c r="G17" s="15"/>
      <c r="H17" s="11"/>
      <c r="I17" s="11"/>
      <c r="J17" s="11"/>
      <c r="K17" s="2"/>
      <c r="L17" s="2"/>
      <c r="N17" s="2"/>
      <c r="O17" s="2"/>
    </row>
    <row r="18" spans="1:15" ht="15.75">
      <c r="A18" s="2"/>
      <c r="B18" s="2"/>
      <c r="C18" s="18"/>
      <c r="D18" s="18"/>
      <c r="E18" s="18"/>
      <c r="F18" s="26"/>
      <c r="G18" s="11"/>
      <c r="H18" s="26"/>
      <c r="I18" s="26"/>
      <c r="J18" s="26"/>
      <c r="K18" s="2"/>
      <c r="L18" s="2"/>
      <c r="N18" s="2"/>
      <c r="O18" s="2"/>
    </row>
    <row r="19" spans="3:10" ht="15">
      <c r="C19" s="1"/>
      <c r="D19" s="1"/>
      <c r="E19" s="1"/>
      <c r="F19" s="1"/>
      <c r="G19" s="40"/>
      <c r="H19" s="1"/>
      <c r="I19" s="1"/>
      <c r="J19" s="1"/>
    </row>
    <row r="20" spans="1:15" ht="15.75">
      <c r="A20" s="2"/>
      <c r="B20" s="2"/>
      <c r="C20" s="26"/>
      <c r="D20" s="26"/>
      <c r="E20" s="26"/>
      <c r="F20" s="26"/>
      <c r="G20" s="27"/>
      <c r="H20" s="26"/>
      <c r="I20" s="26"/>
      <c r="J20" s="26"/>
      <c r="K20" s="2"/>
      <c r="L20" s="2"/>
      <c r="N20" s="2"/>
      <c r="O20" s="2"/>
    </row>
    <row r="21" spans="3:10" ht="15">
      <c r="C21" s="1"/>
      <c r="D21" s="1"/>
      <c r="E21" s="1"/>
      <c r="F21" s="1"/>
      <c r="G21" s="1"/>
      <c r="H21" s="1"/>
      <c r="I21" s="1"/>
      <c r="J21" s="1"/>
    </row>
    <row r="22" spans="3:10" ht="15">
      <c r="C22" s="1"/>
      <c r="D22" s="1"/>
      <c r="E22" s="1"/>
      <c r="F22" s="1"/>
      <c r="G22" s="1"/>
      <c r="H22" s="1"/>
      <c r="I22" s="1"/>
      <c r="J22" s="1"/>
    </row>
  </sheetData>
  <sheetProtection/>
  <printOptions/>
  <pageMargins left="0.45" right="0.2" top="0.75" bottom="0.75" header="0.3" footer="0.3"/>
  <pageSetup fitToHeight="1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Waste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LaRue</dc:creator>
  <cp:keywords/>
  <dc:description/>
  <cp:lastModifiedBy>Weinstein, Mike</cp:lastModifiedBy>
  <cp:lastPrinted>2019-06-05T19:11:46Z</cp:lastPrinted>
  <dcterms:created xsi:type="dcterms:W3CDTF">2013-04-10T21:01:30Z</dcterms:created>
  <dcterms:modified xsi:type="dcterms:W3CDTF">2019-06-05T19:36:04Z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fidentiality">
    <vt:lpwstr>None</vt:lpwstr>
  </property>
  <property fmtid="{D5CDD505-2E9C-101B-9397-08002B2CF9AE}" pid="5" name="DocumentDescription">
    <vt:lpwstr>Accounting workpapers</vt:lpwstr>
  </property>
  <property fmtid="{D5CDD505-2E9C-101B-9397-08002B2CF9AE}" pid="6" name="EFilingId">
    <vt:lpwstr>14541.0000000000</vt:lpwstr>
  </property>
  <property fmtid="{D5CDD505-2E9C-101B-9397-08002B2CF9AE}" pid="7" name="DocumentSetType">
    <vt:lpwstr>Workpapers</vt:lpwstr>
  </property>
  <property fmtid="{D5CDD505-2E9C-101B-9397-08002B2CF9AE}" pid="8" name="IsDocumentOrder">
    <vt:lpwstr>0</vt:lpwstr>
  </property>
  <property fmtid="{D5CDD505-2E9C-101B-9397-08002B2CF9AE}" pid="9" name="IsHighlyConfidential">
    <vt:lpwstr>0</vt:lpwstr>
  </property>
  <property fmtid="{D5CDD505-2E9C-101B-9397-08002B2CF9AE}" pid="10" name="CaseCompanyNames">
    <vt:lpwstr>Waste Management of Washington, Inc.</vt:lpwstr>
  </property>
  <property fmtid="{D5CDD505-2E9C-101B-9397-08002B2CF9AE}" pid="11" name="IsConfidential">
    <vt:lpwstr>0</vt:lpwstr>
  </property>
  <property fmtid="{D5CDD505-2E9C-101B-9397-08002B2CF9AE}" pid="12" name="IsEFSEC">
    <vt:lpwstr>0</vt:lpwstr>
  </property>
  <property fmtid="{D5CDD505-2E9C-101B-9397-08002B2CF9AE}" pid="13" name="DocketNumber">
    <vt:lpwstr>190480</vt:lpwstr>
  </property>
  <property fmtid="{D5CDD505-2E9C-101B-9397-08002B2CF9AE}" pid="14" name="Date1">
    <vt:lpwstr>2019-06-05T00:00:00Z</vt:lpwstr>
  </property>
  <property fmtid="{D5CDD505-2E9C-101B-9397-08002B2CF9AE}" pid="15" name="Nickname">
    <vt:lpwstr/>
  </property>
  <property fmtid="{D5CDD505-2E9C-101B-9397-08002B2CF9AE}" pid="16" name="CaseType">
    <vt:lpwstr>Tariff Revision</vt:lpwstr>
  </property>
  <property fmtid="{D5CDD505-2E9C-101B-9397-08002B2CF9AE}" pid="17" name="OpenedDate">
    <vt:lpwstr>2019-06-05T00:00:00Z</vt:lpwstr>
  </property>
  <property fmtid="{D5CDD505-2E9C-101B-9397-08002B2CF9AE}" pid="18" name="Prefix">
    <vt:lpwstr>TG</vt:lpwstr>
  </property>
  <property fmtid="{D5CDD505-2E9C-101B-9397-08002B2CF9AE}" pid="19" name="IndustryCode">
    <vt:lpwstr>227</vt:lpwstr>
  </property>
  <property fmtid="{D5CDD505-2E9C-101B-9397-08002B2CF9AE}" pid="20" name="CaseStatus">
    <vt:lpwstr>Closed</vt:lpwstr>
  </property>
  <property fmtid="{D5CDD505-2E9C-101B-9397-08002B2CF9AE}" pid="21" name="_docset_NoMedatataSyncRequired">
    <vt:lpwstr>False</vt:lpwstr>
  </property>
</Properties>
</file>