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Regulatory_Affairs\Accounting - Regulatory\Earnings Test &amp; CBR Models\2018\FINAL\For Filing\Washington\"/>
    </mc:Choice>
  </mc:AlternateContent>
  <bookViews>
    <workbookView xWindow="11910" yWindow="-60" windowWidth="15990" windowHeight="13395" tabRatio="866" firstSheet="4" activeTab="18"/>
  </bookViews>
  <sheets>
    <sheet name="Not filed" sheetId="1" state="hidden" r:id="rId1"/>
    <sheet name="Executive Summary" sheetId="41" state="hidden" r:id="rId2"/>
    <sheet name="Adj Narrative" sheetId="39" state="hidden" r:id="rId3"/>
    <sheet name="Sheet1" sheetId="43" state="hidden" r:id="rId4"/>
    <sheet name="Page 1" sheetId="21" r:id="rId5"/>
    <sheet name="Allocation Factors" sheetId="22" r:id="rId6"/>
    <sheet name="Rate Base" sheetId="38" r:id="rId7"/>
    <sheet name="DIT Rate Base" sheetId="44" r:id="rId8"/>
    <sheet name="Taxes" sheetId="23" r:id="rId9"/>
    <sheet name="Cost of Cap" sheetId="25" r:id="rId10"/>
    <sheet name="Adjustments" sheetId="26" r:id="rId11"/>
    <sheet name="a Rev &amp; Cost" sheetId="37" r:id="rId12"/>
    <sheet name="b Misc Revenues" sheetId="40" r:id="rId13"/>
    <sheet name="c Bonuses" sheetId="30" r:id="rId14"/>
    <sheet name="d Uncollectibles" sheetId="10" r:id="rId15"/>
    <sheet name="e Working Cap" sheetId="11" r:id="rId16"/>
    <sheet name="f Sales &amp; Mktg" sheetId="13" r:id="rId17"/>
    <sheet name="g Claims" sheetId="17" r:id="rId18"/>
    <sheet name="h Clearing" sheetId="6" r:id="rId19"/>
    <sheet name="Other Rev, Dep &amp; Other Tax" sheetId="35" r:id="rId20"/>
  </sheets>
  <externalReferences>
    <externalReference r:id="rId21"/>
    <externalReference r:id="rId22"/>
    <externalReference r:id="rId23"/>
  </externalReferences>
  <definedNames>
    <definedName name="_PG3">#N/A</definedName>
    <definedName name="casepg1">#N/A</definedName>
    <definedName name="dots" localSheetId="7">#REF!</definedName>
    <definedName name="dots">#REF!</definedName>
    <definedName name="EMonth">[1]Data!$G$4:$H$4,[1]Data!$R$4</definedName>
    <definedName name="EssbaseMonth">[2]Essbase!$D$6</definedName>
    <definedName name="EssLatest">"Beg Bal"</definedName>
    <definedName name="EssOptions">"A3100000000111000000011100010_01000"</definedName>
    <definedName name="EYTD">[1]Data!$I$4:$J$4,[1]Data!$Q$4</definedName>
    <definedName name="GITTY" localSheetId="7">#REF!</definedName>
    <definedName name="GITTY">#REF!</definedName>
    <definedName name="I">"a1..m50"</definedName>
    <definedName name="NORMALIZE" localSheetId="7">#REF!</definedName>
    <definedName name="NORMALIZE" localSheetId="1">#REF!</definedName>
    <definedName name="NORMALIZE">#REF!</definedName>
    <definedName name="ONCOR_ELECTRIC_DELIVERY_COMPANY" localSheetId="7">#REF!</definedName>
    <definedName name="ONCOR_ELECTRIC_DELIVERY_COMPANY" localSheetId="1">#REF!</definedName>
    <definedName name="ONCOR_ELECTRIC_DELIVERY_COMPANY">#REF!</definedName>
    <definedName name="page1">#N/A</definedName>
    <definedName name="page2">#N/A</definedName>
    <definedName name="page3">#N/A</definedName>
    <definedName name="pg_2c">#N/A</definedName>
    <definedName name="pg_2d">#N/A</definedName>
    <definedName name="pg_2e">#N/A</definedName>
    <definedName name="pg_2f">#N/A</definedName>
    <definedName name="pg_2h">#N/A</definedName>
    <definedName name="pg_2i">#N/A</definedName>
    <definedName name="pg_2j">#N/A</definedName>
    <definedName name="pg_2k">#N/A</definedName>
    <definedName name="pg_2l">#N/A</definedName>
    <definedName name="pg_2m">#N/A</definedName>
    <definedName name="pg_2n">#N/A</definedName>
    <definedName name="pg_2o">#N/A</definedName>
    <definedName name="_xlnm.Print_Area" localSheetId="10">Adjustments!$A$1:$M$49</definedName>
    <definedName name="_xlnm.Print_Area" localSheetId="5">'Allocation Factors'!$A$1:$E$128</definedName>
    <definedName name="_xlnm.Print_Area" localSheetId="12">'b Misc Revenues'!$A$1:$H$33</definedName>
    <definedName name="_xlnm.Print_Area" localSheetId="9">'Cost of Cap'!$A$1:$G$52</definedName>
    <definedName name="_xlnm.Print_Area" localSheetId="14">'d Uncollectibles'!$A$1:$G$49</definedName>
    <definedName name="_xlnm.Print_Area" localSheetId="7">'DIT Rate Base'!$A$1:$K$41</definedName>
    <definedName name="_xlnm.Print_Area" localSheetId="15">'e Working Cap'!$A$1:$E$63</definedName>
    <definedName name="_xlnm.Print_Area" localSheetId="1">'Executive Summary'!$A$1:$E$53</definedName>
    <definedName name="_xlnm.Print_Area" localSheetId="16">'f Sales &amp; Mktg'!$A$1:$E$23</definedName>
    <definedName name="_xlnm.Print_Area" localSheetId="17">'g Claims'!$A$1:$E$23</definedName>
    <definedName name="_xlnm.Print_Area" localSheetId="18">'h Clearing'!$A$1:$D$26</definedName>
    <definedName name="_xlnm.Print_Area" localSheetId="19">'Other Rev, Dep &amp; Other Tax'!$A$1:$E$46</definedName>
    <definedName name="_xlnm.Print_Area" localSheetId="4">'Page 1'!#REF!</definedName>
    <definedName name="_xlnm.Print_Area" localSheetId="6">'Rate Base'!$A$1:$Q$167</definedName>
    <definedName name="_xlnm.Print_Area" localSheetId="8">Taxes!$A$1:$L$27</definedName>
    <definedName name="_xlnm.Print_Titles" localSheetId="5">'Allocation Factors'!$1:$3</definedName>
    <definedName name="_xlnm.Print_Titles" localSheetId="6">'Rate Base'!$1:$5</definedName>
    <definedName name="ror_1">#N/A</definedName>
    <definedName name="ror_2">#N/A</definedName>
    <definedName name="SECACCUMCOMPRINCOME">'[3]LAW RETAIN EARN'!$B$23</definedName>
    <definedName name="SECAIRCRAFT">'[3]LAW OTHER INV'!$B$45</definedName>
    <definedName name="SECARTRADE1">'[3]LAW CASH'!$B$96</definedName>
    <definedName name="SECARTRADE2">'[3]LAW ACCT REC'!$B$42</definedName>
    <definedName name="SECCUSTADV">'[3]LAW OTHER LIABILITIES'!$B$76</definedName>
    <definedName name="SECDEFINCTAXLIAB">'[3]LAW DEF TAXES INV CREDIT'!$B$34</definedName>
    <definedName name="SECINCTAXASSET">'[3]LAW DEF REG AND OTHER'!$B$159</definedName>
    <definedName name="SECINTRECNNGFC">'[3]LAW INV IN SUBS'!$B$26</definedName>
    <definedName name="SECINTRECNWENERGY">'[3]LAW INV IN SUBS'!$B$24</definedName>
    <definedName name="SECINVESTLIFEINS">'[3]LAW DEF REG AND OTHER'!$B$165</definedName>
    <definedName name="SECLOSSDERIV">'[3]LAW DEF REG AND OTHER'!$B$161</definedName>
    <definedName name="SECNNGFC">'[3]LAW INV IN SUBS'!$B$22</definedName>
    <definedName name="SECNONUTDEPR">'[3]LAW NON UTIL PROP'!$B$44</definedName>
    <definedName name="SECNONUTILPROP">'[3]LAW NON UTIL PROP'!$B$42</definedName>
    <definedName name="SECNWENERGY">'[3]LAW INV IN SUBS'!$B$20</definedName>
    <definedName name="SECOTHCURRLIAB">'[3]LAW CUST DEPOS'!$B$17</definedName>
    <definedName name="SECOTHCURRLIAB2">'[3]LAW DIVIDENDS DECLARED'!$B$15</definedName>
    <definedName name="SECOTHERASSETS">'[3]LAW DEF REG AND OTHER'!$B$167</definedName>
    <definedName name="SECOTHERASSETS1">'[3]LAW UNAMT DEBT DISC'!$B$46</definedName>
    <definedName name="SECOTHERINV">'[3]LAW OTHER INV'!$B$47</definedName>
    <definedName name="SECUNAMORTLOSSDEBTRED">'[3]LAW DEF REG AND OTHER'!$B$163</definedName>
    <definedName name="SECUNEARNEDCOMP">'[3]LAW RETAIN EARN'!$B$25</definedName>
    <definedName name="SECUTILPLANT">'[3]LAW GAS STORED'!$B$23</definedName>
    <definedName name="sue">#N/A</definedName>
    <definedName name="SUMMARY" localSheetId="7">#REF!</definedName>
    <definedName name="SUMMARY">#REF!</definedName>
    <definedName name="TAX" localSheetId="7">#REF!</definedName>
    <definedName name="TAX">#REF!</definedName>
    <definedName name="WS3A2">#N/A</definedName>
    <definedName name="Year">[3]CONTROL!$F$7</definedName>
  </definedNames>
  <calcPr calcId="152511"/>
</workbook>
</file>

<file path=xl/calcChain.xml><?xml version="1.0" encoding="utf-8"?>
<calcChain xmlns="http://schemas.openxmlformats.org/spreadsheetml/2006/main">
  <c r="E144" i="38" l="1"/>
  <c r="D144" i="38"/>
  <c r="C35" i="21" l="1"/>
  <c r="Q85" i="38"/>
  <c r="D12" i="11"/>
  <c r="D132" i="38" l="1"/>
  <c r="B19" i="35" l="1"/>
  <c r="C25" i="23" l="1"/>
  <c r="E62" i="38" l="1"/>
  <c r="F62" i="38"/>
  <c r="G62" i="38"/>
  <c r="H62" i="38"/>
  <c r="I62" i="38"/>
  <c r="J62" i="38"/>
  <c r="K62" i="38"/>
  <c r="L62" i="38"/>
  <c r="M62" i="38"/>
  <c r="N62" i="38"/>
  <c r="O62" i="38"/>
  <c r="P62" i="38"/>
  <c r="F77" i="38" l="1"/>
  <c r="G77" i="38"/>
  <c r="H77" i="38"/>
  <c r="I77" i="38"/>
  <c r="J77" i="38"/>
  <c r="K77" i="38"/>
  <c r="L77" i="38"/>
  <c r="M77" i="38"/>
  <c r="N77" i="38"/>
  <c r="O77" i="38"/>
  <c r="P77" i="38"/>
  <c r="E77" i="38"/>
  <c r="D50" i="17" l="1"/>
  <c r="E23" i="38" l="1"/>
  <c r="F23" i="38"/>
  <c r="G23" i="38"/>
  <c r="H23" i="38"/>
  <c r="I23" i="38"/>
  <c r="J23" i="38"/>
  <c r="K23" i="38"/>
  <c r="L23" i="38"/>
  <c r="M23" i="38"/>
  <c r="N23" i="38"/>
  <c r="O23" i="38"/>
  <c r="P23" i="38"/>
  <c r="D23" i="38"/>
  <c r="E38" i="38"/>
  <c r="F38" i="38"/>
  <c r="G38" i="38"/>
  <c r="H38" i="38"/>
  <c r="I38" i="38"/>
  <c r="J38" i="38"/>
  <c r="K38" i="38"/>
  <c r="L38" i="38"/>
  <c r="M38" i="38"/>
  <c r="N38" i="38"/>
  <c r="O38" i="38"/>
  <c r="P38" i="38"/>
  <c r="D38" i="38"/>
  <c r="E64" i="38"/>
  <c r="F64" i="38"/>
  <c r="G64" i="38"/>
  <c r="H64" i="38"/>
  <c r="I64" i="38"/>
  <c r="J64" i="38"/>
  <c r="K64" i="38"/>
  <c r="L64" i="38"/>
  <c r="M64" i="38"/>
  <c r="N64" i="38"/>
  <c r="O64" i="38"/>
  <c r="P64" i="38"/>
  <c r="D64" i="38"/>
  <c r="E79" i="38"/>
  <c r="F79" i="38"/>
  <c r="G79" i="38"/>
  <c r="H79" i="38"/>
  <c r="I79" i="38"/>
  <c r="J79" i="38"/>
  <c r="K79" i="38"/>
  <c r="L79" i="38"/>
  <c r="M79" i="38"/>
  <c r="N79" i="38"/>
  <c r="O79" i="38"/>
  <c r="P79" i="38"/>
  <c r="D79" i="38"/>
  <c r="Q68" i="38" l="1"/>
  <c r="Q69" i="38"/>
  <c r="Q70" i="38"/>
  <c r="Q71" i="38"/>
  <c r="Q72" i="38"/>
  <c r="Q74" i="38"/>
  <c r="Q75" i="38"/>
  <c r="Q77" i="38"/>
  <c r="Q79" i="38" l="1"/>
  <c r="E8" i="10"/>
  <c r="F8" i="10" s="1"/>
  <c r="L10" i="40"/>
  <c r="M10" i="40" s="1"/>
  <c r="E5" i="38"/>
  <c r="H5" i="38" s="1"/>
  <c r="O5" i="38" l="1"/>
  <c r="K5" i="38"/>
  <c r="G5" i="38"/>
  <c r="N5" i="38"/>
  <c r="J5" i="38"/>
  <c r="F5" i="38"/>
  <c r="M5" i="38"/>
  <c r="I5" i="38"/>
  <c r="P5" i="38"/>
  <c r="L5" i="38"/>
  <c r="D37" i="35" l="1"/>
  <c r="D38" i="35"/>
  <c r="D39" i="35"/>
  <c r="D40" i="35"/>
  <c r="D41" i="35"/>
  <c r="D36" i="35"/>
  <c r="E20" i="40" l="1"/>
  <c r="E21" i="40"/>
  <c r="K21" i="40" s="1"/>
  <c r="C46" i="35"/>
  <c r="B46" i="35"/>
  <c r="D17" i="35"/>
  <c r="D18" i="35"/>
  <c r="D19" i="35"/>
  <c r="D46" i="35" s="1"/>
  <c r="K20" i="40" l="1"/>
  <c r="G20" i="40"/>
  <c r="C22" i="21"/>
  <c r="D12" i="26" l="1"/>
  <c r="H31" i="30" l="1"/>
  <c r="D19" i="26" l="1"/>
  <c r="D13" i="26"/>
  <c r="C16" i="21"/>
  <c r="C11" i="21"/>
  <c r="C10" i="21"/>
  <c r="A3" i="44" l="1"/>
  <c r="F35" i="44"/>
  <c r="E35" i="44"/>
  <c r="G33" i="44"/>
  <c r="G31" i="44"/>
  <c r="J31" i="44" s="1"/>
  <c r="G29" i="44"/>
  <c r="F21" i="44"/>
  <c r="E21" i="44"/>
  <c r="G19" i="44"/>
  <c r="G17" i="44"/>
  <c r="J17" i="44" s="1"/>
  <c r="G15" i="44"/>
  <c r="A9" i="44"/>
  <c r="A10" i="44" s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G21" i="44" l="1"/>
  <c r="G35" i="44"/>
  <c r="A33" i="44"/>
  <c r="A34" i="44" s="1"/>
  <c r="A35" i="44" s="1"/>
  <c r="A36" i="44" s="1"/>
  <c r="A37" i="44" s="1"/>
  <c r="A38" i="44" s="1"/>
  <c r="A39" i="44" s="1"/>
  <c r="A40" i="44" s="1"/>
  <c r="A41" i="44" s="1"/>
  <c r="A42" i="44" s="1"/>
  <c r="A31" i="44"/>
  <c r="A32" i="44" s="1"/>
  <c r="L23" i="40" l="1"/>
  <c r="P41" i="38" l="1"/>
  <c r="O41" i="38"/>
  <c r="N41" i="38"/>
  <c r="M41" i="38"/>
  <c r="L41" i="38"/>
  <c r="K41" i="38"/>
  <c r="J41" i="38"/>
  <c r="I41" i="38"/>
  <c r="H41" i="38"/>
  <c r="G41" i="38"/>
  <c r="F41" i="38"/>
  <c r="E41" i="38"/>
  <c r="D41" i="38"/>
  <c r="Q21" i="38"/>
  <c r="Q36" i="38"/>
  <c r="Q62" i="38"/>
  <c r="E40" i="43" l="1"/>
  <c r="E39" i="43"/>
  <c r="C41" i="43"/>
  <c r="E38" i="43"/>
  <c r="M11" i="43"/>
  <c r="E41" i="43" l="1"/>
  <c r="F10" i="43"/>
  <c r="C18" i="43" l="1"/>
  <c r="D9" i="43"/>
  <c r="H13" i="43" s="1"/>
  <c r="I13" i="43" s="1"/>
  <c r="D8" i="43"/>
  <c r="I12" i="43" s="1"/>
  <c r="I28" i="43"/>
  <c r="H28" i="43"/>
  <c r="G28" i="43"/>
  <c r="I27" i="43"/>
  <c r="H27" i="43"/>
  <c r="G27" i="43"/>
  <c r="I26" i="43"/>
  <c r="H26" i="43"/>
  <c r="G26" i="43"/>
  <c r="D27" i="43"/>
  <c r="D26" i="43"/>
  <c r="B28" i="43"/>
  <c r="B27" i="43"/>
  <c r="B26" i="43"/>
  <c r="C22" i="43"/>
  <c r="G22" i="43"/>
  <c r="D11" i="43"/>
  <c r="D10" i="43"/>
  <c r="B3" i="43"/>
  <c r="G29" i="43" l="1"/>
  <c r="I29" i="43"/>
  <c r="I14" i="43"/>
  <c r="D10" i="35" l="1"/>
  <c r="D11" i="35"/>
  <c r="D12" i="35"/>
  <c r="D13" i="35"/>
  <c r="D14" i="35"/>
  <c r="D15" i="35"/>
  <c r="D16" i="35"/>
  <c r="B20" i="35"/>
  <c r="C20" i="35"/>
  <c r="D24" i="35"/>
  <c r="D25" i="35"/>
  <c r="D26" i="35"/>
  <c r="D27" i="35"/>
  <c r="D28" i="35"/>
  <c r="D29" i="35"/>
  <c r="D30" i="35"/>
  <c r="B31" i="35"/>
  <c r="C31" i="35"/>
  <c r="B42" i="35"/>
  <c r="C42" i="35"/>
  <c r="B45" i="35"/>
  <c r="C45" i="35"/>
  <c r="C23" i="21" l="1"/>
  <c r="D45" i="35"/>
  <c r="D42" i="35"/>
  <c r="D31" i="35"/>
  <c r="B32" i="35" s="1"/>
  <c r="C127" i="22" s="1"/>
  <c r="D127" i="22" s="1"/>
  <c r="D20" i="35"/>
  <c r="Q114" i="38" l="1"/>
  <c r="Q113" i="38"/>
  <c r="Q111" i="38"/>
  <c r="Q110" i="38"/>
  <c r="Q109" i="38"/>
  <c r="Q107" i="38"/>
  <c r="Q101" i="38"/>
  <c r="Q100" i="38"/>
  <c r="Q98" i="38"/>
  <c r="Q97" i="38"/>
  <c r="Q96" i="38"/>
  <c r="Q95" i="38"/>
  <c r="Q94" i="38"/>
  <c r="Q93" i="38"/>
  <c r="Q60" i="38"/>
  <c r="Q59" i="38"/>
  <c r="Q57" i="38"/>
  <c r="Q56" i="38"/>
  <c r="Q55" i="38"/>
  <c r="Q54" i="38"/>
  <c r="Q53" i="38"/>
  <c r="Q52" i="38"/>
  <c r="Q34" i="38"/>
  <c r="Q33" i="38"/>
  <c r="Q31" i="38"/>
  <c r="Q30" i="38"/>
  <c r="Q29" i="38"/>
  <c r="Q28" i="38"/>
  <c r="Q27" i="38"/>
  <c r="Q19" i="38"/>
  <c r="Q18" i="38"/>
  <c r="Q16" i="38"/>
  <c r="Q15" i="38"/>
  <c r="Q14" i="38"/>
  <c r="Q13" i="38"/>
  <c r="Q12" i="38"/>
  <c r="Q11" i="38"/>
  <c r="Q64" i="38" l="1"/>
  <c r="Q23" i="38"/>
  <c r="Q103" i="38"/>
  <c r="D151" i="38" l="1"/>
  <c r="E151" i="38"/>
  <c r="Q38" i="38" l="1"/>
  <c r="J21" i="40" l="1"/>
  <c r="J20" i="40" l="1"/>
  <c r="A11" i="21" l="1"/>
  <c r="A12" i="21" s="1"/>
  <c r="A13" i="21" s="1"/>
  <c r="A16" i="21" s="1"/>
  <c r="A17" i="21" s="1"/>
  <c r="A18" i="21" s="1"/>
  <c r="A19" i="21" s="1"/>
  <c r="A21" i="21" s="1"/>
  <c r="A22" i="21" s="1"/>
  <c r="A23" i="21" s="1"/>
  <c r="A24" i="21" s="1"/>
  <c r="A26" i="21" s="1"/>
  <c r="A28" i="21" s="1"/>
  <c r="A31" i="21" s="1"/>
  <c r="A32" i="21" s="1"/>
  <c r="A33" i="21" s="1"/>
  <c r="A35" i="21" s="1"/>
  <c r="A36" i="21" s="1"/>
  <c r="A37" i="21" s="1"/>
  <c r="A38" i="21" s="1"/>
  <c r="L41" i="26"/>
  <c r="D35" i="21" s="1"/>
  <c r="A13" i="26"/>
  <c r="A14" i="26" s="1"/>
  <c r="A16" i="26" s="1"/>
  <c r="A19" i="26" s="1"/>
  <c r="A20" i="26" s="1"/>
  <c r="A21" i="26" s="1"/>
  <c r="A23" i="26" s="1"/>
  <c r="A26" i="26" s="1"/>
  <c r="A27" i="26" s="1"/>
  <c r="A28" i="26" s="1"/>
  <c r="A29" i="26" s="1"/>
  <c r="A31" i="26" s="1"/>
  <c r="A33" i="26" s="1"/>
  <c r="A36" i="26" s="1"/>
  <c r="A37" i="26" s="1"/>
  <c r="A39" i="26" s="1"/>
  <c r="A41" i="26" s="1"/>
  <c r="A42" i="26" s="1"/>
  <c r="A43" i="26" s="1"/>
  <c r="A44" i="26" l="1"/>
  <c r="A45" i="26" s="1"/>
  <c r="A47" i="26" s="1"/>
  <c r="A49" i="26" s="1"/>
  <c r="A39" i="21"/>
  <c r="A41" i="21" s="1"/>
  <c r="A43" i="21" s="1"/>
  <c r="A45" i="21" s="1"/>
  <c r="D48" i="41" l="1"/>
  <c r="D47" i="41"/>
  <c r="D46" i="41"/>
  <c r="G19" i="41"/>
  <c r="G20" i="41" s="1"/>
  <c r="G21" i="41" s="1"/>
  <c r="G22" i="41" s="1"/>
  <c r="G23" i="41" s="1"/>
  <c r="G24" i="41" s="1"/>
  <c r="G13" i="30" l="1"/>
  <c r="G18" i="30"/>
  <c r="G23" i="30"/>
  <c r="G28" i="30"/>
  <c r="G17" i="25" l="1"/>
  <c r="C13" i="25" l="1"/>
  <c r="C14" i="25"/>
  <c r="E14" i="25" s="1"/>
  <c r="C15" i="25"/>
  <c r="E15" i="25" s="1"/>
  <c r="C12" i="25"/>
  <c r="E12" i="25" s="1"/>
  <c r="E13" i="25"/>
  <c r="A9" i="41" l="1"/>
  <c r="A10" i="41" s="1"/>
  <c r="A11" i="41" s="1"/>
  <c r="A12" i="41" s="1"/>
  <c r="A13" i="41" s="1"/>
  <c r="A14" i="41" s="1"/>
  <c r="A15" i="41" s="1"/>
  <c r="A16" i="41" s="1"/>
  <c r="A17" i="41" s="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A32" i="41" s="1"/>
  <c r="A33" i="41" s="1"/>
  <c r="A34" i="41" s="1"/>
  <c r="A35" i="41" s="1"/>
  <c r="A36" i="41" s="1"/>
  <c r="A37" i="41" s="1"/>
  <c r="A38" i="41" s="1"/>
  <c r="A39" i="41" s="1"/>
  <c r="A40" i="41" s="1"/>
  <c r="A41" i="41" s="1"/>
  <c r="A42" i="41" s="1"/>
  <c r="A43" i="41" s="1"/>
  <c r="A44" i="41" s="1"/>
  <c r="A45" i="41" s="1"/>
  <c r="A46" i="41" s="1"/>
  <c r="A47" i="41" s="1"/>
  <c r="A48" i="41" s="1"/>
  <c r="A49" i="41" s="1"/>
  <c r="A50" i="41" s="1"/>
  <c r="A51" i="41" s="1"/>
  <c r="A52" i="41" s="1"/>
  <c r="A53" i="41" s="1"/>
  <c r="A3" i="41"/>
  <c r="A1" i="41"/>
  <c r="D28" i="30" l="1"/>
  <c r="C28" i="30"/>
  <c r="D23" i="30"/>
  <c r="C23" i="30"/>
  <c r="D18" i="30"/>
  <c r="C18" i="30"/>
  <c r="D13" i="30"/>
  <c r="C13" i="30"/>
  <c r="P103" i="38"/>
  <c r="O103" i="38"/>
  <c r="N103" i="38"/>
  <c r="M103" i="38"/>
  <c r="L103" i="38"/>
  <c r="K103" i="38"/>
  <c r="J103" i="38"/>
  <c r="I103" i="38"/>
  <c r="H103" i="38"/>
  <c r="G103" i="38"/>
  <c r="F103" i="38"/>
  <c r="E103" i="38"/>
  <c r="D103" i="38"/>
  <c r="D16" i="10"/>
  <c r="E16" i="10"/>
  <c r="F16" i="10"/>
  <c r="D23" i="10"/>
  <c r="E23" i="10"/>
  <c r="F23" i="10"/>
  <c r="D26" i="10"/>
  <c r="E26" i="10"/>
  <c r="F26" i="10"/>
  <c r="D27" i="10"/>
  <c r="E27" i="10"/>
  <c r="F27" i="10"/>
  <c r="D28" i="10"/>
  <c r="E28" i="10"/>
  <c r="F28" i="10"/>
  <c r="D29" i="10"/>
  <c r="E29" i="10"/>
  <c r="F29" i="10"/>
  <c r="F30" i="10" l="1"/>
  <c r="D30" i="10"/>
  <c r="E30" i="10"/>
  <c r="E10" i="13"/>
  <c r="E12" i="13"/>
  <c r="E15" i="13"/>
  <c r="E17" i="13"/>
  <c r="E19" i="13"/>
  <c r="D21" i="13"/>
  <c r="E21" i="13" s="1"/>
  <c r="L12" i="26"/>
  <c r="D10" i="21" s="1"/>
  <c r="E10" i="21" s="1"/>
  <c r="L13" i="26"/>
  <c r="D11" i="21" s="1"/>
  <c r="L19" i="26"/>
  <c r="D16" i="21" s="1"/>
  <c r="E64" i="26"/>
  <c r="E39" i="26"/>
  <c r="E47" i="26" s="1"/>
  <c r="E95" i="26"/>
  <c r="E94" i="26"/>
  <c r="E12" i="1"/>
  <c r="C13" i="26"/>
  <c r="A12" i="40"/>
  <c r="A13" i="40" s="1"/>
  <c r="A14" i="40" s="1"/>
  <c r="A15" i="40" s="1"/>
  <c r="A16" i="40" s="1"/>
  <c r="A17" i="40" s="1"/>
  <c r="A18" i="40" s="1"/>
  <c r="E12" i="40"/>
  <c r="E13" i="40"/>
  <c r="E14" i="40"/>
  <c r="E15" i="40"/>
  <c r="E16" i="40"/>
  <c r="E17" i="40"/>
  <c r="E18" i="40"/>
  <c r="E19" i="40"/>
  <c r="A4" i="26"/>
  <c r="A3" i="40" s="1"/>
  <c r="A1" i="40"/>
  <c r="P119" i="38"/>
  <c r="O119" i="38"/>
  <c r="N119" i="38"/>
  <c r="M119" i="38"/>
  <c r="L119" i="38"/>
  <c r="K119" i="38"/>
  <c r="J119" i="38"/>
  <c r="I119" i="38"/>
  <c r="H119" i="38"/>
  <c r="G119" i="38"/>
  <c r="F119" i="38"/>
  <c r="E119" i="38"/>
  <c r="D119" i="38"/>
  <c r="L45" i="26"/>
  <c r="D39" i="21" s="1"/>
  <c r="L44" i="26"/>
  <c r="D38" i="21" s="1"/>
  <c r="L43" i="26"/>
  <c r="D37" i="21" s="1"/>
  <c r="L42" i="26"/>
  <c r="D36" i="21" s="1"/>
  <c r="L37" i="26"/>
  <c r="D32" i="21" s="1"/>
  <c r="L29" i="26"/>
  <c r="D24" i="21" s="1"/>
  <c r="L27" i="26"/>
  <c r="D22" i="21" s="1"/>
  <c r="F16" i="26"/>
  <c r="F64" i="26"/>
  <c r="D94" i="26"/>
  <c r="D95" i="26"/>
  <c r="E98" i="26" s="1"/>
  <c r="H16" i="26"/>
  <c r="H62" i="26" s="1"/>
  <c r="H23" i="26"/>
  <c r="H63" i="26" s="1"/>
  <c r="H64" i="26"/>
  <c r="J16" i="26"/>
  <c r="J64" i="26"/>
  <c r="K16" i="26"/>
  <c r="K62" i="26" s="1"/>
  <c r="K64" i="26"/>
  <c r="D64" i="26"/>
  <c r="D39" i="26"/>
  <c r="D47" i="26" s="1"/>
  <c r="G16" i="26"/>
  <c r="G62" i="26" s="1"/>
  <c r="G64" i="26"/>
  <c r="G39" i="26"/>
  <c r="G47" i="26" s="1"/>
  <c r="I16" i="26"/>
  <c r="I64" i="26"/>
  <c r="I39" i="26"/>
  <c r="I47" i="26" s="1"/>
  <c r="A15" i="13"/>
  <c r="A17" i="13" s="1"/>
  <c r="A19" i="13" s="1"/>
  <c r="A21" i="13" s="1"/>
  <c r="A23" i="13" s="1"/>
  <c r="E16" i="17"/>
  <c r="E18" i="17" s="1"/>
  <c r="D10" i="22"/>
  <c r="C8" i="22"/>
  <c r="C9" i="22"/>
  <c r="D15" i="17"/>
  <c r="D16" i="17" s="1"/>
  <c r="D18" i="17" s="1"/>
  <c r="C19" i="10"/>
  <c r="C12" i="10"/>
  <c r="C20" i="10"/>
  <c r="C13" i="10"/>
  <c r="C21" i="10"/>
  <c r="C14" i="10"/>
  <c r="C22" i="10"/>
  <c r="C15" i="10"/>
  <c r="D16" i="22"/>
  <c r="C14" i="22"/>
  <c r="C15" i="22"/>
  <c r="C52" i="22"/>
  <c r="D53" i="22" s="1"/>
  <c r="C55" i="22"/>
  <c r="D56" i="22" s="1"/>
  <c r="C112" i="22" s="1"/>
  <c r="C58" i="22"/>
  <c r="D59" i="22" s="1"/>
  <c r="C113" i="22" s="1"/>
  <c r="F151" i="38"/>
  <c r="D40" i="38"/>
  <c r="E40" i="38"/>
  <c r="F40" i="38"/>
  <c r="G40" i="38"/>
  <c r="H40" i="38"/>
  <c r="I40" i="38"/>
  <c r="J40" i="38"/>
  <c r="K40" i="38"/>
  <c r="L40" i="38"/>
  <c r="M40" i="38"/>
  <c r="N40" i="38"/>
  <c r="O40" i="38"/>
  <c r="P40" i="38"/>
  <c r="C12" i="21"/>
  <c r="E19" i="1"/>
  <c r="C27" i="26"/>
  <c r="D118" i="22"/>
  <c r="C24" i="21"/>
  <c r="C21" i="23"/>
  <c r="F11" i="30"/>
  <c r="H11" i="30" s="1"/>
  <c r="F12" i="30"/>
  <c r="H12" i="30" s="1"/>
  <c r="F21" i="30"/>
  <c r="F22" i="30"/>
  <c r="F16" i="30"/>
  <c r="H16" i="30" s="1"/>
  <c r="F17" i="30"/>
  <c r="H17" i="30" s="1"/>
  <c r="F26" i="30"/>
  <c r="F27" i="30"/>
  <c r="C43" i="10"/>
  <c r="A3" i="39"/>
  <c r="A2" i="21"/>
  <c r="A1" i="39"/>
  <c r="C21" i="26"/>
  <c r="C20" i="26"/>
  <c r="E141" i="38"/>
  <c r="P116" i="38"/>
  <c r="O116" i="38"/>
  <c r="N116" i="38"/>
  <c r="M116" i="38"/>
  <c r="L116" i="38"/>
  <c r="K116" i="38"/>
  <c r="J116" i="38"/>
  <c r="I116" i="38"/>
  <c r="H116" i="38"/>
  <c r="G116" i="38"/>
  <c r="F116" i="38"/>
  <c r="E116" i="38"/>
  <c r="D116" i="38"/>
  <c r="D91" i="38"/>
  <c r="E91" i="38" s="1"/>
  <c r="F91" i="38" s="1"/>
  <c r="G91" i="38" s="1"/>
  <c r="H91" i="38" s="1"/>
  <c r="I91" i="38" s="1"/>
  <c r="J91" i="38" s="1"/>
  <c r="K91" i="38" s="1"/>
  <c r="L91" i="38" s="1"/>
  <c r="M91" i="38" s="1"/>
  <c r="N91" i="38" s="1"/>
  <c r="O91" i="38" s="1"/>
  <c r="P91" i="38" s="1"/>
  <c r="Q91" i="38" s="1"/>
  <c r="Q90" i="38"/>
  <c r="Q89" i="38"/>
  <c r="P90" i="38"/>
  <c r="O90" i="38"/>
  <c r="N90" i="38"/>
  <c r="M90" i="38"/>
  <c r="L90" i="38"/>
  <c r="K90" i="38"/>
  <c r="J90" i="38"/>
  <c r="I90" i="38"/>
  <c r="H90" i="38"/>
  <c r="G90" i="38"/>
  <c r="F90" i="38"/>
  <c r="E90" i="38"/>
  <c r="E89" i="38"/>
  <c r="D90" i="38"/>
  <c r="D89" i="38"/>
  <c r="D50" i="38"/>
  <c r="E50" i="38" s="1"/>
  <c r="F50" i="38" s="1"/>
  <c r="G50" i="38" s="1"/>
  <c r="H50" i="38" s="1"/>
  <c r="I50" i="38" s="1"/>
  <c r="J50" i="38" s="1"/>
  <c r="K50" i="38" s="1"/>
  <c r="L50" i="38" s="1"/>
  <c r="M50" i="38" s="1"/>
  <c r="N50" i="38" s="1"/>
  <c r="O50" i="38" s="1"/>
  <c r="P50" i="38" s="1"/>
  <c r="Q50" i="38" s="1"/>
  <c r="Q49" i="38"/>
  <c r="Q48" i="38"/>
  <c r="P49" i="38"/>
  <c r="O49" i="38"/>
  <c r="N49" i="38"/>
  <c r="M49" i="38"/>
  <c r="L49" i="38"/>
  <c r="K49" i="38"/>
  <c r="J49" i="38"/>
  <c r="I49" i="38"/>
  <c r="H49" i="38"/>
  <c r="G49" i="38"/>
  <c r="F49" i="38"/>
  <c r="E49" i="38"/>
  <c r="E48" i="38"/>
  <c r="D49" i="38"/>
  <c r="D48" i="38"/>
  <c r="E67" i="22"/>
  <c r="A25" i="23"/>
  <c r="A27" i="23" s="1"/>
  <c r="D46" i="22"/>
  <c r="E46" i="22"/>
  <c r="D40" i="22"/>
  <c r="E40" i="22"/>
  <c r="D34" i="22"/>
  <c r="E34" i="22"/>
  <c r="D26" i="22"/>
  <c r="D27" i="22"/>
  <c r="E26" i="22"/>
  <c r="E27" i="22"/>
  <c r="D22" i="22"/>
  <c r="C20" i="22"/>
  <c r="C21" i="22"/>
  <c r="L87" i="26"/>
  <c r="L86" i="26"/>
  <c r="L85" i="26"/>
  <c r="L81" i="26"/>
  <c r="L76" i="26"/>
  <c r="L75" i="26"/>
  <c r="L71" i="26"/>
  <c r="L66" i="26"/>
  <c r="A3" i="26"/>
  <c r="C34" i="17"/>
  <c r="A1" i="30"/>
  <c r="E28" i="30"/>
  <c r="E23" i="30"/>
  <c r="E18" i="30"/>
  <c r="E13" i="30"/>
  <c r="A1" i="17"/>
  <c r="A1" i="6"/>
  <c r="A3" i="23"/>
  <c r="A13" i="25"/>
  <c r="A14" i="25" s="1"/>
  <c r="A15" i="25" s="1"/>
  <c r="A17" i="25" s="1"/>
  <c r="A21" i="25" s="1"/>
  <c r="A22" i="25" s="1"/>
  <c r="A23" i="25" s="1"/>
  <c r="A25" i="25" s="1"/>
  <c r="A27" i="25" s="1"/>
  <c r="A28" i="25" s="1"/>
  <c r="A29" i="25" s="1"/>
  <c r="A30" i="25" s="1"/>
  <c r="A32" i="25" s="1"/>
  <c r="A33" i="25" s="1"/>
  <c r="A35" i="25" s="1"/>
  <c r="A36" i="25" s="1"/>
  <c r="A38" i="25" s="1"/>
  <c r="A40" i="25" s="1"/>
  <c r="A42" i="25" s="1"/>
  <c r="A45" i="25" s="1"/>
  <c r="A47" i="25" s="1"/>
  <c r="A50" i="25" s="1"/>
  <c r="A51" i="25" s="1"/>
  <c r="A52" i="25" s="1"/>
  <c r="A1" i="25"/>
  <c r="D124" i="22"/>
  <c r="D123" i="22"/>
  <c r="D122" i="22"/>
  <c r="D121" i="22"/>
  <c r="D120" i="22"/>
  <c r="D119" i="22"/>
  <c r="C45" i="22"/>
  <c r="B21" i="22"/>
  <c r="B27" i="22" s="1"/>
  <c r="B33" i="22" s="1"/>
  <c r="B39" i="22" s="1"/>
  <c r="B45" i="22" s="1"/>
  <c r="C44" i="22"/>
  <c r="B44" i="22"/>
  <c r="C39" i="22"/>
  <c r="C38" i="22"/>
  <c r="B38" i="22"/>
  <c r="C33" i="22"/>
  <c r="C32" i="22"/>
  <c r="B32" i="22"/>
  <c r="B26" i="22"/>
  <c r="E22" i="22"/>
  <c r="B20" i="22"/>
  <c r="E16" i="22"/>
  <c r="B15" i="22"/>
  <c r="B14" i="22"/>
  <c r="E10" i="22"/>
  <c r="A1" i="13"/>
  <c r="A3" i="1"/>
  <c r="C16" i="1"/>
  <c r="C23" i="1"/>
  <c r="C32" i="1" s="1"/>
  <c r="E20" i="1"/>
  <c r="C36" i="1"/>
  <c r="E21" i="1"/>
  <c r="A3" i="35"/>
  <c r="A1" i="35"/>
  <c r="A1" i="10"/>
  <c r="A1" i="11"/>
  <c r="J18" i="40" l="1"/>
  <c r="K18" i="40"/>
  <c r="K14" i="40"/>
  <c r="J14" i="40" s="1"/>
  <c r="J17" i="40"/>
  <c r="K17" i="40"/>
  <c r="K13" i="40"/>
  <c r="J13" i="40" s="1"/>
  <c r="J16" i="40"/>
  <c r="K16" i="40"/>
  <c r="K12" i="40"/>
  <c r="K23" i="40" s="1"/>
  <c r="J19" i="40"/>
  <c r="K19" i="40"/>
  <c r="K15" i="40"/>
  <c r="J15" i="40" s="1"/>
  <c r="C114" i="22"/>
  <c r="C111" i="22"/>
  <c r="E118" i="38"/>
  <c r="E81" i="38" s="1"/>
  <c r="D16" i="6"/>
  <c r="E56" i="22"/>
  <c r="A2" i="23"/>
  <c r="A2" i="44"/>
  <c r="M27" i="26"/>
  <c r="A19" i="40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2" i="13"/>
  <c r="A2" i="30"/>
  <c r="E13" i="1"/>
  <c r="C12" i="26"/>
  <c r="M12" i="26" s="1"/>
  <c r="L64" i="26"/>
  <c r="C10" i="22"/>
  <c r="D11" i="22" s="1"/>
  <c r="C105" i="22" s="1"/>
  <c r="C27" i="22"/>
  <c r="D28" i="22"/>
  <c r="F23" i="30"/>
  <c r="H23" i="30" s="1"/>
  <c r="A3" i="13"/>
  <c r="A3" i="6" s="1"/>
  <c r="A2" i="41"/>
  <c r="C27" i="10"/>
  <c r="C34" i="10" s="1"/>
  <c r="C80" i="22"/>
  <c r="C79" i="22"/>
  <c r="D129" i="38"/>
  <c r="C86" i="22"/>
  <c r="C85" i="22"/>
  <c r="C84" i="22"/>
  <c r="I42" i="38"/>
  <c r="I44" i="38" s="1"/>
  <c r="O82" i="38"/>
  <c r="K82" i="38"/>
  <c r="G82" i="38"/>
  <c r="M13" i="26"/>
  <c r="F13" i="40"/>
  <c r="G13" i="40" s="1"/>
  <c r="C28" i="10"/>
  <c r="C35" i="10" s="1"/>
  <c r="C26" i="10"/>
  <c r="C33" i="10" s="1"/>
  <c r="M82" i="38"/>
  <c r="M42" i="38"/>
  <c r="M44" i="38" s="1"/>
  <c r="E42" i="38"/>
  <c r="E44" i="38" s="1"/>
  <c r="O42" i="38"/>
  <c r="O44" i="38" s="1"/>
  <c r="K42" i="38"/>
  <c r="K44" i="38" s="1"/>
  <c r="G42" i="38"/>
  <c r="G44" i="38" s="1"/>
  <c r="I82" i="38"/>
  <c r="E82" i="38"/>
  <c r="C31" i="21"/>
  <c r="D112" i="22"/>
  <c r="E28" i="1"/>
  <c r="C23" i="10"/>
  <c r="E28" i="22"/>
  <c r="E91" i="22"/>
  <c r="C26" i="22"/>
  <c r="A3" i="10"/>
  <c r="A3" i="17" s="1"/>
  <c r="A3" i="30"/>
  <c r="C77" i="22"/>
  <c r="C46" i="22"/>
  <c r="D47" i="22" s="1"/>
  <c r="F28" i="30"/>
  <c r="H28" i="30" s="1"/>
  <c r="E93" i="22"/>
  <c r="E92" i="22"/>
  <c r="A3" i="25"/>
  <c r="F18" i="30"/>
  <c r="A54" i="26"/>
  <c r="P82" i="38"/>
  <c r="D94" i="22"/>
  <c r="D93" i="22"/>
  <c r="D92" i="22"/>
  <c r="D91" i="22"/>
  <c r="G151" i="38"/>
  <c r="F89" i="38"/>
  <c r="F48" i="38"/>
  <c r="A2" i="11"/>
  <c r="A2" i="10"/>
  <c r="A2" i="35"/>
  <c r="C34" i="1"/>
  <c r="A2" i="25"/>
  <c r="A2" i="6"/>
  <c r="A2" i="17"/>
  <c r="F13" i="30"/>
  <c r="A2" i="26"/>
  <c r="Q40" i="38"/>
  <c r="C16" i="10"/>
  <c r="C19" i="21"/>
  <c r="C23" i="26" s="1"/>
  <c r="E12" i="41"/>
  <c r="C49" i="39"/>
  <c r="P42" i="38"/>
  <c r="P44" i="38" s="1"/>
  <c r="N42" i="38"/>
  <c r="N44" i="38" s="1"/>
  <c r="L42" i="38"/>
  <c r="L44" i="38" s="1"/>
  <c r="J42" i="38"/>
  <c r="J44" i="38" s="1"/>
  <c r="H42" i="38"/>
  <c r="H44" i="38" s="1"/>
  <c r="F42" i="38"/>
  <c r="F44" i="38" s="1"/>
  <c r="D42" i="38"/>
  <c r="E97" i="26"/>
  <c r="D97" i="26"/>
  <c r="D9" i="6"/>
  <c r="C40" i="22"/>
  <c r="D41" i="22" s="1"/>
  <c r="C115" i="22" s="1"/>
  <c r="C116" i="22" s="1"/>
  <c r="D141" i="38"/>
  <c r="F141" i="38" s="1"/>
  <c r="E142" i="38" s="1"/>
  <c r="D142" i="38" s="1"/>
  <c r="D82" i="38"/>
  <c r="N82" i="38"/>
  <c r="L82" i="38"/>
  <c r="J82" i="38"/>
  <c r="H82" i="38"/>
  <c r="H18" i="30"/>
  <c r="H13" i="30"/>
  <c r="D16" i="26"/>
  <c r="D62" i="26" s="1"/>
  <c r="E23" i="13"/>
  <c r="I21" i="26" s="1"/>
  <c r="I23" i="26" s="1"/>
  <c r="I63" i="26" s="1"/>
  <c r="C19" i="26"/>
  <c r="M19" i="26" s="1"/>
  <c r="E16" i="21"/>
  <c r="E53" i="22"/>
  <c r="H118" i="38"/>
  <c r="H81" i="38" s="1"/>
  <c r="I118" i="38"/>
  <c r="I81" i="38" s="1"/>
  <c r="J118" i="38"/>
  <c r="J81" i="38" s="1"/>
  <c r="K118" i="38"/>
  <c r="K81" i="38" s="1"/>
  <c r="L118" i="38"/>
  <c r="L81" i="38" s="1"/>
  <c r="M118" i="38"/>
  <c r="M81" i="38" s="1"/>
  <c r="N118" i="38"/>
  <c r="N81" i="38" s="1"/>
  <c r="O118" i="38"/>
  <c r="O81" i="38" s="1"/>
  <c r="P118" i="38"/>
  <c r="P81" i="38" s="1"/>
  <c r="D111" i="22"/>
  <c r="C34" i="22"/>
  <c r="D35" i="22" s="1"/>
  <c r="C109" i="22" s="1"/>
  <c r="C16" i="22"/>
  <c r="D17" i="22" s="1"/>
  <c r="C106" i="22" s="1"/>
  <c r="E11" i="21"/>
  <c r="F82" i="38"/>
  <c r="Q41" i="38"/>
  <c r="Q119" i="38"/>
  <c r="Q116" i="38"/>
  <c r="C87" i="22"/>
  <c r="C78" i="22"/>
  <c r="E94" i="22"/>
  <c r="C29" i="10"/>
  <c r="C36" i="10" s="1"/>
  <c r="E59" i="22"/>
  <c r="G118" i="38"/>
  <c r="G81" i="38" s="1"/>
  <c r="F118" i="38"/>
  <c r="F81" i="38" s="1"/>
  <c r="D118" i="38"/>
  <c r="D81" i="38" s="1"/>
  <c r="C22" i="22"/>
  <c r="D23" i="22" s="1"/>
  <c r="C107" i="22" s="1"/>
  <c r="E22" i="21"/>
  <c r="C29" i="26"/>
  <c r="M29" i="26" s="1"/>
  <c r="E24" i="21"/>
  <c r="E30" i="1"/>
  <c r="C13" i="21"/>
  <c r="E14" i="1"/>
  <c r="C14" i="26"/>
  <c r="E23" i="1"/>
  <c r="C39" i="1"/>
  <c r="D98" i="26"/>
  <c r="A2" i="39"/>
  <c r="A2" i="40"/>
  <c r="I62" i="26"/>
  <c r="J62" i="26"/>
  <c r="F62" i="26"/>
  <c r="E23" i="40"/>
  <c r="J12" i="40" l="1"/>
  <c r="F12" i="40" s="1"/>
  <c r="C32" i="21"/>
  <c r="C37" i="26" s="1"/>
  <c r="C117" i="22"/>
  <c r="D117" i="22" s="1"/>
  <c r="D107" i="22"/>
  <c r="D105" i="22"/>
  <c r="C28" i="22"/>
  <c r="D29" i="22" s="1"/>
  <c r="C39" i="10"/>
  <c r="E16" i="1"/>
  <c r="E138" i="38"/>
  <c r="C37" i="21"/>
  <c r="C36" i="26"/>
  <c r="F17" i="40"/>
  <c r="G17" i="40" s="1"/>
  <c r="F14" i="40"/>
  <c r="G14" i="40" s="1"/>
  <c r="F16" i="40"/>
  <c r="G16" i="40" s="1"/>
  <c r="F15" i="40"/>
  <c r="G15" i="40" s="1"/>
  <c r="F19" i="40"/>
  <c r="G19" i="40" s="1"/>
  <c r="F18" i="40"/>
  <c r="G18" i="40" s="1"/>
  <c r="D68" i="22"/>
  <c r="E68" i="22" s="1"/>
  <c r="E11" i="22"/>
  <c r="H30" i="30"/>
  <c r="H32" i="30" s="1"/>
  <c r="F21" i="26" s="1"/>
  <c r="F23" i="26" s="1"/>
  <c r="E129" i="38"/>
  <c r="F129" i="38" s="1"/>
  <c r="E130" i="38" s="1"/>
  <c r="H34" i="30"/>
  <c r="D28" i="26"/>
  <c r="M23" i="40"/>
  <c r="C30" i="10"/>
  <c r="C49" i="10" s="1"/>
  <c r="C52" i="25" s="1"/>
  <c r="E20" i="26" s="1"/>
  <c r="E23" i="26" s="1"/>
  <c r="C37" i="10"/>
  <c r="C91" i="22"/>
  <c r="C92" i="22"/>
  <c r="C93" i="22"/>
  <c r="E47" i="22"/>
  <c r="D96" i="22"/>
  <c r="E96" i="22"/>
  <c r="A4" i="11"/>
  <c r="D109" i="22"/>
  <c r="E35" i="22"/>
  <c r="C94" i="22"/>
  <c r="Q82" i="38"/>
  <c r="D138" i="38" s="1"/>
  <c r="Q42" i="38"/>
  <c r="Q44" i="38" s="1"/>
  <c r="C16" i="26"/>
  <c r="E10" i="41"/>
  <c r="C47" i="39"/>
  <c r="E41" i="22"/>
  <c r="H151" i="38"/>
  <c r="G89" i="38"/>
  <c r="G48" i="38"/>
  <c r="D44" i="38"/>
  <c r="E23" i="22"/>
  <c r="D106" i="22"/>
  <c r="E17" i="22"/>
  <c r="Q81" i="38"/>
  <c r="E132" i="38"/>
  <c r="F132" i="38" s="1"/>
  <c r="E133" i="38" s="1"/>
  <c r="G8" i="44" s="1"/>
  <c r="D114" i="22"/>
  <c r="D113" i="22"/>
  <c r="Q118" i="38"/>
  <c r="D115" i="22"/>
  <c r="D116" i="22" s="1"/>
  <c r="C33" i="21" l="1"/>
  <c r="E32" i="21"/>
  <c r="C108" i="22"/>
  <c r="D108" i="22" s="1"/>
  <c r="E29" i="22"/>
  <c r="I19" i="44"/>
  <c r="J19" i="44" s="1"/>
  <c r="I15" i="44"/>
  <c r="C41" i="10"/>
  <c r="C45" i="10" s="1"/>
  <c r="G20" i="26" s="1"/>
  <c r="G23" i="26" s="1"/>
  <c r="G63" i="26" s="1"/>
  <c r="F138" i="38"/>
  <c r="E139" i="38" s="1"/>
  <c r="D139" i="38" s="1"/>
  <c r="C43" i="26"/>
  <c r="M43" i="26" s="1"/>
  <c r="E37" i="21"/>
  <c r="F21" i="40"/>
  <c r="G21" i="40" s="1"/>
  <c r="D17" i="23"/>
  <c r="C36" i="21"/>
  <c r="J23" i="40"/>
  <c r="D133" i="38"/>
  <c r="D20" i="26"/>
  <c r="D23" i="26" s="1"/>
  <c r="D63" i="26" s="1"/>
  <c r="C27" i="25"/>
  <c r="C96" i="22"/>
  <c r="D97" i="22" s="1"/>
  <c r="D130" i="38"/>
  <c r="I151" i="38"/>
  <c r="H89" i="38"/>
  <c r="H48" i="38"/>
  <c r="C39" i="26"/>
  <c r="M37" i="26"/>
  <c r="G12" i="40"/>
  <c r="F63" i="26"/>
  <c r="C125" i="22" l="1"/>
  <c r="I35" i="44"/>
  <c r="J35" i="44"/>
  <c r="I21" i="44"/>
  <c r="J15" i="44"/>
  <c r="J21" i="44" s="1"/>
  <c r="F23" i="40"/>
  <c r="G23" i="40"/>
  <c r="E14" i="26" s="1"/>
  <c r="E16" i="26" s="1"/>
  <c r="C42" i="26"/>
  <c r="M42" i="26" s="1"/>
  <c r="E36" i="21"/>
  <c r="L20" i="26"/>
  <c r="D17" i="21" s="1"/>
  <c r="E97" i="22"/>
  <c r="D66" i="22"/>
  <c r="D70" i="22" s="1"/>
  <c r="C110" i="22" s="1"/>
  <c r="J151" i="38"/>
  <c r="I89" i="38"/>
  <c r="I48" i="38"/>
  <c r="F155" i="38" l="1"/>
  <c r="F120" i="38" s="1"/>
  <c r="J155" i="38"/>
  <c r="J120" i="38" s="1"/>
  <c r="N155" i="38"/>
  <c r="G155" i="38"/>
  <c r="G120" i="38" s="1"/>
  <c r="K155" i="38"/>
  <c r="O155" i="38"/>
  <c r="O120" i="38" s="1"/>
  <c r="H155" i="38"/>
  <c r="H120" i="38" s="1"/>
  <c r="L155" i="38"/>
  <c r="L120" i="38" s="1"/>
  <c r="P155" i="38"/>
  <c r="P120" i="38" s="1"/>
  <c r="I155" i="38"/>
  <c r="I120" i="38" s="1"/>
  <c r="M155" i="38"/>
  <c r="M120" i="38" s="1"/>
  <c r="E155" i="38"/>
  <c r="E120" i="38" s="1"/>
  <c r="E17" i="21"/>
  <c r="D125" i="22"/>
  <c r="H35" i="30"/>
  <c r="H36" i="30" s="1"/>
  <c r="F36" i="26" s="1"/>
  <c r="F39" i="26" s="1"/>
  <c r="F47" i="26" s="1"/>
  <c r="D19" i="39" s="1"/>
  <c r="K120" i="38"/>
  <c r="N120" i="38"/>
  <c r="J39" i="44"/>
  <c r="I39" i="44"/>
  <c r="L14" i="26"/>
  <c r="L16" i="26" s="1"/>
  <c r="D18" i="6"/>
  <c r="D20" i="6" s="1"/>
  <c r="K36" i="26" s="1"/>
  <c r="K39" i="26" s="1"/>
  <c r="K47" i="26" s="1"/>
  <c r="E66" i="22"/>
  <c r="E70" i="22" s="1"/>
  <c r="E21" i="17"/>
  <c r="E23" i="17" s="1"/>
  <c r="J36" i="26" s="1"/>
  <c r="J39" i="26" s="1"/>
  <c r="J47" i="26" s="1"/>
  <c r="M20" i="26"/>
  <c r="K151" i="38"/>
  <c r="J89" i="38"/>
  <c r="J48" i="38"/>
  <c r="D21" i="17"/>
  <c r="D23" i="17" s="1"/>
  <c r="J21" i="26" s="1"/>
  <c r="D11" i="6"/>
  <c r="D13" i="6" s="1"/>
  <c r="K21" i="26" s="1"/>
  <c r="K23" i="26" s="1"/>
  <c r="D110" i="22"/>
  <c r="D120" i="38"/>
  <c r="E28" i="26"/>
  <c r="E62" i="26"/>
  <c r="Q120" i="38" l="1"/>
  <c r="C39" i="21"/>
  <c r="E39" i="21" s="1"/>
  <c r="M14" i="26"/>
  <c r="D12" i="21"/>
  <c r="E12" i="21" s="1"/>
  <c r="D34" i="39"/>
  <c r="L151" i="38"/>
  <c r="K89" i="38"/>
  <c r="K48" i="38"/>
  <c r="G122" i="38"/>
  <c r="G83" i="38"/>
  <c r="G85" i="38" s="1"/>
  <c r="O122" i="38"/>
  <c r="O83" i="38"/>
  <c r="O85" i="38" s="1"/>
  <c r="H122" i="38"/>
  <c r="H83" i="38"/>
  <c r="H85" i="38" s="1"/>
  <c r="P122" i="38"/>
  <c r="P83" i="38"/>
  <c r="P85" i="38" s="1"/>
  <c r="I122" i="38"/>
  <c r="I83" i="38"/>
  <c r="I85" i="38" s="1"/>
  <c r="F122" i="38"/>
  <c r="F83" i="38"/>
  <c r="F85" i="38" s="1"/>
  <c r="N122" i="38"/>
  <c r="N83" i="38"/>
  <c r="N85" i="38" s="1"/>
  <c r="J23" i="26"/>
  <c r="L21" i="26"/>
  <c r="D18" i="21" s="1"/>
  <c r="M16" i="26"/>
  <c r="L62" i="26"/>
  <c r="E63" i="26"/>
  <c r="L28" i="26"/>
  <c r="K122" i="38"/>
  <c r="K83" i="38"/>
  <c r="K85" i="38" s="1"/>
  <c r="D83" i="38"/>
  <c r="D122" i="38"/>
  <c r="L122" i="38"/>
  <c r="L83" i="38"/>
  <c r="L85" i="38" s="1"/>
  <c r="E122" i="38"/>
  <c r="E83" i="38"/>
  <c r="E85" i="38" s="1"/>
  <c r="M122" i="38"/>
  <c r="M83" i="38"/>
  <c r="M85" i="38" s="1"/>
  <c r="J122" i="38"/>
  <c r="J83" i="38"/>
  <c r="J85" i="38" s="1"/>
  <c r="K63" i="26"/>
  <c r="Q122" i="38" l="1"/>
  <c r="C38" i="21"/>
  <c r="C44" i="26" s="1"/>
  <c r="C45" i="26"/>
  <c r="M45" i="26" s="1"/>
  <c r="D13" i="21"/>
  <c r="M151" i="38"/>
  <c r="L89" i="38"/>
  <c r="L48" i="38"/>
  <c r="E135" i="38"/>
  <c r="J63" i="26"/>
  <c r="E13" i="21"/>
  <c r="E14" i="21" s="1"/>
  <c r="Q83" i="38"/>
  <c r="D85" i="38"/>
  <c r="D23" i="21"/>
  <c r="M21" i="26"/>
  <c r="L23" i="26"/>
  <c r="C28" i="26"/>
  <c r="M28" i="26" s="1"/>
  <c r="E29" i="1"/>
  <c r="C11" i="23"/>
  <c r="E23" i="21" l="1"/>
  <c r="E38" i="21"/>
  <c r="M89" i="38"/>
  <c r="M48" i="38"/>
  <c r="M23" i="26"/>
  <c r="E18" i="21"/>
  <c r="D19" i="21"/>
  <c r="D135" i="38"/>
  <c r="F135" i="38" s="1"/>
  <c r="E136" i="38" s="1"/>
  <c r="D136" i="38" s="1"/>
  <c r="M44" i="26"/>
  <c r="C21" i="25"/>
  <c r="C22" i="25"/>
  <c r="L63" i="26"/>
  <c r="C23" i="25"/>
  <c r="N89" i="38" l="1"/>
  <c r="N48" i="38"/>
  <c r="N151" i="38"/>
  <c r="C25" i="25"/>
  <c r="C32" i="25" s="1"/>
  <c r="C33" i="25" s="1"/>
  <c r="C35" i="25" s="1"/>
  <c r="E19" i="21"/>
  <c r="F144" i="38"/>
  <c r="E145" i="38" s="1"/>
  <c r="C128" i="22" l="1"/>
  <c r="D128" i="22" s="1"/>
  <c r="D16" i="11"/>
  <c r="O151" i="38"/>
  <c r="O48" i="38"/>
  <c r="O89" i="38"/>
  <c r="C36" i="25"/>
  <c r="C38" i="25" s="1"/>
  <c r="C40" i="25" s="1"/>
  <c r="D145" i="38"/>
  <c r="P151" i="38" l="1"/>
  <c r="P48" i="38"/>
  <c r="P89" i="38"/>
  <c r="C42" i="25"/>
  <c r="C45" i="25" s="1"/>
  <c r="H39" i="26" l="1"/>
  <c r="H47" i="26" s="1"/>
  <c r="L36" i="26"/>
  <c r="D31" i="21" s="1"/>
  <c r="M36" i="26" l="1"/>
  <c r="L39" i="26"/>
  <c r="L47" i="26" s="1"/>
  <c r="D26" i="39"/>
  <c r="D40" i="39" s="1"/>
  <c r="D33" i="21" l="1"/>
  <c r="D41" i="21" s="1"/>
  <c r="E31" i="21"/>
  <c r="M39" i="26"/>
  <c r="D44" i="39"/>
  <c r="E33" i="21" l="1"/>
  <c r="E30" i="41"/>
  <c r="C67" i="39"/>
  <c r="E35" i="21" l="1"/>
  <c r="C41" i="21"/>
  <c r="C41" i="26"/>
  <c r="E41" i="21" l="1"/>
  <c r="M41" i="26"/>
  <c r="C47" i="26"/>
  <c r="M47" i="26" s="1"/>
  <c r="E36" i="1"/>
  <c r="E29" i="41"/>
  <c r="E32" i="41" s="1"/>
  <c r="C66" i="39"/>
  <c r="C69" i="39" s="1"/>
  <c r="C9" i="43" l="1"/>
  <c r="C47" i="41" l="1"/>
  <c r="C27" i="43"/>
  <c r="E9" i="43"/>
  <c r="G13" i="43"/>
  <c r="C26" i="43" l="1"/>
  <c r="C46" i="41"/>
  <c r="C17" i="25"/>
  <c r="C48" i="41"/>
  <c r="E48" i="41"/>
  <c r="E27" i="43"/>
  <c r="E47" i="41"/>
  <c r="C47" i="25" l="1"/>
  <c r="C41" i="1"/>
  <c r="E46" i="41"/>
  <c r="E51" i="41" s="1"/>
  <c r="E26" i="43"/>
  <c r="E17" i="25"/>
  <c r="C28" i="43"/>
  <c r="E28" i="43" s="1"/>
  <c r="C49" i="41"/>
  <c r="C51" i="41" s="1"/>
  <c r="C29" i="43" l="1"/>
  <c r="I49" i="26"/>
  <c r="I65" i="26" s="1"/>
  <c r="I68" i="26" s="1"/>
  <c r="K49" i="26"/>
  <c r="K65" i="26" s="1"/>
  <c r="K68" i="26" s="1"/>
  <c r="H49" i="26"/>
  <c r="H65" i="26" s="1"/>
  <c r="H68" i="26" s="1"/>
  <c r="G49" i="26"/>
  <c r="G65" i="26" s="1"/>
  <c r="G68" i="26" s="1"/>
  <c r="D49" i="26"/>
  <c r="J49" i="26"/>
  <c r="J65" i="26" s="1"/>
  <c r="J68" i="26" s="1"/>
  <c r="F49" i="26"/>
  <c r="F65" i="26" s="1"/>
  <c r="F68" i="26" s="1"/>
  <c r="E49" i="26"/>
  <c r="E65" i="26" s="1"/>
  <c r="E68" i="26" s="1"/>
  <c r="C13" i="23"/>
  <c r="C15" i="23" s="1"/>
  <c r="C19" i="23" s="1"/>
  <c r="C23" i="23" s="1"/>
  <c r="C27" i="23" s="1"/>
  <c r="C21" i="21" s="1"/>
  <c r="E29" i="43"/>
  <c r="J70" i="26" l="1"/>
  <c r="J73" i="26" s="1"/>
  <c r="J91" i="26" s="1"/>
  <c r="K70" i="26"/>
  <c r="K73" i="26" s="1"/>
  <c r="K91" i="26" s="1"/>
  <c r="C26" i="26"/>
  <c r="E13" i="41"/>
  <c r="E15" i="41" s="1"/>
  <c r="C26" i="21"/>
  <c r="C28" i="21" s="1"/>
  <c r="E26" i="1"/>
  <c r="E32" i="1" s="1"/>
  <c r="E34" i="1" s="1"/>
  <c r="E39" i="1" s="1"/>
  <c r="E41" i="1" s="1"/>
  <c r="C50" i="39"/>
  <c r="C52" i="39" s="1"/>
  <c r="C64" i="39" s="1"/>
  <c r="D65" i="26"/>
  <c r="L49" i="26"/>
  <c r="M49" i="26" s="1"/>
  <c r="I70" i="26"/>
  <c r="I73" i="26" s="1"/>
  <c r="I91" i="26" s="1"/>
  <c r="E70" i="26"/>
  <c r="E73" i="26" s="1"/>
  <c r="E91" i="26" s="1"/>
  <c r="G70" i="26"/>
  <c r="G73" i="26" s="1"/>
  <c r="G91" i="26" s="1"/>
  <c r="F70" i="26"/>
  <c r="F73" i="26" s="1"/>
  <c r="F91" i="26" s="1"/>
  <c r="H70" i="26"/>
  <c r="H73" i="26" s="1"/>
  <c r="H91" i="26" s="1"/>
  <c r="H78" i="26" l="1"/>
  <c r="H80" i="26" s="1"/>
  <c r="H83" i="26" s="1"/>
  <c r="H89" i="26" s="1"/>
  <c r="H26" i="26" s="1"/>
  <c r="H31" i="26" s="1"/>
  <c r="H33" i="26" s="1"/>
  <c r="J78" i="26"/>
  <c r="J80" i="26" s="1"/>
  <c r="J83" i="26" s="1"/>
  <c r="J89" i="26" s="1"/>
  <c r="J26" i="26" s="1"/>
  <c r="J31" i="26" s="1"/>
  <c r="J33" i="26" s="1"/>
  <c r="G78" i="26"/>
  <c r="G80" i="26" s="1"/>
  <c r="G83" i="26" s="1"/>
  <c r="G89" i="26" s="1"/>
  <c r="G26" i="26" s="1"/>
  <c r="I78" i="26"/>
  <c r="I80" i="26" s="1"/>
  <c r="I83" i="26" s="1"/>
  <c r="I89" i="26" s="1"/>
  <c r="I26" i="26" s="1"/>
  <c r="F78" i="26"/>
  <c r="F80" i="26" s="1"/>
  <c r="F83" i="26" s="1"/>
  <c r="F89" i="26" s="1"/>
  <c r="F26" i="26" s="1"/>
  <c r="E78" i="26"/>
  <c r="E80" i="26" s="1"/>
  <c r="E83" i="26" s="1"/>
  <c r="E89" i="26" s="1"/>
  <c r="E26" i="26" s="1"/>
  <c r="D68" i="26"/>
  <c r="L65" i="26"/>
  <c r="L68" i="26" s="1"/>
  <c r="C31" i="26"/>
  <c r="K78" i="26"/>
  <c r="K80" i="26" s="1"/>
  <c r="K83" i="26" s="1"/>
  <c r="K89" i="26" s="1"/>
  <c r="K26" i="26" s="1"/>
  <c r="H123" i="26" l="1"/>
  <c r="J123" i="26"/>
  <c r="E22" i="41"/>
  <c r="H122" i="26"/>
  <c r="H124" i="26" s="1"/>
  <c r="C26" i="39"/>
  <c r="C33" i="26"/>
  <c r="C43" i="21"/>
  <c r="F31" i="26"/>
  <c r="F33" i="26" s="1"/>
  <c r="F123" i="26"/>
  <c r="C34" i="39"/>
  <c r="J122" i="26"/>
  <c r="J124" i="26" s="1"/>
  <c r="E24" i="41"/>
  <c r="I31" i="26"/>
  <c r="I33" i="26" s="1"/>
  <c r="I123" i="26"/>
  <c r="K123" i="26"/>
  <c r="K31" i="26"/>
  <c r="K33" i="26" s="1"/>
  <c r="K122" i="26" s="1"/>
  <c r="K124" i="26" s="1"/>
  <c r="D70" i="26"/>
  <c r="G31" i="26"/>
  <c r="G33" i="26" s="1"/>
  <c r="G123" i="26"/>
  <c r="E31" i="26"/>
  <c r="E33" i="26" s="1"/>
  <c r="E123" i="26"/>
  <c r="C45" i="21" l="1"/>
  <c r="J125" i="26"/>
  <c r="H125" i="26"/>
  <c r="E23" i="41"/>
  <c r="C29" i="39"/>
  <c r="I122" i="26"/>
  <c r="I124" i="26" s="1"/>
  <c r="I125" i="26" s="1"/>
  <c r="F122" i="26"/>
  <c r="F124" i="26" s="1"/>
  <c r="F125" i="26" s="1"/>
  <c r="E20" i="41"/>
  <c r="C19" i="39"/>
  <c r="L70" i="26"/>
  <c r="L73" i="26" s="1"/>
  <c r="D73" i="26"/>
  <c r="E21" i="41"/>
  <c r="C23" i="39"/>
  <c r="G122" i="26"/>
  <c r="G124" i="26" s="1"/>
  <c r="G125" i="26" s="1"/>
  <c r="K125" i="26"/>
  <c r="C15" i="39"/>
  <c r="E122" i="26"/>
  <c r="E124" i="26" s="1"/>
  <c r="E125" i="26" s="1"/>
  <c r="E19" i="41"/>
  <c r="D91" i="26" l="1"/>
  <c r="D78" i="26"/>
  <c r="D80" i="26" s="1"/>
  <c r="L91" i="26"/>
  <c r="L78" i="26"/>
  <c r="L80" i="26" l="1"/>
  <c r="L83" i="26" s="1"/>
  <c r="L89" i="26" s="1"/>
  <c r="D83" i="26"/>
  <c r="D89" i="26" s="1"/>
  <c r="D26" i="26" s="1"/>
  <c r="L26" i="26" l="1"/>
  <c r="D123" i="26"/>
  <c r="D31" i="26"/>
  <c r="D33" i="26" s="1"/>
  <c r="L31" i="26" l="1"/>
  <c r="D21" i="21"/>
  <c r="M26" i="26"/>
  <c r="E18" i="41"/>
  <c r="E27" i="41" s="1"/>
  <c r="E34" i="41" s="1"/>
  <c r="E36" i="41" s="1"/>
  <c r="D122" i="26"/>
  <c r="D124" i="26" s="1"/>
  <c r="D125" i="26" s="1"/>
  <c r="C11" i="39"/>
  <c r="C40" i="39" s="1"/>
  <c r="M31" i="26" l="1"/>
  <c r="L33" i="26"/>
  <c r="M33" i="26" s="1"/>
  <c r="H27" i="41" s="1"/>
  <c r="D26" i="21"/>
  <c r="D28" i="21" s="1"/>
  <c r="E21" i="21"/>
  <c r="C44" i="39" l="1"/>
  <c r="E26" i="21"/>
  <c r="E28" i="21" s="1"/>
  <c r="E43" i="21" l="1"/>
  <c r="C8" i="43"/>
  <c r="C16" i="43" l="1"/>
  <c r="C13" i="43"/>
  <c r="L13" i="43" s="1"/>
  <c r="C17" i="43"/>
  <c r="G12" i="43"/>
  <c r="E8" i="43"/>
  <c r="E45" i="21"/>
  <c r="C10" i="43"/>
  <c r="E10" i="43" s="1"/>
  <c r="C19" i="43" l="1"/>
  <c r="C11" i="43"/>
  <c r="H12" i="43"/>
  <c r="H14" i="43" s="1"/>
  <c r="I15" i="43" s="1"/>
  <c r="G14" i="43"/>
  <c r="G15" i="43" l="1"/>
  <c r="H16" i="43" s="1"/>
  <c r="E11" i="43"/>
  <c r="L11" i="43"/>
</calcChain>
</file>

<file path=xl/sharedStrings.xml><?xml version="1.0" encoding="utf-8"?>
<sst xmlns="http://schemas.openxmlformats.org/spreadsheetml/2006/main" count="1091" uniqueCount="535">
  <si>
    <t>NW Natural</t>
  </si>
  <si>
    <t>Page 1</t>
  </si>
  <si>
    <t>Northwest Natural Gas Company</t>
  </si>
  <si>
    <t>Worksheet d</t>
  </si>
  <si>
    <t>Worksheet g</t>
  </si>
  <si>
    <t>State Allocation Factors</t>
  </si>
  <si>
    <t>Proforma Cost of Capital and Input Assumptions</t>
  </si>
  <si>
    <t>Bonus Adjustment</t>
  </si>
  <si>
    <t>Uncollectible Accounts Adjustments</t>
  </si>
  <si>
    <t>Claims Expense Adjustment</t>
  </si>
  <si>
    <t>System</t>
  </si>
  <si>
    <t>Washington</t>
  </si>
  <si>
    <t>Oregon</t>
  </si>
  <si>
    <t>($000)</t>
  </si>
  <si>
    <t>Test Year</t>
  </si>
  <si>
    <t>Customers</t>
  </si>
  <si>
    <t>Weather</t>
  </si>
  <si>
    <t>Line</t>
  </si>
  <si>
    <t>Results</t>
  </si>
  <si>
    <t>Rate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</si>
  <si>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</si>
  <si>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</si>
  <si>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</si>
  <si>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</si>
  <si>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</si>
  <si>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</si>
  <si>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</si>
  <si>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</si>
  <si>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</si>
  <si>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</si>
  <si>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</si>
  <si>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</si>
  <si>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 xml:space="preserve">Line </t>
  </si>
  <si>
    <t>Percent of</t>
  </si>
  <si>
    <t>Weighted</t>
  </si>
  <si>
    <t xml:space="preserve">Normalized </t>
  </si>
  <si>
    <t>Payroll</t>
  </si>
  <si>
    <t>Uncollect.</t>
  </si>
  <si>
    <t>Working</t>
  </si>
  <si>
    <t>Marketing and</t>
  </si>
  <si>
    <t>Commercial</t>
  </si>
  <si>
    <t>Net</t>
  </si>
  <si>
    <t>Adjustment</t>
  </si>
  <si>
    <t>Three Year</t>
  </si>
  <si>
    <t>Disallowance</t>
  </si>
  <si>
    <t>Disallowed</t>
  </si>
  <si>
    <t>No.</t>
  </si>
  <si>
    <t>Adjustments</t>
  </si>
  <si>
    <t>Adjusted</t>
  </si>
  <si>
    <t>Total Customers</t>
  </si>
  <si>
    <t>Gross Plant</t>
  </si>
  <si>
    <t>1998</t>
  </si>
  <si>
    <t>1999</t>
  </si>
  <si>
    <t>Average</t>
  </si>
  <si>
    <t xml:space="preserve"> No.</t>
  </si>
  <si>
    <t>Total Capital</t>
  </si>
  <si>
    <t>Average Cost</t>
  </si>
  <si>
    <t>Cost</t>
  </si>
  <si>
    <t xml:space="preserve">Gas Sales </t>
  </si>
  <si>
    <t>Bonus</t>
  </si>
  <si>
    <t>Accounts</t>
  </si>
  <si>
    <t>Capital</t>
  </si>
  <si>
    <t>Advertising</t>
  </si>
  <si>
    <t>Claims</t>
  </si>
  <si>
    <t xml:space="preserve">Total </t>
  </si>
  <si>
    <t>Normalized</t>
  </si>
  <si>
    <t>Normalizing</t>
  </si>
  <si>
    <t>Allocation</t>
  </si>
  <si>
    <t>Accrual</t>
  </si>
  <si>
    <t>Amount</t>
  </si>
  <si>
    <t>1997</t>
  </si>
  <si>
    <t>Percent</t>
  </si>
  <si>
    <t>Customers-all</t>
  </si>
  <si>
    <t>3-Factor</t>
  </si>
  <si>
    <t>O&amp;M Expense</t>
  </si>
  <si>
    <t>Construction</t>
  </si>
  <si>
    <t>(a)</t>
  </si>
  <si>
    <t>(b)</t>
  </si>
  <si>
    <t>(c)</t>
  </si>
  <si>
    <t>(d)</t>
  </si>
  <si>
    <t>(e)</t>
  </si>
  <si>
    <t>&amp; Purchases</t>
  </si>
  <si>
    <t>Therms</t>
  </si>
  <si>
    <t>Revenue</t>
  </si>
  <si>
    <t>Revenues</t>
  </si>
  <si>
    <t>Effect</t>
  </si>
  <si>
    <t>Total</t>
  </si>
  <si>
    <t>Actual</t>
  </si>
  <si>
    <t>Cost of Capital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</si>
  <si>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</si>
  <si>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</si>
  <si>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</si>
  <si>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</si>
  <si>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</si>
  <si>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</si>
  <si>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</si>
  <si>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</si>
  <si>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</si>
  <si>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</si>
  <si>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</si>
  <si>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Performance Bonus - O &amp; M</t>
  </si>
  <si>
    <t>Operating Revenues</t>
  </si>
  <si>
    <t xml:space="preserve">   Average</t>
  </si>
  <si>
    <t>Gas Revenues</t>
  </si>
  <si>
    <t xml:space="preserve">   Sale of Gas                                                     </t>
  </si>
  <si>
    <t xml:space="preserve">      % of System</t>
  </si>
  <si>
    <t>Utility Income before Interest and Taxes</t>
  </si>
  <si>
    <t xml:space="preserve">   Long Term Debt</t>
  </si>
  <si>
    <t>Residential</t>
  </si>
  <si>
    <t xml:space="preserve">    Residential </t>
  </si>
  <si>
    <t>Expensed during Test period</t>
  </si>
  <si>
    <t xml:space="preserve">   Transportation                                                </t>
  </si>
  <si>
    <t xml:space="preserve">   Short Term Debt</t>
  </si>
  <si>
    <t xml:space="preserve">   Sale of Gas</t>
  </si>
  <si>
    <t xml:space="preserve">    Commercial</t>
  </si>
  <si>
    <t xml:space="preserve">   Miscellaneous Revenues</t>
  </si>
  <si>
    <t>Residential Customers</t>
  </si>
  <si>
    <t>Interest on Historic Average Rate Base</t>
  </si>
  <si>
    <t xml:space="preserve">   Preferred Stock</t>
  </si>
  <si>
    <t xml:space="preserve">   Transportation</t>
  </si>
  <si>
    <t>Industrial Firm</t>
  </si>
  <si>
    <t xml:space="preserve">    Industrial</t>
  </si>
  <si>
    <t>Normalized Expenses</t>
  </si>
  <si>
    <t>Accumulated Depreciation</t>
  </si>
  <si>
    <t xml:space="preserve">   Common Stock</t>
  </si>
  <si>
    <t>Interruptible</t>
  </si>
  <si>
    <t xml:space="preserve">      Total</t>
  </si>
  <si>
    <t xml:space="preserve">    Interruptible</t>
  </si>
  <si>
    <t xml:space="preserve">   Actual Claims - Ordinary </t>
  </si>
  <si>
    <t xml:space="preserve">      Total Operating Revenues</t>
  </si>
  <si>
    <t>Pre-Tax Net Income</t>
  </si>
  <si>
    <t xml:space="preserve">       Total </t>
  </si>
  <si>
    <t xml:space="preserve">   3-Year Average Claims - Extraordinary</t>
  </si>
  <si>
    <t>Firm Sales</t>
  </si>
  <si>
    <t xml:space="preserve">      Total </t>
  </si>
  <si>
    <t>Performance Bonus - Construction</t>
  </si>
  <si>
    <t>3-factor</t>
  </si>
  <si>
    <t xml:space="preserve">      Subtotal</t>
  </si>
  <si>
    <t>Operating Revenue Deductions</t>
  </si>
  <si>
    <t xml:space="preserve">   % of System</t>
  </si>
  <si>
    <t>Less:  Permanent Differences</t>
  </si>
  <si>
    <t>Total Sales</t>
  </si>
  <si>
    <t>Net Write-Offs</t>
  </si>
  <si>
    <t xml:space="preserve">   Gas Purchased</t>
  </si>
  <si>
    <t>Customer Advances</t>
  </si>
  <si>
    <t>Direct</t>
  </si>
  <si>
    <t>Revenue Sensitive Costs</t>
  </si>
  <si>
    <t>Adjustment - System (line 4 - line 1)</t>
  </si>
  <si>
    <t xml:space="preserve">   Uncollectible Accrual for Gas Sales </t>
  </si>
  <si>
    <t>Commercial Customers</t>
  </si>
  <si>
    <t>Taxable Income</t>
  </si>
  <si>
    <t xml:space="preserve">   Other Operating &amp; Maintenance Expenses   </t>
  </si>
  <si>
    <t xml:space="preserve">   Gas Sales </t>
  </si>
  <si>
    <t xml:space="preserve">   Uncollectible Accrual</t>
  </si>
  <si>
    <t xml:space="preserve">Allocation to Washington </t>
  </si>
  <si>
    <t xml:space="preserve">Tax Rate </t>
  </si>
  <si>
    <t xml:space="preserve">   Other Operating &amp; Maintenance Expenses</t>
  </si>
  <si>
    <t>Unaccounted For Gas</t>
  </si>
  <si>
    <t xml:space="preserve">   (O&amp;M on 3-factor, const on gross plant)</t>
  </si>
  <si>
    <t xml:space="preserve">      Total Operating &amp; Maintenance Expense</t>
  </si>
  <si>
    <t>Leasehold Improvements</t>
  </si>
  <si>
    <t xml:space="preserve">   Other</t>
  </si>
  <si>
    <t>Federal Income Tax</t>
  </si>
  <si>
    <t>Key Goals Bonus - O &amp; M</t>
  </si>
  <si>
    <t>Write-Off % - 3-Year Average</t>
  </si>
  <si>
    <t xml:space="preserve">   Federal Income Tax</t>
  </si>
  <si>
    <t>Industrial Customers</t>
  </si>
  <si>
    <t xml:space="preserve">   Property Taxes</t>
  </si>
  <si>
    <t xml:space="preserve">   O &amp; M - Uncollectible </t>
  </si>
  <si>
    <t/>
  </si>
  <si>
    <t xml:space="preserve">   Oregon Excise Tax</t>
  </si>
  <si>
    <t xml:space="preserve">   Other Taxes</t>
  </si>
  <si>
    <t>Total Rate Base</t>
  </si>
  <si>
    <t xml:space="preserve">   Franchise Taxes </t>
  </si>
  <si>
    <t xml:space="preserve">   Depreciation &amp; Amortization</t>
  </si>
  <si>
    <t xml:space="preserve">   WA Utility Tax</t>
  </si>
  <si>
    <t xml:space="preserve">   WUTC Fee</t>
  </si>
  <si>
    <t xml:space="preserve">       Weighted Total [1]</t>
  </si>
  <si>
    <t xml:space="preserve">      Total Operating Revenue Deductions</t>
  </si>
  <si>
    <t>Average Rate Base</t>
  </si>
  <si>
    <t>Key Goals Bonus - Construction</t>
  </si>
  <si>
    <t xml:space="preserve">The Dalles </t>
  </si>
  <si>
    <t xml:space="preserve">   State Taxable Income</t>
  </si>
  <si>
    <t xml:space="preserve">Normalized Uncollectible </t>
  </si>
  <si>
    <t xml:space="preserve">        Net Operating Revenues</t>
  </si>
  <si>
    <t xml:space="preserve">   State Income Tax </t>
  </si>
  <si>
    <t xml:space="preserve">      Net Operating Revenues</t>
  </si>
  <si>
    <t xml:space="preserve">      Total Rate Base</t>
  </si>
  <si>
    <t xml:space="preserve">   Federal Taxable Income</t>
  </si>
  <si>
    <t>Other Charges</t>
  </si>
  <si>
    <t>Washington Allocation Factor</t>
  </si>
  <si>
    <t xml:space="preserve">   Utility Plant in Service</t>
  </si>
  <si>
    <t xml:space="preserve">   Rate of Return</t>
  </si>
  <si>
    <t>Portland / Vancouver</t>
  </si>
  <si>
    <t xml:space="preserve">   Total Income Taxes </t>
  </si>
  <si>
    <t xml:space="preserve">   Accumulated Depreciation</t>
  </si>
  <si>
    <t>Allocation Factor</t>
  </si>
  <si>
    <t>Customers - All</t>
  </si>
  <si>
    <t xml:space="preserve">   Return on Common Equity</t>
  </si>
  <si>
    <t xml:space="preserve">   Total Revenue Sensitive Costs</t>
  </si>
  <si>
    <t xml:space="preserve">      Net Utility Plant</t>
  </si>
  <si>
    <t>Employee Cost</t>
  </si>
  <si>
    <t>Washington Normalized Amount (X 1000)</t>
  </si>
  <si>
    <t xml:space="preserve">   Utility Operating Income </t>
  </si>
  <si>
    <t xml:space="preserve">   Storage Gas</t>
  </si>
  <si>
    <t>Washington Allocation of Accrued Amount</t>
  </si>
  <si>
    <t>Portland / Vancouver Commercial</t>
  </si>
  <si>
    <t>Extraordinary Claims</t>
  </si>
  <si>
    <t xml:space="preserve">   Net-to-gross factor</t>
  </si>
  <si>
    <t xml:space="preserve">   Leasehold Improvements </t>
  </si>
  <si>
    <t>Cost of Gas</t>
  </si>
  <si>
    <t xml:space="preserve">     Adjustment (Normalized less Accrued)</t>
  </si>
  <si>
    <t xml:space="preserve">   Accumulated Deferred Income Taxes</t>
  </si>
  <si>
    <t xml:space="preserve">   Interest Coordination Factor</t>
  </si>
  <si>
    <t>Costs</t>
  </si>
  <si>
    <t xml:space="preserve"> [1] Weighted uncollectible rate of</t>
  </si>
  <si>
    <t xml:space="preserve"> is used on page 1, column (b)</t>
  </si>
  <si>
    <t xml:space="preserve">   Federal tax rate </t>
  </si>
  <si>
    <t xml:space="preserve">   Interest Coordination</t>
  </si>
  <si>
    <t xml:space="preserve">   State tax rate  </t>
  </si>
  <si>
    <t>Adjustment takes expense from test period accrual to 3 year paid average</t>
  </si>
  <si>
    <t xml:space="preserve">   Uncollectible Accounts</t>
  </si>
  <si>
    <t>Total Cost of Gas</t>
  </si>
  <si>
    <t>Sales Volumes</t>
  </si>
  <si>
    <t>Sendout Volumes</t>
  </si>
  <si>
    <t>Other Taxes</t>
  </si>
  <si>
    <t>3-factor formula (simple average)</t>
  </si>
  <si>
    <t>Gross Plant Directly Assigned</t>
  </si>
  <si>
    <t>Income Tax Calculations</t>
  </si>
  <si>
    <t>Number of Employees Directly Assigned</t>
  </si>
  <si>
    <t>(q)</t>
  </si>
  <si>
    <t>Number of Customers</t>
  </si>
  <si>
    <t xml:space="preserve">   Book Revenues</t>
  </si>
  <si>
    <t xml:space="preserve">   Average </t>
  </si>
  <si>
    <t xml:space="preserve">   State Tax Depreciation</t>
  </si>
  <si>
    <t xml:space="preserve">   Interest Expense (Income)</t>
  </si>
  <si>
    <t>Derivation of factor for 3-factor - Gross Plant Directly Assigned</t>
  </si>
  <si>
    <t xml:space="preserve">   Book/Tax Differences (Sched. M)</t>
  </si>
  <si>
    <t>Rate Base</t>
  </si>
  <si>
    <t>Intangible - Other</t>
  </si>
  <si>
    <t xml:space="preserve">   State Excise Tax  [1]</t>
  </si>
  <si>
    <t>Production</t>
  </si>
  <si>
    <t xml:space="preserve">   State Tax Credit</t>
  </si>
  <si>
    <t>Transmission</t>
  </si>
  <si>
    <t>Distribution</t>
  </si>
  <si>
    <t xml:space="preserve">   Net State Income Tax</t>
  </si>
  <si>
    <t xml:space="preserve">   Excess Book(Tax) Deprec. </t>
  </si>
  <si>
    <t xml:space="preserve">   Other Sched. M Differences</t>
  </si>
  <si>
    <t>Intangible</t>
  </si>
  <si>
    <t xml:space="preserve">   Federal Income Tax  [2]</t>
  </si>
  <si>
    <t xml:space="preserve">   ITC</t>
  </si>
  <si>
    <t xml:space="preserve">   Current Federal Tax</t>
  </si>
  <si>
    <t xml:space="preserve">   Deferred Income Tax - Federal</t>
  </si>
  <si>
    <t xml:space="preserve">   Deferred Income Tax - State</t>
  </si>
  <si>
    <t xml:space="preserve">   ITC Restored (Deferred)</t>
  </si>
  <si>
    <t xml:space="preserve">      Total Federal Tax</t>
  </si>
  <si>
    <t xml:space="preserve">      Total State Tax  </t>
  </si>
  <si>
    <t>[1]  Statutory State Excise Tax Rate:</t>
  </si>
  <si>
    <t>[2]  Statutory Federal Income Tax Rate:</t>
  </si>
  <si>
    <t>Customers-The Dalles</t>
  </si>
  <si>
    <t>sales volumes</t>
  </si>
  <si>
    <t>sendout volumes</t>
  </si>
  <si>
    <t>sales/sendout volumes</t>
  </si>
  <si>
    <t>General</t>
  </si>
  <si>
    <t>Regulatory</t>
  </si>
  <si>
    <t>CNG and LNG</t>
  </si>
  <si>
    <t>Telemetering</t>
  </si>
  <si>
    <t>Direct-Wa</t>
  </si>
  <si>
    <t>Direct-Or</t>
  </si>
  <si>
    <t>Gross plant direct assign</t>
  </si>
  <si>
    <t>Depreciation</t>
  </si>
  <si>
    <t>Storage Gas</t>
  </si>
  <si>
    <t>(r)</t>
  </si>
  <si>
    <t>Pre-tax less interest</t>
  </si>
  <si>
    <t>tax calculated</t>
  </si>
  <si>
    <t>tax on line 1</t>
  </si>
  <si>
    <t>variance</t>
  </si>
  <si>
    <t>Elimination of Clearing Account Balances</t>
  </si>
  <si>
    <t>Adjustment to O&amp;M</t>
  </si>
  <si>
    <t>Adjustment to Construction</t>
  </si>
  <si>
    <t>Depreciation Factor</t>
  </si>
  <si>
    <t xml:space="preserve">   Officers/Exempt</t>
  </si>
  <si>
    <t xml:space="preserve">   Clerical/Hourly</t>
  </si>
  <si>
    <t>Allocation Method</t>
  </si>
  <si>
    <t>Software</t>
  </si>
  <si>
    <t>Other</t>
  </si>
  <si>
    <t>Storage and storage transmission</t>
  </si>
  <si>
    <t>Firm Delivered Volumes</t>
  </si>
  <si>
    <t>Direct &amp; 3-Factor</t>
  </si>
  <si>
    <t>2000</t>
  </si>
  <si>
    <t>Test Period</t>
  </si>
  <si>
    <t>Sales in</t>
  </si>
  <si>
    <t>Total Sales Sendout</t>
  </si>
  <si>
    <t>Clearing</t>
  </si>
  <si>
    <t>Worksheet b</t>
  </si>
  <si>
    <t>Worksheet f</t>
  </si>
  <si>
    <t>Investor Supplied Working Capital</t>
  </si>
  <si>
    <t>Balance</t>
  </si>
  <si>
    <t>Deferred Income Taxes</t>
  </si>
  <si>
    <t>Worksheet e</t>
  </si>
  <si>
    <t>Adjustments to Test Period</t>
  </si>
  <si>
    <t>Gross Plant Average Factor</t>
  </si>
  <si>
    <t>Accumulated Deprec Average Factor</t>
  </si>
  <si>
    <t>Leasehold Improvement Average Factor</t>
  </si>
  <si>
    <t>Customer Advance Average Factor</t>
  </si>
  <si>
    <t>Allocation to Washington (Gross Plant)</t>
  </si>
  <si>
    <t>Allocation to Washington (3-Factor)</t>
  </si>
  <si>
    <t>12 mo end dec</t>
  </si>
  <si>
    <t>2001</t>
  </si>
  <si>
    <t>Other Operating Revenues</t>
  </si>
  <si>
    <t>Follows Plant Split</t>
  </si>
  <si>
    <t>3-factor on non-Oregon</t>
  </si>
  <si>
    <t>Reconnect Charges / Field Coll</t>
  </si>
  <si>
    <t>Gross Plant Growth Factor</t>
  </si>
  <si>
    <t>Extracts from Balance Sheet</t>
  </si>
  <si>
    <t>System Leasehold Improvements</t>
  </si>
  <si>
    <t>2002</t>
  </si>
  <si>
    <t xml:space="preserve">   Book Expenses before Deprec. &amp; Interest</t>
  </si>
  <si>
    <t>Total Adjusted Construction (line 6 + line 12)</t>
  </si>
  <si>
    <t>Total Adjusted O &amp; M (line 3 + line 9)</t>
  </si>
  <si>
    <t xml:space="preserve">     Adjustment to Washington - Rate Base</t>
  </si>
  <si>
    <t xml:space="preserve">     Adjustment to Washington - O&amp;M</t>
  </si>
  <si>
    <t>Sales</t>
  </si>
  <si>
    <t>Allocation Factors - Summary</t>
  </si>
  <si>
    <t>Depreciation Expense</t>
  </si>
  <si>
    <t>2003</t>
  </si>
  <si>
    <t>3-Factor &amp; Direct</t>
  </si>
  <si>
    <t>Tax Adjustment</t>
  </si>
  <si>
    <t>Washington Annual Commission Basis Report</t>
  </si>
  <si>
    <t>Transportation</t>
  </si>
  <si>
    <t>Total Transportation</t>
  </si>
  <si>
    <t>State Allocation of Other Revenues, Depreciation Expense and Other Taxes</t>
  </si>
  <si>
    <t>2004</t>
  </si>
  <si>
    <t>Reconnect Charges</t>
  </si>
  <si>
    <t>Late Payment Charges</t>
  </si>
  <si>
    <t>Automated Payment Charge</t>
  </si>
  <si>
    <t>Returned Check</t>
  </si>
  <si>
    <t>Field Collection</t>
  </si>
  <si>
    <t>Meter Rentals</t>
  </si>
  <si>
    <t>Utility Property Rental</t>
  </si>
  <si>
    <t>Miscellaneous</t>
  </si>
  <si>
    <t>Total Other Op Revenues</t>
  </si>
  <si>
    <t>Production Plant</t>
  </si>
  <si>
    <t>Total Depreciation Expense</t>
  </si>
  <si>
    <t>Property</t>
  </si>
  <si>
    <t>Franchise</t>
  </si>
  <si>
    <t>Regulatory Fee</t>
  </si>
  <si>
    <t>Department of Energy</t>
  </si>
  <si>
    <t>Worksheet c</t>
  </si>
  <si>
    <t>Firm Transportation</t>
  </si>
  <si>
    <t>Interuptible Transportation</t>
  </si>
  <si>
    <t>2005</t>
  </si>
  <si>
    <t>2006</t>
  </si>
  <si>
    <t>Credits</t>
  </si>
  <si>
    <t>Total Tax</t>
  </si>
  <si>
    <t>Customers-Residential</t>
  </si>
  <si>
    <t>Customers-Commercial</t>
  </si>
  <si>
    <t>Customers-Industrial</t>
  </si>
  <si>
    <t>Customers Portland/Vancouver</t>
  </si>
  <si>
    <t>Customers Portland/Vancouver 80%</t>
  </si>
  <si>
    <t>Customers Portland/Vancouver Commercial</t>
  </si>
  <si>
    <t>Admin Transfer</t>
  </si>
  <si>
    <t>SYSTEM</t>
  </si>
  <si>
    <t>OREGON</t>
  </si>
  <si>
    <t>WASHINGTON</t>
  </si>
  <si>
    <t>Dec</t>
  </si>
  <si>
    <t>Jan</t>
  </si>
  <si>
    <t>Feb</t>
  </si>
  <si>
    <t>Mar</t>
  </si>
  <si>
    <t>Apr</t>
  </si>
  <si>
    <t>Gas in Storage Extract</t>
  </si>
  <si>
    <t>Washinton Contributions</t>
  </si>
  <si>
    <t>WA Leasehold Improvements (direct+3-factor on the rest)</t>
  </si>
  <si>
    <t>Rate Base Average Allocation Factors</t>
  </si>
  <si>
    <t>OR</t>
  </si>
  <si>
    <t>WA</t>
  </si>
  <si>
    <t>Average Total Rate Base</t>
  </si>
  <si>
    <t>2007</t>
  </si>
  <si>
    <t>Weather Normalized Gas Sales and Purchases Adjustment</t>
  </si>
  <si>
    <t>Unbilled amounts</t>
  </si>
  <si>
    <t>Special Contracts</t>
  </si>
  <si>
    <t>Demand Incurred &amp; Deferred</t>
  </si>
  <si>
    <t>Commodity Incurred &amp; Deferred</t>
  </si>
  <si>
    <t>($000's, except Washington amounts at lines 22-24)</t>
  </si>
  <si>
    <t>Column A</t>
  </si>
  <si>
    <t>Column C</t>
  </si>
  <si>
    <t>Rate of Return</t>
  </si>
  <si>
    <t>Return on Common Equity</t>
  </si>
  <si>
    <t>Narrative of Adjustments</t>
  </si>
  <si>
    <t>Net Revenue</t>
  </si>
  <si>
    <t>Net Rate Base</t>
  </si>
  <si>
    <t>Schedule</t>
  </si>
  <si>
    <t>Impact</t>
  </si>
  <si>
    <t>Description</t>
  </si>
  <si>
    <t>2a</t>
  </si>
  <si>
    <t>Weather Normalization &amp; Gas Costs</t>
  </si>
  <si>
    <t>Residential and commercial volumes are adjusted for normal weather.</t>
  </si>
  <si>
    <t>These normalized volumes are repriced at applicable rates to derive revenue and Cost of Gas adjustment</t>
  </si>
  <si>
    <t>2b</t>
  </si>
  <si>
    <t>2c</t>
  </si>
  <si>
    <t>Advertising &amp; Promotional</t>
  </si>
  <si>
    <t>2d</t>
  </si>
  <si>
    <t>2e</t>
  </si>
  <si>
    <t>2f</t>
  </si>
  <si>
    <t>Uncollectible Amounts</t>
  </si>
  <si>
    <t>Adjusts accrued amount to 3 year average</t>
  </si>
  <si>
    <t>Bonuses</t>
  </si>
  <si>
    <t>GRAND TOTAL ALL ADJUSTMENTS</t>
  </si>
  <si>
    <t>Working Capital Adjustment</t>
  </si>
  <si>
    <t>Claims Adjustment</t>
  </si>
  <si>
    <t>Adjusts actual bonuses to 3 year average</t>
  </si>
  <si>
    <t>Replaces accrued expenses with actual claims paid;</t>
  </si>
  <si>
    <t>Consistent with prior rate cases, provides a return on investments in storage gas inventory and other assets</t>
  </si>
  <si>
    <t>12 month average</t>
  </si>
  <si>
    <t>ok</t>
  </si>
  <si>
    <t>Curtailment Unauthorized Take</t>
  </si>
  <si>
    <t>2008</t>
  </si>
  <si>
    <t>Worksheet a</t>
  </si>
  <si>
    <t>13 month average</t>
  </si>
  <si>
    <t>Sales &amp; Marketing and Customer Communication Adjustment</t>
  </si>
  <si>
    <t>Expenses Coded to Account 5075</t>
  </si>
  <si>
    <t>FERC Account 911 Supervision</t>
  </si>
  <si>
    <t>FERC Account 912 Demonstration &amp; Selling</t>
  </si>
  <si>
    <t>FERC Account 913 Advertising</t>
  </si>
  <si>
    <t>FERC Account 909 Advertising</t>
  </si>
  <si>
    <t>Expenses Coded to Category 2966 and 2666</t>
  </si>
  <si>
    <t xml:space="preserve">   Total Disallowance - O&amp;M</t>
  </si>
  <si>
    <t>Sales, Marketing</t>
  </si>
  <si>
    <t xml:space="preserve">&amp; Customer </t>
  </si>
  <si>
    <t>Communications</t>
  </si>
  <si>
    <t>2009</t>
  </si>
  <si>
    <t>(g)=(e)-(f)</t>
  </si>
  <si>
    <t>Consistent with 2008 rate case, removes certain marketing and advertising costs</t>
  </si>
  <si>
    <t>Other Miscellaneous Revenues</t>
  </si>
  <si>
    <t>Adjustment to Miscellaneous Revenue</t>
  </si>
  <si>
    <t>3 yr avg</t>
  </si>
  <si>
    <t>Technical Adjustments &amp; Amortizations</t>
  </si>
  <si>
    <t>Notes:</t>
  </si>
  <si>
    <t>[1]  Normalized to 3-year average</t>
  </si>
  <si>
    <t>[1]</t>
  </si>
  <si>
    <t>Worksheet h</t>
  </si>
  <si>
    <t>2g</t>
  </si>
  <si>
    <t>Miscellaneous Revenue</t>
  </si>
  <si>
    <t>(excluding Category 2966/2666 &amp; FERC accts 911,912,913)</t>
  </si>
  <si>
    <t>Clearing accounts are completely allocated by year end closing.</t>
  </si>
  <si>
    <t>Removes O&amp;M expenses charged to Category 2966 &amp; 2666, "Non-recoverable expenses"</t>
  </si>
  <si>
    <t>Adjusts miscellaneous revenues to 3 year average</t>
  </si>
  <si>
    <t>adjusts extraordinary claims to 3 year average</t>
  </si>
  <si>
    <t>2010</t>
  </si>
  <si>
    <t>Total Operating Revenues</t>
  </si>
  <si>
    <t>Total Operating &amp; Maintenance</t>
  </si>
  <si>
    <t>Total Taxes &amp; Other</t>
  </si>
  <si>
    <t>Net Operating Revenues</t>
  </si>
  <si>
    <t>Net Income Adjustments</t>
  </si>
  <si>
    <t>Weather Normalization</t>
  </si>
  <si>
    <t>Uncollectible Expense</t>
  </si>
  <si>
    <t>Net Operating Revenues as Adjusted</t>
  </si>
  <si>
    <t>Advertising &amp; Mktg Adjustment</t>
  </si>
  <si>
    <t>Washington Rate Base as Adjusted</t>
  </si>
  <si>
    <t>EXECUTIVE SUMMARY</t>
  </si>
  <si>
    <t>WASHINGTON RESULTS OF OPERATIONS</t>
  </si>
  <si>
    <t>Total Operating &amp; Maintenance and Gas Costs</t>
  </si>
  <si>
    <t>2011</t>
  </si>
  <si>
    <t>3-year avg</t>
  </si>
  <si>
    <t>Utility Plant in Service</t>
  </si>
  <si>
    <t>Accumulated Deferred Income Taxes</t>
  </si>
  <si>
    <t>Twelve Months Ended December 31, 2012</t>
  </si>
  <si>
    <t>2012</t>
  </si>
  <si>
    <t>Working Capital</t>
  </si>
  <si>
    <t xml:space="preserve">   Customer Advances</t>
  </si>
  <si>
    <t xml:space="preserve">   Working Capital</t>
  </si>
  <si>
    <t>Curtailment Unuathorized Take</t>
  </si>
  <si>
    <t>Revenue &amp; Technical Adjs</t>
  </si>
  <si>
    <t>2012 CBR</t>
  </si>
  <si>
    <t>UG-080546</t>
  </si>
  <si>
    <t>Pretax Over Earning</t>
  </si>
  <si>
    <t>($millions)</t>
  </si>
  <si>
    <t>Over earning due to WACC</t>
  </si>
  <si>
    <t>Change</t>
  </si>
  <si>
    <t>OI</t>
  </si>
  <si>
    <t>Due to LTD rate</t>
  </si>
  <si>
    <t>Due to STD rate</t>
  </si>
  <si>
    <t>Due to Capital %s</t>
  </si>
  <si>
    <t>2011 CBR</t>
  </si>
  <si>
    <t xml:space="preserve">   Net Utility Plant</t>
  </si>
  <si>
    <t>ROE to be reported</t>
  </si>
  <si>
    <t>Pretax Earnings vs Authorized</t>
  </si>
  <si>
    <t>Washington CBR Results</t>
  </si>
  <si>
    <t>Customer Advances and Deposits</t>
  </si>
  <si>
    <t>Leasehold Improvement</t>
  </si>
  <si>
    <t>System Contributions</t>
  </si>
  <si>
    <t>System Deposits</t>
  </si>
  <si>
    <t>Total Rate Base Excluding ADIT and WC</t>
  </si>
  <si>
    <t>2013</t>
  </si>
  <si>
    <t>Allocation factor: Accumulated Depreciation</t>
  </si>
  <si>
    <t>SYS</t>
  </si>
  <si>
    <t>Federal</t>
  </si>
  <si>
    <t>State</t>
  </si>
  <si>
    <t>Accumulated Deferred Income Tax - Depreciation</t>
  </si>
  <si>
    <t>Accumulated Deferred Income Tax - Encana</t>
  </si>
  <si>
    <t>Accumulated Deferred Income Tax - Other</t>
  </si>
  <si>
    <t>Commodity and Demand Amortizations</t>
  </si>
  <si>
    <t xml:space="preserve">      Margin</t>
  </si>
  <si>
    <t>Total Deliveries / Revenues</t>
  </si>
  <si>
    <t>2015 paid</t>
  </si>
  <si>
    <t>in 2016</t>
  </si>
  <si>
    <t>2017 December Balances:</t>
  </si>
  <si>
    <t>2017 Balances</t>
  </si>
  <si>
    <t>2016 paid</t>
  </si>
  <si>
    <t>in 2017</t>
  </si>
  <si>
    <t>December 2017</t>
  </si>
  <si>
    <t>Twelve Months Ended December 31, 2018</t>
  </si>
  <si>
    <t>Dec 17 - Dec 18</t>
  </si>
  <si>
    <t>Test Year Based on Twelve Months Ended December 31, 2018</t>
  </si>
  <si>
    <t>2018 December Balances:</t>
  </si>
  <si>
    <t>2018 Balances</t>
  </si>
  <si>
    <t>2017 paid</t>
  </si>
  <si>
    <t>in 2018</t>
  </si>
  <si>
    <t>2018-2016</t>
  </si>
  <si>
    <t>Updated for year ended 2018 data</t>
  </si>
  <si>
    <t>December 2018</t>
  </si>
  <si>
    <t>Volumes - 12 Months Ended 12/31/18</t>
  </si>
  <si>
    <t>December 31, 2018</t>
  </si>
  <si>
    <t>December 31, 2017</t>
  </si>
  <si>
    <t>Gas Reserves</t>
  </si>
  <si>
    <t xml:space="preserve">   Total Gross Plant (less Gas Reserves)</t>
  </si>
  <si>
    <t xml:space="preserve">   Total Accumulated Depreciation (less Gas Reserves)</t>
  </si>
  <si>
    <t>Firm Sales Delivered</t>
  </si>
  <si>
    <t>firm sales volumes</t>
  </si>
  <si>
    <t>Current Working Capital Assets</t>
  </si>
  <si>
    <t>Current Working Capital Liabilities</t>
  </si>
  <si>
    <t xml:space="preserve">   Net Working Capital</t>
  </si>
  <si>
    <t>Total WA Working Capital</t>
  </si>
  <si>
    <t>WA Allocation of Total Investments</t>
  </si>
  <si>
    <r>
      <t xml:space="preserve">Simple Average December Balances </t>
    </r>
    <r>
      <rPr>
        <sz val="10"/>
        <rFont val="Tahoma"/>
        <family val="2"/>
      </rPr>
      <t>(use for Rate Base)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</si>
</sst>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000%"/>
    <numFmt numFmtId="166" formatCode="0.0%"/>
    <numFmt numFmtId="167" formatCode="General_)"/>
    <numFmt numFmtId="168" formatCode="_(* #,##0_);_(* \(#,##0\);_(* &quot;-&quot;??_);_(@_)"/>
    <numFmt numFmtId="169" formatCode="&quot;$&quot;#,##0.00000_);\(&quot;$&quot;#,##0.00000\)"/>
    <numFmt numFmtId="170" formatCode="dd\-mmm\-yy_)"/>
    <numFmt numFmtId="171" formatCode="_(* #,##0.00000_);_(* \(#,##0.00000\);_(* &quot;-&quot;??_);_(@_)"/>
    <numFmt numFmtId="172" formatCode="_(&quot;$&quot;* #,##0.00000_);_(&quot;$&quot;* \(#,##0.00000\);_(&quot;$&quot;* &quot;-&quot;??_);_(@_)"/>
    <numFmt numFmtId="173" formatCode="&quot;$&quot;#,##0.000000_);\(&quot;$&quot;#,##0.000000\)"/>
    <numFmt numFmtId="174" formatCode="&quot;$&quot;#,##0.00000_);[Red]\(&quot;$&quot;#,##0.00000\)"/>
    <numFmt numFmtId="175" formatCode="&quot;$&quot;#,##0"/>
    <numFmt numFmtId="176" formatCode="_(&quot;$&quot;* #,##0_);_(&quot;$&quot;* \(#,##0\);_(&quot;$&quot;* &quot;-&quot;??_);_(@_)"/>
    <numFmt numFmtId="177" formatCode="_(* #,##0.0_);_(* \(#,##0.0\);_(* &quot;-&quot;??_);_(@_)"/>
    <numFmt numFmtId="178" formatCode="[$-409]mmm\-yy;@"/>
    <numFmt numFmtId="179" formatCode="&quot;$&quot;#,##0.0_);\(&quot;$&quot;#,##0.0\)"/>
    <numFmt numFmtId="180" formatCode="mm/dd/yy"/>
    <numFmt numFmtId="181" formatCode="_-* #,##0.00\ _D_M_-;\-* #,##0.00\ _D_M_-;_-* &quot;-&quot;??\ _D_M_-;_-@_-"/>
    <numFmt numFmtId="182" formatCode="#,##0.0"/>
    <numFmt numFmtId="183" formatCode="_-* #,##0.00\ &quot;DM&quot;_-;\-* #,##0.00\ &quot;DM&quot;_-;_-* &quot;-&quot;??\ &quot;DM&quot;_-;_-@_-"/>
    <numFmt numFmtId="184" formatCode="#,##0_);\-#,##0_);\-_)"/>
    <numFmt numFmtId="185" formatCode="#,##0.00_);\-#,##0.00_);\-_)"/>
    <numFmt numFmtId="186" formatCode="#,##0.0_);\-#,##0.0_);\-_)"/>
  </numFmts>
  <fonts count="111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Tahoma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12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sz val="10"/>
      <color indexed="12"/>
      <name val="Tahoma"/>
      <family val="2"/>
    </font>
    <font>
      <sz val="10"/>
      <name val="Tahoma"/>
      <family val="2"/>
    </font>
    <font>
      <b/>
      <sz val="10"/>
      <color indexed="12"/>
      <name val="Tahoma"/>
      <family val="2"/>
    </font>
    <font>
      <u/>
      <sz val="10"/>
      <name val="Tahoma"/>
      <family val="2"/>
    </font>
    <font>
      <b/>
      <u/>
      <sz val="10"/>
      <name val="Tahoma"/>
      <family val="2"/>
    </font>
    <font>
      <sz val="8"/>
      <name val="Tahoma"/>
      <family val="2"/>
    </font>
    <font>
      <sz val="8"/>
      <name val="Arial"/>
      <family val="2"/>
    </font>
    <font>
      <sz val="9"/>
      <name val="Tahoma"/>
      <family val="2"/>
    </font>
    <font>
      <sz val="10"/>
      <color theme="1"/>
      <name val="Tahoma"/>
      <family val="2"/>
    </font>
    <font>
      <sz val="10"/>
      <color rgb="FFFF0000"/>
      <name val="Tahoma"/>
      <family val="2"/>
    </font>
    <font>
      <b/>
      <sz val="10"/>
      <color theme="1"/>
      <name val="Tahoma"/>
      <family val="2"/>
    </font>
    <font>
      <sz val="11"/>
      <name val="MS Sans Serif"/>
      <family val="2"/>
    </font>
    <font>
      <sz val="11"/>
      <color indexed="60"/>
      <name val="Calibri"/>
      <family val="2"/>
    </font>
    <font>
      <sz val="10"/>
      <name val="Helv"/>
    </font>
    <font>
      <b/>
      <sz val="9"/>
      <name val="Tahoma"/>
      <family val="2"/>
    </font>
    <font>
      <u/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sz val="11"/>
      <color indexed="37"/>
      <name val="Calibri"/>
      <family val="2"/>
    </font>
    <font>
      <sz val="11"/>
      <color indexed="16"/>
      <name val="Calibri"/>
      <family val="2"/>
    </font>
    <font>
      <b/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9"/>
      <color indexed="18"/>
      <name val="Arial"/>
      <family val="2"/>
    </font>
    <font>
      <sz val="11"/>
      <name val="Times New Roman"/>
      <family val="1"/>
    </font>
    <font>
      <sz val="10"/>
      <name val="MS Sans Serif"/>
      <family val="2"/>
    </font>
    <font>
      <b/>
      <sz val="14"/>
      <color indexed="8"/>
      <name val="Arial"/>
      <family val="2"/>
    </font>
    <font>
      <sz val="1"/>
      <color indexed="8"/>
      <name val="Courier"/>
      <family val="3"/>
    </font>
    <font>
      <b/>
      <sz val="11"/>
      <color indexed="8"/>
      <name val="Calibri"/>
      <family val="2"/>
    </font>
    <font>
      <i/>
      <sz val="11"/>
      <color indexed="18"/>
      <name val="Calibri"/>
      <family val="2"/>
    </font>
    <font>
      <i/>
      <sz val="11"/>
      <color indexed="23"/>
      <name val="Calibri"/>
      <family val="2"/>
    </font>
    <font>
      <sz val="11"/>
      <color indexed="21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"/>
      <color indexed="8"/>
      <name val="Courier"/>
      <family val="3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b/>
      <sz val="11"/>
      <color indexed="63"/>
      <name val="Calibri"/>
      <family val="2"/>
    </font>
    <font>
      <b/>
      <sz val="8"/>
      <color indexed="18"/>
      <name val="Arial"/>
      <family val="2"/>
    </font>
    <font>
      <b/>
      <sz val="10"/>
      <color indexed="8"/>
      <name val="Arial"/>
      <family val="2"/>
    </font>
    <font>
      <sz val="8"/>
      <color indexed="62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sz val="9"/>
      <color indexed="29"/>
      <name val="Arial"/>
      <family val="2"/>
    </font>
    <font>
      <b/>
      <sz val="9"/>
      <color indexed="29"/>
      <name val="Arial"/>
      <family val="2"/>
    </font>
    <font>
      <b/>
      <sz val="16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14"/>
      <name val="Calibri"/>
      <family val="2"/>
    </font>
    <font>
      <sz val="11"/>
      <color indexed="10"/>
      <name val="Calibri"/>
      <family val="2"/>
    </font>
    <font>
      <b/>
      <sz val="9"/>
      <name val="Arial"/>
      <family val="2"/>
    </font>
    <font>
      <sz val="10"/>
      <color theme="0"/>
      <name val="Tahoma"/>
      <family val="2"/>
    </font>
    <font>
      <b/>
      <sz val="15"/>
      <color theme="3"/>
      <name val="Tahoma"/>
      <family val="2"/>
    </font>
    <font>
      <b/>
      <sz val="13"/>
      <color theme="3"/>
      <name val="Tahoma"/>
      <family val="2"/>
    </font>
    <font>
      <b/>
      <sz val="11"/>
      <color theme="3"/>
      <name val="Tahoma"/>
      <family val="2"/>
    </font>
    <font>
      <sz val="10"/>
      <color rgb="FF006100"/>
      <name val="Tahoma"/>
      <family val="2"/>
    </font>
    <font>
      <sz val="10"/>
      <color rgb="FF9C0006"/>
      <name val="Tahoma"/>
      <family val="2"/>
    </font>
    <font>
      <sz val="10"/>
      <color rgb="FF9C6500"/>
      <name val="Tahoma"/>
      <family val="2"/>
    </font>
    <font>
      <sz val="10"/>
      <color rgb="FF3F3F76"/>
      <name val="Tahoma"/>
      <family val="2"/>
    </font>
    <font>
      <b/>
      <sz val="10"/>
      <color rgb="FF3F3F3F"/>
      <name val="Tahoma"/>
      <family val="2"/>
    </font>
    <font>
      <b/>
      <sz val="10"/>
      <color rgb="FFFA7D00"/>
      <name val="Tahoma"/>
      <family val="2"/>
    </font>
    <font>
      <sz val="10"/>
      <color rgb="FFFA7D00"/>
      <name val="Tahoma"/>
      <family val="2"/>
    </font>
    <font>
      <b/>
      <sz val="10"/>
      <color theme="0"/>
      <name val="Tahoma"/>
      <family val="2"/>
    </font>
    <font>
      <i/>
      <sz val="10"/>
      <color rgb="FF7F7F7F"/>
      <name val="Tahoma"/>
      <family val="2"/>
    </font>
    <font>
      <sz val="12"/>
      <name val="Arial"/>
      <family val="2"/>
    </font>
    <font>
      <sz val="10"/>
      <name val="Courier"/>
      <family val="3"/>
    </font>
    <font>
      <sz val="11"/>
      <name val="Calibri"/>
      <family val="2"/>
      <scheme val="minor"/>
    </font>
  </fonts>
  <fills count="14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42"/>
      </patternFill>
    </fill>
    <fill>
      <patternFill patternType="solid">
        <f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4"/>
      </patternFill>
    </fill>
    <fill>
      <patternFill patternType="solid">
        <fgColor indexed="24"/>
        <bgColor indexed="64"/>
      </patternFill>
    </fill>
    <fill>
      <patternFill patternType="solid">
        <fgColor indexed="54"/>
      </patternFill>
    </fill>
    <fill>
      <patternFill patternType="solid">
        <fgColor indexed="5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</patternFill>
    </fill>
    <fill>
      <patternFill patternType="solid">
        <fgColor indexed="58"/>
        <bgColor indexed="64"/>
      </patternFill>
    </fill>
    <fill>
      <patternFill patternType="solid">
        <fgColor indexed="58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1"/>
        <bgColor indexed="64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61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48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14"/>
      </patternFill>
    </fill>
    <fill>
      <patternFill patternType="solid">
        <fgColor indexed="25"/>
        <bgColor indexed="25"/>
      </patternFill>
    </fill>
    <fill>
      <patternFill patternType="solid">
        <fgColor indexed="25"/>
        <bgColor indexed="64"/>
      </patternFill>
    </fill>
    <fill>
      <patternFill patternType="solid">
        <fgColor indexed="60"/>
        <bgColor indexed="60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64"/>
      </patternFill>
    </fill>
    <fill>
      <patternFill patternType="solid">
        <fgColor indexed="18"/>
      </patternFill>
    </fill>
    <fill>
      <patternFill patternType="solid">
        <fgColor indexed="18"/>
        <bgColor indexed="18"/>
      </patternFill>
    </fill>
    <fill>
      <patternFill patternType="solid">
        <fgColor indexed="23"/>
        <bgColor indexed="23"/>
      </patternFill>
    </fill>
    <fill>
      <patternFill patternType="solid">
        <fgColor indexed="18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33"/>
      </patternFill>
    </fill>
    <fill>
      <patternFill patternType="solid">
        <fgColor indexed="35"/>
        <bgColor indexed="3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60"/>
      </patternFill>
    </fill>
    <fill>
      <patternFill patternType="solid">
        <fgColor indexed="49"/>
        <bgColor indexed="64"/>
      </patternFill>
    </fill>
    <fill>
      <patternFill patternType="solid">
        <fgColor indexed="12"/>
      </patternFill>
    </fill>
    <fill>
      <patternFill patternType="solid">
        <fgColor indexed="1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15"/>
        <bgColor indexed="64"/>
      </patternFill>
    </fill>
    <fill>
      <patternFill patternType="solid">
        <fgColor indexed="20"/>
      </patternFill>
    </fill>
    <fill>
      <patternFill patternType="solid">
        <fgColor indexed="20"/>
        <bgColor indexed="64"/>
      </patternFill>
    </fill>
  </fills>
  <borders count="67">
    <border>
      <left/>
      <right/>
      <top/>
      <bottom/>
      <diagonal/>
    </border>
    <border>
      <left style="thick">
        <color indexed="24"/>
      </left>
      <right style="thick">
        <color indexed="24"/>
      </right>
      <top style="thick">
        <color indexed="24"/>
      </top>
      <bottom style="thick">
        <color indexed="24"/>
      </bottom>
      <diagonal/>
    </border>
    <border>
      <left/>
      <right/>
      <top style="double">
        <color indexed="2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2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3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28"/>
      </left>
      <right/>
      <top/>
      <bottom style="thin">
        <color indexed="2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</borders>
  <cellStyleXfs count="9488">
    <xf numFmtId="0" fontId="0" fillId="0" borderId="0">
      <alignment vertical="top"/>
    </xf>
    <xf numFmtId="0" fontId="6" fillId="0" borderId="0">
      <alignment vertical="top"/>
    </xf>
    <xf numFmtId="4" fontId="21" fillId="0" borderId="0" applyFont="0" applyFill="0" applyBorder="0" applyAlignment="0" applyProtection="0">
      <alignment vertical="top"/>
    </xf>
    <xf numFmtId="4" fontId="6" fillId="0" borderId="0" applyFill="0" applyBorder="0" applyProtection="0">
      <alignment horizontal="right" vertical="top"/>
    </xf>
    <xf numFmtId="4" fontId="6" fillId="0" borderId="0" applyFont="0" applyFill="0" applyBorder="0" applyAlignment="0" applyProtection="0">
      <alignment vertical="top"/>
    </xf>
    <xf numFmtId="3" fontId="21" fillId="0" borderId="0" applyFont="0" applyFill="0" applyBorder="0" applyAlignment="0" applyProtection="0">
      <alignment vertical="top"/>
    </xf>
    <xf numFmtId="0" fontId="6" fillId="0" borderId="0" applyFont="0" applyFill="0" applyBorder="0" applyAlignment="0" applyProtection="0">
      <alignment vertical="top"/>
    </xf>
    <xf numFmtId="7" fontId="21" fillId="0" borderId="0" applyFont="0" applyFill="0" applyBorder="0" applyAlignment="0" applyProtection="0">
      <alignment vertical="top"/>
    </xf>
    <xf numFmtId="5" fontId="6" fillId="0" borderId="0">
      <alignment vertical="top"/>
    </xf>
    <xf numFmtId="5" fontId="21" fillId="0" borderId="0" applyFont="0" applyFill="0" applyBorder="0" applyAlignment="0" applyProtection="0">
      <alignment vertical="top"/>
    </xf>
    <xf numFmtId="0" fontId="6" fillId="0" borderId="0">
      <alignment vertical="top"/>
    </xf>
    <xf numFmtId="0" fontId="21" fillId="0" borderId="0" applyFont="0" applyFill="0" applyBorder="0" applyAlignment="0" applyProtection="0">
      <alignment vertical="top"/>
    </xf>
    <xf numFmtId="2" fontId="6" fillId="0" borderId="0" applyFon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>
      <alignment horizontal="right" vertical="top"/>
    </xf>
    <xf numFmtId="0" fontId="5" fillId="0" borderId="0">
      <alignment vertical="top"/>
    </xf>
    <xf numFmtId="0" fontId="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3" fontId="5" fillId="0" borderId="1">
      <alignment vertical="top"/>
    </xf>
    <xf numFmtId="10" fontId="21" fillId="0" borderId="0" applyFont="0" applyFill="0" applyBorder="0" applyAlignment="0" applyProtection="0">
      <alignment vertical="top"/>
    </xf>
    <xf numFmtId="10" fontId="21" fillId="0" borderId="0" applyFont="0" applyFill="0" applyBorder="0" applyAlignment="0" applyProtection="0">
      <alignment vertical="top"/>
    </xf>
    <xf numFmtId="0" fontId="6" fillId="0" borderId="0" applyFont="0" applyFill="0" applyBorder="0" applyAlignment="0" applyProtection="0">
      <alignment vertical="top"/>
    </xf>
    <xf numFmtId="0" fontId="6" fillId="0" borderId="2" applyNumberFormat="0" applyFont="0" applyFill="0" applyAlignment="0" applyProtection="0">
      <alignment vertical="top"/>
    </xf>
    <xf numFmtId="9" fontId="4" fillId="0" borderId="0" applyFill="0" applyBorder="0" applyAlignment="0" applyProtection="0">
      <alignment vertical="top"/>
    </xf>
    <xf numFmtId="43" fontId="24" fillId="0" borderId="0" applyFont="0" applyFill="0" applyBorder="0" applyAlignment="0" applyProtection="0"/>
    <xf numFmtId="5" fontId="7" fillId="0" borderId="0" applyFont="0" applyFill="0" applyBorder="0" applyAlignment="0" applyProtection="0">
      <alignment vertical="top"/>
    </xf>
    <xf numFmtId="0" fontId="25" fillId="4" borderId="0" applyNumberFormat="0" applyBorder="0" applyAlignment="0" applyProtection="0"/>
    <xf numFmtId="37" fontId="26" fillId="0" borderId="0"/>
    <xf numFmtId="0" fontId="3" fillId="38" borderId="0" applyNumberFormat="0" applyBorder="0" applyAlignment="0" applyProtection="0"/>
    <xf numFmtId="0" fontId="3" fillId="15" borderId="0" applyNumberFormat="0" applyBorder="0" applyAlignment="0" applyProtection="0"/>
    <xf numFmtId="0" fontId="42" fillId="39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40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41" borderId="0" applyNumberFormat="0" applyBorder="0" applyAlignment="0" applyProtection="0"/>
    <xf numFmtId="0" fontId="3" fillId="19" borderId="0" applyNumberFormat="0" applyBorder="0" applyAlignment="0" applyProtection="0"/>
    <xf numFmtId="0" fontId="42" fillId="42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23" borderId="0" applyNumberFormat="0" applyBorder="0" applyAlignment="0" applyProtection="0"/>
    <xf numFmtId="0" fontId="42" fillId="45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6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7" borderId="0" applyNumberFormat="0" applyBorder="0" applyAlignment="0" applyProtection="0"/>
    <xf numFmtId="0" fontId="3" fillId="27" borderId="0" applyNumberFormat="0" applyBorder="0" applyAlignment="0" applyProtection="0"/>
    <xf numFmtId="0" fontId="42" fillId="48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9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38" borderId="0" applyNumberFormat="0" applyBorder="0" applyAlignment="0" applyProtection="0"/>
    <xf numFmtId="0" fontId="3" fillId="31" borderId="0" applyNumberFormat="0" applyBorder="0" applyAlignment="0" applyProtection="0"/>
    <xf numFmtId="0" fontId="42" fillId="39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50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42" fillId="51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2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53" borderId="0" applyNumberFormat="0" applyBorder="0" applyAlignment="0" applyProtection="0"/>
    <xf numFmtId="0" fontId="3" fillId="16" borderId="0" applyNumberFormat="0" applyBorder="0" applyAlignment="0" applyProtection="0"/>
    <xf numFmtId="0" fontId="42" fillId="54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5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41" borderId="0" applyNumberFormat="0" applyBorder="0" applyAlignment="0" applyProtection="0"/>
    <xf numFmtId="0" fontId="3" fillId="20" borderId="0" applyNumberFormat="0" applyBorder="0" applyAlignment="0" applyProtection="0"/>
    <xf numFmtId="0" fontId="42" fillId="42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56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57" borderId="0" applyNumberFormat="0" applyBorder="0" applyAlignment="0" applyProtection="0"/>
    <xf numFmtId="0" fontId="3" fillId="24" borderId="0" applyNumberFormat="0" applyBorder="0" applyAlignment="0" applyProtection="0"/>
    <xf numFmtId="0" fontId="42" fillId="58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9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60" borderId="0" applyNumberFormat="0" applyBorder="0" applyAlignment="0" applyProtection="0"/>
    <xf numFmtId="0" fontId="3" fillId="28" borderId="0" applyNumberFormat="0" applyBorder="0" applyAlignment="0" applyProtection="0"/>
    <xf numFmtId="0" fontId="42" fillId="61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49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2" borderId="0" applyNumberFormat="0" applyBorder="0" applyAlignment="0" applyProtection="0"/>
    <xf numFmtId="0" fontId="3" fillId="32" borderId="0" applyNumberFormat="0" applyBorder="0" applyAlignment="0" applyProtection="0"/>
    <xf numFmtId="0" fontId="42" fillId="63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55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52" borderId="0" applyNumberFormat="0" applyBorder="0" applyAlignment="0" applyProtection="0"/>
    <xf numFmtId="0" fontId="3" fillId="36" borderId="0" applyNumberFormat="0" applyBorder="0" applyAlignment="0" applyProtection="0"/>
    <xf numFmtId="0" fontId="42" fillId="64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42" fillId="64" borderId="0" applyNumberFormat="0" applyBorder="0" applyAlignment="0" applyProtection="0"/>
    <xf numFmtId="0" fontId="42" fillId="64" borderId="0" applyNumberFormat="0" applyBorder="0" applyAlignment="0" applyProtection="0"/>
    <xf numFmtId="0" fontId="42" fillId="65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43" fillId="66" borderId="0" applyNumberFormat="0" applyBorder="0" applyAlignment="0" applyProtection="0"/>
    <xf numFmtId="0" fontId="41" fillId="67" borderId="0" applyNumberFormat="0" applyBorder="0" applyAlignment="0" applyProtection="0"/>
    <xf numFmtId="0" fontId="43" fillId="66" borderId="0" applyNumberFormat="0" applyBorder="0" applyAlignment="0" applyProtection="0"/>
    <xf numFmtId="0" fontId="43" fillId="66" borderId="0" applyNumberFormat="0" applyBorder="0" applyAlignment="0" applyProtection="0"/>
    <xf numFmtId="0" fontId="43" fillId="68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3" fillId="42" borderId="0" applyNumberFormat="0" applyBorder="0" applyAlignment="0" applyProtection="0"/>
    <xf numFmtId="0" fontId="41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56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3" fillId="58" borderId="0" applyNumberFormat="0" applyBorder="0" applyAlignment="0" applyProtection="0"/>
    <xf numFmtId="0" fontId="41" fillId="57" borderId="0" applyNumberFormat="0" applyBorder="0" applyAlignment="0" applyProtection="0"/>
    <xf numFmtId="0" fontId="43" fillId="58" borderId="0" applyNumberFormat="0" applyBorder="0" applyAlignment="0" applyProtection="0"/>
    <xf numFmtId="0" fontId="43" fillId="58" borderId="0" applyNumberFormat="0" applyBorder="0" applyAlignment="0" applyProtection="0"/>
    <xf numFmtId="0" fontId="43" fillId="59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3" fillId="61" borderId="0" applyNumberFormat="0" applyBorder="0" applyAlignment="0" applyProtection="0"/>
    <xf numFmtId="0" fontId="41" fillId="60" borderId="0" applyNumberFormat="0" applyBorder="0" applyAlignment="0" applyProtection="0"/>
    <xf numFmtId="0" fontId="43" fillId="61" borderId="0" applyNumberFormat="0" applyBorder="0" applyAlignment="0" applyProtection="0"/>
    <xf numFmtId="0" fontId="43" fillId="61" borderId="0" applyNumberFormat="0" applyBorder="0" applyAlignment="0" applyProtection="0"/>
    <xf numFmtId="0" fontId="43" fillId="69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3" fillId="66" borderId="0" applyNumberFormat="0" applyBorder="0" applyAlignment="0" applyProtection="0"/>
    <xf numFmtId="0" fontId="41" fillId="67" borderId="0" applyNumberFormat="0" applyBorder="0" applyAlignment="0" applyProtection="0"/>
    <xf numFmtId="0" fontId="43" fillId="66" borderId="0" applyNumberFormat="0" applyBorder="0" applyAlignment="0" applyProtection="0"/>
    <xf numFmtId="0" fontId="43" fillId="66" borderId="0" applyNumberFormat="0" applyBorder="0" applyAlignment="0" applyProtection="0"/>
    <xf numFmtId="0" fontId="43" fillId="70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3" fillId="71" borderId="0" applyNumberFormat="0" applyBorder="0" applyAlignment="0" applyProtection="0"/>
    <xf numFmtId="0" fontId="41" fillId="65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2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65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2" fillId="73" borderId="0" applyNumberFormat="0" applyBorder="0" applyAlignment="0" applyProtection="0"/>
    <xf numFmtId="0" fontId="42" fillId="73" borderId="0" applyNumberFormat="0" applyBorder="0" applyAlignment="0" applyProtection="0"/>
    <xf numFmtId="0" fontId="42" fillId="73" borderId="0" applyNumberFormat="0" applyBorder="0" applyAlignment="0" applyProtection="0"/>
    <xf numFmtId="0" fontId="42" fillId="73" borderId="0" applyNumberFormat="0" applyBorder="0" applyAlignment="0" applyProtection="0"/>
    <xf numFmtId="0" fontId="42" fillId="73" borderId="0" applyNumberFormat="0" applyBorder="0" applyAlignment="0" applyProtection="0"/>
    <xf numFmtId="0" fontId="42" fillId="73" borderId="0" applyNumberFormat="0" applyBorder="0" applyAlignment="0" applyProtection="0"/>
    <xf numFmtId="0" fontId="42" fillId="73" borderId="0" applyNumberFormat="0" applyBorder="0" applyAlignment="0" applyProtection="0"/>
    <xf numFmtId="0" fontId="42" fillId="73" borderId="0" applyNumberFormat="0" applyBorder="0" applyAlignment="0" applyProtection="0"/>
    <xf numFmtId="0" fontId="42" fillId="73" borderId="0" applyNumberFormat="0" applyBorder="0" applyAlignment="0" applyProtection="0"/>
    <xf numFmtId="0" fontId="42" fillId="73" borderId="0" applyNumberFormat="0" applyBorder="0" applyAlignment="0" applyProtection="0"/>
    <xf numFmtId="0" fontId="42" fillId="73" borderId="0" applyNumberFormat="0" applyBorder="0" applyAlignment="0" applyProtection="0"/>
    <xf numFmtId="0" fontId="42" fillId="74" borderId="0" applyNumberFormat="0" applyBorder="0" applyAlignment="0" applyProtection="0"/>
    <xf numFmtId="0" fontId="42" fillId="73" borderId="0" applyNumberFormat="0" applyBorder="0" applyAlignment="0" applyProtection="0"/>
    <xf numFmtId="0" fontId="42" fillId="73" borderId="0" applyNumberFormat="0" applyBorder="0" applyAlignment="0" applyProtection="0"/>
    <xf numFmtId="0" fontId="42" fillId="73" borderId="0" applyNumberFormat="0" applyBorder="0" applyAlignment="0" applyProtection="0"/>
    <xf numFmtId="0" fontId="42" fillId="73" borderId="0" applyNumberFormat="0" applyBorder="0" applyAlignment="0" applyProtection="0"/>
    <xf numFmtId="0" fontId="42" fillId="73" borderId="0" applyNumberFormat="0" applyBorder="0" applyAlignment="0" applyProtection="0"/>
    <xf numFmtId="0" fontId="42" fillId="73" borderId="0" applyNumberFormat="0" applyBorder="0" applyAlignment="0" applyProtection="0"/>
    <xf numFmtId="0" fontId="42" fillId="73" borderId="0" applyNumberFormat="0" applyBorder="0" applyAlignment="0" applyProtection="0"/>
    <xf numFmtId="0" fontId="42" fillId="73" borderId="0" applyNumberFormat="0" applyBorder="0" applyAlignment="0" applyProtection="0"/>
    <xf numFmtId="0" fontId="42" fillId="73" borderId="0" applyNumberFormat="0" applyBorder="0" applyAlignment="0" applyProtection="0"/>
    <xf numFmtId="0" fontId="42" fillId="73" borderId="0" applyNumberFormat="0" applyBorder="0" applyAlignment="0" applyProtection="0"/>
    <xf numFmtId="0" fontId="42" fillId="73" borderId="0" applyNumberFormat="0" applyBorder="0" applyAlignment="0" applyProtection="0"/>
    <xf numFmtId="0" fontId="42" fillId="73" borderId="0" applyNumberFormat="0" applyBorder="0" applyAlignment="0" applyProtection="0"/>
    <xf numFmtId="0" fontId="42" fillId="73" borderId="0" applyNumberFormat="0" applyBorder="0" applyAlignment="0" applyProtection="0"/>
    <xf numFmtId="0" fontId="42" fillId="73" borderId="0" applyNumberFormat="0" applyBorder="0" applyAlignment="0" applyProtection="0"/>
    <xf numFmtId="0" fontId="42" fillId="73" borderId="0" applyNumberFormat="0" applyBorder="0" applyAlignment="0" applyProtection="0"/>
    <xf numFmtId="0" fontId="42" fillId="73" borderId="0" applyNumberFormat="0" applyBorder="0" applyAlignment="0" applyProtection="0"/>
    <xf numFmtId="0" fontId="42" fillId="73" borderId="0" applyNumberFormat="0" applyBorder="0" applyAlignment="0" applyProtection="0"/>
    <xf numFmtId="0" fontId="42" fillId="73" borderId="0" applyNumberFormat="0" applyBorder="0" applyAlignment="0" applyProtection="0"/>
    <xf numFmtId="0" fontId="42" fillId="73" borderId="0" applyNumberFormat="0" applyBorder="0" applyAlignment="0" applyProtection="0"/>
    <xf numFmtId="0" fontId="42" fillId="73" borderId="0" applyNumberFormat="0" applyBorder="0" applyAlignment="0" applyProtection="0"/>
    <xf numFmtId="0" fontId="42" fillId="73" borderId="0" applyNumberFormat="0" applyBorder="0" applyAlignment="0" applyProtection="0"/>
    <xf numFmtId="0" fontId="42" fillId="73" borderId="0" applyNumberFormat="0" applyBorder="0" applyAlignment="0" applyProtection="0"/>
    <xf numFmtId="0" fontId="42" fillId="73" borderId="0" applyNumberFormat="0" applyBorder="0" applyAlignment="0" applyProtection="0"/>
    <xf numFmtId="0" fontId="42" fillId="73" borderId="0" applyNumberFormat="0" applyBorder="0" applyAlignment="0" applyProtection="0"/>
    <xf numFmtId="0" fontId="42" fillId="73" borderId="0" applyNumberFormat="0" applyBorder="0" applyAlignment="0" applyProtection="0"/>
    <xf numFmtId="0" fontId="42" fillId="73" borderId="0" applyNumberFormat="0" applyBorder="0" applyAlignment="0" applyProtection="0"/>
    <xf numFmtId="0" fontId="42" fillId="73" borderId="0" applyNumberFormat="0" applyBorder="0" applyAlignment="0" applyProtection="0"/>
    <xf numFmtId="0" fontId="42" fillId="73" borderId="0" applyNumberFormat="0" applyBorder="0" applyAlignment="0" applyProtection="0"/>
    <xf numFmtId="0" fontId="42" fillId="73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3" borderId="0" applyNumberFormat="0" applyBorder="0" applyAlignment="0" applyProtection="0"/>
    <xf numFmtId="0" fontId="42" fillId="73" borderId="0" applyNumberFormat="0" applyBorder="0" applyAlignment="0" applyProtection="0"/>
    <xf numFmtId="0" fontId="42" fillId="73" borderId="0" applyNumberFormat="0" applyBorder="0" applyAlignment="0" applyProtection="0"/>
    <xf numFmtId="0" fontId="42" fillId="73" borderId="0" applyNumberFormat="0" applyBorder="0" applyAlignment="0" applyProtection="0"/>
    <xf numFmtId="0" fontId="42" fillId="73" borderId="0" applyNumberFormat="0" applyBorder="0" applyAlignment="0" applyProtection="0"/>
    <xf numFmtId="0" fontId="42" fillId="76" borderId="0" applyNumberFormat="0" applyBorder="0" applyAlignment="0" applyProtection="0"/>
    <xf numFmtId="0" fontId="42" fillId="76" borderId="0" applyNumberFormat="0" applyBorder="0" applyAlignment="0" applyProtection="0"/>
    <xf numFmtId="0" fontId="42" fillId="76" borderId="0" applyNumberFormat="0" applyBorder="0" applyAlignment="0" applyProtection="0"/>
    <xf numFmtId="0" fontId="42" fillId="76" borderId="0" applyNumberFormat="0" applyBorder="0" applyAlignment="0" applyProtection="0"/>
    <xf numFmtId="0" fontId="42" fillId="76" borderId="0" applyNumberFormat="0" applyBorder="0" applyAlignment="0" applyProtection="0"/>
    <xf numFmtId="0" fontId="42" fillId="76" borderId="0" applyNumberFormat="0" applyBorder="0" applyAlignment="0" applyProtection="0"/>
    <xf numFmtId="0" fontId="42" fillId="76" borderId="0" applyNumberFormat="0" applyBorder="0" applyAlignment="0" applyProtection="0"/>
    <xf numFmtId="0" fontId="42" fillId="76" borderId="0" applyNumberFormat="0" applyBorder="0" applyAlignment="0" applyProtection="0"/>
    <xf numFmtId="0" fontId="42" fillId="76" borderId="0" applyNumberFormat="0" applyBorder="0" applyAlignment="0" applyProtection="0"/>
    <xf numFmtId="0" fontId="42" fillId="76" borderId="0" applyNumberFormat="0" applyBorder="0" applyAlignment="0" applyProtection="0"/>
    <xf numFmtId="0" fontId="42" fillId="76" borderId="0" applyNumberFormat="0" applyBorder="0" applyAlignment="0" applyProtection="0"/>
    <xf numFmtId="0" fontId="42" fillId="54" borderId="0" applyNumberFormat="0" applyBorder="0" applyAlignment="0" applyProtection="0"/>
    <xf numFmtId="0" fontId="42" fillId="76" borderId="0" applyNumberFormat="0" applyBorder="0" applyAlignment="0" applyProtection="0"/>
    <xf numFmtId="0" fontId="42" fillId="76" borderId="0" applyNumberFormat="0" applyBorder="0" applyAlignment="0" applyProtection="0"/>
    <xf numFmtId="0" fontId="42" fillId="76" borderId="0" applyNumberFormat="0" applyBorder="0" applyAlignment="0" applyProtection="0"/>
    <xf numFmtId="0" fontId="42" fillId="76" borderId="0" applyNumberFormat="0" applyBorder="0" applyAlignment="0" applyProtection="0"/>
    <xf numFmtId="0" fontId="42" fillId="76" borderId="0" applyNumberFormat="0" applyBorder="0" applyAlignment="0" applyProtection="0"/>
    <xf numFmtId="0" fontId="42" fillId="76" borderId="0" applyNumberFormat="0" applyBorder="0" applyAlignment="0" applyProtection="0"/>
    <xf numFmtId="0" fontId="42" fillId="76" borderId="0" applyNumberFormat="0" applyBorder="0" applyAlignment="0" applyProtection="0"/>
    <xf numFmtId="0" fontId="42" fillId="76" borderId="0" applyNumberFormat="0" applyBorder="0" applyAlignment="0" applyProtection="0"/>
    <xf numFmtId="0" fontId="42" fillId="76" borderId="0" applyNumberFormat="0" applyBorder="0" applyAlignment="0" applyProtection="0"/>
    <xf numFmtId="0" fontId="42" fillId="76" borderId="0" applyNumberFormat="0" applyBorder="0" applyAlignment="0" applyProtection="0"/>
    <xf numFmtId="0" fontId="42" fillId="76" borderId="0" applyNumberFormat="0" applyBorder="0" applyAlignment="0" applyProtection="0"/>
    <xf numFmtId="0" fontId="42" fillId="76" borderId="0" applyNumberFormat="0" applyBorder="0" applyAlignment="0" applyProtection="0"/>
    <xf numFmtId="0" fontId="42" fillId="76" borderId="0" applyNumberFormat="0" applyBorder="0" applyAlignment="0" applyProtection="0"/>
    <xf numFmtId="0" fontId="42" fillId="76" borderId="0" applyNumberFormat="0" applyBorder="0" applyAlignment="0" applyProtection="0"/>
    <xf numFmtId="0" fontId="42" fillId="76" borderId="0" applyNumberFormat="0" applyBorder="0" applyAlignment="0" applyProtection="0"/>
    <xf numFmtId="0" fontId="42" fillId="76" borderId="0" applyNumberFormat="0" applyBorder="0" applyAlignment="0" applyProtection="0"/>
    <xf numFmtId="0" fontId="42" fillId="76" borderId="0" applyNumberFormat="0" applyBorder="0" applyAlignment="0" applyProtection="0"/>
    <xf numFmtId="0" fontId="42" fillId="76" borderId="0" applyNumberFormat="0" applyBorder="0" applyAlignment="0" applyProtection="0"/>
    <xf numFmtId="0" fontId="42" fillId="76" borderId="0" applyNumberFormat="0" applyBorder="0" applyAlignment="0" applyProtection="0"/>
    <xf numFmtId="0" fontId="42" fillId="76" borderId="0" applyNumberFormat="0" applyBorder="0" applyAlignment="0" applyProtection="0"/>
    <xf numFmtId="0" fontId="42" fillId="76" borderId="0" applyNumberFormat="0" applyBorder="0" applyAlignment="0" applyProtection="0"/>
    <xf numFmtId="0" fontId="42" fillId="76" borderId="0" applyNumberFormat="0" applyBorder="0" applyAlignment="0" applyProtection="0"/>
    <xf numFmtId="0" fontId="42" fillId="76" borderId="0" applyNumberFormat="0" applyBorder="0" applyAlignment="0" applyProtection="0"/>
    <xf numFmtId="0" fontId="42" fillId="76" borderId="0" applyNumberFormat="0" applyBorder="0" applyAlignment="0" applyProtection="0"/>
    <xf numFmtId="0" fontId="42" fillId="76" borderId="0" applyNumberFormat="0" applyBorder="0" applyAlignment="0" applyProtection="0"/>
    <xf numFmtId="0" fontId="42" fillId="76" borderId="0" applyNumberFormat="0" applyBorder="0" applyAlignment="0" applyProtection="0"/>
    <xf numFmtId="0" fontId="42" fillId="76" borderId="0" applyNumberFormat="0" applyBorder="0" applyAlignment="0" applyProtection="0"/>
    <xf numFmtId="0" fontId="42" fillId="76" borderId="0" applyNumberFormat="0" applyBorder="0" applyAlignment="0" applyProtection="0"/>
    <xf numFmtId="0" fontId="42" fillId="76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6" borderId="0" applyNumberFormat="0" applyBorder="0" applyAlignment="0" applyProtection="0"/>
    <xf numFmtId="0" fontId="42" fillId="76" borderId="0" applyNumberFormat="0" applyBorder="0" applyAlignment="0" applyProtection="0"/>
    <xf numFmtId="0" fontId="42" fillId="76" borderId="0" applyNumberFormat="0" applyBorder="0" applyAlignment="0" applyProtection="0"/>
    <xf numFmtId="0" fontId="42" fillId="76" borderId="0" applyNumberFormat="0" applyBorder="0" applyAlignment="0" applyProtection="0"/>
    <xf numFmtId="0" fontId="42" fillId="76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66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9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3" fillId="80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3" fillId="80" borderId="0" applyNumberFormat="0" applyBorder="0" applyAlignment="0" applyProtection="0"/>
    <xf numFmtId="0" fontId="41" fillId="14" borderId="0" applyNumberFormat="0" applyBorder="0" applyAlignment="0" applyProtection="0"/>
    <xf numFmtId="0" fontId="43" fillId="80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3" fillId="80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3" fillId="80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3" fillId="80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3" fillId="81" borderId="0" applyNumberFormat="0" applyBorder="0" applyAlignment="0" applyProtection="0"/>
    <xf numFmtId="0" fontId="43" fillId="81" borderId="0" applyNumberFormat="0" applyBorder="0" applyAlignment="0" applyProtection="0"/>
    <xf numFmtId="0" fontId="43" fillId="81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3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42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86" borderId="0" applyNumberFormat="0" applyBorder="0" applyAlignment="0" applyProtection="0"/>
    <xf numFmtId="0" fontId="42" fillId="86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7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8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1" fillId="89" borderId="0" applyNumberFormat="0" applyBorder="0" applyAlignment="0" applyProtection="0"/>
    <xf numFmtId="0" fontId="41" fillId="89" borderId="0" applyNumberFormat="0" applyBorder="0" applyAlignment="0" applyProtection="0"/>
    <xf numFmtId="0" fontId="41" fillId="89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89" borderId="0" applyNumberFormat="0" applyBorder="0" applyAlignment="0" applyProtection="0"/>
    <xf numFmtId="0" fontId="41" fillId="89" borderId="0" applyNumberFormat="0" applyBorder="0" applyAlignment="0" applyProtection="0"/>
    <xf numFmtId="0" fontId="41" fillId="89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89" borderId="0" applyNumberFormat="0" applyBorder="0" applyAlignment="0" applyProtection="0"/>
    <xf numFmtId="0" fontId="43" fillId="90" borderId="0" applyNumberFormat="0" applyBorder="0" applyAlignment="0" applyProtection="0"/>
    <xf numFmtId="0" fontId="41" fillId="89" borderId="0" applyNumberFormat="0" applyBorder="0" applyAlignment="0" applyProtection="0"/>
    <xf numFmtId="0" fontId="41" fillId="89" borderId="0" applyNumberFormat="0" applyBorder="0" applyAlignment="0" applyProtection="0"/>
    <xf numFmtId="0" fontId="43" fillId="90" borderId="0" applyNumberFormat="0" applyBorder="0" applyAlignment="0" applyProtection="0"/>
    <xf numFmtId="0" fontId="41" fillId="89" borderId="0" applyNumberFormat="0" applyBorder="0" applyAlignment="0" applyProtection="0"/>
    <xf numFmtId="0" fontId="43" fillId="90" borderId="0" applyNumberFormat="0" applyBorder="0" applyAlignment="0" applyProtection="0"/>
    <xf numFmtId="0" fontId="41" fillId="89" borderId="0" applyNumberFormat="0" applyBorder="0" applyAlignment="0" applyProtection="0"/>
    <xf numFmtId="0" fontId="41" fillId="89" borderId="0" applyNumberFormat="0" applyBorder="0" applyAlignment="0" applyProtection="0"/>
    <xf numFmtId="0" fontId="43" fillId="90" borderId="0" applyNumberFormat="0" applyBorder="0" applyAlignment="0" applyProtection="0"/>
    <xf numFmtId="0" fontId="41" fillId="89" borderId="0" applyNumberFormat="0" applyBorder="0" applyAlignment="0" applyProtection="0"/>
    <xf numFmtId="0" fontId="41" fillId="89" borderId="0" applyNumberFormat="0" applyBorder="0" applyAlignment="0" applyProtection="0"/>
    <xf numFmtId="0" fontId="43" fillId="90" borderId="0" applyNumberFormat="0" applyBorder="0" applyAlignment="0" applyProtection="0"/>
    <xf numFmtId="0" fontId="41" fillId="89" borderId="0" applyNumberFormat="0" applyBorder="0" applyAlignment="0" applyProtection="0"/>
    <xf numFmtId="0" fontId="41" fillId="89" borderId="0" applyNumberFormat="0" applyBorder="0" applyAlignment="0" applyProtection="0"/>
    <xf numFmtId="0" fontId="41" fillId="89" borderId="0" applyNumberFormat="0" applyBorder="0" applyAlignment="0" applyProtection="0"/>
    <xf numFmtId="0" fontId="41" fillId="89" borderId="0" applyNumberFormat="0" applyBorder="0" applyAlignment="0" applyProtection="0"/>
    <xf numFmtId="0" fontId="43" fillId="90" borderId="0" applyNumberFormat="0" applyBorder="0" applyAlignment="0" applyProtection="0"/>
    <xf numFmtId="0" fontId="41" fillId="89" borderId="0" applyNumberFormat="0" applyBorder="0" applyAlignment="0" applyProtection="0"/>
    <xf numFmtId="0" fontId="41" fillId="89" borderId="0" applyNumberFormat="0" applyBorder="0" applyAlignment="0" applyProtection="0"/>
    <xf numFmtId="0" fontId="41" fillId="89" borderId="0" applyNumberFormat="0" applyBorder="0" applyAlignment="0" applyProtection="0"/>
    <xf numFmtId="0" fontId="41" fillId="89" borderId="0" applyNumberFormat="0" applyBorder="0" applyAlignment="0" applyProtection="0"/>
    <xf numFmtId="0" fontId="41" fillId="89" borderId="0" applyNumberFormat="0" applyBorder="0" applyAlignment="0" applyProtection="0"/>
    <xf numFmtId="0" fontId="41" fillId="89" borderId="0" applyNumberFormat="0" applyBorder="0" applyAlignment="0" applyProtection="0"/>
    <xf numFmtId="0" fontId="41" fillId="89" borderId="0" applyNumberFormat="0" applyBorder="0" applyAlignment="0" applyProtection="0"/>
    <xf numFmtId="0" fontId="41" fillId="89" borderId="0" applyNumberFormat="0" applyBorder="0" applyAlignment="0" applyProtection="0"/>
    <xf numFmtId="0" fontId="41" fillId="89" borderId="0" applyNumberFormat="0" applyBorder="0" applyAlignment="0" applyProtection="0"/>
    <xf numFmtId="0" fontId="41" fillId="89" borderId="0" applyNumberFormat="0" applyBorder="0" applyAlignment="0" applyProtection="0"/>
    <xf numFmtId="0" fontId="41" fillId="89" borderId="0" applyNumberFormat="0" applyBorder="0" applyAlignment="0" applyProtection="0"/>
    <xf numFmtId="0" fontId="41" fillId="89" borderId="0" applyNumberFormat="0" applyBorder="0" applyAlignment="0" applyProtection="0"/>
    <xf numFmtId="0" fontId="43" fillId="91" borderId="0" applyNumberFormat="0" applyBorder="0" applyAlignment="0" applyProtection="0"/>
    <xf numFmtId="0" fontId="43" fillId="91" borderId="0" applyNumberFormat="0" applyBorder="0" applyAlignment="0" applyProtection="0"/>
    <xf numFmtId="0" fontId="43" fillId="91" borderId="0" applyNumberFormat="0" applyBorder="0" applyAlignment="0" applyProtection="0"/>
    <xf numFmtId="0" fontId="41" fillId="89" borderId="0" applyNumberFormat="0" applyBorder="0" applyAlignment="0" applyProtection="0"/>
    <xf numFmtId="0" fontId="41" fillId="89" borderId="0" applyNumberFormat="0" applyBorder="0" applyAlignment="0" applyProtection="0"/>
    <xf numFmtId="0" fontId="41" fillId="89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2" fillId="92" borderId="0" applyNumberFormat="0" applyBorder="0" applyAlignment="0" applyProtection="0"/>
    <xf numFmtId="0" fontId="42" fillId="92" borderId="0" applyNumberFormat="0" applyBorder="0" applyAlignment="0" applyProtection="0"/>
    <xf numFmtId="0" fontId="42" fillId="92" borderId="0" applyNumberFormat="0" applyBorder="0" applyAlignment="0" applyProtection="0"/>
    <xf numFmtId="0" fontId="42" fillId="92" borderId="0" applyNumberFormat="0" applyBorder="0" applyAlignment="0" applyProtection="0"/>
    <xf numFmtId="0" fontId="42" fillId="92" borderId="0" applyNumberFormat="0" applyBorder="0" applyAlignment="0" applyProtection="0"/>
    <xf numFmtId="0" fontId="42" fillId="92" borderId="0" applyNumberFormat="0" applyBorder="0" applyAlignment="0" applyProtection="0"/>
    <xf numFmtId="0" fontId="42" fillId="92" borderId="0" applyNumberFormat="0" applyBorder="0" applyAlignment="0" applyProtection="0"/>
    <xf numFmtId="0" fontId="42" fillId="92" borderId="0" applyNumberFormat="0" applyBorder="0" applyAlignment="0" applyProtection="0"/>
    <xf numFmtId="0" fontId="42" fillId="92" borderId="0" applyNumberFormat="0" applyBorder="0" applyAlignment="0" applyProtection="0"/>
    <xf numFmtId="0" fontId="42" fillId="92" borderId="0" applyNumberFormat="0" applyBorder="0" applyAlignment="0" applyProtection="0"/>
    <xf numFmtId="0" fontId="42" fillId="92" borderId="0" applyNumberFormat="0" applyBorder="0" applyAlignment="0" applyProtection="0"/>
    <xf numFmtId="0" fontId="42" fillId="93" borderId="0" applyNumberFormat="0" applyBorder="0" applyAlignment="0" applyProtection="0"/>
    <xf numFmtId="0" fontId="42" fillId="92" borderId="0" applyNumberFormat="0" applyBorder="0" applyAlignment="0" applyProtection="0"/>
    <xf numFmtId="0" fontId="42" fillId="92" borderId="0" applyNumberFormat="0" applyBorder="0" applyAlignment="0" applyProtection="0"/>
    <xf numFmtId="0" fontId="42" fillId="92" borderId="0" applyNumberFormat="0" applyBorder="0" applyAlignment="0" applyProtection="0"/>
    <xf numFmtId="0" fontId="42" fillId="92" borderId="0" applyNumberFormat="0" applyBorder="0" applyAlignment="0" applyProtection="0"/>
    <xf numFmtId="0" fontId="42" fillId="92" borderId="0" applyNumberFormat="0" applyBorder="0" applyAlignment="0" applyProtection="0"/>
    <xf numFmtId="0" fontId="42" fillId="92" borderId="0" applyNumberFormat="0" applyBorder="0" applyAlignment="0" applyProtection="0"/>
    <xf numFmtId="0" fontId="42" fillId="92" borderId="0" applyNumberFormat="0" applyBorder="0" applyAlignment="0" applyProtection="0"/>
    <xf numFmtId="0" fontId="42" fillId="92" borderId="0" applyNumberFormat="0" applyBorder="0" applyAlignment="0" applyProtection="0"/>
    <xf numFmtId="0" fontId="42" fillId="92" borderId="0" applyNumberFormat="0" applyBorder="0" applyAlignment="0" applyProtection="0"/>
    <xf numFmtId="0" fontId="42" fillId="92" borderId="0" applyNumberFormat="0" applyBorder="0" applyAlignment="0" applyProtection="0"/>
    <xf numFmtId="0" fontId="42" fillId="92" borderId="0" applyNumberFormat="0" applyBorder="0" applyAlignment="0" applyProtection="0"/>
    <xf numFmtId="0" fontId="42" fillId="92" borderId="0" applyNumberFormat="0" applyBorder="0" applyAlignment="0" applyProtection="0"/>
    <xf numFmtId="0" fontId="42" fillId="92" borderId="0" applyNumberFormat="0" applyBorder="0" applyAlignment="0" applyProtection="0"/>
    <xf numFmtId="0" fontId="42" fillId="92" borderId="0" applyNumberFormat="0" applyBorder="0" applyAlignment="0" applyProtection="0"/>
    <xf numFmtId="0" fontId="42" fillId="92" borderId="0" applyNumberFormat="0" applyBorder="0" applyAlignment="0" applyProtection="0"/>
    <xf numFmtId="0" fontId="42" fillId="92" borderId="0" applyNumberFormat="0" applyBorder="0" applyAlignment="0" applyProtection="0"/>
    <xf numFmtId="0" fontId="42" fillId="92" borderId="0" applyNumberFormat="0" applyBorder="0" applyAlignment="0" applyProtection="0"/>
    <xf numFmtId="0" fontId="42" fillId="92" borderId="0" applyNumberFormat="0" applyBorder="0" applyAlignment="0" applyProtection="0"/>
    <xf numFmtId="0" fontId="42" fillId="92" borderId="0" applyNumberFormat="0" applyBorder="0" applyAlignment="0" applyProtection="0"/>
    <xf numFmtId="0" fontId="42" fillId="92" borderId="0" applyNumberFormat="0" applyBorder="0" applyAlignment="0" applyProtection="0"/>
    <xf numFmtId="0" fontId="42" fillId="92" borderId="0" applyNumberFormat="0" applyBorder="0" applyAlignment="0" applyProtection="0"/>
    <xf numFmtId="0" fontId="42" fillId="92" borderId="0" applyNumberFormat="0" applyBorder="0" applyAlignment="0" applyProtection="0"/>
    <xf numFmtId="0" fontId="42" fillId="92" borderId="0" applyNumberFormat="0" applyBorder="0" applyAlignment="0" applyProtection="0"/>
    <xf numFmtId="0" fontId="42" fillId="92" borderId="0" applyNumberFormat="0" applyBorder="0" applyAlignment="0" applyProtection="0"/>
    <xf numFmtId="0" fontId="42" fillId="92" borderId="0" applyNumberFormat="0" applyBorder="0" applyAlignment="0" applyProtection="0"/>
    <xf numFmtId="0" fontId="42" fillId="92" borderId="0" applyNumberFormat="0" applyBorder="0" applyAlignment="0" applyProtection="0"/>
    <xf numFmtId="0" fontId="42" fillId="92" borderId="0" applyNumberFormat="0" applyBorder="0" applyAlignment="0" applyProtection="0"/>
    <xf numFmtId="0" fontId="42" fillId="92" borderId="0" applyNumberFormat="0" applyBorder="0" applyAlignment="0" applyProtection="0"/>
    <xf numFmtId="0" fontId="42" fillId="92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2" borderId="0" applyNumberFormat="0" applyBorder="0" applyAlignment="0" applyProtection="0"/>
    <xf numFmtId="0" fontId="42" fillId="92" borderId="0" applyNumberFormat="0" applyBorder="0" applyAlignment="0" applyProtection="0"/>
    <xf numFmtId="0" fontId="42" fillId="92" borderId="0" applyNumberFormat="0" applyBorder="0" applyAlignment="0" applyProtection="0"/>
    <xf numFmtId="0" fontId="42" fillId="92" borderId="0" applyNumberFormat="0" applyBorder="0" applyAlignment="0" applyProtection="0"/>
    <xf numFmtId="0" fontId="42" fillId="92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6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3" fillId="97" borderId="0" applyNumberFormat="0" applyBorder="0" applyAlignment="0" applyProtection="0"/>
    <xf numFmtId="0" fontId="43" fillId="97" borderId="0" applyNumberFormat="0" applyBorder="0" applyAlignment="0" applyProtection="0"/>
    <xf numFmtId="0" fontId="43" fillId="97" borderId="0" applyNumberFormat="0" applyBorder="0" applyAlignment="0" applyProtection="0"/>
    <xf numFmtId="0" fontId="43" fillId="97" borderId="0" applyNumberFormat="0" applyBorder="0" applyAlignment="0" applyProtection="0"/>
    <xf numFmtId="0" fontId="43" fillId="97" borderId="0" applyNumberFormat="0" applyBorder="0" applyAlignment="0" applyProtection="0"/>
    <xf numFmtId="0" fontId="43" fillId="97" borderId="0" applyNumberFormat="0" applyBorder="0" applyAlignment="0" applyProtection="0"/>
    <xf numFmtId="0" fontId="43" fillId="97" borderId="0" applyNumberFormat="0" applyBorder="0" applyAlignment="0" applyProtection="0"/>
    <xf numFmtId="0" fontId="43" fillId="97" borderId="0" applyNumberFormat="0" applyBorder="0" applyAlignment="0" applyProtection="0"/>
    <xf numFmtId="0" fontId="43" fillId="97" borderId="0" applyNumberFormat="0" applyBorder="0" applyAlignment="0" applyProtection="0"/>
    <xf numFmtId="0" fontId="43" fillId="97" borderId="0" applyNumberFormat="0" applyBorder="0" applyAlignment="0" applyProtection="0"/>
    <xf numFmtId="0" fontId="43" fillId="97" borderId="0" applyNumberFormat="0" applyBorder="0" applyAlignment="0" applyProtection="0"/>
    <xf numFmtId="0" fontId="43" fillId="45" borderId="0" applyNumberFormat="0" applyBorder="0" applyAlignment="0" applyProtection="0"/>
    <xf numFmtId="0" fontId="43" fillId="97" borderId="0" applyNumberFormat="0" applyBorder="0" applyAlignment="0" applyProtection="0"/>
    <xf numFmtId="0" fontId="43" fillId="97" borderId="0" applyNumberFormat="0" applyBorder="0" applyAlignment="0" applyProtection="0"/>
    <xf numFmtId="0" fontId="43" fillId="97" borderId="0" applyNumberFormat="0" applyBorder="0" applyAlignment="0" applyProtection="0"/>
    <xf numFmtId="0" fontId="43" fillId="97" borderId="0" applyNumberFormat="0" applyBorder="0" applyAlignment="0" applyProtection="0"/>
    <xf numFmtId="0" fontId="43" fillId="97" borderId="0" applyNumberFormat="0" applyBorder="0" applyAlignment="0" applyProtection="0"/>
    <xf numFmtId="0" fontId="43" fillId="97" borderId="0" applyNumberFormat="0" applyBorder="0" applyAlignment="0" applyProtection="0"/>
    <xf numFmtId="0" fontId="43" fillId="97" borderId="0" applyNumberFormat="0" applyBorder="0" applyAlignment="0" applyProtection="0"/>
    <xf numFmtId="0" fontId="43" fillId="97" borderId="0" applyNumberFormat="0" applyBorder="0" applyAlignment="0" applyProtection="0"/>
    <xf numFmtId="0" fontId="43" fillId="97" borderId="0" applyNumberFormat="0" applyBorder="0" applyAlignment="0" applyProtection="0"/>
    <xf numFmtId="0" fontId="43" fillId="97" borderId="0" applyNumberFormat="0" applyBorder="0" applyAlignment="0" applyProtection="0"/>
    <xf numFmtId="0" fontId="43" fillId="97" borderId="0" applyNumberFormat="0" applyBorder="0" applyAlignment="0" applyProtection="0"/>
    <xf numFmtId="0" fontId="43" fillId="97" borderId="0" applyNumberFormat="0" applyBorder="0" applyAlignment="0" applyProtection="0"/>
    <xf numFmtId="0" fontId="43" fillId="97" borderId="0" applyNumberFormat="0" applyBorder="0" applyAlignment="0" applyProtection="0"/>
    <xf numFmtId="0" fontId="43" fillId="97" borderId="0" applyNumberFormat="0" applyBorder="0" applyAlignment="0" applyProtection="0"/>
    <xf numFmtId="0" fontId="43" fillId="97" borderId="0" applyNumberFormat="0" applyBorder="0" applyAlignment="0" applyProtection="0"/>
    <xf numFmtId="0" fontId="43" fillId="97" borderId="0" applyNumberFormat="0" applyBorder="0" applyAlignment="0" applyProtection="0"/>
    <xf numFmtId="0" fontId="43" fillId="97" borderId="0" applyNumberFormat="0" applyBorder="0" applyAlignment="0" applyProtection="0"/>
    <xf numFmtId="0" fontId="43" fillId="97" borderId="0" applyNumberFormat="0" applyBorder="0" applyAlignment="0" applyProtection="0"/>
    <xf numFmtId="0" fontId="43" fillId="97" borderId="0" applyNumberFormat="0" applyBorder="0" applyAlignment="0" applyProtection="0"/>
    <xf numFmtId="0" fontId="43" fillId="97" borderId="0" applyNumberFormat="0" applyBorder="0" applyAlignment="0" applyProtection="0"/>
    <xf numFmtId="0" fontId="43" fillId="97" borderId="0" applyNumberFormat="0" applyBorder="0" applyAlignment="0" applyProtection="0"/>
    <xf numFmtId="0" fontId="43" fillId="97" borderId="0" applyNumberFormat="0" applyBorder="0" applyAlignment="0" applyProtection="0"/>
    <xf numFmtId="0" fontId="43" fillId="97" borderId="0" applyNumberFormat="0" applyBorder="0" applyAlignment="0" applyProtection="0"/>
    <xf numFmtId="0" fontId="43" fillId="97" borderId="0" applyNumberFormat="0" applyBorder="0" applyAlignment="0" applyProtection="0"/>
    <xf numFmtId="0" fontId="43" fillId="97" borderId="0" applyNumberFormat="0" applyBorder="0" applyAlignment="0" applyProtection="0"/>
    <xf numFmtId="0" fontId="43" fillId="97" borderId="0" applyNumberFormat="0" applyBorder="0" applyAlignment="0" applyProtection="0"/>
    <xf numFmtId="0" fontId="43" fillId="97" borderId="0" applyNumberFormat="0" applyBorder="0" applyAlignment="0" applyProtection="0"/>
    <xf numFmtId="0" fontId="43" fillId="97" borderId="0" applyNumberFormat="0" applyBorder="0" applyAlignment="0" applyProtection="0"/>
    <xf numFmtId="0" fontId="43" fillId="97" borderId="0" applyNumberFormat="0" applyBorder="0" applyAlignment="0" applyProtection="0"/>
    <xf numFmtId="0" fontId="43" fillId="76" borderId="0" applyNumberFormat="0" applyBorder="0" applyAlignment="0" applyProtection="0"/>
    <xf numFmtId="0" fontId="43" fillId="97" borderId="0" applyNumberFormat="0" applyBorder="0" applyAlignment="0" applyProtection="0"/>
    <xf numFmtId="0" fontId="43" fillId="97" borderId="0" applyNumberFormat="0" applyBorder="0" applyAlignment="0" applyProtection="0"/>
    <xf numFmtId="0" fontId="43" fillId="97" borderId="0" applyNumberFormat="0" applyBorder="0" applyAlignment="0" applyProtection="0"/>
    <xf numFmtId="0" fontId="43" fillId="97" borderId="0" applyNumberFormat="0" applyBorder="0" applyAlignment="0" applyProtection="0"/>
    <xf numFmtId="0" fontId="43" fillId="97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3" fillId="98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3" fillId="98" borderId="0" applyNumberFormat="0" applyBorder="0" applyAlignment="0" applyProtection="0"/>
    <xf numFmtId="0" fontId="41" fillId="22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1" fillId="22" borderId="0" applyNumberFormat="0" applyBorder="0" applyAlignment="0" applyProtection="0"/>
    <xf numFmtId="0" fontId="43" fillId="98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3" fillId="98" borderId="0" applyNumberFormat="0" applyBorder="0" applyAlignment="0" applyProtection="0"/>
    <xf numFmtId="0" fontId="41" fillId="22" borderId="0" applyNumberFormat="0" applyBorder="0" applyAlignment="0" applyProtection="0"/>
    <xf numFmtId="0" fontId="43" fillId="88" borderId="0" applyNumberFormat="0" applyBorder="0" applyAlignment="0" applyProtection="0"/>
    <xf numFmtId="0" fontId="43" fillId="88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3" fillId="88" borderId="0" applyNumberFormat="0" applyBorder="0" applyAlignment="0" applyProtection="0"/>
    <xf numFmtId="0" fontId="43" fillId="88" borderId="0" applyNumberFormat="0" applyBorder="0" applyAlignment="0" applyProtection="0"/>
    <xf numFmtId="0" fontId="43" fillId="88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3" fillId="98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3" fillId="98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3" fillId="98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3" fillId="98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3" fillId="98" borderId="0" applyNumberFormat="0" applyBorder="0" applyAlignment="0" applyProtection="0"/>
    <xf numFmtId="0" fontId="43" fillId="58" borderId="0" applyNumberFormat="0" applyBorder="0" applyAlignment="0" applyProtection="0"/>
    <xf numFmtId="0" fontId="43" fillId="58" borderId="0" applyNumberFormat="0" applyBorder="0" applyAlignment="0" applyProtection="0"/>
    <xf numFmtId="0" fontId="43" fillId="58" borderId="0" applyNumberFormat="0" applyBorder="0" applyAlignment="0" applyProtection="0"/>
    <xf numFmtId="0" fontId="43" fillId="98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3" fillId="98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3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2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99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76" borderId="0" applyNumberFormat="0" applyBorder="0" applyAlignment="0" applyProtection="0"/>
    <xf numFmtId="0" fontId="42" fillId="76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42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76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1" fillId="100" borderId="0" applyNumberFormat="0" applyBorder="0" applyAlignment="0" applyProtection="0"/>
    <xf numFmtId="0" fontId="41" fillId="100" borderId="0" applyNumberFormat="0" applyBorder="0" applyAlignment="0" applyProtection="0"/>
    <xf numFmtId="0" fontId="41" fillId="100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3" fillId="101" borderId="0" applyNumberFormat="0" applyBorder="0" applyAlignment="0" applyProtection="0"/>
    <xf numFmtId="0" fontId="41" fillId="100" borderId="0" applyNumberFormat="0" applyBorder="0" applyAlignment="0" applyProtection="0"/>
    <xf numFmtId="0" fontId="41" fillId="100" borderId="0" applyNumberFormat="0" applyBorder="0" applyAlignment="0" applyProtection="0"/>
    <xf numFmtId="0" fontId="41" fillId="100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3" fillId="101" borderId="0" applyNumberFormat="0" applyBorder="0" applyAlignment="0" applyProtection="0"/>
    <xf numFmtId="0" fontId="41" fillId="26" borderId="0" applyNumberFormat="0" applyBorder="0" applyAlignment="0" applyProtection="0"/>
    <xf numFmtId="0" fontId="43" fillId="101" borderId="0" applyNumberFormat="0" applyBorder="0" applyAlignment="0" applyProtection="0"/>
    <xf numFmtId="0" fontId="43" fillId="101" borderId="0" applyNumberFormat="0" applyBorder="0" applyAlignment="0" applyProtection="0"/>
    <xf numFmtId="0" fontId="43" fillId="101" borderId="0" applyNumberFormat="0" applyBorder="0" applyAlignment="0" applyProtection="0"/>
    <xf numFmtId="0" fontId="43" fillId="101" borderId="0" applyNumberFormat="0" applyBorder="0" applyAlignment="0" applyProtection="0"/>
    <xf numFmtId="0" fontId="43" fillId="101" borderId="0" applyNumberFormat="0" applyBorder="0" applyAlignment="0" applyProtection="0"/>
    <xf numFmtId="0" fontId="43" fillId="101" borderId="0" applyNumberFormat="0" applyBorder="0" applyAlignment="0" applyProtection="0"/>
    <xf numFmtId="0" fontId="43" fillId="101" borderId="0" applyNumberFormat="0" applyBorder="0" applyAlignment="0" applyProtection="0"/>
    <xf numFmtId="0" fontId="43" fillId="101" borderId="0" applyNumberFormat="0" applyBorder="0" applyAlignment="0" applyProtection="0"/>
    <xf numFmtId="0" fontId="41" fillId="100" borderId="0" applyNumberFormat="0" applyBorder="0" applyAlignment="0" applyProtection="0"/>
    <xf numFmtId="0" fontId="43" fillId="101" borderId="0" applyNumberFormat="0" applyBorder="0" applyAlignment="0" applyProtection="0"/>
    <xf numFmtId="0" fontId="41" fillId="100" borderId="0" applyNumberFormat="0" applyBorder="0" applyAlignment="0" applyProtection="0"/>
    <xf numFmtId="0" fontId="41" fillId="100" borderId="0" applyNumberFormat="0" applyBorder="0" applyAlignment="0" applyProtection="0"/>
    <xf numFmtId="0" fontId="43" fillId="101" borderId="0" applyNumberFormat="0" applyBorder="0" applyAlignment="0" applyProtection="0"/>
    <xf numFmtId="0" fontId="41" fillId="100" borderId="0" applyNumberFormat="0" applyBorder="0" applyAlignment="0" applyProtection="0"/>
    <xf numFmtId="0" fontId="43" fillId="102" borderId="0" applyNumberFormat="0" applyBorder="0" applyAlignment="0" applyProtection="0"/>
    <xf numFmtId="0" fontId="43" fillId="102" borderId="0" applyNumberFormat="0" applyBorder="0" applyAlignment="0" applyProtection="0"/>
    <xf numFmtId="0" fontId="43" fillId="101" borderId="0" applyNumberFormat="0" applyBorder="0" applyAlignment="0" applyProtection="0"/>
    <xf numFmtId="0" fontId="43" fillId="101" borderId="0" applyNumberFormat="0" applyBorder="0" applyAlignment="0" applyProtection="0"/>
    <xf numFmtId="0" fontId="43" fillId="101" borderId="0" applyNumberFormat="0" applyBorder="0" applyAlignment="0" applyProtection="0"/>
    <xf numFmtId="0" fontId="43" fillId="101" borderId="0" applyNumberFormat="0" applyBorder="0" applyAlignment="0" applyProtection="0"/>
    <xf numFmtId="0" fontId="43" fillId="102" borderId="0" applyNumberFormat="0" applyBorder="0" applyAlignment="0" applyProtection="0"/>
    <xf numFmtId="0" fontId="43" fillId="102" borderId="0" applyNumberFormat="0" applyBorder="0" applyAlignment="0" applyProtection="0"/>
    <xf numFmtId="0" fontId="43" fillId="102" borderId="0" applyNumberFormat="0" applyBorder="0" applyAlignment="0" applyProtection="0"/>
    <xf numFmtId="0" fontId="41" fillId="100" borderId="0" applyNumberFormat="0" applyBorder="0" applyAlignment="0" applyProtection="0"/>
    <xf numFmtId="0" fontId="41" fillId="100" borderId="0" applyNumberFormat="0" applyBorder="0" applyAlignment="0" applyProtection="0"/>
    <xf numFmtId="0" fontId="41" fillId="100" borderId="0" applyNumberFormat="0" applyBorder="0" applyAlignment="0" applyProtection="0"/>
    <xf numFmtId="0" fontId="41" fillId="100" borderId="0" applyNumberFormat="0" applyBorder="0" applyAlignment="0" applyProtection="0"/>
    <xf numFmtId="0" fontId="43" fillId="101" borderId="0" applyNumberFormat="0" applyBorder="0" applyAlignment="0" applyProtection="0"/>
    <xf numFmtId="0" fontId="41" fillId="100" borderId="0" applyNumberFormat="0" applyBorder="0" applyAlignment="0" applyProtection="0"/>
    <xf numFmtId="0" fontId="41" fillId="100" borderId="0" applyNumberFormat="0" applyBorder="0" applyAlignment="0" applyProtection="0"/>
    <xf numFmtId="0" fontId="41" fillId="100" borderId="0" applyNumberFormat="0" applyBorder="0" applyAlignment="0" applyProtection="0"/>
    <xf numFmtId="0" fontId="41" fillId="100" borderId="0" applyNumberFormat="0" applyBorder="0" applyAlignment="0" applyProtection="0"/>
    <xf numFmtId="0" fontId="43" fillId="101" borderId="0" applyNumberFormat="0" applyBorder="0" applyAlignment="0" applyProtection="0"/>
    <xf numFmtId="0" fontId="41" fillId="100" borderId="0" applyNumberFormat="0" applyBorder="0" applyAlignment="0" applyProtection="0"/>
    <xf numFmtId="0" fontId="41" fillId="100" borderId="0" applyNumberFormat="0" applyBorder="0" applyAlignment="0" applyProtection="0"/>
    <xf numFmtId="0" fontId="41" fillId="100" borderId="0" applyNumberFormat="0" applyBorder="0" applyAlignment="0" applyProtection="0"/>
    <xf numFmtId="0" fontId="41" fillId="100" borderId="0" applyNumberFormat="0" applyBorder="0" applyAlignment="0" applyProtection="0"/>
    <xf numFmtId="0" fontId="43" fillId="101" borderId="0" applyNumberFormat="0" applyBorder="0" applyAlignment="0" applyProtection="0"/>
    <xf numFmtId="0" fontId="41" fillId="100" borderId="0" applyNumberFormat="0" applyBorder="0" applyAlignment="0" applyProtection="0"/>
    <xf numFmtId="0" fontId="41" fillId="100" borderId="0" applyNumberFormat="0" applyBorder="0" applyAlignment="0" applyProtection="0"/>
    <xf numFmtId="0" fontId="41" fillId="100" borderId="0" applyNumberFormat="0" applyBorder="0" applyAlignment="0" applyProtection="0"/>
    <xf numFmtId="0" fontId="41" fillId="100" borderId="0" applyNumberFormat="0" applyBorder="0" applyAlignment="0" applyProtection="0"/>
    <xf numFmtId="0" fontId="43" fillId="101" borderId="0" applyNumberFormat="0" applyBorder="0" applyAlignment="0" applyProtection="0"/>
    <xf numFmtId="0" fontId="41" fillId="100" borderId="0" applyNumberFormat="0" applyBorder="0" applyAlignment="0" applyProtection="0"/>
    <xf numFmtId="0" fontId="41" fillId="100" borderId="0" applyNumberFormat="0" applyBorder="0" applyAlignment="0" applyProtection="0"/>
    <xf numFmtId="0" fontId="41" fillId="100" borderId="0" applyNumberFormat="0" applyBorder="0" applyAlignment="0" applyProtection="0"/>
    <xf numFmtId="0" fontId="41" fillId="100" borderId="0" applyNumberFormat="0" applyBorder="0" applyAlignment="0" applyProtection="0"/>
    <xf numFmtId="0" fontId="43" fillId="101" borderId="0" applyNumberFormat="0" applyBorder="0" applyAlignment="0" applyProtection="0"/>
    <xf numFmtId="0" fontId="43" fillId="103" borderId="0" applyNumberFormat="0" applyBorder="0" applyAlignment="0" applyProtection="0"/>
    <xf numFmtId="0" fontId="43" fillId="103" borderId="0" applyNumberFormat="0" applyBorder="0" applyAlignment="0" applyProtection="0"/>
    <xf numFmtId="0" fontId="43" fillId="103" borderId="0" applyNumberFormat="0" applyBorder="0" applyAlignment="0" applyProtection="0"/>
    <xf numFmtId="0" fontId="43" fillId="101" borderId="0" applyNumberFormat="0" applyBorder="0" applyAlignment="0" applyProtection="0"/>
    <xf numFmtId="0" fontId="41" fillId="100" borderId="0" applyNumberFormat="0" applyBorder="0" applyAlignment="0" applyProtection="0"/>
    <xf numFmtId="0" fontId="41" fillId="100" borderId="0" applyNumberFormat="0" applyBorder="0" applyAlignment="0" applyProtection="0"/>
    <xf numFmtId="0" fontId="41" fillId="100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3" fillId="101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39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63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66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7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3" fillId="78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3" fillId="78" borderId="0" applyNumberFormat="0" applyBorder="0" applyAlignment="0" applyProtection="0"/>
    <xf numFmtId="0" fontId="41" fillId="30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1" fillId="67" borderId="0" applyNumberFormat="0" applyBorder="0" applyAlignment="0" applyProtection="0"/>
    <xf numFmtId="0" fontId="43" fillId="78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3" fillId="78" borderId="0" applyNumberFormat="0" applyBorder="0" applyAlignment="0" applyProtection="0"/>
    <xf numFmtId="0" fontId="41" fillId="67" borderId="0" applyNumberFormat="0" applyBorder="0" applyAlignment="0" applyProtection="0"/>
    <xf numFmtId="0" fontId="43" fillId="104" borderId="0" applyNumberFormat="0" applyBorder="0" applyAlignment="0" applyProtection="0"/>
    <xf numFmtId="0" fontId="43" fillId="104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104" borderId="0" applyNumberFormat="0" applyBorder="0" applyAlignment="0" applyProtection="0"/>
    <xf numFmtId="0" fontId="43" fillId="104" borderId="0" applyNumberFormat="0" applyBorder="0" applyAlignment="0" applyProtection="0"/>
    <xf numFmtId="0" fontId="43" fillId="104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3" fillId="78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3" fillId="78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3" fillId="78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3" fillId="78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3" fillId="78" borderId="0" applyNumberFormat="0" applyBorder="0" applyAlignment="0" applyProtection="0"/>
    <xf numFmtId="0" fontId="43" fillId="66" borderId="0" applyNumberFormat="0" applyBorder="0" applyAlignment="0" applyProtection="0"/>
    <xf numFmtId="0" fontId="43" fillId="66" borderId="0" applyNumberFormat="0" applyBorder="0" applyAlignment="0" applyProtection="0"/>
    <xf numFmtId="0" fontId="43" fillId="66" borderId="0" applyNumberFormat="0" applyBorder="0" applyAlignment="0" applyProtection="0"/>
    <xf numFmtId="0" fontId="43" fillId="78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3" fillId="78" borderId="0" applyNumberFormat="0" applyBorder="0" applyAlignment="0" applyProtection="0"/>
    <xf numFmtId="0" fontId="42" fillId="105" borderId="0" applyNumberFormat="0" applyBorder="0" applyAlignment="0" applyProtection="0"/>
    <xf numFmtId="0" fontId="42" fillId="105" borderId="0" applyNumberFormat="0" applyBorder="0" applyAlignment="0" applyProtection="0"/>
    <xf numFmtId="0" fontId="42" fillId="105" borderId="0" applyNumberFormat="0" applyBorder="0" applyAlignment="0" applyProtection="0"/>
    <xf numFmtId="0" fontId="42" fillId="105" borderId="0" applyNumberFormat="0" applyBorder="0" applyAlignment="0" applyProtection="0"/>
    <xf numFmtId="0" fontId="42" fillId="105" borderId="0" applyNumberFormat="0" applyBorder="0" applyAlignment="0" applyProtection="0"/>
    <xf numFmtId="0" fontId="42" fillId="105" borderId="0" applyNumberFormat="0" applyBorder="0" applyAlignment="0" applyProtection="0"/>
    <xf numFmtId="0" fontId="42" fillId="105" borderId="0" applyNumberFormat="0" applyBorder="0" applyAlignment="0" applyProtection="0"/>
    <xf numFmtId="0" fontId="42" fillId="105" borderId="0" applyNumberFormat="0" applyBorder="0" applyAlignment="0" applyProtection="0"/>
    <xf numFmtId="0" fontId="42" fillId="105" borderId="0" applyNumberFormat="0" applyBorder="0" applyAlignment="0" applyProtection="0"/>
    <xf numFmtId="0" fontId="42" fillId="105" borderId="0" applyNumberFormat="0" applyBorder="0" applyAlignment="0" applyProtection="0"/>
    <xf numFmtId="0" fontId="42" fillId="105" borderId="0" applyNumberFormat="0" applyBorder="0" applyAlignment="0" applyProtection="0"/>
    <xf numFmtId="0" fontId="42" fillId="106" borderId="0" applyNumberFormat="0" applyBorder="0" applyAlignment="0" applyProtection="0"/>
    <xf numFmtId="0" fontId="42" fillId="105" borderId="0" applyNumberFormat="0" applyBorder="0" applyAlignment="0" applyProtection="0"/>
    <xf numFmtId="0" fontId="42" fillId="105" borderId="0" applyNumberFormat="0" applyBorder="0" applyAlignment="0" applyProtection="0"/>
    <xf numFmtId="0" fontId="42" fillId="105" borderId="0" applyNumberFormat="0" applyBorder="0" applyAlignment="0" applyProtection="0"/>
    <xf numFmtId="0" fontId="42" fillId="105" borderId="0" applyNumberFormat="0" applyBorder="0" applyAlignment="0" applyProtection="0"/>
    <xf numFmtId="0" fontId="42" fillId="105" borderId="0" applyNumberFormat="0" applyBorder="0" applyAlignment="0" applyProtection="0"/>
    <xf numFmtId="0" fontId="42" fillId="105" borderId="0" applyNumberFormat="0" applyBorder="0" applyAlignment="0" applyProtection="0"/>
    <xf numFmtId="0" fontId="42" fillId="105" borderId="0" applyNumberFormat="0" applyBorder="0" applyAlignment="0" applyProtection="0"/>
    <xf numFmtId="0" fontId="42" fillId="105" borderId="0" applyNumberFormat="0" applyBorder="0" applyAlignment="0" applyProtection="0"/>
    <xf numFmtId="0" fontId="42" fillId="105" borderId="0" applyNumberFormat="0" applyBorder="0" applyAlignment="0" applyProtection="0"/>
    <xf numFmtId="0" fontId="42" fillId="105" borderId="0" applyNumberFormat="0" applyBorder="0" applyAlignment="0" applyProtection="0"/>
    <xf numFmtId="0" fontId="42" fillId="105" borderId="0" applyNumberFormat="0" applyBorder="0" applyAlignment="0" applyProtection="0"/>
    <xf numFmtId="0" fontId="42" fillId="105" borderId="0" applyNumberFormat="0" applyBorder="0" applyAlignment="0" applyProtection="0"/>
    <xf numFmtId="0" fontId="42" fillId="105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64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86" borderId="0" applyNumberFormat="0" applyBorder="0" applyAlignment="0" applyProtection="0"/>
    <xf numFmtId="0" fontId="42" fillId="86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71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7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3" fillId="109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3" fillId="109" borderId="0" applyNumberFormat="0" applyBorder="0" applyAlignment="0" applyProtection="0"/>
    <xf numFmtId="0" fontId="41" fillId="34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1" fillId="34" borderId="0" applyNumberFormat="0" applyBorder="0" applyAlignment="0" applyProtection="0"/>
    <xf numFmtId="0" fontId="43" fillId="109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3" fillId="109" borderId="0" applyNumberFormat="0" applyBorder="0" applyAlignment="0" applyProtection="0"/>
    <xf numFmtId="0" fontId="41" fillId="34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3" fillId="109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3" fillId="109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3" fillId="109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3" fillId="109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3" fillId="109" borderId="0" applyNumberFormat="0" applyBorder="0" applyAlignment="0" applyProtection="0"/>
    <xf numFmtId="0" fontId="43" fillId="111" borderId="0" applyNumberFormat="0" applyBorder="0" applyAlignment="0" applyProtection="0"/>
    <xf numFmtId="0" fontId="43" fillId="111" borderId="0" applyNumberFormat="0" applyBorder="0" applyAlignment="0" applyProtection="0"/>
    <xf numFmtId="0" fontId="43" fillId="111" borderId="0" applyNumberFormat="0" applyBorder="0" applyAlignment="0" applyProtection="0"/>
    <xf numFmtId="0" fontId="43" fillId="109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3" fillId="109" borderId="0" applyNumberFormat="0" applyBorder="0" applyAlignment="0" applyProtection="0"/>
    <xf numFmtId="0" fontId="44" fillId="112" borderId="0" applyNumberFormat="0" applyBorder="0" applyAlignment="0" applyProtection="0"/>
    <xf numFmtId="0" fontId="44" fillId="112" borderId="0" applyNumberFormat="0" applyBorder="0" applyAlignment="0" applyProtection="0"/>
    <xf numFmtId="0" fontId="44" fillId="112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45" fillId="105" borderId="0" applyNumberFormat="0" applyBorder="0" applyAlignment="0" applyProtection="0"/>
    <xf numFmtId="0" fontId="44" fillId="112" borderId="0" applyNumberFormat="0" applyBorder="0" applyAlignment="0" applyProtection="0"/>
    <xf numFmtId="0" fontId="44" fillId="112" borderId="0" applyNumberFormat="0" applyBorder="0" applyAlignment="0" applyProtection="0"/>
    <xf numFmtId="0" fontId="44" fillId="112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45" fillId="105" borderId="0" applyNumberFormat="0" applyBorder="0" applyAlignment="0" applyProtection="0"/>
    <xf numFmtId="0" fontId="32" fillId="8" borderId="0" applyNumberFormat="0" applyBorder="0" applyAlignment="0" applyProtection="0"/>
    <xf numFmtId="0" fontId="45" fillId="105" borderId="0" applyNumberFormat="0" applyBorder="0" applyAlignment="0" applyProtection="0"/>
    <xf numFmtId="0" fontId="45" fillId="105" borderId="0" applyNumberFormat="0" applyBorder="0" applyAlignment="0" applyProtection="0"/>
    <xf numFmtId="0" fontId="45" fillId="105" borderId="0" applyNumberFormat="0" applyBorder="0" applyAlignment="0" applyProtection="0"/>
    <xf numFmtId="0" fontId="45" fillId="105" borderId="0" applyNumberFormat="0" applyBorder="0" applyAlignment="0" applyProtection="0"/>
    <xf numFmtId="0" fontId="45" fillId="105" borderId="0" applyNumberFormat="0" applyBorder="0" applyAlignment="0" applyProtection="0"/>
    <xf numFmtId="0" fontId="45" fillId="105" borderId="0" applyNumberFormat="0" applyBorder="0" applyAlignment="0" applyProtection="0"/>
    <xf numFmtId="0" fontId="45" fillId="105" borderId="0" applyNumberFormat="0" applyBorder="0" applyAlignment="0" applyProtection="0"/>
    <xf numFmtId="0" fontId="45" fillId="105" borderId="0" applyNumberFormat="0" applyBorder="0" applyAlignment="0" applyProtection="0"/>
    <xf numFmtId="0" fontId="44" fillId="112" borderId="0" applyNumberFormat="0" applyBorder="0" applyAlignment="0" applyProtection="0"/>
    <xf numFmtId="0" fontId="45" fillId="105" borderId="0" applyNumberFormat="0" applyBorder="0" applyAlignment="0" applyProtection="0"/>
    <xf numFmtId="0" fontId="44" fillId="112" borderId="0" applyNumberFormat="0" applyBorder="0" applyAlignment="0" applyProtection="0"/>
    <xf numFmtId="0" fontId="44" fillId="112" borderId="0" applyNumberFormat="0" applyBorder="0" applyAlignment="0" applyProtection="0"/>
    <xf numFmtId="0" fontId="45" fillId="105" borderId="0" applyNumberFormat="0" applyBorder="0" applyAlignment="0" applyProtection="0"/>
    <xf numFmtId="0" fontId="44" fillId="112" borderId="0" applyNumberFormat="0" applyBorder="0" applyAlignment="0" applyProtection="0"/>
    <xf numFmtId="0" fontId="46" fillId="86" borderId="0" applyNumberFormat="0" applyBorder="0" applyAlignment="0" applyProtection="0"/>
    <xf numFmtId="0" fontId="46" fillId="86" borderId="0" applyNumberFormat="0" applyBorder="0" applyAlignment="0" applyProtection="0"/>
    <xf numFmtId="0" fontId="45" fillId="105" borderId="0" applyNumberFormat="0" applyBorder="0" applyAlignment="0" applyProtection="0"/>
    <xf numFmtId="0" fontId="45" fillId="105" borderId="0" applyNumberFormat="0" applyBorder="0" applyAlignment="0" applyProtection="0"/>
    <xf numFmtId="0" fontId="45" fillId="105" borderId="0" applyNumberFormat="0" applyBorder="0" applyAlignment="0" applyProtection="0"/>
    <xf numFmtId="0" fontId="45" fillId="105" borderId="0" applyNumberFormat="0" applyBorder="0" applyAlignment="0" applyProtection="0"/>
    <xf numFmtId="0" fontId="46" fillId="86" borderId="0" applyNumberFormat="0" applyBorder="0" applyAlignment="0" applyProtection="0"/>
    <xf numFmtId="0" fontId="46" fillId="86" borderId="0" applyNumberFormat="0" applyBorder="0" applyAlignment="0" applyProtection="0"/>
    <xf numFmtId="0" fontId="46" fillId="86" borderId="0" applyNumberFormat="0" applyBorder="0" applyAlignment="0" applyProtection="0"/>
    <xf numFmtId="0" fontId="44" fillId="112" borderId="0" applyNumberFormat="0" applyBorder="0" applyAlignment="0" applyProtection="0"/>
    <xf numFmtId="0" fontId="44" fillId="112" borderId="0" applyNumberFormat="0" applyBorder="0" applyAlignment="0" applyProtection="0"/>
    <xf numFmtId="0" fontId="44" fillId="112" borderId="0" applyNumberFormat="0" applyBorder="0" applyAlignment="0" applyProtection="0"/>
    <xf numFmtId="0" fontId="44" fillId="112" borderId="0" applyNumberFormat="0" applyBorder="0" applyAlignment="0" applyProtection="0"/>
    <xf numFmtId="0" fontId="45" fillId="105" borderId="0" applyNumberFormat="0" applyBorder="0" applyAlignment="0" applyProtection="0"/>
    <xf numFmtId="0" fontId="44" fillId="112" borderId="0" applyNumberFormat="0" applyBorder="0" applyAlignment="0" applyProtection="0"/>
    <xf numFmtId="0" fontId="44" fillId="112" borderId="0" applyNumberFormat="0" applyBorder="0" applyAlignment="0" applyProtection="0"/>
    <xf numFmtId="0" fontId="44" fillId="112" borderId="0" applyNumberFormat="0" applyBorder="0" applyAlignment="0" applyProtection="0"/>
    <xf numFmtId="0" fontId="44" fillId="112" borderId="0" applyNumberFormat="0" applyBorder="0" applyAlignment="0" applyProtection="0"/>
    <xf numFmtId="0" fontId="45" fillId="105" borderId="0" applyNumberFormat="0" applyBorder="0" applyAlignment="0" applyProtection="0"/>
    <xf numFmtId="0" fontId="44" fillId="112" borderId="0" applyNumberFormat="0" applyBorder="0" applyAlignment="0" applyProtection="0"/>
    <xf numFmtId="0" fontId="44" fillId="112" borderId="0" applyNumberFormat="0" applyBorder="0" applyAlignment="0" applyProtection="0"/>
    <xf numFmtId="0" fontId="44" fillId="112" borderId="0" applyNumberFormat="0" applyBorder="0" applyAlignment="0" applyProtection="0"/>
    <xf numFmtId="0" fontId="44" fillId="112" borderId="0" applyNumberFormat="0" applyBorder="0" applyAlignment="0" applyProtection="0"/>
    <xf numFmtId="0" fontId="45" fillId="105" borderId="0" applyNumberFormat="0" applyBorder="0" applyAlignment="0" applyProtection="0"/>
    <xf numFmtId="0" fontId="44" fillId="112" borderId="0" applyNumberFormat="0" applyBorder="0" applyAlignment="0" applyProtection="0"/>
    <xf numFmtId="0" fontId="44" fillId="112" borderId="0" applyNumberFormat="0" applyBorder="0" applyAlignment="0" applyProtection="0"/>
    <xf numFmtId="0" fontId="44" fillId="112" borderId="0" applyNumberFormat="0" applyBorder="0" applyAlignment="0" applyProtection="0"/>
    <xf numFmtId="0" fontId="44" fillId="112" borderId="0" applyNumberFormat="0" applyBorder="0" applyAlignment="0" applyProtection="0"/>
    <xf numFmtId="0" fontId="45" fillId="105" borderId="0" applyNumberFormat="0" applyBorder="0" applyAlignment="0" applyProtection="0"/>
    <xf numFmtId="0" fontId="44" fillId="112" borderId="0" applyNumberFormat="0" applyBorder="0" applyAlignment="0" applyProtection="0"/>
    <xf numFmtId="0" fontId="44" fillId="112" borderId="0" applyNumberFormat="0" applyBorder="0" applyAlignment="0" applyProtection="0"/>
    <xf numFmtId="0" fontId="44" fillId="112" borderId="0" applyNumberFormat="0" applyBorder="0" applyAlignment="0" applyProtection="0"/>
    <xf numFmtId="0" fontId="44" fillId="112" borderId="0" applyNumberFormat="0" applyBorder="0" applyAlignment="0" applyProtection="0"/>
    <xf numFmtId="0" fontId="45" fillId="105" borderId="0" applyNumberFormat="0" applyBorder="0" applyAlignment="0" applyProtection="0"/>
    <xf numFmtId="0" fontId="45" fillId="106" borderId="0" applyNumberFormat="0" applyBorder="0" applyAlignment="0" applyProtection="0"/>
    <xf numFmtId="0" fontId="45" fillId="106" borderId="0" applyNumberFormat="0" applyBorder="0" applyAlignment="0" applyProtection="0"/>
    <xf numFmtId="0" fontId="45" fillId="106" borderId="0" applyNumberFormat="0" applyBorder="0" applyAlignment="0" applyProtection="0"/>
    <xf numFmtId="0" fontId="45" fillId="105" borderId="0" applyNumberFormat="0" applyBorder="0" applyAlignment="0" applyProtection="0"/>
    <xf numFmtId="0" fontId="44" fillId="112" borderId="0" applyNumberFormat="0" applyBorder="0" applyAlignment="0" applyProtection="0"/>
    <xf numFmtId="0" fontId="44" fillId="112" borderId="0" applyNumberFormat="0" applyBorder="0" applyAlignment="0" applyProtection="0"/>
    <xf numFmtId="0" fontId="44" fillId="112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45" fillId="105" borderId="0" applyNumberFormat="0" applyBorder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36" fillId="11" borderId="33" applyNumberFormat="0" applyAlignment="0" applyProtection="0"/>
    <xf numFmtId="0" fontId="36" fillId="11" borderId="33" applyNumberFormat="0" applyAlignment="0" applyProtection="0"/>
    <xf numFmtId="0" fontId="36" fillId="11" borderId="33" applyNumberFormat="0" applyAlignment="0" applyProtection="0"/>
    <xf numFmtId="0" fontId="36" fillId="11" borderId="33" applyNumberFormat="0" applyAlignment="0" applyProtection="0"/>
    <xf numFmtId="0" fontId="36" fillId="11" borderId="33" applyNumberFormat="0" applyAlignment="0" applyProtection="0"/>
    <xf numFmtId="0" fontId="47" fillId="113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36" fillId="11" borderId="33" applyNumberFormat="0" applyAlignment="0" applyProtection="0"/>
    <xf numFmtId="0" fontId="36" fillId="11" borderId="33" applyNumberFormat="0" applyAlignment="0" applyProtection="0"/>
    <xf numFmtId="0" fontId="36" fillId="11" borderId="33" applyNumberFormat="0" applyAlignment="0" applyProtection="0"/>
    <xf numFmtId="0" fontId="36" fillId="11" borderId="33" applyNumberFormat="0" applyAlignment="0" applyProtection="0"/>
    <xf numFmtId="0" fontId="36" fillId="11" borderId="33" applyNumberFormat="0" applyAlignment="0" applyProtection="0"/>
    <xf numFmtId="0" fontId="47" fillId="113" borderId="39" applyNumberFormat="0" applyAlignment="0" applyProtection="0"/>
    <xf numFmtId="0" fontId="36" fillId="11" borderId="33" applyNumberFormat="0" applyAlignment="0" applyProtection="0"/>
    <xf numFmtId="0" fontId="47" fillId="113" borderId="39" applyNumberFormat="0" applyAlignment="0" applyProtection="0"/>
    <xf numFmtId="0" fontId="47" fillId="113" borderId="39" applyNumberFormat="0" applyAlignment="0" applyProtection="0"/>
    <xf numFmtId="0" fontId="47" fillId="113" borderId="39" applyNumberFormat="0" applyAlignment="0" applyProtection="0"/>
    <xf numFmtId="0" fontId="47" fillId="113" borderId="39" applyNumberFormat="0" applyAlignment="0" applyProtection="0"/>
    <xf numFmtId="0" fontId="47" fillId="113" borderId="39" applyNumberFormat="0" applyAlignment="0" applyProtection="0"/>
    <xf numFmtId="0" fontId="47" fillId="113" borderId="39" applyNumberFormat="0" applyAlignment="0" applyProtection="0"/>
    <xf numFmtId="0" fontId="47" fillId="113" borderId="39" applyNumberFormat="0" applyAlignment="0" applyProtection="0"/>
    <xf numFmtId="0" fontId="47" fillId="113" borderId="39" applyNumberFormat="0" applyAlignment="0" applyProtection="0"/>
    <xf numFmtId="0" fontId="47" fillId="47" borderId="39" applyNumberFormat="0" applyAlignment="0" applyProtection="0"/>
    <xf numFmtId="0" fontId="48" fillId="114" borderId="40" applyNumberFormat="0" applyAlignment="0" applyProtection="0"/>
    <xf numFmtId="0" fontId="47" fillId="113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113" borderId="39" applyNumberFormat="0" applyAlignment="0" applyProtection="0"/>
    <xf numFmtId="0" fontId="47" fillId="47" borderId="39" applyNumberFormat="0" applyAlignment="0" applyProtection="0"/>
    <xf numFmtId="0" fontId="48" fillId="114" borderId="40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113" borderId="39" applyNumberFormat="0" applyAlignment="0" applyProtection="0"/>
    <xf numFmtId="0" fontId="47" fillId="113" borderId="39" applyNumberFormat="0" applyAlignment="0" applyProtection="0"/>
    <xf numFmtId="0" fontId="47" fillId="113" borderId="39" applyNumberFormat="0" applyAlignment="0" applyProtection="0"/>
    <xf numFmtId="0" fontId="47" fillId="113" borderId="39" applyNumberFormat="0" applyAlignment="0" applyProtection="0"/>
    <xf numFmtId="0" fontId="48" fillId="114" borderId="40" applyNumberFormat="0" applyAlignment="0" applyProtection="0"/>
    <xf numFmtId="0" fontId="48" fillId="114" borderId="40" applyNumberFormat="0" applyAlignment="0" applyProtection="0"/>
    <xf numFmtId="0" fontId="48" fillId="114" borderId="40" applyNumberFormat="0" applyAlignment="0" applyProtection="0"/>
    <xf numFmtId="0" fontId="47" fillId="47" borderId="39" applyNumberFormat="0" applyAlignment="0" applyProtection="0"/>
    <xf numFmtId="0" fontId="47" fillId="113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113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113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113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113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8" borderId="39" applyNumberFormat="0" applyAlignment="0" applyProtection="0"/>
    <xf numFmtId="0" fontId="47" fillId="48" borderId="39" applyNumberFormat="0" applyAlignment="0" applyProtection="0"/>
    <xf numFmtId="0" fontId="47" fillId="48" borderId="39" applyNumberFormat="0" applyAlignment="0" applyProtection="0"/>
    <xf numFmtId="0" fontId="47" fillId="113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47" fillId="47" borderId="39" applyNumberFormat="0" applyAlignment="0" applyProtection="0"/>
    <xf numFmtId="0" fontId="36" fillId="11" borderId="33" applyNumberFormat="0" applyAlignment="0" applyProtection="0"/>
    <xf numFmtId="0" fontId="36" fillId="11" borderId="33" applyNumberFormat="0" applyAlignment="0" applyProtection="0"/>
    <xf numFmtId="0" fontId="36" fillId="11" borderId="33" applyNumberFormat="0" applyAlignment="0" applyProtection="0"/>
    <xf numFmtId="0" fontId="36" fillId="11" borderId="33" applyNumberFormat="0" applyAlignment="0" applyProtection="0"/>
    <xf numFmtId="0" fontId="36" fillId="11" borderId="33" applyNumberFormat="0" applyAlignment="0" applyProtection="0"/>
    <xf numFmtId="0" fontId="47" fillId="113" borderId="39" applyNumberFormat="0" applyAlignment="0" applyProtection="0"/>
    <xf numFmtId="0" fontId="38" fillId="41" borderId="36" applyNumberFormat="0" applyAlignment="0" applyProtection="0"/>
    <xf numFmtId="0" fontId="38" fillId="41" borderId="36" applyNumberFormat="0" applyAlignment="0" applyProtection="0"/>
    <xf numFmtId="0" fontId="38" fillId="41" borderId="36" applyNumberFormat="0" applyAlignment="0" applyProtection="0"/>
    <xf numFmtId="0" fontId="38" fillId="12" borderId="36" applyNumberFormat="0" applyAlignment="0" applyProtection="0"/>
    <xf numFmtId="0" fontId="38" fillId="12" borderId="36" applyNumberFormat="0" applyAlignment="0" applyProtection="0"/>
    <xf numFmtId="0" fontId="38" fillId="12" borderId="36" applyNumberFormat="0" applyAlignment="0" applyProtection="0"/>
    <xf numFmtId="0" fontId="38" fillId="12" borderId="36" applyNumberFormat="0" applyAlignment="0" applyProtection="0"/>
    <xf numFmtId="0" fontId="38" fillId="12" borderId="36" applyNumberFormat="0" applyAlignment="0" applyProtection="0"/>
    <xf numFmtId="0" fontId="49" fillId="101" borderId="41" applyNumberFormat="0" applyAlignment="0" applyProtection="0"/>
    <xf numFmtId="0" fontId="38" fillId="41" borderId="36" applyNumberFormat="0" applyAlignment="0" applyProtection="0"/>
    <xf numFmtId="0" fontId="38" fillId="41" borderId="36" applyNumberFormat="0" applyAlignment="0" applyProtection="0"/>
    <xf numFmtId="0" fontId="38" fillId="41" borderId="36" applyNumberFormat="0" applyAlignment="0" applyProtection="0"/>
    <xf numFmtId="0" fontId="38" fillId="12" borderId="36" applyNumberFormat="0" applyAlignment="0" applyProtection="0"/>
    <xf numFmtId="0" fontId="38" fillId="12" borderId="36" applyNumberFormat="0" applyAlignment="0" applyProtection="0"/>
    <xf numFmtId="0" fontId="38" fillId="12" borderId="36" applyNumberFormat="0" applyAlignment="0" applyProtection="0"/>
    <xf numFmtId="0" fontId="38" fillId="12" borderId="36" applyNumberFormat="0" applyAlignment="0" applyProtection="0"/>
    <xf numFmtId="0" fontId="38" fillId="12" borderId="36" applyNumberFormat="0" applyAlignment="0" applyProtection="0"/>
    <xf numFmtId="0" fontId="49" fillId="101" borderId="41" applyNumberFormat="0" applyAlignment="0" applyProtection="0"/>
    <xf numFmtId="0" fontId="38" fillId="12" borderId="36" applyNumberFormat="0" applyAlignment="0" applyProtection="0"/>
    <xf numFmtId="0" fontId="49" fillId="101" borderId="41" applyNumberFormat="0" applyAlignment="0" applyProtection="0"/>
    <xf numFmtId="0" fontId="49" fillId="101" borderId="41" applyNumberFormat="0" applyAlignment="0" applyProtection="0"/>
    <xf numFmtId="0" fontId="49" fillId="101" borderId="41" applyNumberFormat="0" applyAlignment="0" applyProtection="0"/>
    <xf numFmtId="0" fontId="49" fillId="101" borderId="41" applyNumberFormat="0" applyAlignment="0" applyProtection="0"/>
    <xf numFmtId="0" fontId="49" fillId="101" borderId="41" applyNumberFormat="0" applyAlignment="0" applyProtection="0"/>
    <xf numFmtId="0" fontId="49" fillId="101" borderId="41" applyNumberFormat="0" applyAlignment="0" applyProtection="0"/>
    <xf numFmtId="0" fontId="49" fillId="101" borderId="41" applyNumberFormat="0" applyAlignment="0" applyProtection="0"/>
    <xf numFmtId="0" fontId="49" fillId="101" borderId="41" applyNumberFormat="0" applyAlignment="0" applyProtection="0"/>
    <xf numFmtId="0" fontId="38" fillId="41" borderId="36" applyNumberFormat="0" applyAlignment="0" applyProtection="0"/>
    <xf numFmtId="0" fontId="49" fillId="101" borderId="41" applyNumberFormat="0" applyAlignment="0" applyProtection="0"/>
    <xf numFmtId="0" fontId="38" fillId="41" borderId="36" applyNumberFormat="0" applyAlignment="0" applyProtection="0"/>
    <xf numFmtId="0" fontId="38" fillId="41" borderId="36" applyNumberFormat="0" applyAlignment="0" applyProtection="0"/>
    <xf numFmtId="0" fontId="49" fillId="101" borderId="41" applyNumberFormat="0" applyAlignment="0" applyProtection="0"/>
    <xf numFmtId="0" fontId="38" fillId="41" borderId="36" applyNumberFormat="0" applyAlignment="0" applyProtection="0"/>
    <xf numFmtId="0" fontId="49" fillId="88" borderId="41" applyNumberFormat="0" applyAlignment="0" applyProtection="0"/>
    <xf numFmtId="0" fontId="49" fillId="88" borderId="41" applyNumberFormat="0" applyAlignment="0" applyProtection="0"/>
    <xf numFmtId="0" fontId="49" fillId="101" borderId="41" applyNumberFormat="0" applyAlignment="0" applyProtection="0"/>
    <xf numFmtId="0" fontId="49" fillId="101" borderId="41" applyNumberFormat="0" applyAlignment="0" applyProtection="0"/>
    <xf numFmtId="0" fontId="49" fillId="101" borderId="41" applyNumberFormat="0" applyAlignment="0" applyProtection="0"/>
    <xf numFmtId="0" fontId="49" fillId="101" borderId="41" applyNumberFormat="0" applyAlignment="0" applyProtection="0"/>
    <xf numFmtId="0" fontId="49" fillId="88" borderId="41" applyNumberFormat="0" applyAlignment="0" applyProtection="0"/>
    <xf numFmtId="0" fontId="49" fillId="88" borderId="41" applyNumberFormat="0" applyAlignment="0" applyProtection="0"/>
    <xf numFmtId="0" fontId="49" fillId="88" borderId="41" applyNumberFormat="0" applyAlignment="0" applyProtection="0"/>
    <xf numFmtId="0" fontId="38" fillId="41" borderId="36" applyNumberFormat="0" applyAlignment="0" applyProtection="0"/>
    <xf numFmtId="0" fontId="38" fillId="41" borderId="36" applyNumberFormat="0" applyAlignment="0" applyProtection="0"/>
    <xf numFmtId="0" fontId="38" fillId="41" borderId="36" applyNumberFormat="0" applyAlignment="0" applyProtection="0"/>
    <xf numFmtId="0" fontId="38" fillId="41" borderId="36" applyNumberFormat="0" applyAlignment="0" applyProtection="0"/>
    <xf numFmtId="0" fontId="49" fillId="101" borderId="41" applyNumberFormat="0" applyAlignment="0" applyProtection="0"/>
    <xf numFmtId="0" fontId="38" fillId="41" borderId="36" applyNumberFormat="0" applyAlignment="0" applyProtection="0"/>
    <xf numFmtId="0" fontId="38" fillId="41" borderId="36" applyNumberFormat="0" applyAlignment="0" applyProtection="0"/>
    <xf numFmtId="0" fontId="38" fillId="41" borderId="36" applyNumberFormat="0" applyAlignment="0" applyProtection="0"/>
    <xf numFmtId="0" fontId="38" fillId="41" borderId="36" applyNumberFormat="0" applyAlignment="0" applyProtection="0"/>
    <xf numFmtId="0" fontId="49" fillId="101" borderId="41" applyNumberFormat="0" applyAlignment="0" applyProtection="0"/>
    <xf numFmtId="0" fontId="38" fillId="41" borderId="36" applyNumberFormat="0" applyAlignment="0" applyProtection="0"/>
    <xf numFmtId="0" fontId="38" fillId="41" borderId="36" applyNumberFormat="0" applyAlignment="0" applyProtection="0"/>
    <xf numFmtId="0" fontId="38" fillId="41" borderId="36" applyNumberFormat="0" applyAlignment="0" applyProtection="0"/>
    <xf numFmtId="0" fontId="38" fillId="41" borderId="36" applyNumberFormat="0" applyAlignment="0" applyProtection="0"/>
    <xf numFmtId="0" fontId="49" fillId="101" borderId="41" applyNumberFormat="0" applyAlignment="0" applyProtection="0"/>
    <xf numFmtId="0" fontId="38" fillId="41" borderId="36" applyNumberFormat="0" applyAlignment="0" applyProtection="0"/>
    <xf numFmtId="0" fontId="38" fillId="41" borderId="36" applyNumberFormat="0" applyAlignment="0" applyProtection="0"/>
    <xf numFmtId="0" fontId="38" fillId="41" borderId="36" applyNumberFormat="0" applyAlignment="0" applyProtection="0"/>
    <xf numFmtId="0" fontId="38" fillId="41" borderId="36" applyNumberFormat="0" applyAlignment="0" applyProtection="0"/>
    <xf numFmtId="0" fontId="49" fillId="101" borderId="41" applyNumberFormat="0" applyAlignment="0" applyProtection="0"/>
    <xf numFmtId="0" fontId="38" fillId="41" borderId="36" applyNumberFormat="0" applyAlignment="0" applyProtection="0"/>
    <xf numFmtId="0" fontId="38" fillId="41" borderId="36" applyNumberFormat="0" applyAlignment="0" applyProtection="0"/>
    <xf numFmtId="0" fontId="38" fillId="41" borderId="36" applyNumberFormat="0" applyAlignment="0" applyProtection="0"/>
    <xf numFmtId="0" fontId="38" fillId="41" borderId="36" applyNumberFormat="0" applyAlignment="0" applyProtection="0"/>
    <xf numFmtId="0" fontId="49" fillId="101" borderId="41" applyNumberFormat="0" applyAlignment="0" applyProtection="0"/>
    <xf numFmtId="0" fontId="49" fillId="103" borderId="41" applyNumberFormat="0" applyAlignment="0" applyProtection="0"/>
    <xf numFmtId="0" fontId="49" fillId="103" borderId="41" applyNumberFormat="0" applyAlignment="0" applyProtection="0"/>
    <xf numFmtId="0" fontId="49" fillId="103" borderId="41" applyNumberFormat="0" applyAlignment="0" applyProtection="0"/>
    <xf numFmtId="0" fontId="49" fillId="101" borderId="41" applyNumberFormat="0" applyAlignment="0" applyProtection="0"/>
    <xf numFmtId="0" fontId="38" fillId="41" borderId="36" applyNumberFormat="0" applyAlignment="0" applyProtection="0"/>
    <xf numFmtId="0" fontId="38" fillId="41" borderId="36" applyNumberFormat="0" applyAlignment="0" applyProtection="0"/>
    <xf numFmtId="0" fontId="38" fillId="41" borderId="36" applyNumberFormat="0" applyAlignment="0" applyProtection="0"/>
    <xf numFmtId="0" fontId="38" fillId="12" borderId="36" applyNumberFormat="0" applyAlignment="0" applyProtection="0"/>
    <xf numFmtId="0" fontId="38" fillId="12" borderId="36" applyNumberFormat="0" applyAlignment="0" applyProtection="0"/>
    <xf numFmtId="0" fontId="38" fillId="12" borderId="36" applyNumberFormat="0" applyAlignment="0" applyProtection="0"/>
    <xf numFmtId="0" fontId="38" fillId="12" borderId="36" applyNumberFormat="0" applyAlignment="0" applyProtection="0"/>
    <xf numFmtId="0" fontId="38" fillId="12" borderId="36" applyNumberFormat="0" applyAlignment="0" applyProtection="0"/>
    <xf numFmtId="0" fontId="49" fillId="101" borderId="41" applyNumberFormat="0" applyAlignment="0" applyProtection="0"/>
    <xf numFmtId="1" fontId="50" fillId="0" borderId="42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43" fontId="52" fillId="0" borderId="0" applyFont="0" applyFill="0" applyBorder="0" applyAlignment="0" applyProtection="0"/>
    <xf numFmtId="181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3" fontId="7" fillId="0" borderId="0" applyFont="0" applyFill="0" applyBorder="0" applyAlignment="0" applyProtection="0">
      <alignment vertical="top"/>
    </xf>
    <xf numFmtId="3" fontId="7" fillId="0" borderId="0" applyFont="0" applyFill="0" applyBorder="0" applyAlignment="0" applyProtection="0">
      <alignment vertical="top"/>
    </xf>
    <xf numFmtId="3" fontId="7" fillId="0" borderId="0" applyFont="0" applyFill="0" applyBorder="0" applyAlignment="0" applyProtection="0">
      <alignment vertical="top"/>
    </xf>
    <xf numFmtId="3" fontId="7" fillId="0" borderId="0" applyFont="0" applyFill="0" applyBorder="0" applyAlignment="0" applyProtection="0">
      <alignment vertical="top"/>
    </xf>
    <xf numFmtId="3" fontId="7" fillId="0" borderId="0" applyFont="0" applyFill="0" applyBorder="0" applyAlignment="0" applyProtection="0">
      <alignment vertical="top"/>
    </xf>
    <xf numFmtId="3" fontId="7" fillId="0" borderId="0" applyFont="0" applyFill="0" applyBorder="0" applyAlignment="0" applyProtection="0">
      <alignment vertical="top"/>
    </xf>
    <xf numFmtId="3" fontId="7" fillId="0" borderId="0" applyFont="0" applyFill="0" applyBorder="0" applyAlignment="0" applyProtection="0">
      <alignment vertical="top"/>
    </xf>
    <xf numFmtId="182" fontId="53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52" fillId="0" borderId="0" applyFont="0" applyFill="0" applyBorder="0" applyAlignment="0" applyProtection="0"/>
    <xf numFmtId="18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5" fontId="7" fillId="0" borderId="0" applyFont="0" applyFill="0" applyBorder="0" applyAlignment="0" applyProtection="0">
      <alignment vertical="top"/>
    </xf>
    <xf numFmtId="5" fontId="7" fillId="0" borderId="0" applyFont="0" applyFill="0" applyBorder="0" applyAlignment="0" applyProtection="0">
      <alignment vertical="top"/>
    </xf>
    <xf numFmtId="5" fontId="7" fillId="0" borderId="0" applyFont="0" applyFill="0" applyBorder="0" applyAlignment="0" applyProtection="0">
      <alignment vertical="top"/>
    </xf>
    <xf numFmtId="5" fontId="7" fillId="0" borderId="0" applyFont="0" applyFill="0" applyBorder="0" applyAlignment="0" applyProtection="0">
      <alignment vertical="top"/>
    </xf>
    <xf numFmtId="5" fontId="7" fillId="0" borderId="0" applyFont="0" applyFill="0" applyBorder="0" applyAlignment="0" applyProtection="0">
      <alignment vertical="top"/>
    </xf>
    <xf numFmtId="5" fontId="7" fillId="0" borderId="0" applyFont="0" applyFill="0" applyBorder="0" applyAlignment="0" applyProtection="0">
      <alignment vertical="top"/>
    </xf>
    <xf numFmtId="15" fontId="7" fillId="0" borderId="0" applyFont="0" applyFill="0" applyBorder="0" applyAlignment="0" applyProtection="0">
      <alignment vertical="top"/>
    </xf>
    <xf numFmtId="0" fontId="54" fillId="0" borderId="0">
      <protection locked="0"/>
    </xf>
    <xf numFmtId="15" fontId="7" fillId="0" borderId="0" applyFont="0" applyFill="0" applyBorder="0" applyAlignment="0" applyProtection="0">
      <alignment vertical="top"/>
    </xf>
    <xf numFmtId="15" fontId="7" fillId="0" borderId="0" applyFont="0" applyFill="0" applyBorder="0" applyAlignment="0" applyProtection="0">
      <alignment vertical="top"/>
    </xf>
    <xf numFmtId="15" fontId="7" fillId="0" borderId="0" applyFont="0" applyFill="0" applyBorder="0" applyAlignment="0" applyProtection="0">
      <alignment vertical="top"/>
    </xf>
    <xf numFmtId="15" fontId="7" fillId="0" borderId="0" applyFont="0" applyFill="0" applyBorder="0" applyAlignment="0" applyProtection="0">
      <alignment vertical="top"/>
    </xf>
    <xf numFmtId="15" fontId="7" fillId="0" borderId="0" applyFont="0" applyFill="0" applyBorder="0" applyAlignment="0" applyProtection="0">
      <alignment vertical="top"/>
    </xf>
    <xf numFmtId="15" fontId="7" fillId="0" borderId="0" applyFont="0" applyFill="0" applyBorder="0" applyAlignment="0" applyProtection="0">
      <alignment vertical="top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15" fontId="7" fillId="0" borderId="0" applyFont="0" applyFill="0" applyBorder="0" applyAlignment="0" applyProtection="0">
      <alignment vertical="top"/>
    </xf>
    <xf numFmtId="15" fontId="7" fillId="0" borderId="0" applyFont="0" applyFill="0" applyBorder="0" applyAlignment="0" applyProtection="0">
      <alignment vertical="top"/>
    </xf>
    <xf numFmtId="15" fontId="7" fillId="0" borderId="0" applyFont="0" applyFill="0" applyBorder="0" applyAlignment="0" applyProtection="0">
      <alignment vertical="top"/>
    </xf>
    <xf numFmtId="15" fontId="7" fillId="0" borderId="0" applyFont="0" applyFill="0" applyBorder="0" applyAlignment="0" applyProtection="0">
      <alignment vertical="top"/>
    </xf>
    <xf numFmtId="15" fontId="7" fillId="0" borderId="0" applyFont="0" applyFill="0" applyBorder="0" applyAlignment="0" applyProtection="0">
      <alignment vertical="top"/>
    </xf>
    <xf numFmtId="15" fontId="7" fillId="0" borderId="0" applyFont="0" applyFill="0" applyBorder="0" applyAlignment="0" applyProtection="0">
      <alignment vertical="top"/>
    </xf>
    <xf numFmtId="0" fontId="55" fillId="115" borderId="0" applyNumberFormat="0" applyBorder="0" applyAlignment="0" applyProtection="0"/>
    <xf numFmtId="0" fontId="55" fillId="115" borderId="0" applyNumberFormat="0" applyBorder="0" applyAlignment="0" applyProtection="0"/>
    <xf numFmtId="0" fontId="55" fillId="115" borderId="0" applyNumberFormat="0" applyBorder="0" applyAlignment="0" applyProtection="0"/>
    <xf numFmtId="0" fontId="55" fillId="115" borderId="0" applyNumberFormat="0" applyBorder="0" applyAlignment="0" applyProtection="0"/>
    <xf numFmtId="0" fontId="55" fillId="115" borderId="0" applyNumberFormat="0" applyBorder="0" applyAlignment="0" applyProtection="0"/>
    <xf numFmtId="0" fontId="55" fillId="115" borderId="0" applyNumberFormat="0" applyBorder="0" applyAlignment="0" applyProtection="0"/>
    <xf numFmtId="0" fontId="55" fillId="115" borderId="0" applyNumberFormat="0" applyBorder="0" applyAlignment="0" applyProtection="0"/>
    <xf numFmtId="0" fontId="55" fillId="115" borderId="0" applyNumberFormat="0" applyBorder="0" applyAlignment="0" applyProtection="0"/>
    <xf numFmtId="0" fontId="55" fillId="115" borderId="0" applyNumberFormat="0" applyBorder="0" applyAlignment="0" applyProtection="0"/>
    <xf numFmtId="0" fontId="55" fillId="115" borderId="0" applyNumberFormat="0" applyBorder="0" applyAlignment="0" applyProtection="0"/>
    <xf numFmtId="0" fontId="55" fillId="115" borderId="0" applyNumberFormat="0" applyBorder="0" applyAlignment="0" applyProtection="0"/>
    <xf numFmtId="0" fontId="55" fillId="115" borderId="0" applyNumberFormat="0" applyBorder="0" applyAlignment="0" applyProtection="0"/>
    <xf numFmtId="0" fontId="55" fillId="115" borderId="0" applyNumberFormat="0" applyBorder="0" applyAlignment="0" applyProtection="0"/>
    <xf numFmtId="0" fontId="55" fillId="115" borderId="0" applyNumberFormat="0" applyBorder="0" applyAlignment="0" applyProtection="0"/>
    <xf numFmtId="0" fontId="55" fillId="115" borderId="0" applyNumberFormat="0" applyBorder="0" applyAlignment="0" applyProtection="0"/>
    <xf numFmtId="0" fontId="55" fillId="115" borderId="0" applyNumberFormat="0" applyBorder="0" applyAlignment="0" applyProtection="0"/>
    <xf numFmtId="0" fontId="55" fillId="115" borderId="0" applyNumberFormat="0" applyBorder="0" applyAlignment="0" applyProtection="0"/>
    <xf numFmtId="0" fontId="55" fillId="115" borderId="0" applyNumberFormat="0" applyBorder="0" applyAlignment="0" applyProtection="0"/>
    <xf numFmtId="0" fontId="55" fillId="115" borderId="0" applyNumberFormat="0" applyBorder="0" applyAlignment="0" applyProtection="0"/>
    <xf numFmtId="0" fontId="55" fillId="115" borderId="0" applyNumberFormat="0" applyBorder="0" applyAlignment="0" applyProtection="0"/>
    <xf numFmtId="0" fontId="55" fillId="115" borderId="0" applyNumberFormat="0" applyBorder="0" applyAlignment="0" applyProtection="0"/>
    <xf numFmtId="0" fontId="55" fillId="115" borderId="0" applyNumberFormat="0" applyBorder="0" applyAlignment="0" applyProtection="0"/>
    <xf numFmtId="0" fontId="55" fillId="115" borderId="0" applyNumberFormat="0" applyBorder="0" applyAlignment="0" applyProtection="0"/>
    <xf numFmtId="0" fontId="55" fillId="115" borderId="0" applyNumberFormat="0" applyBorder="0" applyAlignment="0" applyProtection="0"/>
    <xf numFmtId="0" fontId="55" fillId="115" borderId="0" applyNumberFormat="0" applyBorder="0" applyAlignment="0" applyProtection="0"/>
    <xf numFmtId="0" fontId="55" fillId="115" borderId="0" applyNumberFormat="0" applyBorder="0" applyAlignment="0" applyProtection="0"/>
    <xf numFmtId="0" fontId="55" fillId="115" borderId="0" applyNumberFormat="0" applyBorder="0" applyAlignment="0" applyProtection="0"/>
    <xf numFmtId="0" fontId="55" fillId="115" borderId="0" applyNumberFormat="0" applyBorder="0" applyAlignment="0" applyProtection="0"/>
    <xf numFmtId="0" fontId="55" fillId="115" borderId="0" applyNumberFormat="0" applyBorder="0" applyAlignment="0" applyProtection="0"/>
    <xf numFmtId="0" fontId="55" fillId="115" borderId="0" applyNumberFormat="0" applyBorder="0" applyAlignment="0" applyProtection="0"/>
    <xf numFmtId="0" fontId="55" fillId="115" borderId="0" applyNumberFormat="0" applyBorder="0" applyAlignment="0" applyProtection="0"/>
    <xf numFmtId="0" fontId="55" fillId="115" borderId="0" applyNumberFormat="0" applyBorder="0" applyAlignment="0" applyProtection="0"/>
    <xf numFmtId="0" fontId="55" fillId="115" borderId="0" applyNumberFormat="0" applyBorder="0" applyAlignment="0" applyProtection="0"/>
    <xf numFmtId="0" fontId="55" fillId="115" borderId="0" applyNumberFormat="0" applyBorder="0" applyAlignment="0" applyProtection="0"/>
    <xf numFmtId="0" fontId="55" fillId="115" borderId="0" applyNumberFormat="0" applyBorder="0" applyAlignment="0" applyProtection="0"/>
    <xf numFmtId="0" fontId="55" fillId="115" borderId="0" applyNumberFormat="0" applyBorder="0" applyAlignment="0" applyProtection="0"/>
    <xf numFmtId="0" fontId="55" fillId="115" borderId="0" applyNumberFormat="0" applyBorder="0" applyAlignment="0" applyProtection="0"/>
    <xf numFmtId="0" fontId="55" fillId="115" borderId="0" applyNumberFormat="0" applyBorder="0" applyAlignment="0" applyProtection="0"/>
    <xf numFmtId="0" fontId="55" fillId="115" borderId="0" applyNumberFormat="0" applyBorder="0" applyAlignment="0" applyProtection="0"/>
    <xf numFmtId="0" fontId="55" fillId="115" borderId="0" applyNumberFormat="0" applyBorder="0" applyAlignment="0" applyProtection="0"/>
    <xf numFmtId="0" fontId="55" fillId="116" borderId="0" applyNumberFormat="0" applyBorder="0" applyAlignment="0" applyProtection="0"/>
    <xf numFmtId="0" fontId="55" fillId="115" borderId="0" applyNumberFormat="0" applyBorder="0" applyAlignment="0" applyProtection="0"/>
    <xf numFmtId="0" fontId="55" fillId="115" borderId="0" applyNumberFormat="0" applyBorder="0" applyAlignment="0" applyProtection="0"/>
    <xf numFmtId="0" fontId="55" fillId="115" borderId="0" applyNumberFormat="0" applyBorder="0" applyAlignment="0" applyProtection="0"/>
    <xf numFmtId="0" fontId="55" fillId="115" borderId="0" applyNumberFormat="0" applyBorder="0" applyAlignment="0" applyProtection="0"/>
    <xf numFmtId="0" fontId="55" fillId="115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8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9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82" fontId="19" fillId="0" borderId="0"/>
    <xf numFmtId="182" fontId="19" fillId="0" borderId="0"/>
    <xf numFmtId="182" fontId="19" fillId="0" borderId="0"/>
    <xf numFmtId="182" fontId="19" fillId="0" borderId="0"/>
    <xf numFmtId="182" fontId="19" fillId="0" borderId="0"/>
    <xf numFmtId="182" fontId="19" fillId="0" borderId="0"/>
    <xf numFmtId="182" fontId="19" fillId="0" borderId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42" fillId="95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42" fillId="95" borderId="0" applyNumberFormat="0" applyBorder="0" applyAlignment="0" applyProtection="0"/>
    <xf numFmtId="0" fontId="31" fillId="7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58" fillId="44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58" fillId="44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59" fillId="120" borderId="0" applyNumberFormat="0" applyBorder="0" applyAlignment="0" applyProtection="0"/>
    <xf numFmtId="0" fontId="59" fillId="120" borderId="0" applyNumberFormat="0" applyBorder="0" applyAlignment="0" applyProtection="0"/>
    <xf numFmtId="0" fontId="58" fillId="44" borderId="0" applyNumberFormat="0" applyBorder="0" applyAlignment="0" applyProtection="0"/>
    <xf numFmtId="0" fontId="42" fillId="95" borderId="0" applyNumberFormat="0" applyBorder="0" applyAlignment="0" applyProtection="0"/>
    <xf numFmtId="0" fontId="58" fillId="44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59" fillId="120" borderId="0" applyNumberFormat="0" applyBorder="0" applyAlignment="0" applyProtection="0"/>
    <xf numFmtId="0" fontId="59" fillId="120" borderId="0" applyNumberFormat="0" applyBorder="0" applyAlignment="0" applyProtection="0"/>
    <xf numFmtId="0" fontId="59" fillId="120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42" fillId="95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42" fillId="95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42" fillId="95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42" fillId="95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42" fillId="95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5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42" fillId="95" borderId="0" applyNumberFormat="0" applyBorder="0" applyAlignment="0" applyProtection="0"/>
    <xf numFmtId="0" fontId="60" fillId="0" borderId="43" applyNumberFormat="0" applyFill="0" applyAlignment="0" applyProtection="0"/>
    <xf numFmtId="0" fontId="60" fillId="0" borderId="43" applyNumberFormat="0" applyFill="0" applyAlignment="0" applyProtection="0"/>
    <xf numFmtId="0" fontId="60" fillId="0" borderId="43" applyNumberFormat="0" applyFill="0" applyAlignment="0" applyProtection="0"/>
    <xf numFmtId="0" fontId="61" fillId="0" borderId="43" applyNumberFormat="0" applyFill="0" applyAlignment="0" applyProtection="0"/>
    <xf numFmtId="0" fontId="61" fillId="0" borderId="43" applyNumberFormat="0" applyFill="0" applyAlignment="0" applyProtection="0"/>
    <xf numFmtId="0" fontId="61" fillId="0" borderId="43" applyNumberFormat="0" applyFill="0" applyAlignment="0" applyProtection="0"/>
    <xf numFmtId="0" fontId="61" fillId="0" borderId="43" applyNumberFormat="0" applyFill="0" applyAlignment="0" applyProtection="0"/>
    <xf numFmtId="0" fontId="61" fillId="0" borderId="43" applyNumberFormat="0" applyFill="0" applyAlignment="0" applyProtection="0"/>
    <xf numFmtId="0" fontId="61" fillId="0" borderId="43" applyNumberFormat="0" applyFill="0" applyAlignment="0" applyProtection="0"/>
    <xf numFmtId="0" fontId="60" fillId="0" borderId="43" applyNumberFormat="0" applyFill="0" applyAlignment="0" applyProtection="0"/>
    <xf numFmtId="0" fontId="60" fillId="0" borderId="43" applyNumberFormat="0" applyFill="0" applyAlignment="0" applyProtection="0"/>
    <xf numFmtId="0" fontId="62" fillId="0" borderId="44" applyNumberFormat="0" applyFill="0" applyAlignment="0" applyProtection="0"/>
    <xf numFmtId="0" fontId="60" fillId="0" borderId="43" applyNumberFormat="0" applyFill="0" applyAlignment="0" applyProtection="0"/>
    <xf numFmtId="0" fontId="62" fillId="0" borderId="44" applyNumberFormat="0" applyFill="0" applyAlignment="0" applyProtection="0"/>
    <xf numFmtId="0" fontId="60" fillId="0" borderId="43" applyNumberFormat="0" applyFill="0" applyAlignment="0" applyProtection="0"/>
    <xf numFmtId="0" fontId="62" fillId="0" borderId="44" applyNumberFormat="0" applyFill="0" applyAlignment="0" applyProtection="0"/>
    <xf numFmtId="0" fontId="62" fillId="0" borderId="44" applyNumberFormat="0" applyFill="0" applyAlignment="0" applyProtection="0"/>
    <xf numFmtId="0" fontId="60" fillId="0" borderId="43" applyNumberFormat="0" applyFill="0" applyAlignment="0" applyProtection="0"/>
    <xf numFmtId="0" fontId="60" fillId="0" borderId="43" applyNumberFormat="0" applyFill="0" applyAlignment="0" applyProtection="0"/>
    <xf numFmtId="0" fontId="62" fillId="0" borderId="44" applyNumberFormat="0" applyFill="0" applyAlignment="0" applyProtection="0"/>
    <xf numFmtId="0" fontId="60" fillId="0" borderId="43" applyNumberFormat="0" applyFill="0" applyAlignment="0" applyProtection="0"/>
    <xf numFmtId="0" fontId="60" fillId="0" borderId="43" applyNumberFormat="0" applyFill="0" applyAlignment="0" applyProtection="0"/>
    <xf numFmtId="0" fontId="62" fillId="0" borderId="44" applyNumberFormat="0" applyFill="0" applyAlignment="0" applyProtection="0"/>
    <xf numFmtId="0" fontId="60" fillId="0" borderId="43" applyNumberFormat="0" applyFill="0" applyAlignment="0" applyProtection="0"/>
    <xf numFmtId="0" fontId="60" fillId="0" borderId="43" applyNumberFormat="0" applyFill="0" applyAlignment="0" applyProtection="0"/>
    <xf numFmtId="0" fontId="60" fillId="0" borderId="43" applyNumberFormat="0" applyFill="0" applyAlignment="0" applyProtection="0"/>
    <xf numFmtId="0" fontId="60" fillId="0" borderId="43" applyNumberFormat="0" applyFill="0" applyAlignment="0" applyProtection="0"/>
    <xf numFmtId="0" fontId="62" fillId="0" borderId="44" applyNumberFormat="0" applyFill="0" applyAlignment="0" applyProtection="0"/>
    <xf numFmtId="0" fontId="60" fillId="0" borderId="43" applyNumberFormat="0" applyFill="0" applyAlignment="0" applyProtection="0"/>
    <xf numFmtId="0" fontId="60" fillId="0" borderId="43" applyNumberFormat="0" applyFill="0" applyAlignment="0" applyProtection="0"/>
    <xf numFmtId="0" fontId="60" fillId="0" borderId="43" applyNumberFormat="0" applyFill="0" applyAlignment="0" applyProtection="0"/>
    <xf numFmtId="0" fontId="60" fillId="0" borderId="43" applyNumberFormat="0" applyFill="0" applyAlignment="0" applyProtection="0"/>
    <xf numFmtId="0" fontId="60" fillId="0" borderId="43" applyNumberFormat="0" applyFill="0" applyAlignment="0" applyProtection="0"/>
    <xf numFmtId="0" fontId="60" fillId="0" borderId="43" applyNumberFormat="0" applyFill="0" applyAlignment="0" applyProtection="0"/>
    <xf numFmtId="0" fontId="60" fillId="0" borderId="43" applyNumberFormat="0" applyFill="0" applyAlignment="0" applyProtection="0"/>
    <xf numFmtId="0" fontId="60" fillId="0" borderId="43" applyNumberFormat="0" applyFill="0" applyAlignment="0" applyProtection="0"/>
    <xf numFmtId="0" fontId="60" fillId="0" borderId="43" applyNumberFormat="0" applyFill="0" applyAlignment="0" applyProtection="0"/>
    <xf numFmtId="0" fontId="60" fillId="0" borderId="43" applyNumberFormat="0" applyFill="0" applyAlignment="0" applyProtection="0"/>
    <xf numFmtId="0" fontId="60" fillId="0" borderId="43" applyNumberFormat="0" applyFill="0" applyAlignment="0" applyProtection="0"/>
    <xf numFmtId="0" fontId="60" fillId="0" borderId="43" applyNumberFormat="0" applyFill="0" applyAlignment="0" applyProtection="0"/>
    <xf numFmtId="0" fontId="60" fillId="0" borderId="43" applyNumberFormat="0" applyFill="0" applyAlignment="0" applyProtection="0"/>
    <xf numFmtId="0" fontId="60" fillId="0" borderId="43" applyNumberFormat="0" applyFill="0" applyAlignment="0" applyProtection="0"/>
    <xf numFmtId="0" fontId="60" fillId="0" borderId="43" applyNumberFormat="0" applyFill="0" applyAlignment="0" applyProtection="0"/>
    <xf numFmtId="0" fontId="61" fillId="0" borderId="43" applyNumberFormat="0" applyFill="0" applyAlignment="0" applyProtection="0"/>
    <xf numFmtId="0" fontId="61" fillId="0" borderId="43" applyNumberFormat="0" applyFill="0" applyAlignment="0" applyProtection="0"/>
    <xf numFmtId="0" fontId="61" fillId="0" borderId="43" applyNumberFormat="0" applyFill="0" applyAlignment="0" applyProtection="0"/>
    <xf numFmtId="0" fontId="61" fillId="0" borderId="43" applyNumberFormat="0" applyFill="0" applyAlignment="0" applyProtection="0"/>
    <xf numFmtId="0" fontId="61" fillId="0" borderId="43" applyNumberFormat="0" applyFill="0" applyAlignment="0" applyProtection="0"/>
    <xf numFmtId="0" fontId="60" fillId="0" borderId="43" applyNumberFormat="0" applyFill="0" applyAlignment="0" applyProtection="0"/>
    <xf numFmtId="0" fontId="60" fillId="0" borderId="43" applyNumberFormat="0" applyFill="0" applyAlignment="0" applyProtection="0"/>
    <xf numFmtId="0" fontId="60" fillId="0" borderId="43" applyNumberFormat="0" applyFill="0" applyAlignment="0" applyProtection="0"/>
    <xf numFmtId="0" fontId="61" fillId="0" borderId="43" applyNumberFormat="0" applyFill="0" applyAlignment="0" applyProtection="0"/>
    <xf numFmtId="0" fontId="61" fillId="0" borderId="43" applyNumberFormat="0" applyFill="0" applyAlignment="0" applyProtection="0"/>
    <xf numFmtId="0" fontId="61" fillId="0" borderId="43" applyNumberFormat="0" applyFill="0" applyAlignment="0" applyProtection="0"/>
    <xf numFmtId="0" fontId="61" fillId="0" borderId="43" applyNumberFormat="0" applyFill="0" applyAlignment="0" applyProtection="0"/>
    <xf numFmtId="0" fontId="61" fillId="0" borderId="43" applyNumberFormat="0" applyFill="0" applyAlignment="0" applyProtection="0"/>
    <xf numFmtId="0" fontId="63" fillId="0" borderId="45" applyNumberFormat="0" applyFill="0" applyAlignment="0" applyProtection="0"/>
    <xf numFmtId="0" fontId="63" fillId="0" borderId="45" applyNumberFormat="0" applyFill="0" applyAlignment="0" applyProtection="0"/>
    <xf numFmtId="0" fontId="63" fillId="0" borderId="45" applyNumberFormat="0" applyFill="0" applyAlignment="0" applyProtection="0"/>
    <xf numFmtId="0" fontId="64" fillId="0" borderId="45" applyNumberFormat="0" applyFill="0" applyAlignment="0" applyProtection="0"/>
    <xf numFmtId="0" fontId="64" fillId="0" borderId="45" applyNumberFormat="0" applyFill="0" applyAlignment="0" applyProtection="0"/>
    <xf numFmtId="0" fontId="64" fillId="0" borderId="45" applyNumberFormat="0" applyFill="0" applyAlignment="0" applyProtection="0"/>
    <xf numFmtId="0" fontId="64" fillId="0" borderId="45" applyNumberFormat="0" applyFill="0" applyAlignment="0" applyProtection="0"/>
    <xf numFmtId="0" fontId="64" fillId="0" borderId="45" applyNumberFormat="0" applyFill="0" applyAlignment="0" applyProtection="0"/>
    <xf numFmtId="0" fontId="65" fillId="0" borderId="46" applyNumberFormat="0" applyFill="0" applyAlignment="0" applyProtection="0"/>
    <xf numFmtId="0" fontId="64" fillId="0" borderId="45" applyNumberFormat="0" applyFill="0" applyAlignment="0" applyProtection="0"/>
    <xf numFmtId="0" fontId="65" fillId="0" borderId="46" applyNumberFormat="0" applyFill="0" applyAlignment="0" applyProtection="0"/>
    <xf numFmtId="0" fontId="65" fillId="0" borderId="46" applyNumberFormat="0" applyFill="0" applyAlignment="0" applyProtection="0"/>
    <xf numFmtId="0" fontId="65" fillId="0" borderId="46" applyNumberFormat="0" applyFill="0" applyAlignment="0" applyProtection="0"/>
    <xf numFmtId="0" fontId="65" fillId="0" borderId="46" applyNumberFormat="0" applyFill="0" applyAlignment="0" applyProtection="0"/>
    <xf numFmtId="0" fontId="65" fillId="0" borderId="46" applyNumberFormat="0" applyFill="0" applyAlignment="0" applyProtection="0"/>
    <xf numFmtId="0" fontId="65" fillId="0" borderId="46" applyNumberFormat="0" applyFill="0" applyAlignment="0" applyProtection="0"/>
    <xf numFmtId="0" fontId="65" fillId="0" borderId="46" applyNumberFormat="0" applyFill="0" applyAlignment="0" applyProtection="0"/>
    <xf numFmtId="0" fontId="65" fillId="0" borderId="46" applyNumberFormat="0" applyFill="0" applyAlignment="0" applyProtection="0"/>
    <xf numFmtId="0" fontId="65" fillId="0" borderId="46" applyNumberFormat="0" applyFill="0" applyAlignment="0" applyProtection="0"/>
    <xf numFmtId="0" fontId="63" fillId="0" borderId="45" applyNumberFormat="0" applyFill="0" applyAlignment="0" applyProtection="0"/>
    <xf numFmtId="0" fontId="63" fillId="0" borderId="45" applyNumberFormat="0" applyFill="0" applyAlignment="0" applyProtection="0"/>
    <xf numFmtId="0" fontId="65" fillId="0" borderId="46" applyNumberFormat="0" applyFill="0" applyAlignment="0" applyProtection="0"/>
    <xf numFmtId="0" fontId="63" fillId="0" borderId="45" applyNumberFormat="0" applyFill="0" applyAlignment="0" applyProtection="0"/>
    <xf numFmtId="0" fontId="65" fillId="0" borderId="46" applyNumberFormat="0" applyFill="0" applyAlignment="0" applyProtection="0"/>
    <xf numFmtId="0" fontId="63" fillId="0" borderId="45" applyNumberFormat="0" applyFill="0" applyAlignment="0" applyProtection="0"/>
    <xf numFmtId="0" fontId="65" fillId="0" borderId="47" applyNumberFormat="0" applyFill="0" applyAlignment="0" applyProtection="0"/>
    <xf numFmtId="0" fontId="65" fillId="0" borderId="47" applyNumberFormat="0" applyFill="0" applyAlignment="0" applyProtection="0"/>
    <xf numFmtId="0" fontId="65" fillId="0" borderId="46" applyNumberFormat="0" applyFill="0" applyAlignment="0" applyProtection="0"/>
    <xf numFmtId="0" fontId="65" fillId="0" borderId="46" applyNumberFormat="0" applyFill="0" applyAlignment="0" applyProtection="0"/>
    <xf numFmtId="0" fontId="65" fillId="0" borderId="46" applyNumberFormat="0" applyFill="0" applyAlignment="0" applyProtection="0"/>
    <xf numFmtId="0" fontId="65" fillId="0" borderId="46" applyNumberFormat="0" applyFill="0" applyAlignment="0" applyProtection="0"/>
    <xf numFmtId="0" fontId="65" fillId="0" borderId="47" applyNumberFormat="0" applyFill="0" applyAlignment="0" applyProtection="0"/>
    <xf numFmtId="0" fontId="65" fillId="0" borderId="47" applyNumberFormat="0" applyFill="0" applyAlignment="0" applyProtection="0"/>
    <xf numFmtId="0" fontId="65" fillId="0" borderId="47" applyNumberFormat="0" applyFill="0" applyAlignment="0" applyProtection="0"/>
    <xf numFmtId="0" fontId="63" fillId="0" borderId="45" applyNumberFormat="0" applyFill="0" applyAlignment="0" applyProtection="0"/>
    <xf numFmtId="0" fontId="63" fillId="0" borderId="45" applyNumberFormat="0" applyFill="0" applyAlignment="0" applyProtection="0"/>
    <xf numFmtId="0" fontId="63" fillId="0" borderId="45" applyNumberFormat="0" applyFill="0" applyAlignment="0" applyProtection="0"/>
    <xf numFmtId="0" fontId="63" fillId="0" borderId="45" applyNumberFormat="0" applyFill="0" applyAlignment="0" applyProtection="0"/>
    <xf numFmtId="0" fontId="65" fillId="0" borderId="46" applyNumberFormat="0" applyFill="0" applyAlignment="0" applyProtection="0"/>
    <xf numFmtId="0" fontId="63" fillId="0" borderId="45" applyNumberFormat="0" applyFill="0" applyAlignment="0" applyProtection="0"/>
    <xf numFmtId="0" fontId="63" fillId="0" borderId="45" applyNumberFormat="0" applyFill="0" applyAlignment="0" applyProtection="0"/>
    <xf numFmtId="0" fontId="63" fillId="0" borderId="45" applyNumberFormat="0" applyFill="0" applyAlignment="0" applyProtection="0"/>
    <xf numFmtId="0" fontId="63" fillId="0" borderId="45" applyNumberFormat="0" applyFill="0" applyAlignment="0" applyProtection="0"/>
    <xf numFmtId="0" fontId="65" fillId="0" borderId="46" applyNumberFormat="0" applyFill="0" applyAlignment="0" applyProtection="0"/>
    <xf numFmtId="0" fontId="63" fillId="0" borderId="45" applyNumberFormat="0" applyFill="0" applyAlignment="0" applyProtection="0"/>
    <xf numFmtId="0" fontId="63" fillId="0" borderId="45" applyNumberFormat="0" applyFill="0" applyAlignment="0" applyProtection="0"/>
    <xf numFmtId="0" fontId="63" fillId="0" borderId="45" applyNumberFormat="0" applyFill="0" applyAlignment="0" applyProtection="0"/>
    <xf numFmtId="0" fontId="63" fillId="0" borderId="45" applyNumberFormat="0" applyFill="0" applyAlignment="0" applyProtection="0"/>
    <xf numFmtId="0" fontId="65" fillId="0" borderId="46" applyNumberFormat="0" applyFill="0" applyAlignment="0" applyProtection="0"/>
    <xf numFmtId="0" fontId="63" fillId="0" borderId="45" applyNumberFormat="0" applyFill="0" applyAlignment="0" applyProtection="0"/>
    <xf numFmtId="0" fontId="63" fillId="0" borderId="45" applyNumberFormat="0" applyFill="0" applyAlignment="0" applyProtection="0"/>
    <xf numFmtId="0" fontId="63" fillId="0" borderId="45" applyNumberFormat="0" applyFill="0" applyAlignment="0" applyProtection="0"/>
    <xf numFmtId="0" fontId="63" fillId="0" borderId="45" applyNumberFormat="0" applyFill="0" applyAlignment="0" applyProtection="0"/>
    <xf numFmtId="0" fontId="65" fillId="0" borderId="46" applyNumberFormat="0" applyFill="0" applyAlignment="0" applyProtection="0"/>
    <xf numFmtId="0" fontId="63" fillId="0" borderId="45" applyNumberFormat="0" applyFill="0" applyAlignment="0" applyProtection="0"/>
    <xf numFmtId="0" fontId="63" fillId="0" borderId="45" applyNumberFormat="0" applyFill="0" applyAlignment="0" applyProtection="0"/>
    <xf numFmtId="0" fontId="63" fillId="0" borderId="45" applyNumberFormat="0" applyFill="0" applyAlignment="0" applyProtection="0"/>
    <xf numFmtId="0" fontId="63" fillId="0" borderId="45" applyNumberFormat="0" applyFill="0" applyAlignment="0" applyProtection="0"/>
    <xf numFmtId="0" fontId="65" fillId="0" borderId="46" applyNumberFormat="0" applyFill="0" applyAlignment="0" applyProtection="0"/>
    <xf numFmtId="0" fontId="63" fillId="0" borderId="45" applyNumberFormat="0" applyFill="0" applyAlignment="0" applyProtection="0"/>
    <xf numFmtId="0" fontId="63" fillId="0" borderId="45" applyNumberFormat="0" applyFill="0" applyAlignment="0" applyProtection="0"/>
    <xf numFmtId="0" fontId="63" fillId="0" borderId="45" applyNumberFormat="0" applyFill="0" applyAlignment="0" applyProtection="0"/>
    <xf numFmtId="0" fontId="64" fillId="0" borderId="45" applyNumberFormat="0" applyFill="0" applyAlignment="0" applyProtection="0"/>
    <xf numFmtId="0" fontId="64" fillId="0" borderId="45" applyNumberFormat="0" applyFill="0" applyAlignment="0" applyProtection="0"/>
    <xf numFmtId="0" fontId="64" fillId="0" borderId="45" applyNumberFormat="0" applyFill="0" applyAlignment="0" applyProtection="0"/>
    <xf numFmtId="0" fontId="64" fillId="0" borderId="45" applyNumberFormat="0" applyFill="0" applyAlignment="0" applyProtection="0"/>
    <xf numFmtId="0" fontId="64" fillId="0" borderId="45" applyNumberFormat="0" applyFill="0" applyAlignment="0" applyProtection="0"/>
    <xf numFmtId="0" fontId="65" fillId="0" borderId="46" applyNumberFormat="0" applyFill="0" applyAlignment="0" applyProtection="0"/>
    <xf numFmtId="0" fontId="63" fillId="0" borderId="45" applyNumberFormat="0" applyFill="0" applyAlignment="0" applyProtection="0"/>
    <xf numFmtId="0" fontId="63" fillId="0" borderId="45" applyNumberFormat="0" applyFill="0" applyAlignment="0" applyProtection="0"/>
    <xf numFmtId="0" fontId="63" fillId="0" borderId="45" applyNumberFormat="0" applyFill="0" applyAlignment="0" applyProtection="0"/>
    <xf numFmtId="0" fontId="64" fillId="0" borderId="45" applyNumberFormat="0" applyFill="0" applyAlignment="0" applyProtection="0"/>
    <xf numFmtId="0" fontId="64" fillId="0" borderId="45" applyNumberFormat="0" applyFill="0" applyAlignment="0" applyProtection="0"/>
    <xf numFmtId="0" fontId="64" fillId="0" borderId="45" applyNumberFormat="0" applyFill="0" applyAlignment="0" applyProtection="0"/>
    <xf numFmtId="0" fontId="64" fillId="0" borderId="45" applyNumberFormat="0" applyFill="0" applyAlignment="0" applyProtection="0"/>
    <xf numFmtId="0" fontId="64" fillId="0" borderId="45" applyNumberFormat="0" applyFill="0" applyAlignment="0" applyProtection="0"/>
    <xf numFmtId="0" fontId="65" fillId="0" borderId="46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30" fillId="0" borderId="32" applyNumberFormat="0" applyFill="0" applyAlignment="0" applyProtection="0"/>
    <xf numFmtId="0" fontId="30" fillId="0" borderId="32" applyNumberFormat="0" applyFill="0" applyAlignment="0" applyProtection="0"/>
    <xf numFmtId="0" fontId="30" fillId="0" borderId="32" applyNumberFormat="0" applyFill="0" applyAlignment="0" applyProtection="0"/>
    <xf numFmtId="0" fontId="30" fillId="0" borderId="32" applyNumberFormat="0" applyFill="0" applyAlignment="0" applyProtection="0"/>
    <xf numFmtId="0" fontId="30" fillId="0" borderId="32" applyNumberFormat="0" applyFill="0" applyAlignment="0" applyProtection="0"/>
    <xf numFmtId="0" fontId="30" fillId="0" borderId="32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9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9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30" fillId="0" borderId="32" applyNumberFormat="0" applyFill="0" applyAlignment="0" applyProtection="0"/>
    <xf numFmtId="0" fontId="30" fillId="0" borderId="32" applyNumberFormat="0" applyFill="0" applyAlignment="0" applyProtection="0"/>
    <xf numFmtId="0" fontId="30" fillId="0" borderId="32" applyNumberFormat="0" applyFill="0" applyAlignment="0" applyProtection="0"/>
    <xf numFmtId="0" fontId="30" fillId="0" borderId="32" applyNumberFormat="0" applyFill="0" applyAlignment="0" applyProtection="0"/>
    <xf numFmtId="0" fontId="30" fillId="0" borderId="32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30" fillId="0" borderId="32" applyNumberFormat="0" applyFill="0" applyAlignment="0" applyProtection="0"/>
    <xf numFmtId="0" fontId="30" fillId="0" borderId="32" applyNumberFormat="0" applyFill="0" applyAlignment="0" applyProtection="0"/>
    <xf numFmtId="0" fontId="30" fillId="0" borderId="32" applyNumberFormat="0" applyFill="0" applyAlignment="0" applyProtection="0"/>
    <xf numFmtId="0" fontId="30" fillId="0" borderId="32" applyNumberFormat="0" applyFill="0" applyAlignment="0" applyProtection="0"/>
    <xf numFmtId="0" fontId="30" fillId="0" borderId="32" applyNumberFormat="0" applyFill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67" fillId="0" borderId="0">
      <protection locked="0"/>
    </xf>
    <xf numFmtId="0" fontId="67" fillId="0" borderId="0">
      <protection locked="0"/>
    </xf>
    <xf numFmtId="0" fontId="34" fillId="10" borderId="39" applyNumberFormat="0" applyAlignment="0" applyProtection="0"/>
    <xf numFmtId="0" fontId="34" fillId="10" borderId="39" applyNumberFormat="0" applyAlignment="0" applyProtection="0"/>
    <xf numFmtId="0" fontId="34" fillId="10" borderId="39" applyNumberFormat="0" applyAlignment="0" applyProtection="0"/>
    <xf numFmtId="0" fontId="34" fillId="10" borderId="33" applyNumberFormat="0" applyAlignment="0" applyProtection="0"/>
    <xf numFmtId="0" fontId="34" fillId="10" borderId="33" applyNumberFormat="0" applyAlignment="0" applyProtection="0"/>
    <xf numFmtId="0" fontId="34" fillId="10" borderId="33" applyNumberFormat="0" applyAlignment="0" applyProtection="0"/>
    <xf numFmtId="0" fontId="34" fillId="10" borderId="33" applyNumberFormat="0" applyAlignment="0" applyProtection="0"/>
    <xf numFmtId="0" fontId="34" fillId="10" borderId="33" applyNumberFormat="0" applyAlignment="0" applyProtection="0"/>
    <xf numFmtId="0" fontId="68" fillId="107" borderId="39" applyNumberFormat="0" applyAlignment="0" applyProtection="0"/>
    <xf numFmtId="0" fontId="34" fillId="10" borderId="39" applyNumberFormat="0" applyAlignment="0" applyProtection="0"/>
    <xf numFmtId="0" fontId="34" fillId="10" borderId="39" applyNumberFormat="0" applyAlignment="0" applyProtection="0"/>
    <xf numFmtId="0" fontId="34" fillId="10" borderId="39" applyNumberFormat="0" applyAlignment="0" applyProtection="0"/>
    <xf numFmtId="0" fontId="34" fillId="10" borderId="33" applyNumberFormat="0" applyAlignment="0" applyProtection="0"/>
    <xf numFmtId="0" fontId="34" fillId="10" borderId="33" applyNumberFormat="0" applyAlignment="0" applyProtection="0"/>
    <xf numFmtId="0" fontId="34" fillId="10" borderId="33" applyNumberFormat="0" applyAlignment="0" applyProtection="0"/>
    <xf numFmtId="0" fontId="34" fillId="10" borderId="33" applyNumberFormat="0" applyAlignment="0" applyProtection="0"/>
    <xf numFmtId="0" fontId="34" fillId="10" borderId="33" applyNumberFormat="0" applyAlignment="0" applyProtection="0"/>
    <xf numFmtId="0" fontId="68" fillId="107" borderId="39" applyNumberFormat="0" applyAlignment="0" applyProtection="0"/>
    <xf numFmtId="0" fontId="34" fillId="10" borderId="33" applyNumberFormat="0" applyAlignment="0" applyProtection="0"/>
    <xf numFmtId="0" fontId="68" fillId="107" borderId="39" applyNumberFormat="0" applyAlignment="0" applyProtection="0"/>
    <xf numFmtId="0" fontId="68" fillId="107" borderId="39" applyNumberFormat="0" applyAlignment="0" applyProtection="0"/>
    <xf numFmtId="0" fontId="68" fillId="107" borderId="39" applyNumberFormat="0" applyAlignment="0" applyProtection="0"/>
    <xf numFmtId="0" fontId="68" fillId="107" borderId="39" applyNumberFormat="0" applyAlignment="0" applyProtection="0"/>
    <xf numFmtId="0" fontId="68" fillId="107" borderId="39" applyNumberFormat="0" applyAlignment="0" applyProtection="0"/>
    <xf numFmtId="0" fontId="68" fillId="107" borderId="39" applyNumberFormat="0" applyAlignment="0" applyProtection="0"/>
    <xf numFmtId="0" fontId="68" fillId="107" borderId="39" applyNumberFormat="0" applyAlignment="0" applyProtection="0"/>
    <xf numFmtId="0" fontId="68" fillId="107" borderId="39" applyNumberFormat="0" applyAlignment="0" applyProtection="0"/>
    <xf numFmtId="0" fontId="34" fillId="10" borderId="39" applyNumberFormat="0" applyAlignment="0" applyProtection="0"/>
    <xf numFmtId="0" fontId="68" fillId="107" borderId="39" applyNumberFormat="0" applyAlignment="0" applyProtection="0"/>
    <xf numFmtId="0" fontId="34" fillId="10" borderId="39" applyNumberFormat="0" applyAlignment="0" applyProtection="0"/>
    <xf numFmtId="0" fontId="34" fillId="10" borderId="39" applyNumberFormat="0" applyAlignment="0" applyProtection="0"/>
    <xf numFmtId="0" fontId="68" fillId="107" borderId="39" applyNumberFormat="0" applyAlignment="0" applyProtection="0"/>
    <xf numFmtId="0" fontId="34" fillId="10" borderId="39" applyNumberFormat="0" applyAlignment="0" applyProtection="0"/>
    <xf numFmtId="0" fontId="68" fillId="107" borderId="40" applyNumberFormat="0" applyAlignment="0" applyProtection="0"/>
    <xf numFmtId="0" fontId="68" fillId="107" borderId="40" applyNumberFormat="0" applyAlignment="0" applyProtection="0"/>
    <xf numFmtId="0" fontId="68" fillId="107" borderId="39" applyNumberFormat="0" applyAlignment="0" applyProtection="0"/>
    <xf numFmtId="0" fontId="68" fillId="107" borderId="39" applyNumberFormat="0" applyAlignment="0" applyProtection="0"/>
    <xf numFmtId="0" fontId="68" fillId="107" borderId="39" applyNumberFormat="0" applyAlignment="0" applyProtection="0"/>
    <xf numFmtId="0" fontId="68" fillId="107" borderId="39" applyNumberFormat="0" applyAlignment="0" applyProtection="0"/>
    <xf numFmtId="0" fontId="68" fillId="107" borderId="40" applyNumberFormat="0" applyAlignment="0" applyProtection="0"/>
    <xf numFmtId="0" fontId="68" fillId="107" borderId="40" applyNumberFormat="0" applyAlignment="0" applyProtection="0"/>
    <xf numFmtId="0" fontId="68" fillId="107" borderId="40" applyNumberFormat="0" applyAlignment="0" applyProtection="0"/>
    <xf numFmtId="0" fontId="34" fillId="10" borderId="39" applyNumberFormat="0" applyAlignment="0" applyProtection="0"/>
    <xf numFmtId="0" fontId="34" fillId="10" borderId="39" applyNumberFormat="0" applyAlignment="0" applyProtection="0"/>
    <xf numFmtId="0" fontId="34" fillId="10" borderId="39" applyNumberFormat="0" applyAlignment="0" applyProtection="0"/>
    <xf numFmtId="0" fontId="34" fillId="10" borderId="39" applyNumberFormat="0" applyAlignment="0" applyProtection="0"/>
    <xf numFmtId="0" fontId="68" fillId="107" borderId="39" applyNumberFormat="0" applyAlignment="0" applyProtection="0"/>
    <xf numFmtId="0" fontId="34" fillId="10" borderId="39" applyNumberFormat="0" applyAlignment="0" applyProtection="0"/>
    <xf numFmtId="0" fontId="34" fillId="10" borderId="39" applyNumberFormat="0" applyAlignment="0" applyProtection="0"/>
    <xf numFmtId="0" fontId="34" fillId="10" borderId="39" applyNumberFormat="0" applyAlignment="0" applyProtection="0"/>
    <xf numFmtId="0" fontId="34" fillId="10" borderId="39" applyNumberFormat="0" applyAlignment="0" applyProtection="0"/>
    <xf numFmtId="0" fontId="68" fillId="107" borderId="39" applyNumberFormat="0" applyAlignment="0" applyProtection="0"/>
    <xf numFmtId="0" fontId="34" fillId="10" borderId="39" applyNumberFormat="0" applyAlignment="0" applyProtection="0"/>
    <xf numFmtId="0" fontId="34" fillId="10" borderId="39" applyNumberFormat="0" applyAlignment="0" applyProtection="0"/>
    <xf numFmtId="0" fontId="34" fillId="10" borderId="39" applyNumberFormat="0" applyAlignment="0" applyProtection="0"/>
    <xf numFmtId="0" fontId="34" fillId="10" borderId="39" applyNumberFormat="0" applyAlignment="0" applyProtection="0"/>
    <xf numFmtId="0" fontId="68" fillId="107" borderId="39" applyNumberFormat="0" applyAlignment="0" applyProtection="0"/>
    <xf numFmtId="0" fontId="34" fillId="10" borderId="39" applyNumberFormat="0" applyAlignment="0" applyProtection="0"/>
    <xf numFmtId="0" fontId="34" fillId="10" borderId="39" applyNumberFormat="0" applyAlignment="0" applyProtection="0"/>
    <xf numFmtId="0" fontId="34" fillId="10" borderId="39" applyNumberFormat="0" applyAlignment="0" applyProtection="0"/>
    <xf numFmtId="0" fontId="34" fillId="10" borderId="39" applyNumberFormat="0" applyAlignment="0" applyProtection="0"/>
    <xf numFmtId="0" fontId="68" fillId="107" borderId="39" applyNumberFormat="0" applyAlignment="0" applyProtection="0"/>
    <xf numFmtId="0" fontId="34" fillId="10" borderId="39" applyNumberFormat="0" applyAlignment="0" applyProtection="0"/>
    <xf numFmtId="0" fontId="34" fillId="10" borderId="39" applyNumberFormat="0" applyAlignment="0" applyProtection="0"/>
    <xf numFmtId="0" fontId="34" fillId="10" borderId="39" applyNumberFormat="0" applyAlignment="0" applyProtection="0"/>
    <xf numFmtId="0" fontId="34" fillId="10" borderId="39" applyNumberFormat="0" applyAlignment="0" applyProtection="0"/>
    <xf numFmtId="0" fontId="68" fillId="107" borderId="39" applyNumberFormat="0" applyAlignment="0" applyProtection="0"/>
    <xf numFmtId="0" fontId="68" fillId="64" borderId="39" applyNumberFormat="0" applyAlignment="0" applyProtection="0"/>
    <xf numFmtId="0" fontId="68" fillId="64" borderId="39" applyNumberFormat="0" applyAlignment="0" applyProtection="0"/>
    <xf numFmtId="0" fontId="68" fillId="64" borderId="39" applyNumberFormat="0" applyAlignment="0" applyProtection="0"/>
    <xf numFmtId="0" fontId="68" fillId="107" borderId="39" applyNumberFormat="0" applyAlignment="0" applyProtection="0"/>
    <xf numFmtId="0" fontId="34" fillId="10" borderId="39" applyNumberFormat="0" applyAlignment="0" applyProtection="0"/>
    <xf numFmtId="0" fontId="34" fillId="10" borderId="39" applyNumberFormat="0" applyAlignment="0" applyProtection="0"/>
    <xf numFmtId="0" fontId="34" fillId="10" borderId="39" applyNumberFormat="0" applyAlignment="0" applyProtection="0"/>
    <xf numFmtId="0" fontId="34" fillId="10" borderId="33" applyNumberFormat="0" applyAlignment="0" applyProtection="0"/>
    <xf numFmtId="0" fontId="34" fillId="10" borderId="33" applyNumberFormat="0" applyAlignment="0" applyProtection="0"/>
    <xf numFmtId="0" fontId="34" fillId="10" borderId="33" applyNumberFormat="0" applyAlignment="0" applyProtection="0"/>
    <xf numFmtId="0" fontId="34" fillId="10" borderId="33" applyNumberFormat="0" applyAlignment="0" applyProtection="0"/>
    <xf numFmtId="0" fontId="34" fillId="10" borderId="33" applyNumberFormat="0" applyAlignment="0" applyProtection="0"/>
    <xf numFmtId="0" fontId="68" fillId="107" borderId="39" applyNumberFormat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69" fillId="0" borderId="51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69" fillId="0" borderId="51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59" fillId="107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59" fillId="107" borderId="0" applyNumberFormat="0" applyBorder="0" applyAlignment="0" applyProtection="0"/>
    <xf numFmtId="0" fontId="33" fillId="9" borderId="0" applyNumberFormat="0" applyBorder="0" applyAlignment="0" applyProtection="0"/>
    <xf numFmtId="0" fontId="59" fillId="107" borderId="0" applyNumberFormat="0" applyBorder="0" applyAlignment="0" applyProtection="0"/>
    <xf numFmtId="0" fontId="59" fillId="107" borderId="0" applyNumberFormat="0" applyBorder="0" applyAlignment="0" applyProtection="0"/>
    <xf numFmtId="0" fontId="59" fillId="107" borderId="0" applyNumberFormat="0" applyBorder="0" applyAlignment="0" applyProtection="0"/>
    <xf numFmtId="0" fontId="59" fillId="107" borderId="0" applyNumberFormat="0" applyBorder="0" applyAlignment="0" applyProtection="0"/>
    <xf numFmtId="0" fontId="59" fillId="107" borderId="0" applyNumberFormat="0" applyBorder="0" applyAlignment="0" applyProtection="0"/>
    <xf numFmtId="0" fontId="59" fillId="107" borderId="0" applyNumberFormat="0" applyBorder="0" applyAlignment="0" applyProtection="0"/>
    <xf numFmtId="0" fontId="59" fillId="107" borderId="0" applyNumberFormat="0" applyBorder="0" applyAlignment="0" applyProtection="0"/>
    <xf numFmtId="0" fontId="59" fillId="107" borderId="0" applyNumberFormat="0" applyBorder="0" applyAlignment="0" applyProtection="0"/>
    <xf numFmtId="0" fontId="25" fillId="107" borderId="0" applyNumberFormat="0" applyBorder="0" applyAlignment="0" applyProtection="0"/>
    <xf numFmtId="0" fontId="59" fillId="107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59" fillId="107" borderId="0" applyNumberFormat="0" applyBorder="0" applyAlignment="0" applyProtection="0"/>
    <xf numFmtId="0" fontId="45" fillId="65" borderId="0" applyNumberFormat="0" applyBorder="0" applyAlignment="0" applyProtection="0"/>
    <xf numFmtId="0" fontId="25" fillId="107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59" fillId="107" borderId="0" applyNumberFormat="0" applyBorder="0" applyAlignment="0" applyProtection="0"/>
    <xf numFmtId="0" fontId="59" fillId="107" borderId="0" applyNumberFormat="0" applyBorder="0" applyAlignment="0" applyProtection="0"/>
    <xf numFmtId="0" fontId="59" fillId="107" borderId="0" applyNumberFormat="0" applyBorder="0" applyAlignment="0" applyProtection="0"/>
    <xf numFmtId="0" fontId="59" fillId="107" borderId="0" applyNumberFormat="0" applyBorder="0" applyAlignment="0" applyProtection="0"/>
    <xf numFmtId="0" fontId="25" fillId="107" borderId="0" applyNumberFormat="0" applyBorder="0" applyAlignment="0" applyProtection="0"/>
    <xf numFmtId="0" fontId="25" fillId="107" borderId="0" applyNumberFormat="0" applyBorder="0" applyAlignment="0" applyProtection="0"/>
    <xf numFmtId="0" fontId="25" fillId="107" borderId="0" applyNumberFormat="0" applyBorder="0" applyAlignment="0" applyProtection="0"/>
    <xf numFmtId="0" fontId="45" fillId="65" borderId="0" applyNumberFormat="0" applyBorder="0" applyAlignment="0" applyProtection="0"/>
    <xf numFmtId="0" fontId="59" fillId="107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59" fillId="107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59" fillId="107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59" fillId="107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59" fillId="107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59" fillId="64" borderId="0" applyNumberFormat="0" applyBorder="0" applyAlignment="0" applyProtection="0"/>
    <xf numFmtId="0" fontId="59" fillId="64" borderId="0" applyNumberFormat="0" applyBorder="0" applyAlignment="0" applyProtection="0"/>
    <xf numFmtId="0" fontId="59" fillId="64" borderId="0" applyNumberFormat="0" applyBorder="0" applyAlignment="0" applyProtection="0"/>
    <xf numFmtId="0" fontId="59" fillId="107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59" fillId="107" borderId="0" applyNumberFormat="0" applyBorder="0" applyAlignment="0" applyProtection="0"/>
    <xf numFmtId="184" fontId="19" fillId="0" borderId="0"/>
    <xf numFmtId="184" fontId="19" fillId="0" borderId="0"/>
    <xf numFmtId="184" fontId="19" fillId="0" borderId="0"/>
    <xf numFmtId="184" fontId="19" fillId="0" borderId="0"/>
    <xf numFmtId="184" fontId="19" fillId="0" borderId="0"/>
    <xf numFmtId="184" fontId="19" fillId="0" borderId="0"/>
    <xf numFmtId="184" fontId="19" fillId="0" borderId="0"/>
    <xf numFmtId="185" fontId="19" fillId="0" borderId="0"/>
    <xf numFmtId="185" fontId="19" fillId="0" borderId="0"/>
    <xf numFmtId="185" fontId="19" fillId="0" borderId="0"/>
    <xf numFmtId="185" fontId="19" fillId="0" borderId="0"/>
    <xf numFmtId="185" fontId="19" fillId="0" borderId="0"/>
    <xf numFmtId="185" fontId="19" fillId="0" borderId="0"/>
    <xf numFmtId="185" fontId="19" fillId="0" borderId="0"/>
    <xf numFmtId="0" fontId="19" fillId="121" borderId="0"/>
    <xf numFmtId="0" fontId="19" fillId="121" borderId="0"/>
    <xf numFmtId="0" fontId="19" fillId="121" borderId="0"/>
    <xf numFmtId="0" fontId="19" fillId="121" borderId="0"/>
    <xf numFmtId="0" fontId="19" fillId="121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121" borderId="0"/>
    <xf numFmtId="0" fontId="19" fillId="121" borderId="0"/>
    <xf numFmtId="0" fontId="19" fillId="121" borderId="0"/>
    <xf numFmtId="0" fontId="19" fillId="121" borderId="0"/>
    <xf numFmtId="0" fontId="19" fillId="121" borderId="0"/>
    <xf numFmtId="0" fontId="19" fillId="121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121" borderId="0"/>
    <xf numFmtId="0" fontId="19" fillId="121" borderId="0"/>
    <xf numFmtId="0" fontId="52" fillId="0" borderId="0"/>
    <xf numFmtId="0" fontId="3" fillId="0" borderId="0"/>
    <xf numFmtId="0" fontId="19" fillId="121" borderId="0"/>
    <xf numFmtId="0" fontId="7" fillId="0" borderId="0"/>
    <xf numFmtId="0" fontId="19" fillId="121" borderId="0"/>
    <xf numFmtId="0" fontId="19" fillId="121" borderId="0"/>
    <xf numFmtId="0" fontId="19" fillId="121" borderId="0"/>
    <xf numFmtId="0" fontId="19" fillId="121" borderId="0"/>
    <xf numFmtId="0" fontId="19" fillId="121" borderId="0"/>
    <xf numFmtId="0" fontId="19" fillId="121" borderId="0"/>
    <xf numFmtId="0" fontId="19" fillId="121" borderId="0"/>
    <xf numFmtId="0" fontId="19" fillId="121" borderId="0"/>
    <xf numFmtId="0" fontId="19" fillId="121" borderId="0"/>
    <xf numFmtId="0" fontId="19" fillId="121" borderId="0"/>
    <xf numFmtId="0" fontId="19" fillId="121" borderId="0"/>
    <xf numFmtId="0" fontId="19" fillId="121" borderId="0"/>
    <xf numFmtId="0" fontId="19" fillId="121" borderId="0"/>
    <xf numFmtId="0" fontId="19" fillId="121" borderId="0"/>
    <xf numFmtId="0" fontId="19" fillId="121" borderId="0"/>
    <xf numFmtId="0" fontId="19" fillId="121" borderId="0"/>
    <xf numFmtId="0" fontId="19" fillId="121" borderId="0"/>
    <xf numFmtId="0" fontId="19" fillId="121" borderId="0"/>
    <xf numFmtId="0" fontId="19" fillId="121" borderId="0"/>
    <xf numFmtId="0" fontId="19" fillId="121" borderId="0"/>
    <xf numFmtId="0" fontId="19" fillId="121" borderId="0"/>
    <xf numFmtId="0" fontId="19" fillId="121" borderId="0"/>
    <xf numFmtId="0" fontId="3" fillId="0" borderId="0"/>
    <xf numFmtId="0" fontId="19" fillId="121" borderId="0"/>
    <xf numFmtId="0" fontId="3" fillId="0" borderId="0"/>
    <xf numFmtId="0" fontId="3" fillId="0" borderId="0"/>
    <xf numFmtId="0" fontId="52" fillId="0" borderId="0"/>
    <xf numFmtId="0" fontId="7" fillId="0" borderId="0"/>
    <xf numFmtId="0" fontId="19" fillId="121" borderId="0"/>
    <xf numFmtId="0" fontId="19" fillId="121" borderId="0"/>
    <xf numFmtId="0" fontId="19" fillId="121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121" borderId="0"/>
    <xf numFmtId="0" fontId="19" fillId="121" borderId="0"/>
    <xf numFmtId="0" fontId="19" fillId="121" borderId="0"/>
    <xf numFmtId="0" fontId="19" fillId="121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121" borderId="0"/>
    <xf numFmtId="0" fontId="19" fillId="121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121" borderId="0"/>
    <xf numFmtId="0" fontId="7" fillId="0" borderId="0"/>
    <xf numFmtId="0" fontId="3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121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121" borderId="0"/>
    <xf numFmtId="0" fontId="7" fillId="0" borderId="0"/>
    <xf numFmtId="0" fontId="19" fillId="121" borderId="0"/>
    <xf numFmtId="0" fontId="7" fillId="0" borderId="0"/>
    <xf numFmtId="0" fontId="7" fillId="0" borderId="0"/>
    <xf numFmtId="0" fontId="19" fillId="121" borderId="0"/>
    <xf numFmtId="0" fontId="7" fillId="0" borderId="0"/>
    <xf numFmtId="0" fontId="7" fillId="0" borderId="0"/>
    <xf numFmtId="0" fontId="19" fillId="121" borderId="0"/>
    <xf numFmtId="0" fontId="7" fillId="0" borderId="0"/>
    <xf numFmtId="0" fontId="7" fillId="0" borderId="0"/>
    <xf numFmtId="0" fontId="19" fillId="121" borderId="0"/>
    <xf numFmtId="0" fontId="7" fillId="0" borderId="0"/>
    <xf numFmtId="0" fontId="7" fillId="0" borderId="0"/>
    <xf numFmtId="0" fontId="19" fillId="121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121" borderId="0"/>
    <xf numFmtId="0" fontId="19" fillId="121" borderId="0"/>
    <xf numFmtId="0" fontId="19" fillId="121" borderId="0"/>
    <xf numFmtId="0" fontId="19" fillId="121" borderId="0"/>
    <xf numFmtId="0" fontId="19" fillId="121" borderId="0"/>
    <xf numFmtId="0" fontId="19" fillId="121" borderId="0"/>
    <xf numFmtId="0" fontId="19" fillId="121" borderId="0"/>
    <xf numFmtId="0" fontId="19" fillId="121" borderId="0"/>
    <xf numFmtId="0" fontId="19" fillId="121" borderId="0"/>
    <xf numFmtId="0" fontId="7" fillId="0" borderId="0"/>
    <xf numFmtId="0" fontId="7" fillId="0" borderId="0"/>
    <xf numFmtId="0" fontId="19" fillId="121" borderId="0"/>
    <xf numFmtId="0" fontId="19" fillId="121" borderId="0"/>
    <xf numFmtId="0" fontId="19" fillId="121" borderId="0"/>
    <xf numFmtId="0" fontId="19" fillId="121" borderId="0"/>
    <xf numFmtId="0" fontId="19" fillId="121" borderId="0"/>
    <xf numFmtId="0" fontId="19" fillId="121" borderId="0"/>
    <xf numFmtId="0" fontId="19" fillId="121" borderId="0"/>
    <xf numFmtId="0" fontId="19" fillId="121" borderId="0"/>
    <xf numFmtId="0" fontId="19" fillId="121" borderId="0"/>
    <xf numFmtId="0" fontId="19" fillId="121" borderId="0"/>
    <xf numFmtId="0" fontId="19" fillId="121" borderId="0"/>
    <xf numFmtId="0" fontId="19" fillId="121" borderId="0"/>
    <xf numFmtId="0" fontId="7" fillId="0" borderId="0"/>
    <xf numFmtId="0" fontId="7" fillId="0" borderId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42" fillId="13" borderId="52" applyNumberFormat="0" applyFont="0" applyAlignment="0" applyProtection="0"/>
    <xf numFmtId="0" fontId="19" fillId="105" borderId="39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19" fillId="105" borderId="39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6" borderId="39" applyNumberFormat="0" applyFont="0" applyAlignment="0" applyProtection="0"/>
    <xf numFmtId="0" fontId="19" fillId="106" borderId="39" applyNumberFormat="0" applyFont="0" applyAlignment="0" applyProtection="0"/>
    <xf numFmtId="0" fontId="19" fillId="106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37" applyNumberFormat="0" applyFont="0" applyAlignment="0" applyProtection="0"/>
    <xf numFmtId="0" fontId="42" fillId="13" borderId="37" applyNumberFormat="0" applyFont="0" applyAlignment="0" applyProtection="0"/>
    <xf numFmtId="0" fontId="42" fillId="13" borderId="37" applyNumberFormat="0" applyFont="0" applyAlignment="0" applyProtection="0"/>
    <xf numFmtId="0" fontId="42" fillId="13" borderId="37" applyNumberFormat="0" applyFont="0" applyAlignment="0" applyProtection="0"/>
    <xf numFmtId="0" fontId="42" fillId="13" borderId="37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7" fillId="105" borderId="53" applyNumberFormat="0" applyFont="0" applyAlignment="0" applyProtection="0"/>
    <xf numFmtId="0" fontId="7" fillId="105" borderId="53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37" applyNumberFormat="0" applyFont="0" applyAlignment="0" applyProtection="0"/>
    <xf numFmtId="0" fontId="42" fillId="13" borderId="37" applyNumberFormat="0" applyFont="0" applyAlignment="0" applyProtection="0"/>
    <xf numFmtId="0" fontId="42" fillId="13" borderId="37" applyNumberFormat="0" applyFont="0" applyAlignment="0" applyProtection="0"/>
    <xf numFmtId="0" fontId="42" fillId="13" borderId="37" applyNumberFormat="0" applyFont="0" applyAlignment="0" applyProtection="0"/>
    <xf numFmtId="0" fontId="42" fillId="13" borderId="37" applyNumberFormat="0" applyFont="0" applyAlignment="0" applyProtection="0"/>
    <xf numFmtId="0" fontId="19" fillId="105" borderId="39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37" applyNumberFormat="0" applyFont="0" applyAlignment="0" applyProtection="0"/>
    <xf numFmtId="0" fontId="42" fillId="13" borderId="37" applyNumberFormat="0" applyFont="0" applyAlignment="0" applyProtection="0"/>
    <xf numFmtId="0" fontId="42" fillId="13" borderId="37" applyNumberFormat="0" applyFont="0" applyAlignment="0" applyProtection="0"/>
    <xf numFmtId="0" fontId="42" fillId="13" borderId="37" applyNumberFormat="0" applyFont="0" applyAlignment="0" applyProtection="0"/>
    <xf numFmtId="0" fontId="42" fillId="13" borderId="37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7" fillId="105" borderId="53" applyNumberFormat="0" applyFont="0" applyAlignment="0" applyProtection="0"/>
    <xf numFmtId="0" fontId="7" fillId="105" borderId="53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7" fillId="105" borderId="53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3" fillId="13" borderId="37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42" fillId="13" borderId="52" applyNumberFormat="0" applyFont="0" applyAlignment="0" applyProtection="0"/>
    <xf numFmtId="0" fontId="19" fillId="105" borderId="39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19" fillId="105" borderId="39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19" fillId="105" borderId="39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19" fillId="105" borderId="39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42" fillId="13" borderId="52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19" fillId="105" borderId="39" applyNumberFormat="0" applyFont="0" applyAlignment="0" applyProtection="0"/>
    <xf numFmtId="0" fontId="35" fillId="47" borderId="34" applyNumberFormat="0" applyAlignment="0" applyProtection="0"/>
    <xf numFmtId="0" fontId="35" fillId="47" borderId="34" applyNumberFormat="0" applyAlignment="0" applyProtection="0"/>
    <xf numFmtId="0" fontId="35" fillId="47" borderId="34" applyNumberFormat="0" applyAlignment="0" applyProtection="0"/>
    <xf numFmtId="0" fontId="35" fillId="11" borderId="34" applyNumberFormat="0" applyAlignment="0" applyProtection="0"/>
    <xf numFmtId="0" fontId="35" fillId="11" borderId="34" applyNumberFormat="0" applyAlignment="0" applyProtection="0"/>
    <xf numFmtId="0" fontId="35" fillId="11" borderId="34" applyNumberFormat="0" applyAlignment="0" applyProtection="0"/>
    <xf numFmtId="0" fontId="35" fillId="11" borderId="34" applyNumberFormat="0" applyAlignment="0" applyProtection="0"/>
    <xf numFmtId="0" fontId="35" fillId="11" borderId="34" applyNumberFormat="0" applyAlignment="0" applyProtection="0"/>
    <xf numFmtId="0" fontId="70" fillId="113" borderId="54" applyNumberFormat="0" applyAlignment="0" applyProtection="0"/>
    <xf numFmtId="0" fontId="35" fillId="47" borderId="34" applyNumberFormat="0" applyAlignment="0" applyProtection="0"/>
    <xf numFmtId="0" fontId="35" fillId="47" borderId="34" applyNumberFormat="0" applyAlignment="0" applyProtection="0"/>
    <xf numFmtId="0" fontId="35" fillId="47" borderId="34" applyNumberFormat="0" applyAlignment="0" applyProtection="0"/>
    <xf numFmtId="0" fontId="35" fillId="11" borderId="34" applyNumberFormat="0" applyAlignment="0" applyProtection="0"/>
    <xf numFmtId="0" fontId="35" fillId="11" borderId="34" applyNumberFormat="0" applyAlignment="0" applyProtection="0"/>
    <xf numFmtId="0" fontId="35" fillId="11" borderId="34" applyNumberFormat="0" applyAlignment="0" applyProtection="0"/>
    <xf numFmtId="0" fontId="35" fillId="11" borderId="34" applyNumberFormat="0" applyAlignment="0" applyProtection="0"/>
    <xf numFmtId="0" fontId="35" fillId="11" borderId="34" applyNumberFormat="0" applyAlignment="0" applyProtection="0"/>
    <xf numFmtId="0" fontId="70" fillId="113" borderId="54" applyNumberFormat="0" applyAlignment="0" applyProtection="0"/>
    <xf numFmtId="0" fontId="35" fillId="11" borderId="34" applyNumberFormat="0" applyAlignment="0" applyProtection="0"/>
    <xf numFmtId="0" fontId="70" fillId="113" borderId="54" applyNumberFormat="0" applyAlignment="0" applyProtection="0"/>
    <xf numFmtId="0" fontId="70" fillId="113" borderId="54" applyNumberFormat="0" applyAlignment="0" applyProtection="0"/>
    <xf numFmtId="0" fontId="70" fillId="113" borderId="54" applyNumberFormat="0" applyAlignment="0" applyProtection="0"/>
    <xf numFmtId="0" fontId="70" fillId="113" borderId="54" applyNumberFormat="0" applyAlignment="0" applyProtection="0"/>
    <xf numFmtId="0" fontId="70" fillId="113" borderId="54" applyNumberFormat="0" applyAlignment="0" applyProtection="0"/>
    <xf numFmtId="0" fontId="70" fillId="113" borderId="54" applyNumberFormat="0" applyAlignment="0" applyProtection="0"/>
    <xf numFmtId="0" fontId="70" fillId="113" borderId="54" applyNumberFormat="0" applyAlignment="0" applyProtection="0"/>
    <xf numFmtId="0" fontId="70" fillId="113" borderId="54" applyNumberFormat="0" applyAlignment="0" applyProtection="0"/>
    <xf numFmtId="0" fontId="35" fillId="47" borderId="34" applyNumberFormat="0" applyAlignment="0" applyProtection="0"/>
    <xf numFmtId="0" fontId="70" fillId="113" borderId="54" applyNumberFormat="0" applyAlignment="0" applyProtection="0"/>
    <xf numFmtId="0" fontId="35" fillId="47" borderId="34" applyNumberFormat="0" applyAlignment="0" applyProtection="0"/>
    <xf numFmtId="0" fontId="35" fillId="47" borderId="34" applyNumberFormat="0" applyAlignment="0" applyProtection="0"/>
    <xf numFmtId="0" fontId="70" fillId="113" borderId="54" applyNumberFormat="0" applyAlignment="0" applyProtection="0"/>
    <xf numFmtId="0" fontId="35" fillId="47" borderId="34" applyNumberFormat="0" applyAlignment="0" applyProtection="0"/>
    <xf numFmtId="0" fontId="70" fillId="114" borderId="54" applyNumberFormat="0" applyAlignment="0" applyProtection="0"/>
    <xf numFmtId="0" fontId="70" fillId="114" borderId="54" applyNumberFormat="0" applyAlignment="0" applyProtection="0"/>
    <xf numFmtId="0" fontId="70" fillId="113" borderId="54" applyNumberFormat="0" applyAlignment="0" applyProtection="0"/>
    <xf numFmtId="0" fontId="70" fillId="113" borderId="54" applyNumberFormat="0" applyAlignment="0" applyProtection="0"/>
    <xf numFmtId="0" fontId="70" fillId="113" borderId="54" applyNumberFormat="0" applyAlignment="0" applyProtection="0"/>
    <xf numFmtId="0" fontId="70" fillId="113" borderId="54" applyNumberFormat="0" applyAlignment="0" applyProtection="0"/>
    <xf numFmtId="0" fontId="70" fillId="114" borderId="54" applyNumberFormat="0" applyAlignment="0" applyProtection="0"/>
    <xf numFmtId="0" fontId="70" fillId="114" borderId="54" applyNumberFormat="0" applyAlignment="0" applyProtection="0"/>
    <xf numFmtId="0" fontId="70" fillId="114" borderId="54" applyNumberFormat="0" applyAlignment="0" applyProtection="0"/>
    <xf numFmtId="0" fontId="35" fillId="47" borderId="34" applyNumberFormat="0" applyAlignment="0" applyProtection="0"/>
    <xf numFmtId="0" fontId="35" fillId="47" borderId="34" applyNumberFormat="0" applyAlignment="0" applyProtection="0"/>
    <xf numFmtId="0" fontId="35" fillId="47" borderId="34" applyNumberFormat="0" applyAlignment="0" applyProtection="0"/>
    <xf numFmtId="0" fontId="35" fillId="47" borderId="34" applyNumberFormat="0" applyAlignment="0" applyProtection="0"/>
    <xf numFmtId="0" fontId="70" fillId="113" borderId="54" applyNumberFormat="0" applyAlignment="0" applyProtection="0"/>
    <xf numFmtId="0" fontId="35" fillId="47" borderId="34" applyNumberFormat="0" applyAlignment="0" applyProtection="0"/>
    <xf numFmtId="0" fontId="35" fillId="47" borderId="34" applyNumberFormat="0" applyAlignment="0" applyProtection="0"/>
    <xf numFmtId="0" fontId="35" fillId="47" borderId="34" applyNumberFormat="0" applyAlignment="0" applyProtection="0"/>
    <xf numFmtId="0" fontId="35" fillId="47" borderId="34" applyNumberFormat="0" applyAlignment="0" applyProtection="0"/>
    <xf numFmtId="0" fontId="70" fillId="113" borderId="54" applyNumberFormat="0" applyAlignment="0" applyProtection="0"/>
    <xf numFmtId="0" fontId="35" fillId="47" borderId="34" applyNumberFormat="0" applyAlignment="0" applyProtection="0"/>
    <xf numFmtId="0" fontId="35" fillId="47" borderId="34" applyNumberFormat="0" applyAlignment="0" applyProtection="0"/>
    <xf numFmtId="0" fontId="35" fillId="47" borderId="34" applyNumberFormat="0" applyAlignment="0" applyProtection="0"/>
    <xf numFmtId="0" fontId="35" fillId="47" borderId="34" applyNumberFormat="0" applyAlignment="0" applyProtection="0"/>
    <xf numFmtId="0" fontId="70" fillId="113" borderId="54" applyNumberFormat="0" applyAlignment="0" applyProtection="0"/>
    <xf numFmtId="0" fontId="35" fillId="47" borderId="34" applyNumberFormat="0" applyAlignment="0" applyProtection="0"/>
    <xf numFmtId="0" fontId="35" fillId="47" borderId="34" applyNumberFormat="0" applyAlignment="0" applyProtection="0"/>
    <xf numFmtId="0" fontId="35" fillId="47" borderId="34" applyNumberFormat="0" applyAlignment="0" applyProtection="0"/>
    <xf numFmtId="0" fontId="35" fillId="47" borderId="34" applyNumberFormat="0" applyAlignment="0" applyProtection="0"/>
    <xf numFmtId="0" fontId="70" fillId="113" borderId="54" applyNumberFormat="0" applyAlignment="0" applyProtection="0"/>
    <xf numFmtId="0" fontId="35" fillId="47" borderId="34" applyNumberFormat="0" applyAlignment="0" applyProtection="0"/>
    <xf numFmtId="0" fontId="35" fillId="47" borderId="34" applyNumberFormat="0" applyAlignment="0" applyProtection="0"/>
    <xf numFmtId="0" fontId="35" fillId="47" borderId="34" applyNumberFormat="0" applyAlignment="0" applyProtection="0"/>
    <xf numFmtId="0" fontId="35" fillId="47" borderId="34" applyNumberFormat="0" applyAlignment="0" applyProtection="0"/>
    <xf numFmtId="0" fontId="70" fillId="113" borderId="54" applyNumberFormat="0" applyAlignment="0" applyProtection="0"/>
    <xf numFmtId="0" fontId="70" fillId="48" borderId="54" applyNumberFormat="0" applyAlignment="0" applyProtection="0"/>
    <xf numFmtId="0" fontId="70" fillId="48" borderId="54" applyNumberFormat="0" applyAlignment="0" applyProtection="0"/>
    <xf numFmtId="0" fontId="70" fillId="48" borderId="54" applyNumberFormat="0" applyAlignment="0" applyProtection="0"/>
    <xf numFmtId="0" fontId="70" fillId="113" borderId="54" applyNumberFormat="0" applyAlignment="0" applyProtection="0"/>
    <xf numFmtId="0" fontId="35" fillId="47" borderId="34" applyNumberFormat="0" applyAlignment="0" applyProtection="0"/>
    <xf numFmtId="0" fontId="35" fillId="47" borderId="34" applyNumberFormat="0" applyAlignment="0" applyProtection="0"/>
    <xf numFmtId="0" fontId="35" fillId="47" borderId="34" applyNumberFormat="0" applyAlignment="0" applyProtection="0"/>
    <xf numFmtId="0" fontId="35" fillId="11" borderId="34" applyNumberFormat="0" applyAlignment="0" applyProtection="0"/>
    <xf numFmtId="0" fontId="35" fillId="11" borderId="34" applyNumberFormat="0" applyAlignment="0" applyProtection="0"/>
    <xf numFmtId="0" fontId="35" fillId="11" borderId="34" applyNumberFormat="0" applyAlignment="0" applyProtection="0"/>
    <xf numFmtId="0" fontId="35" fillId="11" borderId="34" applyNumberFormat="0" applyAlignment="0" applyProtection="0"/>
    <xf numFmtId="0" fontId="35" fillId="11" borderId="34" applyNumberFormat="0" applyAlignment="0" applyProtection="0"/>
    <xf numFmtId="0" fontId="70" fillId="113" borderId="54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186" fontId="71" fillId="0" borderId="0"/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72" fillId="4" borderId="55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2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19" fillId="4" borderId="39" applyNumberFormat="0" applyProtection="0">
      <alignment vertical="center"/>
    </xf>
    <xf numFmtId="4" fontId="73" fillId="2" borderId="39" applyNumberFormat="0" applyProtection="0">
      <alignment vertical="center"/>
    </xf>
    <xf numFmtId="4" fontId="73" fillId="2" borderId="39" applyNumberFormat="0" applyProtection="0">
      <alignment vertical="center"/>
    </xf>
    <xf numFmtId="4" fontId="73" fillId="2" borderId="39" applyNumberFormat="0" applyProtection="0">
      <alignment vertical="center"/>
    </xf>
    <xf numFmtId="4" fontId="73" fillId="2" borderId="39" applyNumberFormat="0" applyProtection="0">
      <alignment vertical="center"/>
    </xf>
    <xf numFmtId="4" fontId="73" fillId="2" borderId="39" applyNumberFormat="0" applyProtection="0">
      <alignment vertical="center"/>
    </xf>
    <xf numFmtId="4" fontId="73" fillId="2" borderId="39" applyNumberFormat="0" applyProtection="0">
      <alignment vertical="center"/>
    </xf>
    <xf numFmtId="4" fontId="73" fillId="2" borderId="39" applyNumberFormat="0" applyProtection="0">
      <alignment vertical="center"/>
    </xf>
    <xf numFmtId="4" fontId="73" fillId="2" borderId="39" applyNumberFormat="0" applyProtection="0">
      <alignment vertical="center"/>
    </xf>
    <xf numFmtId="4" fontId="73" fillId="2" borderId="39" applyNumberFormat="0" applyProtection="0">
      <alignment vertical="center"/>
    </xf>
    <xf numFmtId="4" fontId="73" fillId="2" borderId="39" applyNumberFormat="0" applyProtection="0">
      <alignment vertical="center"/>
    </xf>
    <xf numFmtId="4" fontId="73" fillId="2" borderId="39" applyNumberFormat="0" applyProtection="0">
      <alignment vertical="center"/>
    </xf>
    <xf numFmtId="4" fontId="73" fillId="2" borderId="39" applyNumberFormat="0" applyProtection="0">
      <alignment vertical="center"/>
    </xf>
    <xf numFmtId="4" fontId="73" fillId="2" borderId="39" applyNumberFormat="0" applyProtection="0">
      <alignment vertical="center"/>
    </xf>
    <xf numFmtId="4" fontId="73" fillId="2" borderId="39" applyNumberFormat="0" applyProtection="0">
      <alignment vertical="center"/>
    </xf>
    <xf numFmtId="4" fontId="73" fillId="2" borderId="39" applyNumberFormat="0" applyProtection="0">
      <alignment vertical="center"/>
    </xf>
    <xf numFmtId="4" fontId="73" fillId="2" borderId="39" applyNumberFormat="0" applyProtection="0">
      <alignment vertical="center"/>
    </xf>
    <xf numFmtId="4" fontId="73" fillId="2" borderId="39" applyNumberFormat="0" applyProtection="0">
      <alignment vertical="center"/>
    </xf>
    <xf numFmtId="4" fontId="73" fillId="2" borderId="39" applyNumberFormat="0" applyProtection="0">
      <alignment vertical="center"/>
    </xf>
    <xf numFmtId="4" fontId="73" fillId="2" borderId="39" applyNumberFormat="0" applyProtection="0">
      <alignment vertical="center"/>
    </xf>
    <xf numFmtId="4" fontId="73" fillId="2" borderId="39" applyNumberFormat="0" applyProtection="0">
      <alignment vertical="center"/>
    </xf>
    <xf numFmtId="4" fontId="73" fillId="2" borderId="39" applyNumberFormat="0" applyProtection="0">
      <alignment vertical="center"/>
    </xf>
    <xf numFmtId="4" fontId="73" fillId="2" borderId="39" applyNumberFormat="0" applyProtection="0">
      <alignment vertical="center"/>
    </xf>
    <xf numFmtId="4" fontId="73" fillId="2" borderId="39" applyNumberFormat="0" applyProtection="0">
      <alignment vertical="center"/>
    </xf>
    <xf numFmtId="4" fontId="73" fillId="2" borderId="39" applyNumberFormat="0" applyProtection="0">
      <alignment vertical="center"/>
    </xf>
    <xf numFmtId="4" fontId="73" fillId="2" borderId="39" applyNumberFormat="0" applyProtection="0">
      <alignment vertical="center"/>
    </xf>
    <xf numFmtId="4" fontId="73" fillId="2" borderId="39" applyNumberFormat="0" applyProtection="0">
      <alignment vertical="center"/>
    </xf>
    <xf numFmtId="4" fontId="73" fillId="2" borderId="39" applyNumberFormat="0" applyProtection="0">
      <alignment vertical="center"/>
    </xf>
    <xf numFmtId="4" fontId="73" fillId="2" borderId="39" applyNumberFormat="0" applyProtection="0">
      <alignment vertical="center"/>
    </xf>
    <xf numFmtId="4" fontId="73" fillId="2" borderId="39" applyNumberFormat="0" applyProtection="0">
      <alignment vertical="center"/>
    </xf>
    <xf numFmtId="4" fontId="73" fillId="2" borderId="39" applyNumberFormat="0" applyProtection="0">
      <alignment vertical="center"/>
    </xf>
    <xf numFmtId="4" fontId="73" fillId="2" borderId="39" applyNumberFormat="0" applyProtection="0">
      <alignment vertical="center"/>
    </xf>
    <xf numFmtId="4" fontId="73" fillId="2" borderId="39" applyNumberFormat="0" applyProtection="0">
      <alignment vertical="center"/>
    </xf>
    <xf numFmtId="4" fontId="73" fillId="2" borderId="39" applyNumberFormat="0" applyProtection="0">
      <alignment vertical="center"/>
    </xf>
    <xf numFmtId="4" fontId="73" fillId="2" borderId="39" applyNumberFormat="0" applyProtection="0">
      <alignment vertical="center"/>
    </xf>
    <xf numFmtId="4" fontId="73" fillId="2" borderId="39" applyNumberFormat="0" applyProtection="0">
      <alignment vertical="center"/>
    </xf>
    <xf numFmtId="4" fontId="73" fillId="2" borderId="39" applyNumberFormat="0" applyProtection="0">
      <alignment vertical="center"/>
    </xf>
    <xf numFmtId="4" fontId="73" fillId="2" borderId="39" applyNumberFormat="0" applyProtection="0">
      <alignment vertical="center"/>
    </xf>
    <xf numFmtId="4" fontId="73" fillId="2" borderId="39" applyNumberFormat="0" applyProtection="0">
      <alignment vertical="center"/>
    </xf>
    <xf numFmtId="4" fontId="73" fillId="2" borderId="39" applyNumberFormat="0" applyProtection="0">
      <alignment vertical="center"/>
    </xf>
    <xf numFmtId="4" fontId="73" fillId="2" borderId="39" applyNumberFormat="0" applyProtection="0">
      <alignment vertical="center"/>
    </xf>
    <xf numFmtId="4" fontId="74" fillId="4" borderId="55" applyNumberFormat="0" applyProtection="0">
      <alignment vertical="center"/>
    </xf>
    <xf numFmtId="4" fontId="73" fillId="2" borderId="39" applyNumberFormat="0" applyProtection="0">
      <alignment vertical="center"/>
    </xf>
    <xf numFmtId="4" fontId="73" fillId="2" borderId="39" applyNumberFormat="0" applyProtection="0">
      <alignment vertical="center"/>
    </xf>
    <xf numFmtId="4" fontId="73" fillId="2" borderId="39" applyNumberFormat="0" applyProtection="0">
      <alignment vertical="center"/>
    </xf>
    <xf numFmtId="4" fontId="73" fillId="2" borderId="39" applyNumberFormat="0" applyProtection="0">
      <alignment vertical="center"/>
    </xf>
    <xf numFmtId="4" fontId="73" fillId="2" borderId="39" applyNumberFormat="0" applyProtection="0">
      <alignment vertical="center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72" fillId="4" borderId="55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4" fontId="19" fillId="2" borderId="39" applyNumberFormat="0" applyProtection="0">
      <alignment horizontal="left" vertical="center" indent="1"/>
    </xf>
    <xf numFmtId="0" fontId="75" fillId="4" borderId="55" applyNumberFormat="0" applyProtection="0">
      <alignment horizontal="left" vertical="top" indent="1"/>
    </xf>
    <xf numFmtId="0" fontId="75" fillId="4" borderId="55" applyNumberFormat="0" applyProtection="0">
      <alignment horizontal="left" vertical="top" indent="1"/>
    </xf>
    <xf numFmtId="0" fontId="75" fillId="4" borderId="55" applyNumberFormat="0" applyProtection="0">
      <alignment horizontal="left" vertical="top" indent="1"/>
    </xf>
    <xf numFmtId="0" fontId="75" fillId="4" borderId="55" applyNumberFormat="0" applyProtection="0">
      <alignment horizontal="left" vertical="top" indent="1"/>
    </xf>
    <xf numFmtId="0" fontId="75" fillId="4" borderId="55" applyNumberFormat="0" applyProtection="0">
      <alignment horizontal="left" vertical="top" indent="1"/>
    </xf>
    <xf numFmtId="0" fontId="75" fillId="4" borderId="55" applyNumberFormat="0" applyProtection="0">
      <alignment horizontal="left" vertical="top" indent="1"/>
    </xf>
    <xf numFmtId="0" fontId="75" fillId="4" borderId="55" applyNumberFormat="0" applyProtection="0">
      <alignment horizontal="left" vertical="top" indent="1"/>
    </xf>
    <xf numFmtId="0" fontId="75" fillId="4" borderId="55" applyNumberFormat="0" applyProtection="0">
      <alignment horizontal="left" vertical="top" indent="1"/>
    </xf>
    <xf numFmtId="0" fontId="75" fillId="4" borderId="55" applyNumberFormat="0" applyProtection="0">
      <alignment horizontal="left" vertical="top" indent="1"/>
    </xf>
    <xf numFmtId="0" fontId="75" fillId="4" borderId="55" applyNumberFormat="0" applyProtection="0">
      <alignment horizontal="left" vertical="top" indent="1"/>
    </xf>
    <xf numFmtId="0" fontId="75" fillId="4" borderId="55" applyNumberFormat="0" applyProtection="0">
      <alignment horizontal="left" vertical="top" indent="1"/>
    </xf>
    <xf numFmtId="0" fontId="75" fillId="2" borderId="55" applyNumberFormat="0" applyProtection="0">
      <alignment horizontal="left" vertical="top" indent="1"/>
    </xf>
    <xf numFmtId="0" fontId="75" fillId="4" borderId="55" applyNumberFormat="0" applyProtection="0">
      <alignment horizontal="left" vertical="top" indent="1"/>
    </xf>
    <xf numFmtId="0" fontId="75" fillId="4" borderId="55" applyNumberFormat="0" applyProtection="0">
      <alignment horizontal="left" vertical="top" indent="1"/>
    </xf>
    <xf numFmtId="0" fontId="75" fillId="4" borderId="55" applyNumberFormat="0" applyProtection="0">
      <alignment horizontal="left" vertical="top" indent="1"/>
    </xf>
    <xf numFmtId="0" fontId="75" fillId="4" borderId="55" applyNumberFormat="0" applyProtection="0">
      <alignment horizontal="left" vertical="top" indent="1"/>
    </xf>
    <xf numFmtId="0" fontId="75" fillId="4" borderId="55" applyNumberFormat="0" applyProtection="0">
      <alignment horizontal="left" vertical="top" indent="1"/>
    </xf>
    <xf numFmtId="0" fontId="75" fillId="4" borderId="55" applyNumberFormat="0" applyProtection="0">
      <alignment horizontal="left" vertical="top" indent="1"/>
    </xf>
    <xf numFmtId="0" fontId="75" fillId="4" borderId="55" applyNumberFormat="0" applyProtection="0">
      <alignment horizontal="left" vertical="top" indent="1"/>
    </xf>
    <xf numFmtId="0" fontId="75" fillId="4" borderId="55" applyNumberFormat="0" applyProtection="0">
      <alignment horizontal="left" vertical="top" indent="1"/>
    </xf>
    <xf numFmtId="0" fontId="75" fillId="4" borderId="55" applyNumberFormat="0" applyProtection="0">
      <alignment horizontal="left" vertical="top" indent="1"/>
    </xf>
    <xf numFmtId="0" fontId="75" fillId="4" borderId="55" applyNumberFormat="0" applyProtection="0">
      <alignment horizontal="left" vertical="top" indent="1"/>
    </xf>
    <xf numFmtId="0" fontId="75" fillId="4" borderId="55" applyNumberFormat="0" applyProtection="0">
      <alignment horizontal="left" vertical="top" indent="1"/>
    </xf>
    <xf numFmtId="0" fontId="75" fillId="4" borderId="55" applyNumberFormat="0" applyProtection="0">
      <alignment horizontal="left" vertical="top" indent="1"/>
    </xf>
    <xf numFmtId="0" fontId="75" fillId="4" borderId="55" applyNumberFormat="0" applyProtection="0">
      <alignment horizontal="left" vertical="top" indent="1"/>
    </xf>
    <xf numFmtId="0" fontId="75" fillId="4" borderId="55" applyNumberFormat="0" applyProtection="0">
      <alignment horizontal="left" vertical="top" indent="1"/>
    </xf>
    <xf numFmtId="0" fontId="75" fillId="4" borderId="55" applyNumberFormat="0" applyProtection="0">
      <alignment horizontal="left" vertical="top" indent="1"/>
    </xf>
    <xf numFmtId="0" fontId="75" fillId="4" borderId="55" applyNumberFormat="0" applyProtection="0">
      <alignment horizontal="left" vertical="top" indent="1"/>
    </xf>
    <xf numFmtId="0" fontId="75" fillId="4" borderId="55" applyNumberFormat="0" applyProtection="0">
      <alignment horizontal="left" vertical="top" indent="1"/>
    </xf>
    <xf numFmtId="0" fontId="75" fillId="4" borderId="55" applyNumberFormat="0" applyProtection="0">
      <alignment horizontal="left" vertical="top" indent="1"/>
    </xf>
    <xf numFmtId="0" fontId="75" fillId="4" borderId="55" applyNumberFormat="0" applyProtection="0">
      <alignment horizontal="left" vertical="top" indent="1"/>
    </xf>
    <xf numFmtId="0" fontId="75" fillId="4" borderId="55" applyNumberFormat="0" applyProtection="0">
      <alignment horizontal="left" vertical="top" indent="1"/>
    </xf>
    <xf numFmtId="0" fontId="75" fillId="4" borderId="55" applyNumberFormat="0" applyProtection="0">
      <alignment horizontal="left" vertical="top" indent="1"/>
    </xf>
    <xf numFmtId="0" fontId="75" fillId="4" borderId="55" applyNumberFormat="0" applyProtection="0">
      <alignment horizontal="left" vertical="top" indent="1"/>
    </xf>
    <xf numFmtId="0" fontId="75" fillId="4" borderId="55" applyNumberFormat="0" applyProtection="0">
      <alignment horizontal="left" vertical="top" indent="1"/>
    </xf>
    <xf numFmtId="0" fontId="75" fillId="4" borderId="55" applyNumberFormat="0" applyProtection="0">
      <alignment horizontal="left" vertical="top" indent="1"/>
    </xf>
    <xf numFmtId="0" fontId="75" fillId="4" borderId="55" applyNumberFormat="0" applyProtection="0">
      <alignment horizontal="left" vertical="top" indent="1"/>
    </xf>
    <xf numFmtId="0" fontId="75" fillId="4" borderId="55" applyNumberFormat="0" applyProtection="0">
      <alignment horizontal="left" vertical="top" indent="1"/>
    </xf>
    <xf numFmtId="0" fontId="75" fillId="4" borderId="55" applyNumberFormat="0" applyProtection="0">
      <alignment horizontal="left" vertical="top" indent="1"/>
    </xf>
    <xf numFmtId="0" fontId="75" fillId="4" borderId="55" applyNumberFormat="0" applyProtection="0">
      <alignment horizontal="left" vertical="top" indent="1"/>
    </xf>
    <xf numFmtId="0" fontId="75" fillId="4" borderId="55" applyNumberFormat="0" applyProtection="0">
      <alignment horizontal="left" vertical="top" indent="1"/>
    </xf>
    <xf numFmtId="0" fontId="72" fillId="4" borderId="55" applyNumberFormat="0" applyProtection="0">
      <alignment horizontal="left" vertical="top" indent="1"/>
    </xf>
    <xf numFmtId="0" fontId="75" fillId="4" borderId="55" applyNumberFormat="0" applyProtection="0">
      <alignment horizontal="left" vertical="top" indent="1"/>
    </xf>
    <xf numFmtId="0" fontId="75" fillId="4" borderId="55" applyNumberFormat="0" applyProtection="0">
      <alignment horizontal="left" vertical="top" indent="1"/>
    </xf>
    <xf numFmtId="0" fontId="75" fillId="4" borderId="55" applyNumberFormat="0" applyProtection="0">
      <alignment horizontal="left" vertical="top" indent="1"/>
    </xf>
    <xf numFmtId="0" fontId="75" fillId="4" borderId="55" applyNumberFormat="0" applyProtection="0">
      <alignment horizontal="left" vertical="top" indent="1"/>
    </xf>
    <xf numFmtId="0" fontId="75" fillId="4" borderId="55" applyNumberFormat="0" applyProtection="0">
      <alignment horizontal="left" vertical="top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72" fillId="41" borderId="0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122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76" fillId="43" borderId="55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87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4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76" fillId="56" borderId="55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4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3" borderId="39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76" fillId="125" borderId="55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6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125" borderId="56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76" fillId="65" borderId="55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71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65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76" fillId="72" borderId="55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127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72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76" fillId="128" borderId="55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11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128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76" fillId="57" borderId="55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8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57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76" fillId="44" borderId="55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5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44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76" fillId="59" borderId="55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96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59" borderId="39" applyNumberFormat="0" applyProtection="0">
      <alignment horizontal="right" vertical="center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72" fillId="129" borderId="57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19" fillId="129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3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3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6" fillId="38" borderId="0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3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3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7" fillId="62" borderId="0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7" fillId="62" borderId="56" applyNumberFormat="0" applyProtection="0">
      <alignment horizontal="left" vertical="center" indent="1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76" fillId="41" borderId="55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2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41" borderId="39" applyNumberFormat="0" applyProtection="0">
      <alignment horizontal="right" vertical="center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76" fillId="38" borderId="0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76" fillId="38" borderId="0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76" fillId="38" borderId="0" applyNumberFormat="0" applyProtection="0">
      <alignment horizontal="left" vertical="center" indent="1"/>
    </xf>
    <xf numFmtId="4" fontId="76" fillId="38" borderId="0" applyNumberFormat="0" applyProtection="0">
      <alignment horizontal="left" vertical="center" indent="1"/>
    </xf>
    <xf numFmtId="4" fontId="76" fillId="38" borderId="0" applyNumberFormat="0" applyProtection="0">
      <alignment horizontal="left" vertical="center" indent="1"/>
    </xf>
    <xf numFmtId="4" fontId="76" fillId="38" borderId="0" applyNumberFormat="0" applyProtection="0">
      <alignment horizontal="left" vertical="center" indent="1"/>
    </xf>
    <xf numFmtId="4" fontId="76" fillId="38" borderId="0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76" fillId="38" borderId="0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76" fillId="38" borderId="0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76" fillId="38" borderId="0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76" fillId="38" borderId="0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76" fillId="38" borderId="0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76" fillId="38" borderId="0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76" fillId="38" borderId="0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76" fillId="38" borderId="0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9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38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76" fillId="41" borderId="0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76" fillId="41" borderId="0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76" fillId="41" borderId="0" applyNumberFormat="0" applyProtection="0">
      <alignment horizontal="left" vertical="center" indent="1"/>
    </xf>
    <xf numFmtId="4" fontId="76" fillId="41" borderId="0" applyNumberFormat="0" applyProtection="0">
      <alignment horizontal="left" vertical="center" indent="1"/>
    </xf>
    <xf numFmtId="4" fontId="76" fillId="41" borderId="0" applyNumberFormat="0" applyProtection="0">
      <alignment horizontal="left" vertical="center" indent="1"/>
    </xf>
    <xf numFmtId="4" fontId="76" fillId="41" borderId="0" applyNumberFormat="0" applyProtection="0">
      <alignment horizontal="left" vertical="center" indent="1"/>
    </xf>
    <xf numFmtId="4" fontId="76" fillId="41" borderId="0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76" fillId="41" borderId="0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76" fillId="41" borderId="0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76" fillId="41" borderId="0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76" fillId="41" borderId="0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76" fillId="41" borderId="0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76" fillId="41" borderId="0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76" fillId="41" borderId="0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76" fillId="41" borderId="0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2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4" fontId="19" fillId="41" borderId="56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7" fillId="62" borderId="55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4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53" borderId="39" applyNumberFormat="0" applyProtection="0">
      <alignment horizontal="left" vertical="center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3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7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62" borderId="55" applyNumberFormat="0" applyProtection="0">
      <alignment horizontal="left" vertical="top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7" fillId="41" borderId="55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1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130" borderId="39" applyNumberFormat="0" applyProtection="0">
      <alignment horizontal="left" vertical="center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2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7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41" borderId="55" applyNumberFormat="0" applyProtection="0">
      <alignment horizontal="left" vertical="top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7" fillId="55" borderId="55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132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39" applyNumberFormat="0" applyProtection="0">
      <alignment horizontal="left" vertical="center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132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7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55" borderId="55" applyNumberFormat="0" applyProtection="0">
      <alignment horizontal="left" vertical="top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7" fillId="38" borderId="55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9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39" applyNumberFormat="0" applyProtection="0">
      <alignment horizontal="left" vertical="center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9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7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38" borderId="55" applyNumberFormat="0" applyProtection="0">
      <alignment horizontal="left" vertical="top" indent="1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4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7" fillId="133" borderId="59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7" fillId="133" borderId="59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19" fillId="133" borderId="58" applyNumberFormat="0">
      <protection locked="0"/>
    </xf>
    <xf numFmtId="0" fontId="78" fillId="62" borderId="60" applyBorder="0"/>
    <xf numFmtId="0" fontId="78" fillId="63" borderId="60" applyBorder="0"/>
    <xf numFmtId="0" fontId="78" fillId="62" borderId="60" applyBorder="0"/>
    <xf numFmtId="4" fontId="79" fillId="135" borderId="55" applyNumberFormat="0" applyProtection="0">
      <alignment vertical="center"/>
    </xf>
    <xf numFmtId="4" fontId="79" fillId="135" borderId="55" applyNumberFormat="0" applyProtection="0">
      <alignment vertical="center"/>
    </xf>
    <xf numFmtId="4" fontId="79" fillId="135" borderId="55" applyNumberFormat="0" applyProtection="0">
      <alignment vertical="center"/>
    </xf>
    <xf numFmtId="4" fontId="79" fillId="135" borderId="55" applyNumberFormat="0" applyProtection="0">
      <alignment vertical="center"/>
    </xf>
    <xf numFmtId="4" fontId="79" fillId="135" borderId="55" applyNumberFormat="0" applyProtection="0">
      <alignment vertical="center"/>
    </xf>
    <xf numFmtId="4" fontId="79" fillId="135" borderId="55" applyNumberFormat="0" applyProtection="0">
      <alignment vertical="center"/>
    </xf>
    <xf numFmtId="4" fontId="79" fillId="135" borderId="55" applyNumberFormat="0" applyProtection="0">
      <alignment vertical="center"/>
    </xf>
    <xf numFmtId="4" fontId="79" fillId="135" borderId="55" applyNumberFormat="0" applyProtection="0">
      <alignment vertical="center"/>
    </xf>
    <xf numFmtId="4" fontId="79" fillId="135" borderId="55" applyNumberFormat="0" applyProtection="0">
      <alignment vertical="center"/>
    </xf>
    <xf numFmtId="4" fontId="79" fillId="135" borderId="55" applyNumberFormat="0" applyProtection="0">
      <alignment vertical="center"/>
    </xf>
    <xf numFmtId="4" fontId="79" fillId="135" borderId="55" applyNumberFormat="0" applyProtection="0">
      <alignment vertical="center"/>
    </xf>
    <xf numFmtId="4" fontId="79" fillId="106" borderId="55" applyNumberFormat="0" applyProtection="0">
      <alignment vertical="center"/>
    </xf>
    <xf numFmtId="4" fontId="79" fillId="135" borderId="55" applyNumberFormat="0" applyProtection="0">
      <alignment vertical="center"/>
    </xf>
    <xf numFmtId="4" fontId="79" fillId="135" borderId="55" applyNumberFormat="0" applyProtection="0">
      <alignment vertical="center"/>
    </xf>
    <xf numFmtId="4" fontId="79" fillId="135" borderId="55" applyNumberFormat="0" applyProtection="0">
      <alignment vertical="center"/>
    </xf>
    <xf numFmtId="4" fontId="79" fillId="135" borderId="55" applyNumberFormat="0" applyProtection="0">
      <alignment vertical="center"/>
    </xf>
    <xf numFmtId="4" fontId="79" fillId="135" borderId="55" applyNumberFormat="0" applyProtection="0">
      <alignment vertical="center"/>
    </xf>
    <xf numFmtId="4" fontId="79" fillId="135" borderId="55" applyNumberFormat="0" applyProtection="0">
      <alignment vertical="center"/>
    </xf>
    <xf numFmtId="4" fontId="79" fillId="135" borderId="55" applyNumberFormat="0" applyProtection="0">
      <alignment vertical="center"/>
    </xf>
    <xf numFmtId="4" fontId="79" fillId="135" borderId="55" applyNumberFormat="0" applyProtection="0">
      <alignment vertical="center"/>
    </xf>
    <xf numFmtId="4" fontId="79" fillId="135" borderId="55" applyNumberFormat="0" applyProtection="0">
      <alignment vertical="center"/>
    </xf>
    <xf numFmtId="4" fontId="79" fillId="135" borderId="55" applyNumberFormat="0" applyProtection="0">
      <alignment vertical="center"/>
    </xf>
    <xf numFmtId="4" fontId="79" fillId="135" borderId="55" applyNumberFormat="0" applyProtection="0">
      <alignment vertical="center"/>
    </xf>
    <xf numFmtId="4" fontId="79" fillId="135" borderId="55" applyNumberFormat="0" applyProtection="0">
      <alignment vertical="center"/>
    </xf>
    <xf numFmtId="4" fontId="79" fillId="135" borderId="55" applyNumberFormat="0" applyProtection="0">
      <alignment vertical="center"/>
    </xf>
    <xf numFmtId="4" fontId="79" fillId="135" borderId="55" applyNumberFormat="0" applyProtection="0">
      <alignment vertical="center"/>
    </xf>
    <xf numFmtId="4" fontId="79" fillId="135" borderId="55" applyNumberFormat="0" applyProtection="0">
      <alignment vertical="center"/>
    </xf>
    <xf numFmtId="4" fontId="79" fillId="135" borderId="55" applyNumberFormat="0" applyProtection="0">
      <alignment vertical="center"/>
    </xf>
    <xf numFmtId="4" fontId="79" fillId="135" borderId="55" applyNumberFormat="0" applyProtection="0">
      <alignment vertical="center"/>
    </xf>
    <xf numFmtId="4" fontId="79" fillId="135" borderId="55" applyNumberFormat="0" applyProtection="0">
      <alignment vertical="center"/>
    </xf>
    <xf numFmtId="4" fontId="79" fillId="135" borderId="55" applyNumberFormat="0" applyProtection="0">
      <alignment vertical="center"/>
    </xf>
    <xf numFmtId="4" fontId="79" fillId="135" borderId="55" applyNumberFormat="0" applyProtection="0">
      <alignment vertical="center"/>
    </xf>
    <xf numFmtId="4" fontId="79" fillId="135" borderId="55" applyNumberFormat="0" applyProtection="0">
      <alignment vertical="center"/>
    </xf>
    <xf numFmtId="4" fontId="79" fillId="135" borderId="55" applyNumberFormat="0" applyProtection="0">
      <alignment vertical="center"/>
    </xf>
    <xf numFmtId="4" fontId="79" fillId="135" borderId="55" applyNumberFormat="0" applyProtection="0">
      <alignment vertical="center"/>
    </xf>
    <xf numFmtId="4" fontId="79" fillId="135" borderId="55" applyNumberFormat="0" applyProtection="0">
      <alignment vertical="center"/>
    </xf>
    <xf numFmtId="4" fontId="79" fillId="135" borderId="55" applyNumberFormat="0" applyProtection="0">
      <alignment vertical="center"/>
    </xf>
    <xf numFmtId="4" fontId="79" fillId="135" borderId="55" applyNumberFormat="0" applyProtection="0">
      <alignment vertical="center"/>
    </xf>
    <xf numFmtId="4" fontId="79" fillId="135" borderId="55" applyNumberFormat="0" applyProtection="0">
      <alignment vertical="center"/>
    </xf>
    <xf numFmtId="4" fontId="79" fillId="135" borderId="55" applyNumberFormat="0" applyProtection="0">
      <alignment vertical="center"/>
    </xf>
    <xf numFmtId="4" fontId="79" fillId="135" borderId="55" applyNumberFormat="0" applyProtection="0">
      <alignment vertical="center"/>
    </xf>
    <xf numFmtId="4" fontId="76" fillId="135" borderId="55" applyNumberFormat="0" applyProtection="0">
      <alignment vertical="center"/>
    </xf>
    <xf numFmtId="4" fontId="79" fillId="135" borderId="55" applyNumberFormat="0" applyProtection="0">
      <alignment vertical="center"/>
    </xf>
    <xf numFmtId="4" fontId="79" fillId="135" borderId="55" applyNumberFormat="0" applyProtection="0">
      <alignment vertical="center"/>
    </xf>
    <xf numFmtId="4" fontId="79" fillId="135" borderId="55" applyNumberFormat="0" applyProtection="0">
      <alignment vertical="center"/>
    </xf>
    <xf numFmtId="4" fontId="79" fillId="135" borderId="55" applyNumberFormat="0" applyProtection="0">
      <alignment vertical="center"/>
    </xf>
    <xf numFmtId="4" fontId="79" fillId="135" borderId="55" applyNumberFormat="0" applyProtection="0">
      <alignment vertical="center"/>
    </xf>
    <xf numFmtId="4" fontId="73" fillId="106" borderId="59" applyNumberFormat="0" applyProtection="0">
      <alignment vertical="center"/>
    </xf>
    <xf numFmtId="4" fontId="73" fillId="106" borderId="59" applyNumberFormat="0" applyProtection="0">
      <alignment vertical="center"/>
    </xf>
    <xf numFmtId="4" fontId="73" fillId="106" borderId="59" applyNumberFormat="0" applyProtection="0">
      <alignment vertical="center"/>
    </xf>
    <xf numFmtId="4" fontId="73" fillId="106" borderId="59" applyNumberFormat="0" applyProtection="0">
      <alignment vertical="center"/>
    </xf>
    <xf numFmtId="4" fontId="73" fillId="106" borderId="59" applyNumberFormat="0" applyProtection="0">
      <alignment vertical="center"/>
    </xf>
    <xf numFmtId="4" fontId="73" fillId="106" borderId="59" applyNumberFormat="0" applyProtection="0">
      <alignment vertical="center"/>
    </xf>
    <xf numFmtId="4" fontId="73" fillId="106" borderId="59" applyNumberFormat="0" applyProtection="0">
      <alignment vertical="center"/>
    </xf>
    <xf numFmtId="4" fontId="73" fillId="106" borderId="59" applyNumberFormat="0" applyProtection="0">
      <alignment vertical="center"/>
    </xf>
    <xf numFmtId="4" fontId="73" fillId="106" borderId="59" applyNumberFormat="0" applyProtection="0">
      <alignment vertical="center"/>
    </xf>
    <xf numFmtId="4" fontId="73" fillId="106" borderId="59" applyNumberFormat="0" applyProtection="0">
      <alignment vertical="center"/>
    </xf>
    <xf numFmtId="4" fontId="73" fillId="106" borderId="59" applyNumberFormat="0" applyProtection="0">
      <alignment vertical="center"/>
    </xf>
    <xf numFmtId="4" fontId="73" fillId="106" borderId="59" applyNumberFormat="0" applyProtection="0">
      <alignment vertical="center"/>
    </xf>
    <xf numFmtId="4" fontId="73" fillId="106" borderId="59" applyNumberFormat="0" applyProtection="0">
      <alignment vertical="center"/>
    </xf>
    <xf numFmtId="4" fontId="73" fillId="106" borderId="59" applyNumberFormat="0" applyProtection="0">
      <alignment vertical="center"/>
    </xf>
    <xf numFmtId="4" fontId="73" fillId="106" borderId="59" applyNumberFormat="0" applyProtection="0">
      <alignment vertical="center"/>
    </xf>
    <xf numFmtId="4" fontId="73" fillId="106" borderId="59" applyNumberFormat="0" applyProtection="0">
      <alignment vertical="center"/>
    </xf>
    <xf numFmtId="4" fontId="73" fillId="106" borderId="59" applyNumberFormat="0" applyProtection="0">
      <alignment vertical="center"/>
    </xf>
    <xf numFmtId="4" fontId="73" fillId="106" borderId="59" applyNumberFormat="0" applyProtection="0">
      <alignment vertical="center"/>
    </xf>
    <xf numFmtId="4" fontId="73" fillId="106" borderId="59" applyNumberFormat="0" applyProtection="0">
      <alignment vertical="center"/>
    </xf>
    <xf numFmtId="4" fontId="73" fillId="106" borderId="59" applyNumberFormat="0" applyProtection="0">
      <alignment vertical="center"/>
    </xf>
    <xf numFmtId="4" fontId="73" fillId="106" borderId="59" applyNumberFormat="0" applyProtection="0">
      <alignment vertical="center"/>
    </xf>
    <xf numFmtId="4" fontId="73" fillId="106" borderId="59" applyNumberFormat="0" applyProtection="0">
      <alignment vertical="center"/>
    </xf>
    <xf numFmtId="4" fontId="73" fillId="106" borderId="59" applyNumberFormat="0" applyProtection="0">
      <alignment vertical="center"/>
    </xf>
    <xf numFmtId="4" fontId="73" fillId="106" borderId="59" applyNumberFormat="0" applyProtection="0">
      <alignment vertical="center"/>
    </xf>
    <xf numFmtId="4" fontId="73" fillId="106" borderId="59" applyNumberFormat="0" applyProtection="0">
      <alignment vertical="center"/>
    </xf>
    <xf numFmtId="4" fontId="73" fillId="106" borderId="59" applyNumberFormat="0" applyProtection="0">
      <alignment vertical="center"/>
    </xf>
    <xf numFmtId="4" fontId="73" fillId="106" borderId="59" applyNumberFormat="0" applyProtection="0">
      <alignment vertical="center"/>
    </xf>
    <xf numFmtId="4" fontId="73" fillId="106" borderId="59" applyNumberFormat="0" applyProtection="0">
      <alignment vertical="center"/>
    </xf>
    <xf numFmtId="4" fontId="73" fillId="106" borderId="59" applyNumberFormat="0" applyProtection="0">
      <alignment vertical="center"/>
    </xf>
    <xf numFmtId="4" fontId="73" fillId="106" borderId="59" applyNumberFormat="0" applyProtection="0">
      <alignment vertical="center"/>
    </xf>
    <xf numFmtId="4" fontId="73" fillId="106" borderId="59" applyNumberFormat="0" applyProtection="0">
      <alignment vertical="center"/>
    </xf>
    <xf numFmtId="4" fontId="73" fillId="106" borderId="59" applyNumberFormat="0" applyProtection="0">
      <alignment vertical="center"/>
    </xf>
    <xf numFmtId="4" fontId="73" fillId="106" borderId="59" applyNumberFormat="0" applyProtection="0">
      <alignment vertical="center"/>
    </xf>
    <xf numFmtId="4" fontId="73" fillId="106" borderId="59" applyNumberFormat="0" applyProtection="0">
      <alignment vertical="center"/>
    </xf>
    <xf numFmtId="4" fontId="73" fillId="106" borderId="59" applyNumberFormat="0" applyProtection="0">
      <alignment vertical="center"/>
    </xf>
    <xf numFmtId="4" fontId="73" fillId="106" borderId="59" applyNumberFormat="0" applyProtection="0">
      <alignment vertical="center"/>
    </xf>
    <xf numFmtId="4" fontId="73" fillId="106" borderId="59" applyNumberFormat="0" applyProtection="0">
      <alignment vertical="center"/>
    </xf>
    <xf numFmtId="4" fontId="73" fillId="106" borderId="59" applyNumberFormat="0" applyProtection="0">
      <alignment vertical="center"/>
    </xf>
    <xf numFmtId="4" fontId="73" fillId="106" borderId="59" applyNumberFormat="0" applyProtection="0">
      <alignment vertical="center"/>
    </xf>
    <xf numFmtId="4" fontId="73" fillId="106" borderId="59" applyNumberFormat="0" applyProtection="0">
      <alignment vertical="center"/>
    </xf>
    <xf numFmtId="4" fontId="80" fillId="135" borderId="55" applyNumberFormat="0" applyProtection="0">
      <alignment vertical="center"/>
    </xf>
    <xf numFmtId="4" fontId="73" fillId="106" borderId="59" applyNumberFormat="0" applyProtection="0">
      <alignment vertical="center"/>
    </xf>
    <xf numFmtId="4" fontId="73" fillId="106" borderId="59" applyNumberFormat="0" applyProtection="0">
      <alignment vertical="center"/>
    </xf>
    <xf numFmtId="4" fontId="73" fillId="106" borderId="59" applyNumberFormat="0" applyProtection="0">
      <alignment vertical="center"/>
    </xf>
    <xf numFmtId="4" fontId="73" fillId="106" borderId="59" applyNumberFormat="0" applyProtection="0">
      <alignment vertical="center"/>
    </xf>
    <xf numFmtId="4" fontId="73" fillId="106" borderId="59" applyNumberFormat="0" applyProtection="0">
      <alignment vertical="center"/>
    </xf>
    <xf numFmtId="4" fontId="79" fillId="53" borderId="55" applyNumberFormat="0" applyProtection="0">
      <alignment horizontal="left" vertical="center" indent="1"/>
    </xf>
    <xf numFmtId="4" fontId="79" fillId="53" borderId="55" applyNumberFormat="0" applyProtection="0">
      <alignment horizontal="left" vertical="center" indent="1"/>
    </xf>
    <xf numFmtId="4" fontId="79" fillId="53" borderId="55" applyNumberFormat="0" applyProtection="0">
      <alignment horizontal="left" vertical="center" indent="1"/>
    </xf>
    <xf numFmtId="4" fontId="79" fillId="53" borderId="55" applyNumberFormat="0" applyProtection="0">
      <alignment horizontal="left" vertical="center" indent="1"/>
    </xf>
    <xf numFmtId="4" fontId="79" fillId="53" borderId="55" applyNumberFormat="0" applyProtection="0">
      <alignment horizontal="left" vertical="center" indent="1"/>
    </xf>
    <xf numFmtId="4" fontId="79" fillId="53" borderId="55" applyNumberFormat="0" applyProtection="0">
      <alignment horizontal="left" vertical="center" indent="1"/>
    </xf>
    <xf numFmtId="4" fontId="79" fillId="53" borderId="55" applyNumberFormat="0" applyProtection="0">
      <alignment horizontal="left" vertical="center" indent="1"/>
    </xf>
    <xf numFmtId="4" fontId="79" fillId="53" borderId="55" applyNumberFormat="0" applyProtection="0">
      <alignment horizontal="left" vertical="center" indent="1"/>
    </xf>
    <xf numFmtId="4" fontId="79" fillId="53" borderId="55" applyNumberFormat="0" applyProtection="0">
      <alignment horizontal="left" vertical="center" indent="1"/>
    </xf>
    <xf numFmtId="4" fontId="79" fillId="53" borderId="55" applyNumberFormat="0" applyProtection="0">
      <alignment horizontal="left" vertical="center" indent="1"/>
    </xf>
    <xf numFmtId="4" fontId="79" fillId="53" borderId="55" applyNumberFormat="0" applyProtection="0">
      <alignment horizontal="left" vertical="center" indent="1"/>
    </xf>
    <xf numFmtId="4" fontId="79" fillId="54" borderId="55" applyNumberFormat="0" applyProtection="0">
      <alignment horizontal="left" vertical="center" indent="1"/>
    </xf>
    <xf numFmtId="4" fontId="79" fillId="53" borderId="55" applyNumberFormat="0" applyProtection="0">
      <alignment horizontal="left" vertical="center" indent="1"/>
    </xf>
    <xf numFmtId="4" fontId="79" fillId="53" borderId="55" applyNumberFormat="0" applyProtection="0">
      <alignment horizontal="left" vertical="center" indent="1"/>
    </xf>
    <xf numFmtId="4" fontId="79" fillId="53" borderId="55" applyNumberFormat="0" applyProtection="0">
      <alignment horizontal="left" vertical="center" indent="1"/>
    </xf>
    <xf numFmtId="4" fontId="79" fillId="53" borderId="55" applyNumberFormat="0" applyProtection="0">
      <alignment horizontal="left" vertical="center" indent="1"/>
    </xf>
    <xf numFmtId="4" fontId="79" fillId="53" borderId="55" applyNumberFormat="0" applyProtection="0">
      <alignment horizontal="left" vertical="center" indent="1"/>
    </xf>
    <xf numFmtId="4" fontId="79" fillId="53" borderId="55" applyNumberFormat="0" applyProtection="0">
      <alignment horizontal="left" vertical="center" indent="1"/>
    </xf>
    <xf numFmtId="4" fontId="79" fillId="53" borderId="55" applyNumberFormat="0" applyProtection="0">
      <alignment horizontal="left" vertical="center" indent="1"/>
    </xf>
    <xf numFmtId="4" fontId="79" fillId="53" borderId="55" applyNumberFormat="0" applyProtection="0">
      <alignment horizontal="left" vertical="center" indent="1"/>
    </xf>
    <xf numFmtId="4" fontId="79" fillId="53" borderId="55" applyNumberFormat="0" applyProtection="0">
      <alignment horizontal="left" vertical="center" indent="1"/>
    </xf>
    <xf numFmtId="4" fontId="79" fillId="53" borderId="55" applyNumberFormat="0" applyProtection="0">
      <alignment horizontal="left" vertical="center" indent="1"/>
    </xf>
    <xf numFmtId="4" fontId="79" fillId="53" borderId="55" applyNumberFormat="0" applyProtection="0">
      <alignment horizontal="left" vertical="center" indent="1"/>
    </xf>
    <xf numFmtId="4" fontId="79" fillId="53" borderId="55" applyNumberFormat="0" applyProtection="0">
      <alignment horizontal="left" vertical="center" indent="1"/>
    </xf>
    <xf numFmtId="4" fontId="79" fillId="53" borderId="55" applyNumberFormat="0" applyProtection="0">
      <alignment horizontal="left" vertical="center" indent="1"/>
    </xf>
    <xf numFmtId="4" fontId="79" fillId="53" borderId="55" applyNumberFormat="0" applyProtection="0">
      <alignment horizontal="left" vertical="center" indent="1"/>
    </xf>
    <xf numFmtId="4" fontId="79" fillId="53" borderId="55" applyNumberFormat="0" applyProtection="0">
      <alignment horizontal="left" vertical="center" indent="1"/>
    </xf>
    <xf numFmtId="4" fontId="79" fillId="53" borderId="55" applyNumberFormat="0" applyProtection="0">
      <alignment horizontal="left" vertical="center" indent="1"/>
    </xf>
    <xf numFmtId="4" fontId="79" fillId="53" borderId="55" applyNumberFormat="0" applyProtection="0">
      <alignment horizontal="left" vertical="center" indent="1"/>
    </xf>
    <xf numFmtId="4" fontId="79" fillId="53" borderId="55" applyNumberFormat="0" applyProtection="0">
      <alignment horizontal="left" vertical="center" indent="1"/>
    </xf>
    <xf numFmtId="4" fontId="79" fillId="53" borderId="55" applyNumberFormat="0" applyProtection="0">
      <alignment horizontal="left" vertical="center" indent="1"/>
    </xf>
    <xf numFmtId="4" fontId="79" fillId="53" borderId="55" applyNumberFormat="0" applyProtection="0">
      <alignment horizontal="left" vertical="center" indent="1"/>
    </xf>
    <xf numFmtId="4" fontId="79" fillId="53" borderId="55" applyNumberFormat="0" applyProtection="0">
      <alignment horizontal="left" vertical="center" indent="1"/>
    </xf>
    <xf numFmtId="4" fontId="79" fillId="53" borderId="55" applyNumberFormat="0" applyProtection="0">
      <alignment horizontal="left" vertical="center" indent="1"/>
    </xf>
    <xf numFmtId="4" fontId="79" fillId="53" borderId="55" applyNumberFormat="0" applyProtection="0">
      <alignment horizontal="left" vertical="center" indent="1"/>
    </xf>
    <xf numFmtId="4" fontId="79" fillId="53" borderId="55" applyNumberFormat="0" applyProtection="0">
      <alignment horizontal="left" vertical="center" indent="1"/>
    </xf>
    <xf numFmtId="4" fontId="79" fillId="53" borderId="55" applyNumberFormat="0" applyProtection="0">
      <alignment horizontal="left" vertical="center" indent="1"/>
    </xf>
    <xf numFmtId="4" fontId="79" fillId="53" borderId="55" applyNumberFormat="0" applyProtection="0">
      <alignment horizontal="left" vertical="center" indent="1"/>
    </xf>
    <xf numFmtId="4" fontId="79" fillId="53" borderId="55" applyNumberFormat="0" applyProtection="0">
      <alignment horizontal="left" vertical="center" indent="1"/>
    </xf>
    <xf numFmtId="4" fontId="79" fillId="53" borderId="55" applyNumberFormat="0" applyProtection="0">
      <alignment horizontal="left" vertical="center" indent="1"/>
    </xf>
    <xf numFmtId="4" fontId="79" fillId="53" borderId="55" applyNumberFormat="0" applyProtection="0">
      <alignment horizontal="left" vertical="center" indent="1"/>
    </xf>
    <xf numFmtId="4" fontId="76" fillId="135" borderId="55" applyNumberFormat="0" applyProtection="0">
      <alignment horizontal="left" vertical="center" indent="1"/>
    </xf>
    <xf numFmtId="4" fontId="79" fillId="53" borderId="55" applyNumberFormat="0" applyProtection="0">
      <alignment horizontal="left" vertical="center" indent="1"/>
    </xf>
    <xf numFmtId="4" fontId="79" fillId="53" borderId="55" applyNumberFormat="0" applyProtection="0">
      <alignment horizontal="left" vertical="center" indent="1"/>
    </xf>
    <xf numFmtId="4" fontId="79" fillId="53" borderId="55" applyNumberFormat="0" applyProtection="0">
      <alignment horizontal="left" vertical="center" indent="1"/>
    </xf>
    <xf numFmtId="4" fontId="79" fillId="53" borderId="55" applyNumberFormat="0" applyProtection="0">
      <alignment horizontal="left" vertical="center" indent="1"/>
    </xf>
    <xf numFmtId="4" fontId="79" fillId="53" borderId="55" applyNumberFormat="0" applyProtection="0">
      <alignment horizontal="left" vertical="center" indent="1"/>
    </xf>
    <xf numFmtId="0" fontId="79" fillId="135" borderId="55" applyNumberFormat="0" applyProtection="0">
      <alignment horizontal="left" vertical="top" indent="1"/>
    </xf>
    <xf numFmtId="0" fontId="79" fillId="135" borderId="55" applyNumberFormat="0" applyProtection="0">
      <alignment horizontal="left" vertical="top" indent="1"/>
    </xf>
    <xf numFmtId="0" fontId="79" fillId="135" borderId="55" applyNumberFormat="0" applyProtection="0">
      <alignment horizontal="left" vertical="top" indent="1"/>
    </xf>
    <xf numFmtId="0" fontId="79" fillId="135" borderId="55" applyNumberFormat="0" applyProtection="0">
      <alignment horizontal="left" vertical="top" indent="1"/>
    </xf>
    <xf numFmtId="0" fontId="79" fillId="135" borderId="55" applyNumberFormat="0" applyProtection="0">
      <alignment horizontal="left" vertical="top" indent="1"/>
    </xf>
    <xf numFmtId="0" fontId="79" fillId="135" borderId="55" applyNumberFormat="0" applyProtection="0">
      <alignment horizontal="left" vertical="top" indent="1"/>
    </xf>
    <xf numFmtId="0" fontId="79" fillId="135" borderId="55" applyNumberFormat="0" applyProtection="0">
      <alignment horizontal="left" vertical="top" indent="1"/>
    </xf>
    <xf numFmtId="0" fontId="79" fillId="135" borderId="55" applyNumberFormat="0" applyProtection="0">
      <alignment horizontal="left" vertical="top" indent="1"/>
    </xf>
    <xf numFmtId="0" fontId="79" fillId="135" borderId="55" applyNumberFormat="0" applyProtection="0">
      <alignment horizontal="left" vertical="top" indent="1"/>
    </xf>
    <xf numFmtId="0" fontId="79" fillId="135" borderId="55" applyNumberFormat="0" applyProtection="0">
      <alignment horizontal="left" vertical="top" indent="1"/>
    </xf>
    <xf numFmtId="0" fontId="79" fillId="135" borderId="55" applyNumberFormat="0" applyProtection="0">
      <alignment horizontal="left" vertical="top" indent="1"/>
    </xf>
    <xf numFmtId="0" fontId="79" fillId="106" borderId="55" applyNumberFormat="0" applyProtection="0">
      <alignment horizontal="left" vertical="top" indent="1"/>
    </xf>
    <xf numFmtId="0" fontId="79" fillId="135" borderId="55" applyNumberFormat="0" applyProtection="0">
      <alignment horizontal="left" vertical="top" indent="1"/>
    </xf>
    <xf numFmtId="0" fontId="79" fillId="135" borderId="55" applyNumberFormat="0" applyProtection="0">
      <alignment horizontal="left" vertical="top" indent="1"/>
    </xf>
    <xf numFmtId="0" fontId="79" fillId="135" borderId="55" applyNumberFormat="0" applyProtection="0">
      <alignment horizontal="left" vertical="top" indent="1"/>
    </xf>
    <xf numFmtId="0" fontId="79" fillId="135" borderId="55" applyNumberFormat="0" applyProtection="0">
      <alignment horizontal="left" vertical="top" indent="1"/>
    </xf>
    <xf numFmtId="0" fontId="79" fillId="135" borderId="55" applyNumberFormat="0" applyProtection="0">
      <alignment horizontal="left" vertical="top" indent="1"/>
    </xf>
    <xf numFmtId="0" fontId="79" fillId="135" borderId="55" applyNumberFormat="0" applyProtection="0">
      <alignment horizontal="left" vertical="top" indent="1"/>
    </xf>
    <xf numFmtId="0" fontId="79" fillId="135" borderId="55" applyNumberFormat="0" applyProtection="0">
      <alignment horizontal="left" vertical="top" indent="1"/>
    </xf>
    <xf numFmtId="0" fontId="79" fillId="135" borderId="55" applyNumberFormat="0" applyProtection="0">
      <alignment horizontal="left" vertical="top" indent="1"/>
    </xf>
    <xf numFmtId="0" fontId="79" fillId="135" borderId="55" applyNumberFormat="0" applyProtection="0">
      <alignment horizontal="left" vertical="top" indent="1"/>
    </xf>
    <xf numFmtId="0" fontId="79" fillId="135" borderId="55" applyNumberFormat="0" applyProtection="0">
      <alignment horizontal="left" vertical="top" indent="1"/>
    </xf>
    <xf numFmtId="0" fontId="79" fillId="135" borderId="55" applyNumberFormat="0" applyProtection="0">
      <alignment horizontal="left" vertical="top" indent="1"/>
    </xf>
    <xf numFmtId="0" fontId="79" fillId="135" borderId="55" applyNumberFormat="0" applyProtection="0">
      <alignment horizontal="left" vertical="top" indent="1"/>
    </xf>
    <xf numFmtId="0" fontId="79" fillId="135" borderId="55" applyNumberFormat="0" applyProtection="0">
      <alignment horizontal="left" vertical="top" indent="1"/>
    </xf>
    <xf numFmtId="0" fontId="79" fillId="135" borderId="55" applyNumberFormat="0" applyProtection="0">
      <alignment horizontal="left" vertical="top" indent="1"/>
    </xf>
    <xf numFmtId="0" fontId="79" fillId="135" borderId="55" applyNumberFormat="0" applyProtection="0">
      <alignment horizontal="left" vertical="top" indent="1"/>
    </xf>
    <xf numFmtId="0" fontId="79" fillId="135" borderId="55" applyNumberFormat="0" applyProtection="0">
      <alignment horizontal="left" vertical="top" indent="1"/>
    </xf>
    <xf numFmtId="0" fontId="79" fillId="135" borderId="55" applyNumberFormat="0" applyProtection="0">
      <alignment horizontal="left" vertical="top" indent="1"/>
    </xf>
    <xf numFmtId="0" fontId="79" fillId="135" borderId="55" applyNumberFormat="0" applyProtection="0">
      <alignment horizontal="left" vertical="top" indent="1"/>
    </xf>
    <xf numFmtId="0" fontId="79" fillId="135" borderId="55" applyNumberFormat="0" applyProtection="0">
      <alignment horizontal="left" vertical="top" indent="1"/>
    </xf>
    <xf numFmtId="0" fontId="79" fillId="135" borderId="55" applyNumberFormat="0" applyProtection="0">
      <alignment horizontal="left" vertical="top" indent="1"/>
    </xf>
    <xf numFmtId="0" fontId="79" fillId="135" borderId="55" applyNumberFormat="0" applyProtection="0">
      <alignment horizontal="left" vertical="top" indent="1"/>
    </xf>
    <xf numFmtId="0" fontId="79" fillId="135" borderId="55" applyNumberFormat="0" applyProtection="0">
      <alignment horizontal="left" vertical="top" indent="1"/>
    </xf>
    <xf numFmtId="0" fontId="79" fillId="135" borderId="55" applyNumberFormat="0" applyProtection="0">
      <alignment horizontal="left" vertical="top" indent="1"/>
    </xf>
    <xf numFmtId="0" fontId="79" fillId="135" borderId="55" applyNumberFormat="0" applyProtection="0">
      <alignment horizontal="left" vertical="top" indent="1"/>
    </xf>
    <xf numFmtId="0" fontId="79" fillId="135" borderId="55" applyNumberFormat="0" applyProtection="0">
      <alignment horizontal="left" vertical="top" indent="1"/>
    </xf>
    <xf numFmtId="0" fontId="79" fillId="135" borderId="55" applyNumberFormat="0" applyProtection="0">
      <alignment horizontal="left" vertical="top" indent="1"/>
    </xf>
    <xf numFmtId="0" fontId="79" fillId="135" borderId="55" applyNumberFormat="0" applyProtection="0">
      <alignment horizontal="left" vertical="top" indent="1"/>
    </xf>
    <xf numFmtId="0" fontId="79" fillId="135" borderId="55" applyNumberFormat="0" applyProtection="0">
      <alignment horizontal="left" vertical="top" indent="1"/>
    </xf>
    <xf numFmtId="0" fontId="79" fillId="135" borderId="55" applyNumberFormat="0" applyProtection="0">
      <alignment horizontal="left" vertical="top" indent="1"/>
    </xf>
    <xf numFmtId="0" fontId="76" fillId="135" borderId="55" applyNumberFormat="0" applyProtection="0">
      <alignment horizontal="left" vertical="top" indent="1"/>
    </xf>
    <xf numFmtId="0" fontId="79" fillId="135" borderId="55" applyNumberFormat="0" applyProtection="0">
      <alignment horizontal="left" vertical="top" indent="1"/>
    </xf>
    <xf numFmtId="0" fontId="79" fillId="135" borderId="55" applyNumberFormat="0" applyProtection="0">
      <alignment horizontal="left" vertical="top" indent="1"/>
    </xf>
    <xf numFmtId="0" fontId="79" fillId="135" borderId="55" applyNumberFormat="0" applyProtection="0">
      <alignment horizontal="left" vertical="top" indent="1"/>
    </xf>
    <xf numFmtId="0" fontId="79" fillId="135" borderId="55" applyNumberFormat="0" applyProtection="0">
      <alignment horizontal="left" vertical="top" indent="1"/>
    </xf>
    <xf numFmtId="0" fontId="79" fillId="135" borderId="55" applyNumberFormat="0" applyProtection="0">
      <alignment horizontal="left" vertical="top" indent="1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76" fillId="38" borderId="55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19" fillId="0" borderId="39" applyNumberFormat="0" applyProtection="0">
      <alignment horizontal="right" vertical="center"/>
    </xf>
    <xf numFmtId="4" fontId="73" fillId="134" borderId="39" applyNumberFormat="0" applyProtection="0">
      <alignment horizontal="right" vertical="center"/>
    </xf>
    <xf numFmtId="4" fontId="73" fillId="134" borderId="39" applyNumberFormat="0" applyProtection="0">
      <alignment horizontal="right" vertical="center"/>
    </xf>
    <xf numFmtId="4" fontId="73" fillId="134" borderId="39" applyNumberFormat="0" applyProtection="0">
      <alignment horizontal="right" vertical="center"/>
    </xf>
    <xf numFmtId="4" fontId="73" fillId="134" borderId="39" applyNumberFormat="0" applyProtection="0">
      <alignment horizontal="right" vertical="center"/>
    </xf>
    <xf numFmtId="4" fontId="73" fillId="134" borderId="39" applyNumberFormat="0" applyProtection="0">
      <alignment horizontal="right" vertical="center"/>
    </xf>
    <xf numFmtId="4" fontId="73" fillId="134" borderId="39" applyNumberFormat="0" applyProtection="0">
      <alignment horizontal="right" vertical="center"/>
    </xf>
    <xf numFmtId="4" fontId="73" fillId="134" borderId="39" applyNumberFormat="0" applyProtection="0">
      <alignment horizontal="right" vertical="center"/>
    </xf>
    <xf numFmtId="4" fontId="73" fillId="134" borderId="39" applyNumberFormat="0" applyProtection="0">
      <alignment horizontal="right" vertical="center"/>
    </xf>
    <xf numFmtId="4" fontId="73" fillId="134" borderId="39" applyNumberFormat="0" applyProtection="0">
      <alignment horizontal="right" vertical="center"/>
    </xf>
    <xf numFmtId="4" fontId="73" fillId="134" borderId="39" applyNumberFormat="0" applyProtection="0">
      <alignment horizontal="right" vertical="center"/>
    </xf>
    <xf numFmtId="4" fontId="73" fillId="134" borderId="39" applyNumberFormat="0" applyProtection="0">
      <alignment horizontal="right" vertical="center"/>
    </xf>
    <xf numFmtId="4" fontId="73" fillId="134" borderId="39" applyNumberFormat="0" applyProtection="0">
      <alignment horizontal="right" vertical="center"/>
    </xf>
    <xf numFmtId="4" fontId="73" fillId="134" borderId="39" applyNumberFormat="0" applyProtection="0">
      <alignment horizontal="right" vertical="center"/>
    </xf>
    <xf numFmtId="4" fontId="73" fillId="134" borderId="39" applyNumberFormat="0" applyProtection="0">
      <alignment horizontal="right" vertical="center"/>
    </xf>
    <xf numFmtId="4" fontId="73" fillId="134" borderId="39" applyNumberFormat="0" applyProtection="0">
      <alignment horizontal="right" vertical="center"/>
    </xf>
    <xf numFmtId="4" fontId="73" fillId="134" borderId="39" applyNumberFormat="0" applyProtection="0">
      <alignment horizontal="right" vertical="center"/>
    </xf>
    <xf numFmtId="4" fontId="73" fillId="134" borderId="39" applyNumberFormat="0" applyProtection="0">
      <alignment horizontal="right" vertical="center"/>
    </xf>
    <xf numFmtId="4" fontId="73" fillId="134" borderId="39" applyNumberFormat="0" applyProtection="0">
      <alignment horizontal="right" vertical="center"/>
    </xf>
    <xf numFmtId="4" fontId="73" fillId="134" borderId="39" applyNumberFormat="0" applyProtection="0">
      <alignment horizontal="right" vertical="center"/>
    </xf>
    <xf numFmtId="4" fontId="73" fillId="134" borderId="39" applyNumberFormat="0" applyProtection="0">
      <alignment horizontal="right" vertical="center"/>
    </xf>
    <xf numFmtId="4" fontId="73" fillId="134" borderId="39" applyNumberFormat="0" applyProtection="0">
      <alignment horizontal="right" vertical="center"/>
    </xf>
    <xf numFmtId="4" fontId="73" fillId="134" borderId="39" applyNumberFormat="0" applyProtection="0">
      <alignment horizontal="right" vertical="center"/>
    </xf>
    <xf numFmtId="4" fontId="73" fillId="134" borderId="39" applyNumberFormat="0" applyProtection="0">
      <alignment horizontal="right" vertical="center"/>
    </xf>
    <xf numFmtId="4" fontId="73" fillId="134" borderId="39" applyNumberFormat="0" applyProtection="0">
      <alignment horizontal="right" vertical="center"/>
    </xf>
    <xf numFmtId="4" fontId="73" fillId="134" borderId="39" applyNumberFormat="0" applyProtection="0">
      <alignment horizontal="right" vertical="center"/>
    </xf>
    <xf numFmtId="4" fontId="73" fillId="134" borderId="39" applyNumberFormat="0" applyProtection="0">
      <alignment horizontal="right" vertical="center"/>
    </xf>
    <xf numFmtId="4" fontId="73" fillId="134" borderId="39" applyNumberFormat="0" applyProtection="0">
      <alignment horizontal="right" vertical="center"/>
    </xf>
    <xf numFmtId="4" fontId="73" fillId="134" borderId="39" applyNumberFormat="0" applyProtection="0">
      <alignment horizontal="right" vertical="center"/>
    </xf>
    <xf numFmtId="4" fontId="73" fillId="134" borderId="39" applyNumberFormat="0" applyProtection="0">
      <alignment horizontal="right" vertical="center"/>
    </xf>
    <xf numFmtId="4" fontId="73" fillId="134" borderId="39" applyNumberFormat="0" applyProtection="0">
      <alignment horizontal="right" vertical="center"/>
    </xf>
    <xf numFmtId="4" fontId="73" fillId="134" borderId="39" applyNumberFormat="0" applyProtection="0">
      <alignment horizontal="right" vertical="center"/>
    </xf>
    <xf numFmtId="4" fontId="73" fillId="134" borderId="39" applyNumberFormat="0" applyProtection="0">
      <alignment horizontal="right" vertical="center"/>
    </xf>
    <xf numFmtId="4" fontId="73" fillId="134" borderId="39" applyNumberFormat="0" applyProtection="0">
      <alignment horizontal="right" vertical="center"/>
    </xf>
    <xf numFmtId="4" fontId="73" fillId="134" borderId="39" applyNumberFormat="0" applyProtection="0">
      <alignment horizontal="right" vertical="center"/>
    </xf>
    <xf numFmtId="4" fontId="73" fillId="134" borderId="39" applyNumberFormat="0" applyProtection="0">
      <alignment horizontal="right" vertical="center"/>
    </xf>
    <xf numFmtId="4" fontId="73" fillId="134" borderId="39" applyNumberFormat="0" applyProtection="0">
      <alignment horizontal="right" vertical="center"/>
    </xf>
    <xf numFmtId="4" fontId="73" fillId="134" borderId="39" applyNumberFormat="0" applyProtection="0">
      <alignment horizontal="right" vertical="center"/>
    </xf>
    <xf numFmtId="4" fontId="73" fillId="134" borderId="39" applyNumberFormat="0" applyProtection="0">
      <alignment horizontal="right" vertical="center"/>
    </xf>
    <xf numFmtId="4" fontId="73" fillId="134" borderId="39" applyNumberFormat="0" applyProtection="0">
      <alignment horizontal="right" vertical="center"/>
    </xf>
    <xf numFmtId="4" fontId="73" fillId="134" borderId="39" applyNumberFormat="0" applyProtection="0">
      <alignment horizontal="right" vertical="center"/>
    </xf>
    <xf numFmtId="4" fontId="80" fillId="38" borderId="55" applyNumberFormat="0" applyProtection="0">
      <alignment horizontal="right" vertical="center"/>
    </xf>
    <xf numFmtId="4" fontId="73" fillId="134" borderId="39" applyNumberFormat="0" applyProtection="0">
      <alignment horizontal="right" vertical="center"/>
    </xf>
    <xf numFmtId="4" fontId="73" fillId="134" borderId="39" applyNumberFormat="0" applyProtection="0">
      <alignment horizontal="right" vertical="center"/>
    </xf>
    <xf numFmtId="4" fontId="73" fillId="134" borderId="39" applyNumberFormat="0" applyProtection="0">
      <alignment horizontal="right" vertical="center"/>
    </xf>
    <xf numFmtId="4" fontId="73" fillId="134" borderId="39" applyNumberFormat="0" applyProtection="0">
      <alignment horizontal="right" vertical="center"/>
    </xf>
    <xf numFmtId="4" fontId="73" fillId="134" borderId="39" applyNumberFormat="0" applyProtection="0">
      <alignment horizontal="right" vertical="center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76" fillId="41" borderId="55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122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4" fontId="19" fillId="70" borderId="39" applyNumberFormat="0" applyProtection="0">
      <alignment horizontal="left" vertical="center" indent="1"/>
    </xf>
    <xf numFmtId="0" fontId="79" fillId="41" borderId="55" applyNumberFormat="0" applyProtection="0">
      <alignment horizontal="left" vertical="top" indent="1"/>
    </xf>
    <xf numFmtId="0" fontId="79" fillId="41" borderId="55" applyNumberFormat="0" applyProtection="0">
      <alignment horizontal="left" vertical="top" indent="1"/>
    </xf>
    <xf numFmtId="0" fontId="79" fillId="41" borderId="55" applyNumberFormat="0" applyProtection="0">
      <alignment horizontal="left" vertical="top" indent="1"/>
    </xf>
    <xf numFmtId="0" fontId="79" fillId="41" borderId="55" applyNumberFormat="0" applyProtection="0">
      <alignment horizontal="left" vertical="top" indent="1"/>
    </xf>
    <xf numFmtId="0" fontId="79" fillId="41" borderId="55" applyNumberFormat="0" applyProtection="0">
      <alignment horizontal="left" vertical="top" indent="1"/>
    </xf>
    <xf numFmtId="0" fontId="79" fillId="41" borderId="55" applyNumberFormat="0" applyProtection="0">
      <alignment horizontal="left" vertical="top" indent="1"/>
    </xf>
    <xf numFmtId="0" fontId="79" fillId="41" borderId="55" applyNumberFormat="0" applyProtection="0">
      <alignment horizontal="left" vertical="top" indent="1"/>
    </xf>
    <xf numFmtId="0" fontId="79" fillId="41" borderId="55" applyNumberFormat="0" applyProtection="0">
      <alignment horizontal="left" vertical="top" indent="1"/>
    </xf>
    <xf numFmtId="0" fontId="79" fillId="41" borderId="55" applyNumberFormat="0" applyProtection="0">
      <alignment horizontal="left" vertical="top" indent="1"/>
    </xf>
    <xf numFmtId="0" fontId="79" fillId="41" borderId="55" applyNumberFormat="0" applyProtection="0">
      <alignment horizontal="left" vertical="top" indent="1"/>
    </xf>
    <xf numFmtId="0" fontId="79" fillId="41" borderId="55" applyNumberFormat="0" applyProtection="0">
      <alignment horizontal="left" vertical="top" indent="1"/>
    </xf>
    <xf numFmtId="0" fontId="79" fillId="42" borderId="55" applyNumberFormat="0" applyProtection="0">
      <alignment horizontal="left" vertical="top" indent="1"/>
    </xf>
    <xf numFmtId="0" fontId="79" fillId="41" borderId="55" applyNumberFormat="0" applyProtection="0">
      <alignment horizontal="left" vertical="top" indent="1"/>
    </xf>
    <xf numFmtId="0" fontId="79" fillId="41" borderId="55" applyNumberFormat="0" applyProtection="0">
      <alignment horizontal="left" vertical="top" indent="1"/>
    </xf>
    <xf numFmtId="0" fontId="79" fillId="41" borderId="55" applyNumberFormat="0" applyProtection="0">
      <alignment horizontal="left" vertical="top" indent="1"/>
    </xf>
    <xf numFmtId="0" fontId="79" fillId="41" borderId="55" applyNumberFormat="0" applyProtection="0">
      <alignment horizontal="left" vertical="top" indent="1"/>
    </xf>
    <xf numFmtId="0" fontId="79" fillId="41" borderId="55" applyNumberFormat="0" applyProtection="0">
      <alignment horizontal="left" vertical="top" indent="1"/>
    </xf>
    <xf numFmtId="0" fontId="79" fillId="41" borderId="55" applyNumberFormat="0" applyProtection="0">
      <alignment horizontal="left" vertical="top" indent="1"/>
    </xf>
    <xf numFmtId="0" fontId="79" fillId="41" borderId="55" applyNumberFormat="0" applyProtection="0">
      <alignment horizontal="left" vertical="top" indent="1"/>
    </xf>
    <xf numFmtId="0" fontId="79" fillId="41" borderId="55" applyNumberFormat="0" applyProtection="0">
      <alignment horizontal="left" vertical="top" indent="1"/>
    </xf>
    <xf numFmtId="0" fontId="79" fillId="41" borderId="55" applyNumberFormat="0" applyProtection="0">
      <alignment horizontal="left" vertical="top" indent="1"/>
    </xf>
    <xf numFmtId="0" fontId="79" fillId="41" borderId="55" applyNumberFormat="0" applyProtection="0">
      <alignment horizontal="left" vertical="top" indent="1"/>
    </xf>
    <xf numFmtId="0" fontId="79" fillId="41" borderId="55" applyNumberFormat="0" applyProtection="0">
      <alignment horizontal="left" vertical="top" indent="1"/>
    </xf>
    <xf numFmtId="0" fontId="79" fillId="41" borderId="55" applyNumberFormat="0" applyProtection="0">
      <alignment horizontal="left" vertical="top" indent="1"/>
    </xf>
    <xf numFmtId="0" fontId="79" fillId="41" borderId="55" applyNumberFormat="0" applyProtection="0">
      <alignment horizontal="left" vertical="top" indent="1"/>
    </xf>
    <xf numFmtId="0" fontId="79" fillId="41" borderId="55" applyNumberFormat="0" applyProtection="0">
      <alignment horizontal="left" vertical="top" indent="1"/>
    </xf>
    <xf numFmtId="0" fontId="79" fillId="41" borderId="55" applyNumberFormat="0" applyProtection="0">
      <alignment horizontal="left" vertical="top" indent="1"/>
    </xf>
    <xf numFmtId="0" fontId="79" fillId="41" borderId="55" applyNumberFormat="0" applyProtection="0">
      <alignment horizontal="left" vertical="top" indent="1"/>
    </xf>
    <xf numFmtId="0" fontId="79" fillId="41" borderId="55" applyNumberFormat="0" applyProtection="0">
      <alignment horizontal="left" vertical="top" indent="1"/>
    </xf>
    <xf numFmtId="0" fontId="79" fillId="41" borderId="55" applyNumberFormat="0" applyProtection="0">
      <alignment horizontal="left" vertical="top" indent="1"/>
    </xf>
    <xf numFmtId="0" fontId="79" fillId="41" borderId="55" applyNumberFormat="0" applyProtection="0">
      <alignment horizontal="left" vertical="top" indent="1"/>
    </xf>
    <xf numFmtId="0" fontId="79" fillId="41" borderId="55" applyNumberFormat="0" applyProtection="0">
      <alignment horizontal="left" vertical="top" indent="1"/>
    </xf>
    <xf numFmtId="0" fontId="79" fillId="41" borderId="55" applyNumberFormat="0" applyProtection="0">
      <alignment horizontal="left" vertical="top" indent="1"/>
    </xf>
    <xf numFmtId="0" fontId="79" fillId="41" borderId="55" applyNumberFormat="0" applyProtection="0">
      <alignment horizontal="left" vertical="top" indent="1"/>
    </xf>
    <xf numFmtId="0" fontId="79" fillId="41" borderId="55" applyNumberFormat="0" applyProtection="0">
      <alignment horizontal="left" vertical="top" indent="1"/>
    </xf>
    <xf numFmtId="0" fontId="79" fillId="41" borderId="55" applyNumberFormat="0" applyProtection="0">
      <alignment horizontal="left" vertical="top" indent="1"/>
    </xf>
    <xf numFmtId="0" fontId="79" fillId="41" borderId="55" applyNumberFormat="0" applyProtection="0">
      <alignment horizontal="left" vertical="top" indent="1"/>
    </xf>
    <xf numFmtId="0" fontId="79" fillId="41" borderId="55" applyNumberFormat="0" applyProtection="0">
      <alignment horizontal="left" vertical="top" indent="1"/>
    </xf>
    <xf numFmtId="0" fontId="79" fillId="41" borderId="55" applyNumberFormat="0" applyProtection="0">
      <alignment horizontal="left" vertical="top" indent="1"/>
    </xf>
    <xf numFmtId="0" fontId="79" fillId="41" borderId="55" applyNumberFormat="0" applyProtection="0">
      <alignment horizontal="left" vertical="top" indent="1"/>
    </xf>
    <xf numFmtId="0" fontId="79" fillId="41" borderId="55" applyNumberFormat="0" applyProtection="0">
      <alignment horizontal="left" vertical="top" indent="1"/>
    </xf>
    <xf numFmtId="0" fontId="76" fillId="41" borderId="55" applyNumberFormat="0" applyProtection="0">
      <alignment horizontal="left" vertical="top" indent="1"/>
    </xf>
    <xf numFmtId="0" fontId="79" fillId="41" borderId="55" applyNumberFormat="0" applyProtection="0">
      <alignment horizontal="left" vertical="top" indent="1"/>
    </xf>
    <xf numFmtId="0" fontId="79" fillId="41" borderId="55" applyNumberFormat="0" applyProtection="0">
      <alignment horizontal="left" vertical="top" indent="1"/>
    </xf>
    <xf numFmtId="0" fontId="79" fillId="41" borderId="55" applyNumberFormat="0" applyProtection="0">
      <alignment horizontal="left" vertical="top" indent="1"/>
    </xf>
    <xf numFmtId="0" fontId="79" fillId="41" borderId="55" applyNumberFormat="0" applyProtection="0">
      <alignment horizontal="left" vertical="top" indent="1"/>
    </xf>
    <xf numFmtId="0" fontId="79" fillId="41" borderId="55" applyNumberFormat="0" applyProtection="0">
      <alignment horizontal="left" vertical="top" indent="1"/>
    </xf>
    <xf numFmtId="4" fontId="81" fillId="136" borderId="56" applyNumberFormat="0" applyProtection="0">
      <alignment horizontal="left" vertical="center" indent="1"/>
    </xf>
    <xf numFmtId="4" fontId="81" fillId="136" borderId="56" applyNumberFormat="0" applyProtection="0">
      <alignment horizontal="left" vertical="center" indent="1"/>
    </xf>
    <xf numFmtId="4" fontId="81" fillId="136" borderId="56" applyNumberFormat="0" applyProtection="0">
      <alignment horizontal="left" vertical="center" indent="1"/>
    </xf>
    <xf numFmtId="4" fontId="81" fillId="136" borderId="56" applyNumberFormat="0" applyProtection="0">
      <alignment horizontal="left" vertical="center" indent="1"/>
    </xf>
    <xf numFmtId="4" fontId="81" fillId="136" borderId="56" applyNumberFormat="0" applyProtection="0">
      <alignment horizontal="left" vertical="center" indent="1"/>
    </xf>
    <xf numFmtId="4" fontId="81" fillId="136" borderId="56" applyNumberFormat="0" applyProtection="0">
      <alignment horizontal="left" vertical="center" indent="1"/>
    </xf>
    <xf numFmtId="4" fontId="81" fillId="136" borderId="56" applyNumberFormat="0" applyProtection="0">
      <alignment horizontal="left" vertical="center" indent="1"/>
    </xf>
    <xf numFmtId="4" fontId="81" fillId="136" borderId="56" applyNumberFormat="0" applyProtection="0">
      <alignment horizontal="left" vertical="center" indent="1"/>
    </xf>
    <xf numFmtId="4" fontId="81" fillId="136" borderId="56" applyNumberFormat="0" applyProtection="0">
      <alignment horizontal="left" vertical="center" indent="1"/>
    </xf>
    <xf numFmtId="4" fontId="81" fillId="136" borderId="56" applyNumberFormat="0" applyProtection="0">
      <alignment horizontal="left" vertical="center" indent="1"/>
    </xf>
    <xf numFmtId="4" fontId="81" fillId="136" borderId="56" applyNumberFormat="0" applyProtection="0">
      <alignment horizontal="left" vertical="center" indent="1"/>
    </xf>
    <xf numFmtId="4" fontId="81" fillId="137" borderId="56" applyNumberFormat="0" applyProtection="0">
      <alignment horizontal="left" vertical="center" indent="1"/>
    </xf>
    <xf numFmtId="4" fontId="81" fillId="136" borderId="56" applyNumberFormat="0" applyProtection="0">
      <alignment horizontal="left" vertical="center" indent="1"/>
    </xf>
    <xf numFmtId="4" fontId="81" fillId="136" borderId="56" applyNumberFormat="0" applyProtection="0">
      <alignment horizontal="left" vertical="center" indent="1"/>
    </xf>
    <xf numFmtId="4" fontId="81" fillId="136" borderId="56" applyNumberFormat="0" applyProtection="0">
      <alignment horizontal="left" vertical="center" indent="1"/>
    </xf>
    <xf numFmtId="4" fontId="81" fillId="136" borderId="56" applyNumberFormat="0" applyProtection="0">
      <alignment horizontal="left" vertical="center" indent="1"/>
    </xf>
    <xf numFmtId="4" fontId="81" fillId="136" borderId="56" applyNumberFormat="0" applyProtection="0">
      <alignment horizontal="left" vertical="center" indent="1"/>
    </xf>
    <xf numFmtId="4" fontId="81" fillId="136" borderId="56" applyNumberFormat="0" applyProtection="0">
      <alignment horizontal="left" vertical="center" indent="1"/>
    </xf>
    <xf numFmtId="4" fontId="81" fillId="136" borderId="56" applyNumberFormat="0" applyProtection="0">
      <alignment horizontal="left" vertical="center" indent="1"/>
    </xf>
    <xf numFmtId="4" fontId="81" fillId="136" borderId="56" applyNumberFormat="0" applyProtection="0">
      <alignment horizontal="left" vertical="center" indent="1"/>
    </xf>
    <xf numFmtId="4" fontId="81" fillId="136" borderId="56" applyNumberFormat="0" applyProtection="0">
      <alignment horizontal="left" vertical="center" indent="1"/>
    </xf>
    <xf numFmtId="4" fontId="81" fillId="136" borderId="56" applyNumberFormat="0" applyProtection="0">
      <alignment horizontal="left" vertical="center" indent="1"/>
    </xf>
    <xf numFmtId="4" fontId="81" fillId="136" borderId="56" applyNumberFormat="0" applyProtection="0">
      <alignment horizontal="left" vertical="center" indent="1"/>
    </xf>
    <xf numFmtId="4" fontId="81" fillId="136" borderId="56" applyNumberFormat="0" applyProtection="0">
      <alignment horizontal="left" vertical="center" indent="1"/>
    </xf>
    <xf numFmtId="4" fontId="81" fillId="136" borderId="56" applyNumberFormat="0" applyProtection="0">
      <alignment horizontal="left" vertical="center" indent="1"/>
    </xf>
    <xf numFmtId="4" fontId="81" fillId="136" borderId="56" applyNumberFormat="0" applyProtection="0">
      <alignment horizontal="left" vertical="center" indent="1"/>
    </xf>
    <xf numFmtId="4" fontId="81" fillId="136" borderId="56" applyNumberFormat="0" applyProtection="0">
      <alignment horizontal="left" vertical="center" indent="1"/>
    </xf>
    <xf numFmtId="4" fontId="81" fillId="136" borderId="56" applyNumberFormat="0" applyProtection="0">
      <alignment horizontal="left" vertical="center" indent="1"/>
    </xf>
    <xf numFmtId="4" fontId="81" fillId="136" borderId="56" applyNumberFormat="0" applyProtection="0">
      <alignment horizontal="left" vertical="center" indent="1"/>
    </xf>
    <xf numFmtId="4" fontId="81" fillId="136" borderId="56" applyNumberFormat="0" applyProtection="0">
      <alignment horizontal="left" vertical="center" indent="1"/>
    </xf>
    <xf numFmtId="4" fontId="81" fillId="136" borderId="56" applyNumberFormat="0" applyProtection="0">
      <alignment horizontal="left" vertical="center" indent="1"/>
    </xf>
    <xf numFmtId="4" fontId="81" fillId="136" borderId="56" applyNumberFormat="0" applyProtection="0">
      <alignment horizontal="left" vertical="center" indent="1"/>
    </xf>
    <xf numFmtId="4" fontId="81" fillId="136" borderId="56" applyNumberFormat="0" applyProtection="0">
      <alignment horizontal="left" vertical="center" indent="1"/>
    </xf>
    <xf numFmtId="4" fontId="81" fillId="136" borderId="56" applyNumberFormat="0" applyProtection="0">
      <alignment horizontal="left" vertical="center" indent="1"/>
    </xf>
    <xf numFmtId="4" fontId="81" fillId="136" borderId="56" applyNumberFormat="0" applyProtection="0">
      <alignment horizontal="left" vertical="center" indent="1"/>
    </xf>
    <xf numFmtId="4" fontId="81" fillId="136" borderId="56" applyNumberFormat="0" applyProtection="0">
      <alignment horizontal="left" vertical="center" indent="1"/>
    </xf>
    <xf numFmtId="4" fontId="81" fillId="136" borderId="56" applyNumberFormat="0" applyProtection="0">
      <alignment horizontal="left" vertical="center" indent="1"/>
    </xf>
    <xf numFmtId="4" fontId="81" fillId="136" borderId="56" applyNumberFormat="0" applyProtection="0">
      <alignment horizontal="left" vertical="center" indent="1"/>
    </xf>
    <xf numFmtId="4" fontId="81" fillId="136" borderId="56" applyNumberFormat="0" applyProtection="0">
      <alignment horizontal="left" vertical="center" indent="1"/>
    </xf>
    <xf numFmtId="4" fontId="81" fillId="136" borderId="56" applyNumberFormat="0" applyProtection="0">
      <alignment horizontal="left" vertical="center" indent="1"/>
    </xf>
    <xf numFmtId="4" fontId="81" fillId="136" borderId="56" applyNumberFormat="0" applyProtection="0">
      <alignment horizontal="left" vertical="center" indent="1"/>
    </xf>
    <xf numFmtId="4" fontId="82" fillId="136" borderId="0" applyNumberFormat="0" applyProtection="0">
      <alignment horizontal="left" vertical="center" indent="1"/>
    </xf>
    <xf numFmtId="4" fontId="81" fillId="136" borderId="56" applyNumberFormat="0" applyProtection="0">
      <alignment horizontal="left" vertical="center" indent="1"/>
    </xf>
    <xf numFmtId="4" fontId="81" fillId="136" borderId="56" applyNumberFormat="0" applyProtection="0">
      <alignment horizontal="left" vertical="center" indent="1"/>
    </xf>
    <xf numFmtId="4" fontId="81" fillId="136" borderId="56" applyNumberFormat="0" applyProtection="0">
      <alignment horizontal="left" vertical="center" indent="1"/>
    </xf>
    <xf numFmtId="4" fontId="81" fillId="136" borderId="56" applyNumberFormat="0" applyProtection="0">
      <alignment horizontal="left" vertical="center" indent="1"/>
    </xf>
    <xf numFmtId="4" fontId="81" fillId="136" borderId="56" applyNumberFormat="0" applyProtection="0">
      <alignment horizontal="left" vertical="center" indent="1"/>
    </xf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9" borderId="59"/>
    <xf numFmtId="0" fontId="19" fillId="139" borderId="59"/>
    <xf numFmtId="0" fontId="19" fillId="139" borderId="59"/>
    <xf numFmtId="0" fontId="19" fillId="139" borderId="59"/>
    <xf numFmtId="0" fontId="19" fillId="139" borderId="59"/>
    <xf numFmtId="0" fontId="19" fillId="139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0" fontId="19" fillId="138" borderId="59"/>
    <xf numFmtId="4" fontId="83" fillId="133" borderId="39" applyNumberFormat="0" applyProtection="0">
      <alignment horizontal="right" vertical="center"/>
    </xf>
    <xf numFmtId="4" fontId="83" fillId="133" borderId="39" applyNumberFormat="0" applyProtection="0">
      <alignment horizontal="right" vertical="center"/>
    </xf>
    <xf numFmtId="4" fontId="83" fillId="133" borderId="39" applyNumberFormat="0" applyProtection="0">
      <alignment horizontal="right" vertical="center"/>
    </xf>
    <xf numFmtId="4" fontId="83" fillId="133" borderId="39" applyNumberFormat="0" applyProtection="0">
      <alignment horizontal="right" vertical="center"/>
    </xf>
    <xf numFmtId="4" fontId="83" fillId="133" borderId="39" applyNumberFormat="0" applyProtection="0">
      <alignment horizontal="right" vertical="center"/>
    </xf>
    <xf numFmtId="4" fontId="83" fillId="133" borderId="39" applyNumberFormat="0" applyProtection="0">
      <alignment horizontal="right" vertical="center"/>
    </xf>
    <xf numFmtId="4" fontId="83" fillId="133" borderId="39" applyNumberFormat="0" applyProtection="0">
      <alignment horizontal="right" vertical="center"/>
    </xf>
    <xf numFmtId="4" fontId="83" fillId="133" borderId="39" applyNumberFormat="0" applyProtection="0">
      <alignment horizontal="right" vertical="center"/>
    </xf>
    <xf numFmtId="4" fontId="83" fillId="133" borderId="39" applyNumberFormat="0" applyProtection="0">
      <alignment horizontal="right" vertical="center"/>
    </xf>
    <xf numFmtId="4" fontId="83" fillId="133" borderId="39" applyNumberFormat="0" applyProtection="0">
      <alignment horizontal="right" vertical="center"/>
    </xf>
    <xf numFmtId="4" fontId="83" fillId="133" borderId="39" applyNumberFormat="0" applyProtection="0">
      <alignment horizontal="right" vertical="center"/>
    </xf>
    <xf numFmtId="4" fontId="83" fillId="134" borderId="39" applyNumberFormat="0" applyProtection="0">
      <alignment horizontal="right" vertical="center"/>
    </xf>
    <xf numFmtId="4" fontId="83" fillId="133" borderId="39" applyNumberFormat="0" applyProtection="0">
      <alignment horizontal="right" vertical="center"/>
    </xf>
    <xf numFmtId="4" fontId="83" fillId="133" borderId="39" applyNumberFormat="0" applyProtection="0">
      <alignment horizontal="right" vertical="center"/>
    </xf>
    <xf numFmtId="4" fontId="83" fillId="133" borderId="39" applyNumberFormat="0" applyProtection="0">
      <alignment horizontal="right" vertical="center"/>
    </xf>
    <xf numFmtId="4" fontId="83" fillId="133" borderId="39" applyNumberFormat="0" applyProtection="0">
      <alignment horizontal="right" vertical="center"/>
    </xf>
    <xf numFmtId="4" fontId="83" fillId="133" borderId="39" applyNumberFormat="0" applyProtection="0">
      <alignment horizontal="right" vertical="center"/>
    </xf>
    <xf numFmtId="4" fontId="83" fillId="133" borderId="39" applyNumberFormat="0" applyProtection="0">
      <alignment horizontal="right" vertical="center"/>
    </xf>
    <xf numFmtId="4" fontId="83" fillId="133" borderId="39" applyNumberFormat="0" applyProtection="0">
      <alignment horizontal="right" vertical="center"/>
    </xf>
    <xf numFmtId="4" fontId="83" fillId="133" borderId="39" applyNumberFormat="0" applyProtection="0">
      <alignment horizontal="right" vertical="center"/>
    </xf>
    <xf numFmtId="4" fontId="83" fillId="133" borderId="39" applyNumberFormat="0" applyProtection="0">
      <alignment horizontal="right" vertical="center"/>
    </xf>
    <xf numFmtId="4" fontId="83" fillId="133" borderId="39" applyNumberFormat="0" applyProtection="0">
      <alignment horizontal="right" vertical="center"/>
    </xf>
    <xf numFmtId="4" fontId="83" fillId="133" borderId="39" applyNumberFormat="0" applyProtection="0">
      <alignment horizontal="right" vertical="center"/>
    </xf>
    <xf numFmtId="4" fontId="83" fillId="133" borderId="39" applyNumberFormat="0" applyProtection="0">
      <alignment horizontal="right" vertical="center"/>
    </xf>
    <xf numFmtId="4" fontId="83" fillId="133" borderId="39" applyNumberFormat="0" applyProtection="0">
      <alignment horizontal="right" vertical="center"/>
    </xf>
    <xf numFmtId="4" fontId="83" fillId="133" borderId="39" applyNumberFormat="0" applyProtection="0">
      <alignment horizontal="right" vertical="center"/>
    </xf>
    <xf numFmtId="4" fontId="83" fillId="133" borderId="39" applyNumberFormat="0" applyProtection="0">
      <alignment horizontal="right" vertical="center"/>
    </xf>
    <xf numFmtId="4" fontId="83" fillId="133" borderId="39" applyNumberFormat="0" applyProtection="0">
      <alignment horizontal="right" vertical="center"/>
    </xf>
    <xf numFmtId="4" fontId="83" fillId="133" borderId="39" applyNumberFormat="0" applyProtection="0">
      <alignment horizontal="right" vertical="center"/>
    </xf>
    <xf numFmtId="4" fontId="83" fillId="133" borderId="39" applyNumberFormat="0" applyProtection="0">
      <alignment horizontal="right" vertical="center"/>
    </xf>
    <xf numFmtId="4" fontId="83" fillId="133" borderId="39" applyNumberFormat="0" applyProtection="0">
      <alignment horizontal="right" vertical="center"/>
    </xf>
    <xf numFmtId="4" fontId="83" fillId="133" borderId="39" applyNumberFormat="0" applyProtection="0">
      <alignment horizontal="right" vertical="center"/>
    </xf>
    <xf numFmtId="4" fontId="83" fillId="133" borderId="39" applyNumberFormat="0" applyProtection="0">
      <alignment horizontal="right" vertical="center"/>
    </xf>
    <xf numFmtId="4" fontId="83" fillId="133" borderId="39" applyNumberFormat="0" applyProtection="0">
      <alignment horizontal="right" vertical="center"/>
    </xf>
    <xf numFmtId="4" fontId="83" fillId="133" borderId="39" applyNumberFormat="0" applyProtection="0">
      <alignment horizontal="right" vertical="center"/>
    </xf>
    <xf numFmtId="4" fontId="83" fillId="133" borderId="39" applyNumberFormat="0" applyProtection="0">
      <alignment horizontal="right" vertical="center"/>
    </xf>
    <xf numFmtId="4" fontId="83" fillId="133" borderId="39" applyNumberFormat="0" applyProtection="0">
      <alignment horizontal="right" vertical="center"/>
    </xf>
    <xf numFmtId="4" fontId="83" fillId="133" borderId="39" applyNumberFormat="0" applyProtection="0">
      <alignment horizontal="right" vertical="center"/>
    </xf>
    <xf numFmtId="4" fontId="83" fillId="133" borderId="39" applyNumberFormat="0" applyProtection="0">
      <alignment horizontal="right" vertical="center"/>
    </xf>
    <xf numFmtId="4" fontId="83" fillId="133" borderId="39" applyNumberFormat="0" applyProtection="0">
      <alignment horizontal="right" vertical="center"/>
    </xf>
    <xf numFmtId="4" fontId="83" fillId="133" borderId="39" applyNumberFormat="0" applyProtection="0">
      <alignment horizontal="right" vertical="center"/>
    </xf>
    <xf numFmtId="4" fontId="84" fillId="38" borderId="55" applyNumberFormat="0" applyProtection="0">
      <alignment horizontal="right" vertical="center"/>
    </xf>
    <xf numFmtId="4" fontId="84" fillId="38" borderId="55" applyNumberFormat="0" applyProtection="0">
      <alignment horizontal="right" vertical="center"/>
    </xf>
    <xf numFmtId="4" fontId="83" fillId="133" borderId="39" applyNumberFormat="0" applyProtection="0">
      <alignment horizontal="right" vertical="center"/>
    </xf>
    <xf numFmtId="4" fontId="83" fillId="133" borderId="39" applyNumberFormat="0" applyProtection="0">
      <alignment horizontal="right" vertical="center"/>
    </xf>
    <xf numFmtId="4" fontId="83" fillId="133" borderId="39" applyNumberFormat="0" applyProtection="0">
      <alignment horizontal="right" vertical="center"/>
    </xf>
    <xf numFmtId="4" fontId="83" fillId="133" borderId="39" applyNumberFormat="0" applyProtection="0">
      <alignment horizontal="right" vertical="center"/>
    </xf>
    <xf numFmtId="4" fontId="83" fillId="133" borderId="39" applyNumberFormat="0" applyProtection="0">
      <alignment horizontal="right" vertical="center"/>
    </xf>
    <xf numFmtId="0" fontId="85" fillId="0" borderId="0" applyNumberFormat="0" applyFill="0" applyBorder="0" applyAlignment="0" applyProtection="0"/>
    <xf numFmtId="186" fontId="86" fillId="0" borderId="0"/>
    <xf numFmtId="182" fontId="87" fillId="0" borderId="0"/>
    <xf numFmtId="186" fontId="88" fillId="91" borderId="0" applyFont="0" applyBorder="0" applyAlignment="0">
      <alignment vertical="top" wrapText="1"/>
    </xf>
    <xf numFmtId="186" fontId="89" fillId="91" borderId="61" applyBorder="0">
      <alignment horizontal="right" vertical="top" wrapText="1"/>
    </xf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182" fontId="90" fillId="0" borderId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55" fillId="0" borderId="63" applyNumberFormat="0" applyFill="0" applyAlignment="0" applyProtection="0"/>
    <xf numFmtId="0" fontId="91" fillId="0" borderId="62" applyNumberFormat="0" applyFill="0" applyAlignment="0" applyProtection="0"/>
    <xf numFmtId="0" fontId="55" fillId="0" borderId="63" applyNumberFormat="0" applyFill="0" applyAlignment="0" applyProtection="0"/>
    <xf numFmtId="0" fontId="91" fillId="0" borderId="62" applyNumberFormat="0" applyFill="0" applyAlignment="0" applyProtection="0"/>
    <xf numFmtId="0" fontId="55" fillId="0" borderId="63" applyNumberFormat="0" applyFill="0" applyAlignment="0" applyProtection="0"/>
    <xf numFmtId="0" fontId="55" fillId="0" borderId="63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55" fillId="0" borderId="63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55" fillId="0" borderId="63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55" fillId="0" borderId="63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186" fontId="50" fillId="0" borderId="64" applyAlignment="0">
      <alignment horizontal="right"/>
    </xf>
    <xf numFmtId="184" fontId="50" fillId="0" borderId="64" applyAlignment="0"/>
    <xf numFmtId="185" fontId="50" fillId="0" borderId="64" applyAlignment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4" fillId="0" borderId="64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2" applyNumberFormat="0" applyFill="0" applyAlignment="0" applyProtection="0"/>
    <xf numFmtId="0" fontId="30" fillId="0" borderId="0" applyNumberFormat="0" applyFill="0" applyBorder="0" applyAlignment="0" applyProtection="0"/>
    <xf numFmtId="0" fontId="31" fillId="7" borderId="0" applyNumberFormat="0" applyBorder="0" applyAlignment="0" applyProtection="0"/>
    <xf numFmtId="0" fontId="32" fillId="8" borderId="0" applyNumberFormat="0" applyBorder="0" applyAlignment="0" applyProtection="0"/>
    <xf numFmtId="0" fontId="33" fillId="9" borderId="0" applyNumberFormat="0" applyBorder="0" applyAlignment="0" applyProtection="0"/>
    <xf numFmtId="0" fontId="34" fillId="10" borderId="33" applyNumberFormat="0" applyAlignment="0" applyProtection="0"/>
    <xf numFmtId="0" fontId="35" fillId="11" borderId="34" applyNumberFormat="0" applyAlignment="0" applyProtection="0"/>
    <xf numFmtId="0" fontId="36" fillId="11" borderId="33" applyNumberFormat="0" applyAlignment="0" applyProtection="0"/>
    <xf numFmtId="0" fontId="37" fillId="0" borderId="35" applyNumberFormat="0" applyFill="0" applyAlignment="0" applyProtection="0"/>
    <xf numFmtId="0" fontId="38" fillId="12" borderId="36" applyNumberFormat="0" applyAlignment="0" applyProtection="0"/>
    <xf numFmtId="0" fontId="39" fillId="0" borderId="0" applyNumberFormat="0" applyFill="0" applyBorder="0" applyAlignment="0" applyProtection="0"/>
    <xf numFmtId="0" fontId="4" fillId="13" borderId="37" applyNumberFormat="0" applyFont="0" applyAlignment="0" applyProtection="0"/>
    <xf numFmtId="0" fontId="40" fillId="0" borderId="0" applyNumberFormat="0" applyFill="0" applyBorder="0" applyAlignment="0" applyProtection="0"/>
    <xf numFmtId="0" fontId="4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1" fillId="25" borderId="0" applyNumberFormat="0" applyBorder="0" applyAlignment="0" applyProtection="0"/>
    <xf numFmtId="0" fontId="41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1" fillId="29" borderId="0" applyNumberFormat="0" applyBorder="0" applyAlignment="0" applyProtection="0"/>
    <xf numFmtId="0" fontId="41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41" fillId="37" borderId="0" applyNumberFormat="0" applyBorder="0" applyAlignment="0" applyProtection="0"/>
    <xf numFmtId="0" fontId="4" fillId="0" borderId="0">
      <alignment vertical="top"/>
    </xf>
    <xf numFmtId="4" fontId="4" fillId="0" borderId="0" applyFill="0" applyBorder="0" applyProtection="0">
      <alignment horizontal="right" vertical="top"/>
    </xf>
    <xf numFmtId="3" fontId="4" fillId="0" borderId="0" applyFont="0" applyFill="0" applyBorder="0" applyAlignment="0" applyProtection="0">
      <alignment vertical="top"/>
    </xf>
    <xf numFmtId="0" fontId="4" fillId="0" borderId="0" applyFont="0" applyFill="0" applyBorder="0" applyAlignment="0" applyProtection="0">
      <alignment vertical="top"/>
    </xf>
    <xf numFmtId="7" fontId="4" fillId="0" borderId="0" applyFont="0" applyFill="0" applyBorder="0" applyAlignment="0" applyProtection="0">
      <alignment vertical="top"/>
    </xf>
    <xf numFmtId="5" fontId="4" fillId="0" borderId="0">
      <alignment vertical="top"/>
    </xf>
    <xf numFmtId="5" fontId="4" fillId="0" borderId="0" applyFont="0" applyFill="0" applyBorder="0" applyAlignment="0" applyProtection="0">
      <alignment vertical="top"/>
    </xf>
    <xf numFmtId="0" fontId="4" fillId="0" borderId="0">
      <alignment vertical="top"/>
    </xf>
    <xf numFmtId="15" fontId="4" fillId="0" borderId="0" applyFont="0" applyFill="0" applyBorder="0" applyAlignment="0" applyProtection="0">
      <alignment vertical="top"/>
    </xf>
    <xf numFmtId="2" fontId="4" fillId="0" borderId="0" applyFon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4" fillId="0" borderId="0">
      <alignment horizontal="right" vertical="top"/>
    </xf>
    <xf numFmtId="0" fontId="4" fillId="0" borderId="0">
      <alignment vertical="top"/>
    </xf>
    <xf numFmtId="0" fontId="7" fillId="0" borderId="0">
      <alignment vertical="top"/>
    </xf>
    <xf numFmtId="3" fontId="4" fillId="0" borderId="1">
      <alignment vertical="top"/>
    </xf>
    <xf numFmtId="10" fontId="4" fillId="0" borderId="0" applyFont="0" applyFill="0" applyBorder="0" applyAlignment="0" applyProtection="0">
      <alignment vertical="top"/>
    </xf>
    <xf numFmtId="0" fontId="4" fillId="0" borderId="0" applyFont="0" applyFill="0" applyBorder="0" applyAlignment="0" applyProtection="0">
      <alignment vertical="top"/>
    </xf>
    <xf numFmtId="0" fontId="4" fillId="0" borderId="2" applyNumberFormat="0" applyFont="0" applyFill="0" applyAlignment="0" applyProtection="0">
      <alignment vertical="top"/>
    </xf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38" borderId="0" applyNumberFormat="0" applyBorder="0" applyAlignment="0" applyProtection="0"/>
    <xf numFmtId="0" fontId="2" fillId="15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41" borderId="0" applyNumberFormat="0" applyBorder="0" applyAlignment="0" applyProtection="0"/>
    <xf numFmtId="0" fontId="2" fillId="19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23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7" borderId="0" applyNumberFormat="0" applyBorder="0" applyAlignment="0" applyProtection="0"/>
    <xf numFmtId="0" fontId="2" fillId="2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38" borderId="0" applyNumberFormat="0" applyBorder="0" applyAlignment="0" applyProtection="0"/>
    <xf numFmtId="0" fontId="2" fillId="31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53" borderId="0" applyNumberFormat="0" applyBorder="0" applyAlignment="0" applyProtection="0"/>
    <xf numFmtId="0" fontId="2" fillId="16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41" borderId="0" applyNumberFormat="0" applyBorder="0" applyAlignment="0" applyProtection="0"/>
    <xf numFmtId="0" fontId="2" fillId="20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57" borderId="0" applyNumberFormat="0" applyBorder="0" applyAlignment="0" applyProtection="0"/>
    <xf numFmtId="0" fontId="2" fillId="24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28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2" borderId="0" applyNumberFormat="0" applyBorder="0" applyAlignment="0" applyProtection="0"/>
    <xf numFmtId="0" fontId="2" fillId="3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7" fontId="4" fillId="0" borderId="0" applyFont="0" applyFill="0" applyBorder="0" applyAlignment="0" applyProtection="0">
      <alignment vertical="top"/>
    </xf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52" borderId="0" applyNumberFormat="0" applyBorder="0" applyAlignment="0" applyProtection="0"/>
    <xf numFmtId="0" fontId="2" fillId="36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7" fontId="4" fillId="0" borderId="0" applyFont="0" applyFill="0" applyBorder="0" applyAlignment="0" applyProtection="0">
      <alignment vertical="top"/>
    </xf>
    <xf numFmtId="9" fontId="9" fillId="0" borderId="0" applyFont="0" applyFill="0" applyBorder="0" applyAlignment="0" applyProtection="0"/>
    <xf numFmtId="7" fontId="4" fillId="0" borderId="0" applyFont="0" applyFill="0" applyBorder="0" applyAlignment="0" applyProtection="0">
      <alignment vertical="top"/>
    </xf>
    <xf numFmtId="7" fontId="4" fillId="0" borderId="0" applyFont="0" applyFill="0" applyBorder="0" applyAlignment="0" applyProtection="0">
      <alignment vertical="top"/>
    </xf>
    <xf numFmtId="7" fontId="4" fillId="0" borderId="0" applyFont="0" applyFill="0" applyBorder="0" applyAlignment="0" applyProtection="0">
      <alignment vertical="top"/>
    </xf>
    <xf numFmtId="7" fontId="4" fillId="0" borderId="0" applyFont="0" applyFill="0" applyBorder="0" applyAlignment="0" applyProtection="0">
      <alignment vertical="top"/>
    </xf>
    <xf numFmtId="9" fontId="4" fillId="0" borderId="0" applyFont="0" applyFill="0" applyBorder="0" applyAlignment="0" applyProtection="0"/>
    <xf numFmtId="7" fontId="4" fillId="0" borderId="0" applyFont="0" applyFill="0" applyBorder="0" applyAlignment="0" applyProtection="0">
      <alignment vertical="top"/>
    </xf>
    <xf numFmtId="0" fontId="95" fillId="34" borderId="0" applyNumberFormat="0" applyBorder="0" applyAlignment="0" applyProtection="0"/>
    <xf numFmtId="7" fontId="4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/>
    <xf numFmtId="7" fontId="4" fillId="0" borderId="0" applyFont="0" applyFill="0" applyBorder="0" applyAlignment="0" applyProtection="0">
      <alignment vertical="top"/>
    </xf>
    <xf numFmtId="7" fontId="4" fillId="0" borderId="0" applyFont="0" applyFill="0" applyBorder="0" applyAlignment="0" applyProtection="0">
      <alignment vertical="top"/>
    </xf>
    <xf numFmtId="0" fontId="9" fillId="0" borderId="0"/>
    <xf numFmtId="7" fontId="4" fillId="0" borderId="0" applyFont="0" applyFill="0" applyBorder="0" applyAlignment="0" applyProtection="0">
      <alignment vertical="top"/>
    </xf>
    <xf numFmtId="7" fontId="4" fillId="0" borderId="0" applyFont="0" applyFill="0" applyBorder="0" applyAlignment="0" applyProtection="0">
      <alignment vertical="top"/>
    </xf>
    <xf numFmtId="0" fontId="4" fillId="0" borderId="0"/>
    <xf numFmtId="43" fontId="9" fillId="0" borderId="0" applyFont="0" applyFill="0" applyBorder="0" applyAlignment="0" applyProtection="0"/>
    <xf numFmtId="7" fontId="4" fillId="0" borderId="0" applyFont="0" applyFill="0" applyBorder="0" applyAlignment="0" applyProtection="0">
      <alignment vertical="top"/>
    </xf>
    <xf numFmtId="0" fontId="2" fillId="0" borderId="0"/>
    <xf numFmtId="7" fontId="4" fillId="0" borderId="0" applyFont="0" applyFill="0" applyBorder="0" applyAlignment="0" applyProtection="0">
      <alignment vertical="top"/>
    </xf>
    <xf numFmtId="7" fontId="4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0" fontId="2" fillId="0" borderId="0"/>
    <xf numFmtId="7" fontId="4" fillId="0" borderId="0" applyFont="0" applyFill="0" applyBorder="0" applyAlignment="0" applyProtection="0">
      <alignment vertical="top"/>
    </xf>
    <xf numFmtId="0" fontId="2" fillId="0" borderId="0"/>
    <xf numFmtId="0" fontId="4" fillId="0" borderId="0"/>
    <xf numFmtId="0" fontId="97" fillId="0" borderId="45" applyNumberFormat="0" applyFill="0" applyAlignment="0" applyProtection="0"/>
    <xf numFmtId="0" fontId="4" fillId="16" borderId="0" applyNumberFormat="0" applyBorder="0" applyAlignment="0" applyProtection="0"/>
    <xf numFmtId="0" fontId="95" fillId="17" borderId="0" applyNumberFormat="0" applyBorder="0" applyAlignment="0" applyProtection="0"/>
    <xf numFmtId="0" fontId="95" fillId="18" borderId="0" applyNumberFormat="0" applyBorder="0" applyAlignment="0" applyProtection="0"/>
    <xf numFmtId="0" fontId="4" fillId="19" borderId="0" applyNumberFormat="0" applyBorder="0" applyAlignment="0" applyProtection="0"/>
    <xf numFmtId="0" fontId="95" fillId="25" borderId="0" applyNumberFormat="0" applyBorder="0" applyAlignment="0" applyProtection="0"/>
    <xf numFmtId="0" fontId="95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" fillId="0" borderId="0"/>
    <xf numFmtId="0" fontId="7" fillId="0" borderId="0">
      <alignment vertical="top"/>
    </xf>
    <xf numFmtId="4" fontId="7" fillId="0" borderId="0" applyFill="0" applyBorder="0" applyProtection="0">
      <alignment horizontal="right" vertical="top"/>
    </xf>
    <xf numFmtId="0" fontId="7" fillId="0" borderId="0" applyFont="0" applyFill="0" applyBorder="0" applyAlignment="0" applyProtection="0">
      <alignment vertical="top"/>
    </xf>
    <xf numFmtId="5" fontId="7" fillId="0" borderId="0">
      <alignment vertical="top"/>
    </xf>
    <xf numFmtId="0" fontId="108" fillId="0" borderId="0">
      <alignment vertical="top"/>
    </xf>
    <xf numFmtId="9" fontId="7" fillId="0" borderId="0" applyFill="0" applyBorder="0" applyAlignment="0" applyProtection="0">
      <alignment vertical="top"/>
    </xf>
    <xf numFmtId="10" fontId="7" fillId="0" borderId="0" applyFont="0" applyFill="0" applyBorder="0" applyAlignment="0" applyProtection="0">
      <alignment vertical="top"/>
    </xf>
    <xf numFmtId="0" fontId="7" fillId="0" borderId="0" applyFont="0" applyFill="0" applyBorder="0" applyAlignment="0" applyProtection="0">
      <alignment vertical="top"/>
    </xf>
    <xf numFmtId="0" fontId="12" fillId="0" borderId="0"/>
    <xf numFmtId="9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109" fillId="0" borderId="0"/>
    <xf numFmtId="0" fontId="2" fillId="0" borderId="0"/>
    <xf numFmtId="9" fontId="109" fillId="0" borderId="0" applyFont="0" applyFill="0" applyBorder="0" applyAlignment="0" applyProtection="0"/>
    <xf numFmtId="0" fontId="2" fillId="0" borderId="0"/>
    <xf numFmtId="9" fontId="52" fillId="0" borderId="0" applyFont="0" applyFill="0" applyBorder="0" applyAlignment="0" applyProtection="0"/>
    <xf numFmtId="40" fontId="52" fillId="0" borderId="0" applyFont="0" applyFill="0" applyBorder="0" applyAlignment="0" applyProtection="0"/>
    <xf numFmtId="38" fontId="5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109" fillId="0" borderId="0"/>
    <xf numFmtId="167" fontId="109" fillId="0" borderId="0"/>
    <xf numFmtId="167" fontId="109" fillId="0" borderId="0"/>
    <xf numFmtId="167" fontId="10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 applyNumberFormat="0" applyFill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1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1" fillId="29" borderId="0" applyNumberFormat="0" applyBorder="0" applyAlignment="0" applyProtection="0"/>
    <xf numFmtId="0" fontId="95" fillId="14" borderId="0" applyNumberFormat="0" applyBorder="0" applyAlignment="0" applyProtection="0"/>
    <xf numFmtId="0" fontId="95" fillId="18" borderId="0" applyNumberFormat="0" applyBorder="0" applyAlignment="0" applyProtection="0"/>
    <xf numFmtId="0" fontId="95" fillId="26" borderId="0" applyNumberFormat="0" applyBorder="0" applyAlignment="0" applyProtection="0"/>
    <xf numFmtId="0" fontId="95" fillId="30" borderId="0" applyNumberFormat="0" applyBorder="0" applyAlignment="0" applyProtection="0"/>
    <xf numFmtId="0" fontId="95" fillId="34" borderId="0" applyNumberFormat="0" applyBorder="0" applyAlignment="0" applyProtection="0"/>
    <xf numFmtId="0" fontId="95" fillId="26" borderId="0" applyNumberFormat="0" applyBorder="0" applyAlignment="0" applyProtection="0"/>
    <xf numFmtId="4" fontId="4" fillId="0" borderId="0" applyFill="0" applyBorder="0" applyProtection="0">
      <alignment horizontal="right" vertical="top"/>
    </xf>
    <xf numFmtId="43" fontId="4" fillId="0" borderId="0" applyFont="0" applyFill="0" applyBorder="0" applyAlignment="0" applyProtection="0"/>
    <xf numFmtId="0" fontId="95" fillId="22" borderId="0" applyNumberFormat="0" applyBorder="0" applyAlignment="0" applyProtection="0"/>
    <xf numFmtId="0" fontId="4" fillId="0" borderId="0"/>
    <xf numFmtId="0" fontId="7" fillId="0" borderId="0" applyFont="0" applyFill="0" applyBorder="0" applyAlignment="0" applyProtection="0">
      <alignment vertical="top"/>
    </xf>
    <xf numFmtId="0" fontId="9" fillId="0" borderId="0"/>
    <xf numFmtId="0" fontId="9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3" borderId="37" applyNumberFormat="0" applyFont="0" applyAlignment="0" applyProtection="0"/>
    <xf numFmtId="9" fontId="2" fillId="0" borderId="0" applyFont="0" applyFill="0" applyBorder="0" applyAlignment="0" applyProtection="0"/>
    <xf numFmtId="7" fontId="4" fillId="0" borderId="0" applyFont="0" applyFill="0" applyBorder="0" applyAlignment="0" applyProtection="0">
      <alignment vertical="top"/>
    </xf>
    <xf numFmtId="0" fontId="2" fillId="0" borderId="0"/>
    <xf numFmtId="0" fontId="36" fillId="11" borderId="33" applyNumberFormat="0" applyAlignment="0" applyProtection="0"/>
    <xf numFmtId="0" fontId="104" fillId="11" borderId="33" applyNumberFormat="0" applyAlignment="0" applyProtection="0"/>
    <xf numFmtId="0" fontId="7" fillId="0" borderId="0">
      <alignment horizontal="right" vertical="top"/>
    </xf>
    <xf numFmtId="0" fontId="98" fillId="0" borderId="0" applyNumberFormat="0" applyFill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7" fontId="4" fillId="0" borderId="0" applyFont="0" applyFill="0" applyBorder="0" applyAlignment="0" applyProtection="0">
      <alignment vertical="top"/>
    </xf>
    <xf numFmtId="0" fontId="2" fillId="0" borderId="0"/>
    <xf numFmtId="0" fontId="2" fillId="0" borderId="0"/>
    <xf numFmtId="0" fontId="32" fillId="8" borderId="0" applyNumberFormat="0" applyBorder="0" applyAlignment="0" applyProtection="0"/>
    <xf numFmtId="0" fontId="2" fillId="36" borderId="0" applyNumberFormat="0" applyBorder="0" applyAlignment="0" applyProtection="0"/>
    <xf numFmtId="0" fontId="4" fillId="32" borderId="0" applyNumberFormat="0" applyBorder="0" applyAlignment="0" applyProtection="0"/>
    <xf numFmtId="7" fontId="4" fillId="0" borderId="0" applyFont="0" applyFill="0" applyBorder="0" applyAlignment="0" applyProtection="0">
      <alignment vertical="top"/>
    </xf>
    <xf numFmtId="0" fontId="61" fillId="0" borderId="43" applyNumberFormat="0" applyFill="0" applyAlignment="0" applyProtection="0"/>
    <xf numFmtId="0" fontId="99" fillId="7" borderId="0" applyNumberFormat="0" applyBorder="0" applyAlignment="0" applyProtection="0"/>
    <xf numFmtId="0" fontId="4" fillId="36" borderId="0" applyNumberFormat="0" applyBorder="0" applyAlignment="0" applyProtection="0"/>
    <xf numFmtId="0" fontId="2" fillId="0" borderId="0"/>
    <xf numFmtId="7" fontId="4" fillId="0" borderId="0" applyFont="0" applyFill="0" applyBorder="0" applyAlignment="0" applyProtection="0">
      <alignment vertical="top"/>
    </xf>
    <xf numFmtId="0" fontId="9" fillId="0" borderId="0"/>
    <xf numFmtId="44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7" fontId="4" fillId="0" borderId="0" applyFont="0" applyFill="0" applyBorder="0" applyAlignment="0" applyProtection="0">
      <alignment vertical="top"/>
    </xf>
    <xf numFmtId="0" fontId="2" fillId="15" borderId="0" applyNumberFormat="0" applyBorder="0" applyAlignment="0" applyProtection="0"/>
    <xf numFmtId="7" fontId="4" fillId="0" borderId="0" applyFont="0" applyFill="0" applyBorder="0" applyAlignment="0" applyProtection="0">
      <alignment vertical="top"/>
    </xf>
    <xf numFmtId="0" fontId="95" fillId="14" borderId="0" applyNumberFormat="0" applyBorder="0" applyAlignment="0" applyProtection="0"/>
    <xf numFmtId="7" fontId="4" fillId="0" borderId="0" applyFont="0" applyFill="0" applyBorder="0" applyAlignment="0" applyProtection="0">
      <alignment vertical="top"/>
    </xf>
    <xf numFmtId="0" fontId="2" fillId="0" borderId="0"/>
    <xf numFmtId="7" fontId="4" fillId="0" borderId="0" applyFont="0" applyFill="0" applyBorder="0" applyAlignment="0" applyProtection="0">
      <alignment vertical="top"/>
    </xf>
    <xf numFmtId="0" fontId="2" fillId="13" borderId="37" applyNumberFormat="0" applyFont="0" applyAlignment="0" applyProtection="0"/>
    <xf numFmtId="7" fontId="4" fillId="0" borderId="0" applyFont="0" applyFill="0" applyBorder="0" applyAlignment="0" applyProtection="0">
      <alignment vertical="top"/>
    </xf>
    <xf numFmtId="0" fontId="2" fillId="0" borderId="0"/>
    <xf numFmtId="7" fontId="4" fillId="0" borderId="0" applyFont="0" applyFill="0" applyBorder="0" applyAlignment="0" applyProtection="0">
      <alignment vertical="top"/>
    </xf>
    <xf numFmtId="7" fontId="4" fillId="0" borderId="0" applyFont="0" applyFill="0" applyBorder="0" applyAlignment="0" applyProtection="0">
      <alignment vertical="top"/>
    </xf>
    <xf numFmtId="0" fontId="95" fillId="34" borderId="0" applyNumberFormat="0" applyBorder="0" applyAlignment="0" applyProtection="0"/>
    <xf numFmtId="0" fontId="95" fillId="14" borderId="0" applyNumberFormat="0" applyBorder="0" applyAlignment="0" applyProtection="0"/>
    <xf numFmtId="0" fontId="4" fillId="0" borderId="0"/>
    <xf numFmtId="0" fontId="95" fillId="18" borderId="0" applyNumberFormat="0" applyBorder="0" applyAlignment="0" applyProtection="0"/>
    <xf numFmtId="7" fontId="4" fillId="0" borderId="0" applyFont="0" applyFill="0" applyBorder="0" applyAlignment="0" applyProtection="0">
      <alignment vertical="top"/>
    </xf>
    <xf numFmtId="0" fontId="2" fillId="0" borderId="0"/>
    <xf numFmtId="0" fontId="95" fillId="30" borderId="0" applyNumberFormat="0" applyBorder="0" applyAlignment="0" applyProtection="0"/>
    <xf numFmtId="7" fontId="4" fillId="0" borderId="0" applyFont="0" applyFill="0" applyBorder="0" applyAlignment="0" applyProtection="0">
      <alignment vertical="top"/>
    </xf>
    <xf numFmtId="0" fontId="2" fillId="0" borderId="0"/>
    <xf numFmtId="7" fontId="4" fillId="0" borderId="0" applyFont="0" applyFill="0" applyBorder="0" applyAlignment="0" applyProtection="0">
      <alignment vertical="top"/>
    </xf>
    <xf numFmtId="0" fontId="2" fillId="0" borderId="0"/>
    <xf numFmtId="7" fontId="4" fillId="0" borderId="0" applyFont="0" applyFill="0" applyBorder="0" applyAlignment="0" applyProtection="0">
      <alignment vertical="top"/>
    </xf>
    <xf numFmtId="0" fontId="2" fillId="0" borderId="0"/>
    <xf numFmtId="0" fontId="2" fillId="0" borderId="0"/>
    <xf numFmtId="0" fontId="2" fillId="0" borderId="0"/>
    <xf numFmtId="0" fontId="33" fillId="9" borderId="0" applyNumberFormat="0" applyBorder="0" applyAlignment="0" applyProtection="0"/>
    <xf numFmtId="0" fontId="34" fillId="10" borderId="33" applyNumberFormat="0" applyAlignment="0" applyProtection="0"/>
    <xf numFmtId="0" fontId="35" fillId="11" borderId="34" applyNumberFormat="0" applyAlignment="0" applyProtection="0"/>
    <xf numFmtId="0" fontId="37" fillId="0" borderId="35" applyNumberFormat="0" applyFill="0" applyAlignment="0" applyProtection="0"/>
    <xf numFmtId="0" fontId="38" fillId="12" borderId="36" applyNumberFormat="0" applyAlignment="0" applyProtection="0"/>
    <xf numFmtId="0" fontId="39" fillId="0" borderId="0" applyNumberFormat="0" applyFill="0" applyBorder="0" applyAlignment="0" applyProtection="0"/>
    <xf numFmtId="0" fontId="2" fillId="13" borderId="37" applyNumberFormat="0" applyFont="0" applyAlignment="0" applyProtection="0"/>
    <xf numFmtId="0" fontId="40" fillId="0" borderId="0" applyNumberFormat="0" applyFill="0" applyBorder="0" applyAlignment="0" applyProtection="0"/>
    <xf numFmtId="0" fontId="4" fillId="0" borderId="0"/>
    <xf numFmtId="0" fontId="2" fillId="31" borderId="0" applyNumberFormat="0" applyBorder="0" applyAlignment="0" applyProtection="0"/>
    <xf numFmtId="0" fontId="41" fillId="33" borderId="0" applyNumberFormat="0" applyBorder="0" applyAlignment="0" applyProtection="0"/>
    <xf numFmtId="0" fontId="2" fillId="0" borderId="0"/>
    <xf numFmtId="0" fontId="41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30" fillId="0" borderId="32" applyNumberFormat="0" applyFill="0" applyAlignment="0" applyProtection="0"/>
    <xf numFmtId="7" fontId="4" fillId="0" borderId="0" applyFont="0" applyFill="0" applyBorder="0" applyAlignment="0" applyProtection="0">
      <alignment vertical="top"/>
    </xf>
    <xf numFmtId="0" fontId="95" fillId="29" borderId="0" applyNumberFormat="0" applyBorder="0" applyAlignment="0" applyProtection="0"/>
    <xf numFmtId="0" fontId="100" fillId="8" borderId="0" applyNumberFormat="0" applyBorder="0" applyAlignment="0" applyProtection="0"/>
    <xf numFmtId="0" fontId="101" fillId="9" borderId="0" applyNumberFormat="0" applyBorder="0" applyAlignment="0" applyProtection="0"/>
    <xf numFmtId="0" fontId="102" fillId="10" borderId="33" applyNumberFormat="0" applyAlignment="0" applyProtection="0"/>
    <xf numFmtId="0" fontId="103" fillId="11" borderId="34" applyNumberFormat="0" applyAlignment="0" applyProtection="0"/>
    <xf numFmtId="0" fontId="105" fillId="0" borderId="35" applyNumberFormat="0" applyFill="0" applyAlignment="0" applyProtection="0"/>
    <xf numFmtId="0" fontId="106" fillId="12" borderId="36" applyNumberFormat="0" applyAlignment="0" applyProtection="0"/>
    <xf numFmtId="0" fontId="22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95" fillId="30" borderId="0" applyNumberFormat="0" applyBorder="0" applyAlignment="0" applyProtection="0"/>
    <xf numFmtId="0" fontId="4" fillId="31" borderId="0" applyNumberFormat="0" applyBorder="0" applyAlignment="0" applyProtection="0"/>
    <xf numFmtId="0" fontId="95" fillId="33" borderId="0" applyNumberFormat="0" applyBorder="0" applyAlignment="0" applyProtection="0"/>
    <xf numFmtId="0" fontId="41" fillId="30" borderId="0" applyNumberFormat="0" applyBorder="0" applyAlignment="0" applyProtection="0"/>
    <xf numFmtId="0" fontId="95" fillId="22" borderId="0" applyNumberFormat="0" applyBorder="0" applyAlignment="0" applyProtection="0"/>
    <xf numFmtId="0" fontId="23" fillId="0" borderId="62" applyNumberFormat="0" applyFill="0" applyAlignment="0" applyProtection="0"/>
    <xf numFmtId="0" fontId="4" fillId="20" borderId="0" applyNumberFormat="0" applyBorder="0" applyAlignment="0" applyProtection="0"/>
    <xf numFmtId="0" fontId="95" fillId="22" borderId="0" applyNumberFormat="0" applyBorder="0" applyAlignment="0" applyProtection="0"/>
    <xf numFmtId="0" fontId="4" fillId="23" borderId="0" applyNumberFormat="0" applyBorder="0" applyAlignment="0" applyProtection="0"/>
    <xf numFmtId="0" fontId="95" fillId="21" borderId="0" applyNumberFormat="0" applyBorder="0" applyAlignment="0" applyProtection="0"/>
    <xf numFmtId="0" fontId="96" fillId="0" borderId="43" applyNumberFormat="0" applyFill="0" applyAlignment="0" applyProtection="0"/>
    <xf numFmtId="7" fontId="4" fillId="0" borderId="0" applyFont="0" applyFill="0" applyBorder="0" applyAlignment="0" applyProtection="0">
      <alignment vertical="top"/>
    </xf>
    <xf numFmtId="0" fontId="2" fillId="0" borderId="0"/>
    <xf numFmtId="7" fontId="4" fillId="0" borderId="0" applyFont="0" applyFill="0" applyBorder="0" applyAlignment="0" applyProtection="0">
      <alignment vertical="top"/>
    </xf>
    <xf numFmtId="0" fontId="4" fillId="24" borderId="0" applyNumberFormat="0" applyBorder="0" applyAlignment="0" applyProtection="0"/>
    <xf numFmtId="7" fontId="4" fillId="0" borderId="0" applyFont="0" applyFill="0" applyBorder="0" applyAlignment="0" applyProtection="0">
      <alignment vertical="top"/>
    </xf>
    <xf numFmtId="7" fontId="4" fillId="0" borderId="0" applyFont="0" applyFill="0" applyBorder="0" applyAlignment="0" applyProtection="0">
      <alignment vertical="top"/>
    </xf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>
      <alignment vertical="top"/>
    </xf>
    <xf numFmtId="0" fontId="2" fillId="0" borderId="0"/>
    <xf numFmtId="43" fontId="2" fillId="0" borderId="0" applyFont="0" applyFill="0" applyBorder="0" applyAlignment="0" applyProtection="0"/>
    <xf numFmtId="0" fontId="2" fillId="0" borderId="0"/>
    <xf numFmtId="7" fontId="4" fillId="0" borderId="0" applyFont="0" applyFill="0" applyBorder="0" applyAlignment="0" applyProtection="0">
      <alignment vertical="top"/>
    </xf>
    <xf numFmtId="0" fontId="2" fillId="0" borderId="0"/>
    <xf numFmtId="3" fontId="108" fillId="0" borderId="1">
      <alignment vertical="top"/>
    </xf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13" borderId="37" applyNumberFormat="0" applyFont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2" fillId="0" borderId="0"/>
    <xf numFmtId="0" fontId="4" fillId="0" borderId="0">
      <alignment vertical="top"/>
    </xf>
    <xf numFmtId="4" fontId="4" fillId="0" borderId="0" applyFill="0" applyBorder="0" applyProtection="0">
      <alignment horizontal="right" vertical="top"/>
    </xf>
    <xf numFmtId="9" fontId="4" fillId="0" borderId="0" applyFill="0" applyBorder="0" applyAlignment="0" applyProtection="0">
      <alignment vertical="top"/>
    </xf>
    <xf numFmtId="0" fontId="2" fillId="0" borderId="0"/>
    <xf numFmtId="178" fontId="4" fillId="0" borderId="0" applyFont="0" applyFill="0" applyBorder="0" applyAlignment="0" applyProtection="0">
      <alignment vertical="top"/>
    </xf>
    <xf numFmtId="178" fontId="4" fillId="0" borderId="0">
      <alignment vertical="top"/>
    </xf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41" fillId="37" borderId="0" applyNumberFormat="0" applyBorder="0" applyAlignment="0" applyProtection="0"/>
    <xf numFmtId="0" fontId="2" fillId="0" borderId="0"/>
    <xf numFmtId="0" fontId="31" fillId="7" borderId="0" applyNumberFormat="0" applyBorder="0" applyAlignment="0" applyProtection="0"/>
    <xf numFmtId="7" fontId="4" fillId="0" borderId="0" applyFont="0" applyFill="0" applyBorder="0" applyAlignment="0" applyProtection="0">
      <alignment vertical="top"/>
    </xf>
    <xf numFmtId="0" fontId="64" fillId="0" borderId="45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41" fillId="25" borderId="0" applyNumberFormat="0" applyBorder="0" applyAlignment="0" applyProtection="0"/>
    <xf numFmtId="0" fontId="2" fillId="0" borderId="0"/>
    <xf numFmtId="0" fontId="4" fillId="15" borderId="0" applyNumberFormat="0" applyBorder="0" applyAlignment="0" applyProtection="0"/>
    <xf numFmtId="0" fontId="95" fillId="37" borderId="0" applyNumberFormat="0" applyBorder="0" applyAlignment="0" applyProtection="0"/>
    <xf numFmtId="43" fontId="4" fillId="0" borderId="0" applyFont="0" applyFill="0" applyBorder="0" applyAlignment="0" applyProtection="0"/>
    <xf numFmtId="2" fontId="7" fillId="0" borderId="0" applyFont="0" applyFill="0" applyBorder="0" applyAlignment="0" applyProtection="0">
      <alignment vertical="top"/>
    </xf>
    <xf numFmtId="0" fontId="7" fillId="0" borderId="0">
      <alignment vertical="top"/>
    </xf>
    <xf numFmtId="0" fontId="4" fillId="35" borderId="0" applyNumberFormat="0" applyBorder="0" applyAlignment="0" applyProtection="0"/>
    <xf numFmtId="0" fontId="98" fillId="0" borderId="32" applyNumberFormat="0" applyFill="0" applyAlignment="0" applyProtection="0"/>
    <xf numFmtId="7" fontId="4" fillId="0" borderId="0" applyFont="0" applyFill="0" applyBorder="0" applyAlignment="0" applyProtection="0">
      <alignment vertical="top"/>
    </xf>
    <xf numFmtId="7" fontId="4" fillId="0" borderId="0" applyFont="0" applyFill="0" applyBorder="0" applyAlignment="0" applyProtection="0">
      <alignment vertical="top"/>
    </xf>
    <xf numFmtId="0" fontId="2" fillId="0" borderId="0"/>
    <xf numFmtId="0" fontId="2" fillId="0" borderId="0"/>
    <xf numFmtId="7" fontId="4" fillId="0" borderId="0" applyFont="0" applyFill="0" applyBorder="0" applyAlignment="0" applyProtection="0">
      <alignment vertical="top"/>
    </xf>
    <xf numFmtId="4" fontId="4" fillId="0" borderId="0" applyFill="0" applyBorder="0" applyProtection="0">
      <alignment horizontal="right" vertical="top"/>
    </xf>
    <xf numFmtId="44" fontId="9" fillId="0" borderId="0" applyFont="0" applyFill="0" applyBorder="0" applyAlignment="0" applyProtection="0"/>
    <xf numFmtId="4" fontId="4" fillId="0" borderId="0" applyFill="0" applyBorder="0" applyProtection="0">
      <alignment horizontal="right" vertical="top"/>
    </xf>
    <xf numFmtId="7" fontId="4" fillId="0" borderId="0" applyFont="0" applyFill="0" applyBorder="0" applyAlignment="0" applyProtection="0">
      <alignment vertical="top"/>
    </xf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2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2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53" borderId="0" applyNumberFormat="0" applyBorder="0" applyAlignment="0" applyProtection="0"/>
    <xf numFmtId="0" fontId="1" fillId="16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41" borderId="0" applyNumberFormat="0" applyBorder="0" applyAlignment="0" applyProtection="0"/>
    <xf numFmtId="0" fontId="1" fillId="2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24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28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2" borderId="0" applyNumberFormat="0" applyBorder="0" applyAlignment="0" applyProtection="0"/>
    <xf numFmtId="0" fontId="1" fillId="3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52" borderId="0" applyNumberFormat="0" applyBorder="0" applyAlignment="0" applyProtection="0"/>
    <xf numFmtId="0" fontId="1" fillId="36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3" borderId="37" applyNumberFormat="0" applyFont="0" applyAlignment="0" applyProtection="0"/>
    <xf numFmtId="9" fontId="1" fillId="0" borderId="0" applyFont="0" applyFill="0" applyBorder="0" applyAlignment="0" applyProtection="0"/>
    <xf numFmtId="0" fontId="1" fillId="13" borderId="37" applyNumberFormat="0" applyFont="0" applyAlignment="0" applyProtection="0"/>
    <xf numFmtId="0" fontId="1" fillId="13" borderId="37" applyNumberFormat="0" applyFont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4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3" borderId="37" applyNumberFormat="0" applyFont="0" applyAlignment="0" applyProtection="0"/>
    <xf numFmtId="0" fontId="1" fillId="13" borderId="37" applyNumberFormat="0" applyFont="0" applyAlignment="0" applyProtection="0"/>
    <xf numFmtId="0" fontId="7" fillId="0" borderId="0"/>
    <xf numFmtId="0" fontId="7" fillId="0" borderId="0"/>
    <xf numFmtId="7" fontId="4" fillId="0" borderId="0" applyFont="0" applyFill="0" applyBorder="0" applyAlignment="0" applyProtection="0">
      <alignment vertical="top"/>
    </xf>
    <xf numFmtId="7" fontId="4" fillId="0" borderId="0" applyFont="0" applyFill="0" applyBorder="0" applyAlignment="0" applyProtection="0">
      <alignment vertical="top"/>
    </xf>
    <xf numFmtId="4" fontId="4" fillId="0" borderId="0" applyFill="0" applyBorder="0" applyProtection="0">
      <alignment horizontal="right" vertical="top"/>
    </xf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13" borderId="37" applyNumberFormat="0" applyFon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10" fontId="4" fillId="0" borderId="0" applyFont="0" applyFill="0" applyBorder="0" applyAlignment="0" applyProtection="0">
      <alignment vertical="top"/>
    </xf>
    <xf numFmtId="0" fontId="4" fillId="0" borderId="0" applyFont="0" applyFill="0" applyBorder="0" applyAlignment="0" applyProtection="0">
      <alignment vertical="top"/>
    </xf>
    <xf numFmtId="7" fontId="4" fillId="0" borderId="0" applyFont="0" applyFill="0" applyBorder="0" applyAlignment="0" applyProtection="0">
      <alignment vertical="top"/>
    </xf>
    <xf numFmtId="4" fontId="4" fillId="0" borderId="0" applyFont="0" applyFill="0" applyBorder="0" applyAlignment="0" applyProtection="0">
      <alignment vertical="top"/>
    </xf>
    <xf numFmtId="7" fontId="4" fillId="0" borderId="0" applyFont="0" applyFill="0" applyBorder="0" applyAlignment="0" applyProtection="0">
      <alignment vertical="top"/>
    </xf>
    <xf numFmtId="4" fontId="4" fillId="0" borderId="0" applyFill="0" applyBorder="0" applyProtection="0">
      <alignment horizontal="right" vertical="top"/>
    </xf>
    <xf numFmtId="4" fontId="4" fillId="0" borderId="0" applyFill="0" applyBorder="0" applyProtection="0">
      <alignment horizontal="right" vertical="top"/>
    </xf>
  </cellStyleXfs>
  <cellXfs count="550">
    <xf numFmtId="3" fontId="0" fillId="0" borderId="0" xfId="0" applyNumberFormat="1">
      <alignment vertical="top"/>
    </xf>
    <xf numFmtId="3" fontId="8" fillId="0" borderId="0" xfId="0" applyNumberFormat="1" applyFont="1">
      <alignment vertical="top"/>
    </xf>
    <xf numFmtId="3" fontId="9" fillId="0" borderId="0" xfId="0" applyNumberFormat="1" applyFont="1">
      <alignment vertical="top"/>
    </xf>
    <xf numFmtId="0" fontId="8" fillId="0" borderId="0" xfId="0" applyNumberFormat="1" applyFont="1">
      <alignment vertical="top"/>
    </xf>
    <xf numFmtId="3" fontId="8" fillId="0" borderId="0" xfId="0" quotePrefix="1" applyNumberFormat="1" applyFont="1" applyAlignment="1">
      <alignment horizontal="left" vertical="top"/>
    </xf>
    <xf numFmtId="37" fontId="9" fillId="0" borderId="0" xfId="0" applyNumberFormat="1" applyFont="1">
      <alignment vertical="top"/>
    </xf>
    <xf numFmtId="37" fontId="9" fillId="0" borderId="0" xfId="5" applyNumberFormat="1" applyFont="1">
      <alignment vertical="top"/>
    </xf>
    <xf numFmtId="3" fontId="8" fillId="0" borderId="0" xfId="0" applyNumberFormat="1" applyFont="1" applyAlignment="1">
      <alignment horizontal="center" vertical="top"/>
    </xf>
    <xf numFmtId="5" fontId="9" fillId="0" borderId="0" xfId="0" applyNumberFormat="1" applyFont="1">
      <alignment vertical="top"/>
    </xf>
    <xf numFmtId="3" fontId="8" fillId="0" borderId="3" xfId="0" applyNumberFormat="1" applyFont="1" applyBorder="1" applyAlignment="1">
      <alignment horizontal="center" vertical="top"/>
    </xf>
    <xf numFmtId="10" fontId="9" fillId="0" borderId="0" xfId="0" applyNumberFormat="1" applyFont="1">
      <alignment vertical="top"/>
    </xf>
    <xf numFmtId="37" fontId="10" fillId="0" borderId="0" xfId="5" applyNumberFormat="1" applyFont="1">
      <alignment vertical="top"/>
    </xf>
    <xf numFmtId="37" fontId="10" fillId="0" borderId="3" xfId="5" applyNumberFormat="1" applyFont="1" applyBorder="1">
      <alignment vertical="top"/>
    </xf>
    <xf numFmtId="3" fontId="8" fillId="0" borderId="4" xfId="0" applyNumberFormat="1" applyFont="1" applyBorder="1">
      <alignment vertical="top"/>
    </xf>
    <xf numFmtId="5" fontId="8" fillId="0" borderId="0" xfId="0" applyNumberFormat="1" applyFont="1">
      <alignment vertical="top"/>
    </xf>
    <xf numFmtId="37" fontId="9" fillId="0" borderId="3" xfId="5" applyNumberFormat="1" applyFont="1" applyBorder="1">
      <alignment vertical="top"/>
    </xf>
    <xf numFmtId="5" fontId="9" fillId="0" borderId="5" xfId="9" applyNumberFormat="1" applyFont="1" applyBorder="1">
      <alignment vertical="top"/>
    </xf>
    <xf numFmtId="5" fontId="9" fillId="0" borderId="0" xfId="9" applyNumberFormat="1" applyFont="1">
      <alignment vertical="top"/>
    </xf>
    <xf numFmtId="10" fontId="9" fillId="0" borderId="5" xfId="0" applyNumberFormat="1" applyFont="1" applyBorder="1">
      <alignment vertical="top"/>
    </xf>
    <xf numFmtId="37" fontId="9" fillId="0" borderId="0" xfId="0" applyNumberFormat="1" applyFont="1" applyBorder="1">
      <alignment vertical="top"/>
    </xf>
    <xf numFmtId="5" fontId="10" fillId="0" borderId="0" xfId="0" applyNumberFormat="1" applyFont="1">
      <alignment vertical="top"/>
    </xf>
    <xf numFmtId="3" fontId="9" fillId="0" borderId="0" xfId="0" applyNumberFormat="1" applyFont="1" applyProtection="1">
      <alignment vertical="top"/>
      <protection locked="0"/>
    </xf>
    <xf numFmtId="5" fontId="9" fillId="0" borderId="0" xfId="0" applyNumberFormat="1" applyFont="1" applyBorder="1">
      <alignment vertical="top"/>
    </xf>
    <xf numFmtId="3" fontId="9" fillId="0" borderId="0" xfId="0" applyNumberFormat="1" applyFont="1" applyBorder="1">
      <alignment vertical="top"/>
    </xf>
    <xf numFmtId="3" fontId="11" fillId="0" borderId="0" xfId="0" applyNumberFormat="1" applyFont="1">
      <alignment vertical="top"/>
    </xf>
    <xf numFmtId="10" fontId="11" fillId="0" borderId="0" xfId="0" applyNumberFormat="1" applyFont="1">
      <alignment vertical="top"/>
    </xf>
    <xf numFmtId="3" fontId="11" fillId="0" borderId="0" xfId="0" applyNumberFormat="1" applyFont="1" applyAlignment="1">
      <alignment horizontal="center" vertical="top"/>
    </xf>
    <xf numFmtId="3" fontId="11" fillId="0" borderId="3" xfId="0" applyNumberFormat="1" applyFont="1" applyBorder="1">
      <alignment vertical="top"/>
    </xf>
    <xf numFmtId="3" fontId="11" fillId="0" borderId="3" xfId="0" applyNumberFormat="1" applyFont="1" applyBorder="1" applyAlignment="1">
      <alignment horizontal="center" vertical="top"/>
    </xf>
    <xf numFmtId="3" fontId="12" fillId="0" borderId="0" xfId="0" applyNumberFormat="1" applyFont="1" applyAlignment="1">
      <alignment horizontal="center" vertical="top"/>
    </xf>
    <xf numFmtId="3" fontId="12" fillId="0" borderId="0" xfId="0" applyNumberFormat="1" applyFont="1">
      <alignment vertical="top"/>
    </xf>
    <xf numFmtId="10" fontId="12" fillId="0" borderId="0" xfId="0" applyNumberFormat="1" applyFont="1">
      <alignment vertical="top"/>
    </xf>
    <xf numFmtId="10" fontId="12" fillId="0" borderId="0" xfId="22" applyFont="1">
      <alignment vertical="top"/>
    </xf>
    <xf numFmtId="164" fontId="12" fillId="0" borderId="0" xfId="22" applyNumberFormat="1" applyFont="1">
      <alignment vertical="top"/>
    </xf>
    <xf numFmtId="10" fontId="12" fillId="0" borderId="3" xfId="22" applyFont="1" applyBorder="1">
      <alignment vertical="top"/>
    </xf>
    <xf numFmtId="10" fontId="12" fillId="0" borderId="0" xfId="22" applyFont="1" applyBorder="1">
      <alignment vertical="top"/>
    </xf>
    <xf numFmtId="10" fontId="12" fillId="0" borderId="5" xfId="22" applyFont="1" applyBorder="1">
      <alignment vertical="top"/>
    </xf>
    <xf numFmtId="10" fontId="12" fillId="0" borderId="0" xfId="0" applyNumberFormat="1" applyFont="1" applyBorder="1">
      <alignment vertical="top"/>
    </xf>
    <xf numFmtId="3" fontId="12" fillId="0" borderId="0" xfId="0" applyNumberFormat="1" applyFont="1" applyBorder="1">
      <alignment vertical="top"/>
    </xf>
    <xf numFmtId="0" fontId="12" fillId="0" borderId="0" xfId="0" applyNumberFormat="1" applyFont="1">
      <alignment vertical="top"/>
    </xf>
    <xf numFmtId="10" fontId="12" fillId="0" borderId="3" xfId="0" applyNumberFormat="1" applyFont="1" applyBorder="1">
      <alignment vertical="top"/>
    </xf>
    <xf numFmtId="5" fontId="12" fillId="0" borderId="0" xfId="0" applyNumberFormat="1" applyFont="1">
      <alignment vertical="top"/>
    </xf>
    <xf numFmtId="164" fontId="12" fillId="0" borderId="3" xfId="22" applyNumberFormat="1" applyFont="1" applyBorder="1">
      <alignment vertical="top"/>
    </xf>
    <xf numFmtId="10" fontId="12" fillId="0" borderId="5" xfId="0" applyNumberFormat="1" applyFont="1" applyBorder="1">
      <alignment vertical="top"/>
    </xf>
    <xf numFmtId="0" fontId="11" fillId="0" borderId="0" xfId="0" applyFont="1">
      <alignment vertical="top"/>
    </xf>
    <xf numFmtId="0" fontId="11" fillId="0" borderId="0" xfId="0" applyFont="1" applyBorder="1" applyAlignment="1">
      <alignment horizontal="center" vertical="top"/>
    </xf>
    <xf numFmtId="0" fontId="12" fillId="0" borderId="0" xfId="0" applyFont="1">
      <alignment vertical="top"/>
    </xf>
    <xf numFmtId="3" fontId="12" fillId="0" borderId="0" xfId="5" applyFont="1" applyBorder="1" applyAlignment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3" xfId="0" applyFont="1" applyBorder="1" applyAlignment="1">
      <alignment horizontal="center" vertical="top"/>
    </xf>
    <xf numFmtId="0" fontId="11" fillId="0" borderId="0" xfId="0" applyFont="1" applyAlignment="1">
      <alignment horizontal="left" vertical="top"/>
    </xf>
    <xf numFmtId="3" fontId="11" fillId="0" borderId="0" xfId="5" applyFont="1">
      <alignment vertical="top"/>
    </xf>
    <xf numFmtId="3" fontId="12" fillId="0" borderId="0" xfId="5" applyFont="1">
      <alignment vertical="top"/>
    </xf>
    <xf numFmtId="3" fontId="11" fillId="0" borderId="3" xfId="5" applyFont="1" applyBorder="1" applyAlignment="1">
      <alignment horizontal="center" vertical="top"/>
    </xf>
    <xf numFmtId="3" fontId="11" fillId="0" borderId="0" xfId="5" quotePrefix="1" applyFont="1" applyAlignment="1">
      <alignment horizontal="left" vertical="top"/>
    </xf>
    <xf numFmtId="0" fontId="11" fillId="0" borderId="3" xfId="0" quotePrefix="1" applyFont="1" applyBorder="1" applyAlignment="1">
      <alignment horizontal="left" vertical="top"/>
    </xf>
    <xf numFmtId="0" fontId="11" fillId="0" borderId="3" xfId="0" applyFont="1" applyBorder="1">
      <alignment vertical="top"/>
    </xf>
    <xf numFmtId="0" fontId="12" fillId="0" borderId="0" xfId="0" applyNumberFormat="1" applyFont="1" applyFill="1" applyBorder="1" applyAlignment="1" applyProtection="1">
      <alignment horizontal="center" vertical="top"/>
    </xf>
    <xf numFmtId="0" fontId="11" fillId="0" borderId="0" xfId="0" applyFont="1" applyAlignment="1">
      <alignment horizontal="center" vertical="top"/>
    </xf>
    <xf numFmtId="0" fontId="12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Alignment="1">
      <alignment horizontal="center" vertical="top"/>
    </xf>
    <xf numFmtId="0" fontId="11" fillId="0" borderId="0" xfId="0" applyNumberFormat="1" applyFont="1">
      <alignment vertical="top"/>
    </xf>
    <xf numFmtId="164" fontId="12" fillId="0" borderId="0" xfId="22" applyNumberFormat="1" applyFont="1" applyAlignment="1">
      <alignment horizontal="right" vertical="top"/>
    </xf>
    <xf numFmtId="0" fontId="11" fillId="0" borderId="0" xfId="0" applyFont="1" applyBorder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quotePrefix="1" applyFont="1" applyBorder="1" applyAlignment="1">
      <alignment horizontal="left" vertical="top"/>
    </xf>
    <xf numFmtId="3" fontId="11" fillId="0" borderId="0" xfId="5" applyFont="1" applyBorder="1">
      <alignment vertical="top"/>
    </xf>
    <xf numFmtId="3" fontId="12" fillId="0" borderId="0" xfId="0" applyNumberFormat="1" applyFont="1" applyBorder="1" applyAlignment="1">
      <alignment horizontal="center" vertical="top"/>
    </xf>
    <xf numFmtId="3" fontId="11" fillId="0" borderId="0" xfId="5" quotePrefix="1" applyFont="1" applyBorder="1" applyAlignment="1">
      <alignment horizontal="left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10" fontId="12" fillId="0" borderId="0" xfId="22" applyFont="1" applyAlignment="1">
      <alignment horizontal="center" vertical="top"/>
    </xf>
    <xf numFmtId="3" fontId="11" fillId="0" borderId="0" xfId="0" quotePrefix="1" applyNumberFormat="1" applyFont="1" applyAlignment="1">
      <alignment horizontal="left" vertical="top"/>
    </xf>
    <xf numFmtId="3" fontId="11" fillId="0" borderId="0" xfId="2" applyNumberFormat="1" applyFont="1">
      <alignment vertical="top"/>
    </xf>
    <xf numFmtId="3" fontId="11" fillId="0" borderId="0" xfId="0" applyNumberFormat="1" applyFont="1" applyBorder="1">
      <alignment vertical="top"/>
    </xf>
    <xf numFmtId="3" fontId="11" fillId="0" borderId="0" xfId="0" applyNumberFormat="1" applyFont="1" applyBorder="1" applyAlignment="1">
      <alignment horizontal="center" vertical="top"/>
    </xf>
    <xf numFmtId="3" fontId="11" fillId="0" borderId="4" xfId="0" applyNumberFormat="1" applyFont="1" applyBorder="1" applyAlignment="1">
      <alignment horizontal="center" vertical="top"/>
    </xf>
    <xf numFmtId="3" fontId="12" fillId="0" borderId="0" xfId="0" applyNumberFormat="1" applyFont="1" applyProtection="1">
      <alignment vertical="top"/>
      <protection locked="0"/>
    </xf>
    <xf numFmtId="5" fontId="12" fillId="0" borderId="0" xfId="0" applyNumberFormat="1" applyFont="1" applyFill="1">
      <alignment vertical="top"/>
    </xf>
    <xf numFmtId="5" fontId="12" fillId="0" borderId="0" xfId="0" applyNumberFormat="1" applyFont="1" applyBorder="1">
      <alignment vertical="top"/>
    </xf>
    <xf numFmtId="37" fontId="12" fillId="0" borderId="0" xfId="2" applyNumberFormat="1" applyFont="1">
      <alignment vertical="top"/>
    </xf>
    <xf numFmtId="37" fontId="12" fillId="0" borderId="0" xfId="5" applyNumberFormat="1" applyFont="1">
      <alignment vertical="top"/>
    </xf>
    <xf numFmtId="37" fontId="12" fillId="0" borderId="3" xfId="5" applyNumberFormat="1" applyFont="1" applyBorder="1">
      <alignment vertical="top"/>
    </xf>
    <xf numFmtId="5" fontId="11" fillId="0" borderId="0" xfId="0" applyNumberFormat="1" applyFont="1">
      <alignment vertical="top"/>
    </xf>
    <xf numFmtId="3" fontId="14" fillId="0" borderId="0" xfId="0" applyNumberFormat="1" applyFont="1">
      <alignment vertical="top"/>
    </xf>
    <xf numFmtId="3" fontId="14" fillId="0" borderId="0" xfId="0" applyNumberFormat="1" applyFont="1" applyAlignment="1">
      <alignment horizontal="center" vertical="top"/>
    </xf>
    <xf numFmtId="5" fontId="12" fillId="0" borderId="5" xfId="9" applyFont="1" applyBorder="1">
      <alignment vertical="top"/>
    </xf>
    <xf numFmtId="5" fontId="12" fillId="0" borderId="0" xfId="9" applyFont="1" applyBorder="1">
      <alignment vertical="top"/>
    </xf>
    <xf numFmtId="3" fontId="12" fillId="0" borderId="3" xfId="0" applyNumberFormat="1" applyFont="1" applyBorder="1">
      <alignment vertical="top"/>
    </xf>
    <xf numFmtId="3" fontId="12" fillId="0" borderId="0" xfId="0" quotePrefix="1" applyNumberFormat="1" applyFont="1" applyAlignment="1">
      <alignment horizontal="left" vertical="top"/>
    </xf>
    <xf numFmtId="41" fontId="12" fillId="0" borderId="0" xfId="5" applyNumberFormat="1" applyFont="1" applyBorder="1">
      <alignment vertical="top"/>
    </xf>
    <xf numFmtId="3" fontId="11" fillId="0" borderId="0" xfId="0" applyNumberFormat="1" applyFont="1" applyAlignment="1">
      <alignment horizontal="left" vertical="top"/>
    </xf>
    <xf numFmtId="37" fontId="12" fillId="0" borderId="0" xfId="0" applyNumberFormat="1" applyFont="1">
      <alignment vertical="top"/>
    </xf>
    <xf numFmtId="37" fontId="12" fillId="0" borderId="3" xfId="0" applyNumberFormat="1" applyFont="1" applyBorder="1">
      <alignment vertical="top"/>
    </xf>
    <xf numFmtId="37" fontId="12" fillId="0" borderId="5" xfId="0" applyNumberFormat="1" applyFont="1" applyBorder="1">
      <alignment vertical="top"/>
    </xf>
    <xf numFmtId="37" fontId="11" fillId="0" borderId="0" xfId="0" applyNumberFormat="1" applyFont="1">
      <alignment vertical="top"/>
    </xf>
    <xf numFmtId="3" fontId="11" fillId="0" borderId="7" xfId="0" applyNumberFormat="1" applyFont="1" applyBorder="1">
      <alignment vertical="top"/>
    </xf>
    <xf numFmtId="3" fontId="12" fillId="0" borderId="8" xfId="0" applyNumberFormat="1" applyFont="1" applyBorder="1">
      <alignment vertical="top"/>
    </xf>
    <xf numFmtId="3" fontId="12" fillId="0" borderId="9" xfId="0" applyNumberFormat="1" applyFont="1" applyBorder="1">
      <alignment vertical="top"/>
    </xf>
    <xf numFmtId="37" fontId="12" fillId="0" borderId="0" xfId="0" applyNumberFormat="1" applyFont="1" applyBorder="1">
      <alignment vertical="top"/>
    </xf>
    <xf numFmtId="37" fontId="12" fillId="0" borderId="0" xfId="2" applyNumberFormat="1" applyFont="1" applyAlignment="1"/>
    <xf numFmtId="3" fontId="11" fillId="0" borderId="4" xfId="0" applyNumberFormat="1" applyFont="1" applyBorder="1">
      <alignment vertical="top"/>
    </xf>
    <xf numFmtId="37" fontId="12" fillId="0" borderId="0" xfId="0" applyNumberFormat="1" applyFont="1" applyFill="1">
      <alignment vertical="top"/>
    </xf>
    <xf numFmtId="37" fontId="12" fillId="0" borderId="3" xfId="0" applyNumberFormat="1" applyFont="1" applyFill="1" applyBorder="1">
      <alignment vertical="top"/>
    </xf>
    <xf numFmtId="3" fontId="11" fillId="0" borderId="3" xfId="3" applyNumberFormat="1" applyFont="1" applyBorder="1" applyAlignment="1">
      <alignment horizontal="center" vertical="top"/>
    </xf>
    <xf numFmtId="3" fontId="11" fillId="0" borderId="0" xfId="3" applyNumberFormat="1" applyFont="1" applyAlignment="1">
      <alignment vertical="top"/>
    </xf>
    <xf numFmtId="43" fontId="12" fillId="0" borderId="0" xfId="0" applyNumberFormat="1" applyFont="1">
      <alignment vertical="top"/>
    </xf>
    <xf numFmtId="3" fontId="11" fillId="0" borderId="0" xfId="0" applyNumberFormat="1" applyFont="1" applyAlignment="1">
      <alignment horizontal="left" vertical="top" indent="1"/>
    </xf>
    <xf numFmtId="3" fontId="11" fillId="0" borderId="0" xfId="2" applyNumberFormat="1" applyFont="1" applyAlignment="1">
      <alignment horizontal="left" vertical="top" indent="2"/>
    </xf>
    <xf numFmtId="3" fontId="11" fillId="0" borderId="0" xfId="0" applyNumberFormat="1" applyFont="1" applyBorder="1" applyAlignment="1">
      <alignment horizontal="left" vertical="top" indent="1"/>
    </xf>
    <xf numFmtId="5" fontId="12" fillId="0" borderId="0" xfId="9" applyNumberFormat="1" applyFont="1">
      <alignment vertical="top"/>
    </xf>
    <xf numFmtId="41" fontId="12" fillId="0" borderId="0" xfId="5" applyNumberFormat="1" applyFont="1" applyAlignment="1">
      <alignment horizontal="right" vertical="top"/>
    </xf>
    <xf numFmtId="5" fontId="12" fillId="0" borderId="0" xfId="9" applyFont="1" applyAlignment="1">
      <alignment horizontal="right" vertical="top"/>
    </xf>
    <xf numFmtId="41" fontId="12" fillId="0" borderId="3" xfId="5" applyNumberFormat="1" applyFont="1" applyBorder="1" applyAlignment="1">
      <alignment horizontal="right" vertical="top"/>
    </xf>
    <xf numFmtId="5" fontId="12" fillId="0" borderId="3" xfId="0" applyNumberFormat="1" applyFont="1" applyBorder="1">
      <alignment vertical="top"/>
    </xf>
    <xf numFmtId="5" fontId="12" fillId="0" borderId="5" xfId="0" applyNumberFormat="1" applyFont="1" applyBorder="1">
      <alignment vertical="top"/>
    </xf>
    <xf numFmtId="3" fontId="11" fillId="0" borderId="0" xfId="0" applyNumberFormat="1" applyFont="1" applyFill="1">
      <alignment vertical="top"/>
    </xf>
    <xf numFmtId="3" fontId="12" fillId="0" borderId="0" xfId="0" applyNumberFormat="1" applyFont="1" applyFill="1">
      <alignment vertical="top"/>
    </xf>
    <xf numFmtId="3" fontId="11" fillId="0" borderId="0" xfId="0" applyNumberFormat="1" applyFont="1" applyFill="1" applyAlignment="1">
      <alignment horizontal="center" vertical="top"/>
    </xf>
    <xf numFmtId="3" fontId="11" fillId="0" borderId="3" xfId="0" applyNumberFormat="1" applyFont="1" applyFill="1" applyBorder="1" applyAlignment="1">
      <alignment horizontal="center" vertical="top"/>
    </xf>
    <xf numFmtId="164" fontId="12" fillId="0" borderId="0" xfId="22" applyNumberFormat="1" applyFont="1" applyFill="1">
      <alignment vertical="top"/>
    </xf>
    <xf numFmtId="10" fontId="12" fillId="0" borderId="3" xfId="22" applyFont="1" applyFill="1" applyBorder="1">
      <alignment vertical="top"/>
    </xf>
    <xf numFmtId="5" fontId="12" fillId="0" borderId="5" xfId="7" applyNumberFormat="1" applyFont="1" applyBorder="1">
      <alignment vertical="top"/>
    </xf>
    <xf numFmtId="166" fontId="12" fillId="0" borderId="0" xfId="22" applyNumberFormat="1" applyFont="1" applyBorder="1">
      <alignment vertical="top"/>
    </xf>
    <xf numFmtId="3" fontId="12" fillId="0" borderId="8" xfId="0" applyNumberFormat="1" applyFont="1" applyBorder="1" applyAlignment="1">
      <alignment horizontal="center" vertical="top"/>
    </xf>
    <xf numFmtId="3" fontId="11" fillId="0" borderId="10" xfId="0" applyNumberFormat="1" applyFont="1" applyBorder="1">
      <alignment vertical="top"/>
    </xf>
    <xf numFmtId="3" fontId="11" fillId="0" borderId="10" xfId="0" quotePrefix="1" applyNumberFormat="1" applyFont="1" applyBorder="1" applyAlignment="1">
      <alignment horizontal="left" vertical="top"/>
    </xf>
    <xf numFmtId="3" fontId="11" fillId="0" borderId="10" xfId="0" quotePrefix="1" applyNumberFormat="1" applyFont="1" applyBorder="1">
      <alignment vertical="top"/>
    </xf>
    <xf numFmtId="3" fontId="11" fillId="0" borderId="12" xfId="0" applyNumberFormat="1" applyFont="1" applyBorder="1">
      <alignment vertical="top"/>
    </xf>
    <xf numFmtId="3" fontId="12" fillId="0" borderId="13" xfId="0" applyNumberFormat="1" applyFont="1" applyBorder="1">
      <alignment vertical="top"/>
    </xf>
    <xf numFmtId="10" fontId="12" fillId="0" borderId="0" xfId="22" applyNumberFormat="1" applyFont="1" applyBorder="1">
      <alignment vertical="top"/>
    </xf>
    <xf numFmtId="3" fontId="17" fillId="0" borderId="0" xfId="0" applyNumberFormat="1" applyFont="1">
      <alignment vertical="top"/>
    </xf>
    <xf numFmtId="3" fontId="12" fillId="0" borderId="10" xfId="0" applyNumberFormat="1" applyFont="1" applyBorder="1">
      <alignment vertical="top"/>
    </xf>
    <xf numFmtId="10" fontId="12" fillId="0" borderId="0" xfId="22" applyNumberFormat="1" applyFont="1">
      <alignment vertical="top"/>
    </xf>
    <xf numFmtId="5" fontId="12" fillId="0" borderId="5" xfId="0" applyNumberFormat="1" applyFont="1" applyFill="1" applyBorder="1">
      <alignment vertical="top"/>
    </xf>
    <xf numFmtId="3" fontId="11" fillId="0" borderId="0" xfId="5" applyFont="1" applyFill="1" applyBorder="1">
      <alignment vertical="top"/>
    </xf>
    <xf numFmtId="3" fontId="12" fillId="0" borderId="0" xfId="19" applyNumberFormat="1" applyFont="1" applyFill="1" applyBorder="1">
      <alignment vertical="top"/>
    </xf>
    <xf numFmtId="3" fontId="12" fillId="0" borderId="0" xfId="0" quotePrefix="1" applyNumberFormat="1" applyFont="1">
      <alignment vertical="top"/>
    </xf>
    <xf numFmtId="3" fontId="11" fillId="0" borderId="0" xfId="2" applyNumberFormat="1" applyFont="1" applyBorder="1" applyAlignment="1">
      <alignment horizontal="left" vertical="top" indent="2"/>
    </xf>
    <xf numFmtId="5" fontId="14" fillId="0" borderId="0" xfId="0" applyNumberFormat="1" applyFont="1">
      <alignment vertical="top"/>
    </xf>
    <xf numFmtId="3" fontId="14" fillId="0" borderId="3" xfId="0" applyNumberFormat="1" applyFont="1" applyBorder="1" applyAlignment="1">
      <alignment horizontal="center" vertical="top"/>
    </xf>
    <xf numFmtId="3" fontId="14" fillId="0" borderId="0" xfId="0" quotePrefix="1" applyNumberFormat="1" applyFont="1" applyAlignment="1">
      <alignment horizontal="center" vertical="top"/>
    </xf>
    <xf numFmtId="37" fontId="12" fillId="0" borderId="5" xfId="0" applyNumberFormat="1" applyFont="1" applyFill="1" applyBorder="1">
      <alignment vertical="top"/>
    </xf>
    <xf numFmtId="3" fontId="14" fillId="0" borderId="0" xfId="0" quotePrefix="1" applyNumberFormat="1" applyFont="1" applyAlignment="1">
      <alignment horizontal="left" vertical="top"/>
    </xf>
    <xf numFmtId="0" fontId="14" fillId="0" borderId="0" xfId="0" applyNumberFormat="1" applyFont="1">
      <alignment vertical="top"/>
    </xf>
    <xf numFmtId="3" fontId="12" fillId="0" borderId="14" xfId="0" applyNumberFormat="1" applyFont="1" applyBorder="1">
      <alignment vertical="top"/>
    </xf>
    <xf numFmtId="3" fontId="12" fillId="0" borderId="20" xfId="0" applyNumberFormat="1" applyFont="1" applyBorder="1">
      <alignment vertical="top"/>
    </xf>
    <xf numFmtId="5" fontId="11" fillId="0" borderId="20" xfId="0" applyNumberFormat="1" applyFont="1" applyBorder="1" applyAlignment="1">
      <alignment horizontal="center" vertical="top"/>
    </xf>
    <xf numFmtId="3" fontId="12" fillId="0" borderId="15" xfId="0" applyNumberFormat="1" applyFont="1" applyBorder="1">
      <alignment vertical="top"/>
    </xf>
    <xf numFmtId="3" fontId="11" fillId="0" borderId="21" xfId="0" applyNumberFormat="1" applyFont="1" applyBorder="1">
      <alignment vertical="top"/>
    </xf>
    <xf numFmtId="3" fontId="11" fillId="0" borderId="17" xfId="0" applyNumberFormat="1" applyFont="1" applyBorder="1">
      <alignment vertical="top"/>
    </xf>
    <xf numFmtId="5" fontId="11" fillId="0" borderId="17" xfId="0" applyNumberFormat="1" applyFont="1" applyBorder="1" applyAlignment="1">
      <alignment horizontal="center" vertical="top"/>
    </xf>
    <xf numFmtId="3" fontId="12" fillId="0" borderId="17" xfId="0" applyNumberFormat="1" applyFont="1" applyBorder="1">
      <alignment vertical="top"/>
    </xf>
    <xf numFmtId="3" fontId="12" fillId="0" borderId="22" xfId="0" applyNumberFormat="1" applyFont="1" applyBorder="1">
      <alignment vertical="top"/>
    </xf>
    <xf numFmtId="3" fontId="12" fillId="0" borderId="23" xfId="0" applyNumberFormat="1" applyFont="1" applyBorder="1">
      <alignment vertical="top"/>
    </xf>
    <xf numFmtId="3" fontId="12" fillId="0" borderId="24" xfId="0" applyNumberFormat="1" applyFont="1" applyBorder="1">
      <alignment vertical="top"/>
    </xf>
    <xf numFmtId="3" fontId="12" fillId="0" borderId="23" xfId="0" applyNumberFormat="1" applyFont="1" applyBorder="1" applyAlignment="1">
      <alignment horizontal="center" vertical="top"/>
    </xf>
    <xf numFmtId="5" fontId="13" fillId="0" borderId="0" xfId="0" applyNumberFormat="1" applyFont="1" applyBorder="1">
      <alignment vertical="top"/>
    </xf>
    <xf numFmtId="3" fontId="12" fillId="0" borderId="21" xfId="0" applyNumberFormat="1" applyFont="1" applyBorder="1">
      <alignment vertical="top"/>
    </xf>
    <xf numFmtId="5" fontId="12" fillId="0" borderId="17" xfId="0" applyNumberFormat="1" applyFont="1" applyBorder="1">
      <alignment vertical="top"/>
    </xf>
    <xf numFmtId="5" fontId="12" fillId="0" borderId="20" xfId="0" applyNumberFormat="1" applyFont="1" applyBorder="1">
      <alignment vertical="top"/>
    </xf>
    <xf numFmtId="3" fontId="11" fillId="0" borderId="23" xfId="0" applyNumberFormat="1" applyFont="1" applyBorder="1">
      <alignment vertical="top"/>
    </xf>
    <xf numFmtId="5" fontId="11" fillId="0" borderId="0" xfId="0" applyNumberFormat="1" applyFont="1" applyBorder="1">
      <alignment vertical="top"/>
    </xf>
    <xf numFmtId="3" fontId="12" fillId="0" borderId="0" xfId="0" applyNumberFormat="1" applyFont="1" applyFill="1" applyBorder="1">
      <alignment vertical="top"/>
    </xf>
    <xf numFmtId="3" fontId="12" fillId="0" borderId="24" xfId="0" applyNumberFormat="1" applyFont="1" applyBorder="1" applyAlignment="1">
      <alignment horizontal="center" vertical="top"/>
    </xf>
    <xf numFmtId="3" fontId="17" fillId="0" borderId="3" xfId="0" applyNumberFormat="1" applyFont="1" applyBorder="1">
      <alignment vertical="top"/>
    </xf>
    <xf numFmtId="3" fontId="11" fillId="0" borderId="6" xfId="0" applyNumberFormat="1" applyFont="1" applyBorder="1" applyAlignment="1">
      <alignment horizontal="centerContinuous" vertical="top"/>
    </xf>
    <xf numFmtId="3" fontId="11" fillId="0" borderId="0" xfId="2" applyNumberFormat="1" applyFont="1" applyBorder="1" applyAlignment="1">
      <alignment horizontal="center" vertical="top"/>
    </xf>
    <xf numFmtId="3" fontId="11" fillId="0" borderId="0" xfId="2" applyNumberFormat="1" applyFont="1" applyBorder="1">
      <alignment vertical="top"/>
    </xf>
    <xf numFmtId="0" fontId="20" fillId="0" borderId="0" xfId="0" applyFont="1" applyAlignment="1">
      <alignment horizontal="left" indent="1"/>
    </xf>
    <xf numFmtId="5" fontId="12" fillId="0" borderId="0" xfId="7" applyNumberFormat="1" applyFont="1" applyBorder="1">
      <alignment vertical="top"/>
    </xf>
    <xf numFmtId="166" fontId="11" fillId="0" borderId="0" xfId="22" applyNumberFormat="1" applyFont="1" applyBorder="1" applyAlignment="1">
      <alignment horizontal="center" vertical="top"/>
    </xf>
    <xf numFmtId="166" fontId="12" fillId="0" borderId="0" xfId="0" applyNumberFormat="1" applyFont="1">
      <alignment vertical="top"/>
    </xf>
    <xf numFmtId="37" fontId="12" fillId="0" borderId="0" xfId="9" applyNumberFormat="1" applyFont="1" applyBorder="1">
      <alignment vertical="top"/>
    </xf>
    <xf numFmtId="37" fontId="12" fillId="0" borderId="3" xfId="9" applyNumberFormat="1" applyFont="1" applyBorder="1">
      <alignment vertical="top"/>
    </xf>
    <xf numFmtId="3" fontId="17" fillId="0" borderId="0" xfId="0" applyNumberFormat="1" applyFont="1" applyAlignment="1">
      <alignment horizontal="left" vertical="top"/>
    </xf>
    <xf numFmtId="3" fontId="16" fillId="0" borderId="0" xfId="0" quotePrefix="1" applyNumberFormat="1" applyFont="1" applyAlignment="1">
      <alignment horizontal="center" vertical="top"/>
    </xf>
    <xf numFmtId="37" fontId="12" fillId="0" borderId="5" xfId="9" applyNumberFormat="1" applyFont="1" applyBorder="1" applyAlignment="1">
      <alignment horizontal="right" vertical="top"/>
    </xf>
    <xf numFmtId="10" fontId="11" fillId="0" borderId="0" xfId="23" applyFont="1" applyAlignment="1">
      <alignment horizontal="center" vertical="top"/>
    </xf>
    <xf numFmtId="37" fontId="11" fillId="0" borderId="0" xfId="0" applyNumberFormat="1" applyFont="1" applyAlignment="1">
      <alignment horizontal="center" vertical="top"/>
    </xf>
    <xf numFmtId="0" fontId="11" fillId="0" borderId="0" xfId="0" quotePrefix="1" applyFont="1" applyAlignment="1">
      <alignment horizontal="left" vertical="top" indent="2"/>
    </xf>
    <xf numFmtId="5" fontId="12" fillId="0" borderId="0" xfId="9" applyNumberFormat="1" applyFont="1" applyFill="1">
      <alignment vertical="top"/>
    </xf>
    <xf numFmtId="37" fontId="12" fillId="0" borderId="3" xfId="5" applyNumberFormat="1" applyFont="1" applyFill="1" applyBorder="1">
      <alignment vertical="top"/>
    </xf>
    <xf numFmtId="37" fontId="12" fillId="0" borderId="0" xfId="5" applyNumberFormat="1" applyFont="1" applyFill="1">
      <alignment vertical="top"/>
    </xf>
    <xf numFmtId="3" fontId="12" fillId="0" borderId="0" xfId="5" applyFont="1" applyFill="1">
      <alignment vertical="top"/>
    </xf>
    <xf numFmtId="3" fontId="11" fillId="0" borderId="0" xfId="5" applyFont="1" applyFill="1">
      <alignment vertical="top"/>
    </xf>
    <xf numFmtId="10" fontId="11" fillId="0" borderId="5" xfId="0" applyNumberFormat="1" applyFont="1" applyBorder="1">
      <alignment vertical="top"/>
    </xf>
    <xf numFmtId="5" fontId="12" fillId="0" borderId="0" xfId="0" applyNumberFormat="1" applyFont="1" applyBorder="1" applyAlignment="1">
      <alignment horizontal="center" vertical="top"/>
    </xf>
    <xf numFmtId="5" fontId="12" fillId="0" borderId="3" xfId="0" applyNumberFormat="1" applyFont="1" applyBorder="1" applyAlignment="1">
      <alignment horizontal="center" vertical="top"/>
    </xf>
    <xf numFmtId="5" fontId="12" fillId="0" borderId="6" xfId="0" applyNumberFormat="1" applyFont="1" applyBorder="1" applyAlignment="1">
      <alignment horizontal="centerContinuous" vertical="top"/>
    </xf>
    <xf numFmtId="3" fontId="12" fillId="0" borderId="6" xfId="0" applyNumberFormat="1" applyFont="1" applyBorder="1" applyAlignment="1">
      <alignment horizontal="centerContinuous" vertical="top"/>
    </xf>
    <xf numFmtId="3" fontId="12" fillId="0" borderId="7" xfId="0" applyNumberFormat="1" applyFont="1" applyBorder="1">
      <alignment vertical="top"/>
    </xf>
    <xf numFmtId="5" fontId="12" fillId="0" borderId="9" xfId="0" applyNumberFormat="1" applyFont="1" applyBorder="1">
      <alignment vertical="top"/>
    </xf>
    <xf numFmtId="5" fontId="12" fillId="0" borderId="11" xfId="0" applyNumberFormat="1" applyFont="1" applyBorder="1">
      <alignment vertical="top"/>
    </xf>
    <xf numFmtId="3" fontId="12" fillId="0" borderId="16" xfId="0" applyNumberFormat="1" applyFont="1" applyBorder="1" applyAlignment="1">
      <alignment horizontal="centerContinuous" vertical="top"/>
    </xf>
    <xf numFmtId="5" fontId="12" fillId="0" borderId="11" xfId="0" applyNumberFormat="1" applyFont="1" applyBorder="1" applyAlignment="1">
      <alignment horizontal="center" vertical="top"/>
    </xf>
    <xf numFmtId="5" fontId="12" fillId="0" borderId="13" xfId="0" applyNumberFormat="1" applyFont="1" applyBorder="1" applyAlignment="1">
      <alignment horizontal="center" vertical="top"/>
    </xf>
    <xf numFmtId="10" fontId="12" fillId="0" borderId="11" xfId="22" applyFont="1" applyBorder="1">
      <alignment vertical="top"/>
    </xf>
    <xf numFmtId="10" fontId="12" fillId="0" borderId="13" xfId="22" applyFont="1" applyBorder="1">
      <alignment vertical="top"/>
    </xf>
    <xf numFmtId="3" fontId="12" fillId="0" borderId="12" xfId="0" applyNumberFormat="1" applyFont="1" applyBorder="1">
      <alignment vertical="top"/>
    </xf>
    <xf numFmtId="5" fontId="12" fillId="0" borderId="13" xfId="0" applyNumberFormat="1" applyFont="1" applyBorder="1">
      <alignment vertical="top"/>
    </xf>
    <xf numFmtId="3" fontId="11" fillId="3" borderId="25" xfId="0" applyNumberFormat="1" applyFont="1" applyFill="1" applyBorder="1">
      <alignment vertical="top"/>
    </xf>
    <xf numFmtId="3" fontId="12" fillId="3" borderId="26" xfId="0" applyNumberFormat="1" applyFont="1" applyFill="1" applyBorder="1">
      <alignment vertical="top"/>
    </xf>
    <xf numFmtId="5" fontId="12" fillId="3" borderId="27" xfId="0" applyNumberFormat="1" applyFont="1" applyFill="1" applyBorder="1">
      <alignment vertical="top"/>
    </xf>
    <xf numFmtId="3" fontId="18" fillId="0" borderId="0" xfId="0" applyNumberFormat="1" applyFont="1" applyAlignment="1">
      <alignment horizontal="center" vertical="top"/>
    </xf>
    <xf numFmtId="37" fontId="11" fillId="0" borderId="5" xfId="0" applyNumberFormat="1" applyFont="1" applyBorder="1">
      <alignment vertical="top"/>
    </xf>
    <xf numFmtId="3" fontId="16" fillId="0" borderId="0" xfId="0" applyNumberFormat="1" applyFont="1" applyFill="1" applyAlignment="1">
      <alignment horizontal="center" vertical="top"/>
    </xf>
    <xf numFmtId="178" fontId="11" fillId="0" borderId="0" xfId="0" applyNumberFormat="1" applyFont="1" applyFill="1" applyAlignment="1">
      <alignment horizontal="center" vertical="top"/>
    </xf>
    <xf numFmtId="41" fontId="12" fillId="0" borderId="0" xfId="5" applyNumberFormat="1" applyFont="1" applyFill="1" applyAlignment="1">
      <alignment horizontal="right" vertical="top"/>
    </xf>
    <xf numFmtId="41" fontId="12" fillId="0" borderId="0" xfId="0" applyNumberFormat="1" applyFont="1" applyFill="1">
      <alignment vertical="top"/>
    </xf>
    <xf numFmtId="37" fontId="0" fillId="0" borderId="0" xfId="0" applyNumberFormat="1">
      <alignment vertical="top"/>
    </xf>
    <xf numFmtId="37" fontId="0" fillId="0" borderId="0" xfId="0" applyNumberFormat="1" applyAlignment="1">
      <alignment horizontal="center" vertical="top"/>
    </xf>
    <xf numFmtId="168" fontId="12" fillId="0" borderId="0" xfId="0" applyNumberFormat="1" applyFont="1" applyFill="1">
      <alignment vertical="top"/>
    </xf>
    <xf numFmtId="165" fontId="12" fillId="0" borderId="0" xfId="0" applyNumberFormat="1" applyFont="1" applyFill="1">
      <alignment vertical="top"/>
    </xf>
    <xf numFmtId="164" fontId="12" fillId="0" borderId="0" xfId="0" applyNumberFormat="1" applyFont="1" applyFill="1">
      <alignment vertical="top"/>
    </xf>
    <xf numFmtId="176" fontId="12" fillId="0" borderId="0" xfId="0" applyNumberFormat="1" applyFont="1" applyFill="1">
      <alignment vertical="top"/>
    </xf>
    <xf numFmtId="0" fontId="12" fillId="0" borderId="0" xfId="0" applyFont="1" applyFill="1">
      <alignment vertical="top"/>
    </xf>
    <xf numFmtId="3" fontId="12" fillId="0" borderId="0" xfId="2" applyNumberFormat="1" applyFont="1">
      <alignment vertical="top"/>
    </xf>
    <xf numFmtId="37" fontId="12" fillId="0" borderId="0" xfId="0" applyNumberFormat="1" applyFont="1" applyFill="1" applyBorder="1">
      <alignment vertical="top"/>
    </xf>
    <xf numFmtId="3" fontId="27" fillId="0" borderId="0" xfId="0" applyNumberFormat="1" applyFont="1" applyAlignment="1">
      <alignment horizontal="center" vertical="top"/>
    </xf>
    <xf numFmtId="164" fontId="12" fillId="0" borderId="0" xfId="22" applyNumberFormat="1" applyFont="1" applyFill="1" applyAlignment="1">
      <alignment horizontal="right" vertical="top"/>
    </xf>
    <xf numFmtId="164" fontId="13" fillId="0" borderId="0" xfId="22" applyNumberFormat="1" applyFont="1" applyFill="1">
      <alignment vertical="top"/>
    </xf>
    <xf numFmtId="10" fontId="13" fillId="0" borderId="0" xfId="22" applyFont="1" applyFill="1">
      <alignment vertical="top"/>
    </xf>
    <xf numFmtId="10" fontId="12" fillId="0" borderId="0" xfId="22" applyFont="1" applyFill="1" applyBorder="1">
      <alignment vertical="top"/>
    </xf>
    <xf numFmtId="10" fontId="12" fillId="0" borderId="0" xfId="0" applyNumberFormat="1" applyFont="1" applyFill="1" applyBorder="1">
      <alignment vertical="top"/>
    </xf>
    <xf numFmtId="41" fontId="12" fillId="0" borderId="0" xfId="5" quotePrefix="1" applyNumberFormat="1" applyFont="1" applyFill="1" applyAlignment="1">
      <alignment horizontal="left" vertical="top"/>
    </xf>
    <xf numFmtId="10" fontId="12" fillId="0" borderId="0" xfId="22" applyFont="1" applyFill="1">
      <alignment vertical="top"/>
    </xf>
    <xf numFmtId="37" fontId="11" fillId="0" borderId="0" xfId="0" quotePrefix="1" applyNumberFormat="1" applyFont="1" applyAlignment="1">
      <alignment horizontal="left" vertical="top"/>
    </xf>
    <xf numFmtId="37" fontId="15" fillId="0" borderId="0" xfId="0" applyNumberFormat="1" applyFont="1" applyAlignment="1">
      <alignment horizontal="left" vertical="top"/>
    </xf>
    <xf numFmtId="10" fontId="0" fillId="0" borderId="0" xfId="22" applyNumberFormat="1" applyFont="1">
      <alignment vertical="top"/>
    </xf>
    <xf numFmtId="3" fontId="12" fillId="0" borderId="3" xfId="0" applyNumberFormat="1" applyFont="1" applyBorder="1" applyAlignment="1">
      <alignment horizontal="center" vertical="top"/>
    </xf>
    <xf numFmtId="10" fontId="0" fillId="0" borderId="0" xfId="0" applyNumberFormat="1">
      <alignment vertical="top"/>
    </xf>
    <xf numFmtId="10" fontId="0" fillId="0" borderId="3" xfId="22" applyNumberFormat="1" applyFont="1" applyBorder="1">
      <alignment vertical="top"/>
    </xf>
    <xf numFmtId="179" fontId="0" fillId="0" borderId="0" xfId="0" applyNumberFormat="1">
      <alignment vertical="top"/>
    </xf>
    <xf numFmtId="37" fontId="28" fillId="0" borderId="0" xfId="0" applyNumberFormat="1" applyFont="1">
      <alignment vertical="top"/>
    </xf>
    <xf numFmtId="179" fontId="0" fillId="0" borderId="3" xfId="0" applyNumberFormat="1" applyBorder="1">
      <alignment vertical="top"/>
    </xf>
    <xf numFmtId="37" fontId="0" fillId="0" borderId="3" xfId="0" applyNumberFormat="1" applyBorder="1" applyAlignment="1">
      <alignment horizontal="center" vertical="top"/>
    </xf>
    <xf numFmtId="37" fontId="0" fillId="6" borderId="0" xfId="0" applyNumberFormat="1" applyFill="1" applyAlignment="1">
      <alignment horizontal="centerContinuous" vertical="top"/>
    </xf>
    <xf numFmtId="3" fontId="12" fillId="0" borderId="23" xfId="0" applyNumberFormat="1" applyFont="1" applyFill="1" applyBorder="1">
      <alignment vertical="top"/>
    </xf>
    <xf numFmtId="10" fontId="12" fillId="0" borderId="24" xfId="0" applyNumberFormat="1" applyFont="1" applyFill="1" applyBorder="1">
      <alignment vertical="top"/>
    </xf>
    <xf numFmtId="179" fontId="12" fillId="0" borderId="0" xfId="0" applyNumberFormat="1" applyFont="1" applyFill="1" applyBorder="1">
      <alignment vertical="top"/>
    </xf>
    <xf numFmtId="179" fontId="12" fillId="0" borderId="24" xfId="23" applyNumberFormat="1" applyFont="1" applyBorder="1">
      <alignment vertical="top"/>
    </xf>
    <xf numFmtId="3" fontId="12" fillId="0" borderId="21" xfId="0" applyNumberFormat="1" applyFont="1" applyFill="1" applyBorder="1">
      <alignment vertical="top"/>
    </xf>
    <xf numFmtId="179" fontId="12" fillId="0" borderId="17" xfId="0" applyNumberFormat="1" applyFont="1" applyFill="1" applyBorder="1">
      <alignment vertical="top"/>
    </xf>
    <xf numFmtId="179" fontId="12" fillId="0" borderId="22" xfId="23" applyNumberFormat="1" applyFont="1" applyBorder="1">
      <alignment vertical="top"/>
    </xf>
    <xf numFmtId="10" fontId="11" fillId="5" borderId="14" xfId="23" applyFont="1" applyFill="1" applyBorder="1">
      <alignment vertical="top"/>
    </xf>
    <xf numFmtId="0" fontId="17" fillId="5" borderId="20" xfId="23" applyNumberFormat="1" applyFont="1" applyFill="1" applyBorder="1" applyAlignment="1">
      <alignment horizontal="center" vertical="top"/>
    </xf>
    <xf numFmtId="0" fontId="17" fillId="5" borderId="15" xfId="23" applyNumberFormat="1" applyFont="1" applyFill="1" applyBorder="1" applyAlignment="1">
      <alignment horizontal="center" vertical="top"/>
    </xf>
    <xf numFmtId="164" fontId="12" fillId="0" borderId="3" xfId="22" applyNumberFormat="1" applyFont="1" applyFill="1" applyBorder="1">
      <alignment vertical="top"/>
    </xf>
    <xf numFmtId="39" fontId="0" fillId="0" borderId="0" xfId="0" applyNumberFormat="1">
      <alignment vertical="top"/>
    </xf>
    <xf numFmtId="37" fontId="23" fillId="0" borderId="3" xfId="0" applyNumberFormat="1" applyFont="1" applyBorder="1" applyAlignment="1">
      <alignment horizontal="center" vertical="top"/>
    </xf>
    <xf numFmtId="10" fontId="23" fillId="0" borderId="0" xfId="22" applyNumberFormat="1" applyFont="1">
      <alignment vertical="top"/>
    </xf>
    <xf numFmtId="37" fontId="0" fillId="0" borderId="14" xfId="0" applyNumberFormat="1" applyBorder="1">
      <alignment vertical="top"/>
    </xf>
    <xf numFmtId="37" fontId="0" fillId="6" borderId="20" xfId="0" applyNumberFormat="1" applyFill="1" applyBorder="1" applyAlignment="1">
      <alignment horizontal="centerContinuous" vertical="top"/>
    </xf>
    <xf numFmtId="37" fontId="0" fillId="6" borderId="15" xfId="0" applyNumberFormat="1" applyFill="1" applyBorder="1" applyAlignment="1">
      <alignment horizontal="centerContinuous" vertical="top"/>
    </xf>
    <xf numFmtId="37" fontId="0" fillId="0" borderId="23" xfId="0" applyNumberFormat="1" applyBorder="1">
      <alignment vertical="top"/>
    </xf>
    <xf numFmtId="3" fontId="12" fillId="0" borderId="28" xfId="0" applyNumberFormat="1" applyFont="1" applyBorder="1" applyAlignment="1">
      <alignment horizontal="centerContinuous" vertical="top"/>
    </xf>
    <xf numFmtId="3" fontId="12" fillId="0" borderId="29" xfId="0" applyNumberFormat="1" applyFont="1" applyBorder="1">
      <alignment vertical="top"/>
    </xf>
    <xf numFmtId="3" fontId="12" fillId="0" borderId="30" xfId="0" applyNumberFormat="1" applyFont="1" applyBorder="1" applyAlignment="1">
      <alignment horizontal="center" vertical="top"/>
    </xf>
    <xf numFmtId="10" fontId="0" fillId="0" borderId="0" xfId="22" applyNumberFormat="1" applyFont="1" applyBorder="1">
      <alignment vertical="top"/>
    </xf>
    <xf numFmtId="10" fontId="0" fillId="0" borderId="24" xfId="22" applyNumberFormat="1" applyFont="1" applyBorder="1">
      <alignment vertical="top"/>
    </xf>
    <xf numFmtId="10" fontId="0" fillId="0" borderId="30" xfId="22" applyNumberFormat="1" applyFont="1" applyBorder="1">
      <alignment vertical="top"/>
    </xf>
    <xf numFmtId="37" fontId="0" fillId="0" borderId="21" xfId="0" applyNumberFormat="1" applyBorder="1">
      <alignment vertical="top"/>
    </xf>
    <xf numFmtId="10" fontId="0" fillId="0" borderId="17" xfId="22" applyNumberFormat="1" applyFont="1" applyBorder="1">
      <alignment vertical="top"/>
    </xf>
    <xf numFmtId="10" fontId="0" fillId="0" borderId="22" xfId="22" applyNumberFormat="1" applyFont="1" applyBorder="1">
      <alignment vertical="top"/>
    </xf>
    <xf numFmtId="37" fontId="0" fillId="6" borderId="14" xfId="0" applyNumberFormat="1" applyFill="1" applyBorder="1" applyAlignment="1">
      <alignment horizontal="centerContinuous" vertical="top"/>
    </xf>
    <xf numFmtId="3" fontId="12" fillId="0" borderId="31" xfId="0" applyNumberFormat="1" applyFont="1" applyBorder="1" applyAlignment="1">
      <alignment horizontal="centerContinuous" vertical="top"/>
    </xf>
    <xf numFmtId="3" fontId="12" fillId="0" borderId="29" xfId="0" applyNumberFormat="1" applyFont="1" applyBorder="1" applyAlignment="1">
      <alignment horizontal="center" vertical="top"/>
    </xf>
    <xf numFmtId="10" fontId="0" fillId="0" borderId="23" xfId="22" applyNumberFormat="1" applyFont="1" applyBorder="1">
      <alignment vertical="top"/>
    </xf>
    <xf numFmtId="10" fontId="0" fillId="0" borderId="29" xfId="22" applyNumberFormat="1" applyFont="1" applyBorder="1">
      <alignment vertical="top"/>
    </xf>
    <xf numFmtId="10" fontId="0" fillId="0" borderId="21" xfId="22" applyNumberFormat="1" applyFont="1" applyBorder="1">
      <alignment vertical="top"/>
    </xf>
    <xf numFmtId="37" fontId="12" fillId="0" borderId="0" xfId="5" applyNumberFormat="1" applyFont="1" applyFill="1" applyBorder="1">
      <alignment vertical="top"/>
    </xf>
    <xf numFmtId="41" fontId="12" fillId="0" borderId="0" xfId="5" applyNumberFormat="1" applyFont="1" applyFill="1" applyBorder="1">
      <alignment vertical="top"/>
    </xf>
    <xf numFmtId="3" fontId="12" fillId="0" borderId="0" xfId="18" applyNumberFormat="1" applyFont="1" applyFill="1">
      <alignment vertical="top"/>
    </xf>
    <xf numFmtId="3" fontId="12" fillId="0" borderId="0" xfId="2" applyNumberFormat="1" applyFont="1" applyFill="1">
      <alignment vertical="top"/>
    </xf>
    <xf numFmtId="10" fontId="12" fillId="0" borderId="0" xfId="22" applyNumberFormat="1" applyFont="1" applyFill="1">
      <alignment vertical="top"/>
    </xf>
    <xf numFmtId="10" fontId="12" fillId="0" borderId="0" xfId="22" applyNumberFormat="1" applyFont="1" applyFill="1" applyBorder="1">
      <alignment vertical="top"/>
    </xf>
    <xf numFmtId="10" fontId="12" fillId="0" borderId="5" xfId="22" applyNumberFormat="1" applyFont="1" applyBorder="1">
      <alignment vertical="top"/>
    </xf>
    <xf numFmtId="3" fontId="12" fillId="0" borderId="0" xfId="2" applyNumberFormat="1" applyFont="1" applyBorder="1" applyProtection="1">
      <alignment vertical="top"/>
      <protection locked="0"/>
    </xf>
    <xf numFmtId="3" fontId="12" fillId="0" borderId="0" xfId="2" applyNumberFormat="1" applyFont="1" applyBorder="1">
      <alignment vertical="top"/>
    </xf>
    <xf numFmtId="175" fontId="12" fillId="0" borderId="0" xfId="0" applyNumberFormat="1" applyFont="1" applyFill="1">
      <alignment vertical="top"/>
    </xf>
    <xf numFmtId="175" fontId="12" fillId="0" borderId="0" xfId="0" applyNumberFormat="1" applyFont="1">
      <alignment vertical="top"/>
    </xf>
    <xf numFmtId="175" fontId="11" fillId="0" borderId="0" xfId="0" applyNumberFormat="1" applyFont="1" applyBorder="1" applyAlignment="1">
      <alignment horizontal="center" vertical="top"/>
    </xf>
    <xf numFmtId="175" fontId="12" fillId="0" borderId="0" xfId="2" applyNumberFormat="1" applyFont="1" applyFill="1">
      <alignment vertical="top"/>
    </xf>
    <xf numFmtId="175" fontId="12" fillId="0" borderId="0" xfId="2" applyNumberFormat="1" applyFont="1">
      <alignment vertical="top"/>
    </xf>
    <xf numFmtId="175" fontId="12" fillId="0" borderId="3" xfId="2" applyNumberFormat="1" applyFont="1" applyBorder="1">
      <alignment vertical="top"/>
    </xf>
    <xf numFmtId="175" fontId="12" fillId="0" borderId="5" xfId="9" applyNumberFormat="1" applyFont="1" applyBorder="1">
      <alignment vertical="top"/>
    </xf>
    <xf numFmtId="175" fontId="12" fillId="0" borderId="0" xfId="9" applyNumberFormat="1" applyFont="1">
      <alignment vertical="top"/>
    </xf>
    <xf numFmtId="175" fontId="12" fillId="0" borderId="0" xfId="9" applyNumberFormat="1" applyFont="1" applyBorder="1">
      <alignment vertical="top"/>
    </xf>
    <xf numFmtId="3" fontId="12" fillId="0" borderId="3" xfId="2" applyNumberFormat="1" applyFont="1" applyFill="1" applyBorder="1">
      <alignment vertical="top"/>
    </xf>
    <xf numFmtId="3" fontId="12" fillId="0" borderId="3" xfId="2" applyNumberFormat="1" applyFont="1" applyBorder="1">
      <alignment vertical="top"/>
    </xf>
    <xf numFmtId="3" fontId="12" fillId="0" borderId="0" xfId="9" applyNumberFormat="1" applyFont="1">
      <alignment vertical="top"/>
    </xf>
    <xf numFmtId="175" fontId="12" fillId="0" borderId="0" xfId="2" applyNumberFormat="1" applyFont="1" applyBorder="1">
      <alignment vertical="top"/>
    </xf>
    <xf numFmtId="3" fontId="12" fillId="0" borderId="0" xfId="19" applyNumberFormat="1" applyFont="1" applyFill="1">
      <alignment vertical="top"/>
    </xf>
    <xf numFmtId="3" fontId="12" fillId="0" borderId="17" xfId="19" applyNumberFormat="1" applyFont="1" applyFill="1" applyBorder="1">
      <alignment vertical="top"/>
    </xf>
    <xf numFmtId="0" fontId="12" fillId="0" borderId="0" xfId="19" applyNumberFormat="1" applyFont="1" applyFill="1" applyAlignment="1">
      <alignment horizontal="center" vertical="top"/>
    </xf>
    <xf numFmtId="3" fontId="12" fillId="0" borderId="0" xfId="19" applyNumberFormat="1" applyFont="1" applyFill="1" applyAlignment="1">
      <alignment horizontal="center" vertical="top"/>
    </xf>
    <xf numFmtId="37" fontId="12" fillId="0" borderId="0" xfId="19" applyNumberFormat="1" applyFont="1" applyFill="1">
      <alignment vertical="top"/>
    </xf>
    <xf numFmtId="3" fontId="11" fillId="0" borderId="0" xfId="0" applyNumberFormat="1" applyFont="1">
      <alignment vertical="top"/>
    </xf>
    <xf numFmtId="3" fontId="12" fillId="0" borderId="0" xfId="0" applyNumberFormat="1" applyFont="1">
      <alignment vertical="top"/>
    </xf>
    <xf numFmtId="3" fontId="12" fillId="0" borderId="0" xfId="0" applyNumberFormat="1" applyFont="1" applyBorder="1">
      <alignment vertical="top"/>
    </xf>
    <xf numFmtId="37" fontId="12" fillId="0" borderId="0" xfId="0" applyNumberFormat="1" applyFont="1" applyBorder="1">
      <alignment vertical="top"/>
    </xf>
    <xf numFmtId="3" fontId="12" fillId="0" borderId="0" xfId="0" applyNumberFormat="1" applyFont="1" applyFill="1">
      <alignment vertical="top"/>
    </xf>
    <xf numFmtId="3" fontId="12" fillId="0" borderId="11" xfId="0" applyNumberFormat="1" applyFont="1" applyBorder="1">
      <alignment vertical="top"/>
    </xf>
    <xf numFmtId="1" fontId="11" fillId="0" borderId="10" xfId="0" quotePrefix="1" applyNumberFormat="1" applyFont="1" applyBorder="1" applyAlignment="1">
      <alignment horizontal="left" vertical="top"/>
    </xf>
    <xf numFmtId="41" fontId="12" fillId="0" borderId="0" xfId="5" applyNumberFormat="1" applyFont="1" applyFill="1">
      <alignment vertical="top"/>
    </xf>
    <xf numFmtId="0" fontId="12" fillId="0" borderId="6" xfId="0" applyNumberFormat="1" applyFont="1" applyBorder="1" applyAlignment="1">
      <alignment horizontal="center" vertical="top"/>
    </xf>
    <xf numFmtId="1" fontId="11" fillId="0" borderId="0" xfId="0" applyNumberFormat="1" applyFont="1" applyAlignment="1">
      <alignment horizontal="center" vertical="top"/>
    </xf>
    <xf numFmtId="3" fontId="27" fillId="0" borderId="0" xfId="0" applyNumberFormat="1" applyFont="1" applyFill="1" applyAlignment="1">
      <alignment horizontal="center" vertical="top"/>
    </xf>
    <xf numFmtId="0" fontId="11" fillId="0" borderId="0" xfId="0" quotePrefix="1" applyFont="1" applyFill="1" applyAlignment="1">
      <alignment horizontal="left"/>
    </xf>
    <xf numFmtId="164" fontId="12" fillId="0" borderId="0" xfId="22" applyNumberFormat="1" applyFont="1" applyFill="1" applyBorder="1" applyAlignment="1" applyProtection="1">
      <alignment vertical="top"/>
    </xf>
    <xf numFmtId="3" fontId="12" fillId="0" borderId="5" xfId="0" applyNumberFormat="1" applyFont="1" applyFill="1" applyBorder="1">
      <alignment vertical="top"/>
    </xf>
    <xf numFmtId="3" fontId="12" fillId="0" borderId="0" xfId="0" quotePrefix="1" applyNumberFormat="1" applyFont="1" applyFill="1">
      <alignment vertical="top"/>
    </xf>
    <xf numFmtId="165" fontId="12" fillId="0" borderId="0" xfId="22" applyNumberFormat="1" applyFont="1" applyFill="1" applyBorder="1">
      <alignment vertical="top"/>
    </xf>
    <xf numFmtId="168" fontId="12" fillId="0" borderId="0" xfId="2" applyNumberFormat="1" applyFont="1" applyFill="1" applyAlignment="1"/>
    <xf numFmtId="3" fontId="11" fillId="0" borderId="0" xfId="0" quotePrefix="1" applyNumberFormat="1" applyFont="1" applyFill="1" applyAlignment="1">
      <alignment horizontal="left" vertical="top"/>
    </xf>
    <xf numFmtId="3" fontId="11" fillId="0" borderId="0" xfId="0" applyNumberFormat="1" applyFont="1" applyFill="1" applyAlignment="1">
      <alignment horizontal="left" vertical="top"/>
    </xf>
    <xf numFmtId="0" fontId="11" fillId="0" borderId="0" xfId="3434" applyFont="1" applyFill="1" applyAlignment="1">
      <alignment horizontal="center"/>
    </xf>
    <xf numFmtId="0" fontId="11" fillId="0" borderId="0" xfId="3434" applyFont="1" applyFill="1"/>
    <xf numFmtId="0" fontId="11" fillId="0" borderId="3" xfId="3434" applyFont="1" applyFill="1" applyBorder="1" applyAlignment="1">
      <alignment horizontal="center"/>
    </xf>
    <xf numFmtId="0" fontId="11" fillId="0" borderId="0" xfId="3434" applyFont="1" applyFill="1" applyBorder="1"/>
    <xf numFmtId="3" fontId="11" fillId="0" borderId="0" xfId="0" applyNumberFormat="1" applyFont="1" applyFill="1" applyBorder="1" applyAlignment="1">
      <alignment horizontal="center" vertical="top"/>
    </xf>
    <xf numFmtId="37" fontId="12" fillId="0" borderId="0" xfId="8297" applyNumberFormat="1" applyFont="1" applyFill="1">
      <alignment vertical="top"/>
    </xf>
    <xf numFmtId="37" fontId="12" fillId="0" borderId="0" xfId="8948" applyNumberFormat="1" applyFont="1" applyFill="1">
      <alignment vertical="top"/>
    </xf>
    <xf numFmtId="3" fontId="11" fillId="0" borderId="0" xfId="20" applyNumberFormat="1" applyFont="1" applyFill="1" applyAlignment="1">
      <alignment vertical="center"/>
    </xf>
    <xf numFmtId="0" fontId="12" fillId="0" borderId="0" xfId="20" applyFont="1" applyFill="1" applyAlignment="1">
      <alignment vertical="center"/>
    </xf>
    <xf numFmtId="3" fontId="11" fillId="0" borderId="0" xfId="20" quotePrefix="1" applyNumberFormat="1" applyFont="1" applyFill="1" applyAlignment="1">
      <alignment horizontal="left" vertical="center"/>
    </xf>
    <xf numFmtId="167" fontId="11" fillId="0" borderId="0" xfId="20" applyNumberFormat="1" applyFont="1" applyFill="1" applyAlignment="1" applyProtection="1">
      <alignment vertical="center"/>
    </xf>
    <xf numFmtId="169" fontId="12" fillId="0" borderId="0" xfId="20" applyNumberFormat="1" applyFont="1" applyFill="1" applyAlignment="1" applyProtection="1">
      <alignment vertical="center"/>
    </xf>
    <xf numFmtId="170" fontId="11" fillId="0" borderId="0" xfId="20" applyNumberFormat="1" applyFont="1" applyFill="1" applyAlignment="1" applyProtection="1">
      <alignment vertical="center"/>
    </xf>
    <xf numFmtId="0" fontId="11" fillId="0" borderId="0" xfId="20" applyFont="1" applyFill="1" applyAlignment="1">
      <alignment horizontal="center" vertical="center"/>
    </xf>
    <xf numFmtId="167" fontId="11" fillId="0" borderId="17" xfId="0" applyNumberFormat="1" applyFont="1" applyFill="1" applyBorder="1" applyAlignment="1" applyProtection="1">
      <alignment horizontal="left" vertical="center"/>
    </xf>
    <xf numFmtId="170" fontId="11" fillId="0" borderId="17" xfId="20" applyNumberFormat="1" applyFont="1" applyFill="1" applyBorder="1" applyAlignment="1" applyProtection="1">
      <alignment vertical="center"/>
    </xf>
    <xf numFmtId="0" fontId="12" fillId="0" borderId="17" xfId="20" applyFont="1" applyFill="1" applyBorder="1" applyAlignment="1">
      <alignment vertical="center"/>
    </xf>
    <xf numFmtId="169" fontId="12" fillId="0" borderId="17" xfId="20" applyNumberFormat="1" applyFont="1" applyFill="1" applyBorder="1" applyAlignment="1" applyProtection="1">
      <alignment vertical="center"/>
    </xf>
    <xf numFmtId="167" fontId="11" fillId="0" borderId="0" xfId="20" applyNumberFormat="1" applyFont="1" applyFill="1" applyAlignment="1" applyProtection="1">
      <alignment horizontal="center" vertical="center"/>
    </xf>
    <xf numFmtId="0" fontId="12" fillId="0" borderId="0" xfId="20" applyFont="1" applyFill="1" applyAlignment="1">
      <alignment horizontal="center" vertical="center"/>
    </xf>
    <xf numFmtId="4" fontId="12" fillId="0" borderId="0" xfId="4" applyFont="1" applyFill="1" applyAlignment="1">
      <alignment horizontal="center" vertical="center"/>
    </xf>
    <xf numFmtId="169" fontId="12" fillId="0" borderId="0" xfId="20" applyNumberFormat="1" applyFont="1" applyFill="1" applyAlignment="1" applyProtection="1">
      <alignment horizontal="center" vertical="center"/>
    </xf>
    <xf numFmtId="167" fontId="12" fillId="0" borderId="0" xfId="20" applyNumberFormat="1" applyFont="1" applyFill="1" applyAlignment="1" applyProtection="1">
      <alignment horizontal="left" vertical="center"/>
    </xf>
    <xf numFmtId="4" fontId="11" fillId="0" borderId="0" xfId="4" applyFont="1" applyFill="1" applyAlignment="1" applyProtection="1">
      <alignment horizontal="left" vertical="center"/>
    </xf>
    <xf numFmtId="171" fontId="11" fillId="0" borderId="0" xfId="4" applyNumberFormat="1" applyFont="1" applyFill="1" applyAlignment="1" applyProtection="1">
      <alignment horizontal="center" vertical="center"/>
    </xf>
    <xf numFmtId="169" fontId="11" fillId="0" borderId="0" xfId="20" applyNumberFormat="1" applyFont="1" applyFill="1" applyAlignment="1" applyProtection="1">
      <alignment horizontal="center" vertical="center"/>
    </xf>
    <xf numFmtId="167" fontId="11" fillId="0" borderId="0" xfId="0" applyNumberFormat="1" applyFont="1" applyFill="1" applyBorder="1" applyAlignment="1" applyProtection="1">
      <alignment horizontal="center" vertical="center"/>
    </xf>
    <xf numFmtId="167" fontId="12" fillId="0" borderId="18" xfId="20" applyNumberFormat="1" applyFont="1" applyFill="1" applyBorder="1" applyAlignment="1" applyProtection="1">
      <alignment vertical="center"/>
    </xf>
    <xf numFmtId="167" fontId="11" fillId="0" borderId="18" xfId="20" applyNumberFormat="1" applyFont="1" applyFill="1" applyBorder="1" applyAlignment="1" applyProtection="1">
      <alignment horizontal="center" vertical="center"/>
    </xf>
    <xf numFmtId="167" fontId="11" fillId="0" borderId="3" xfId="0" applyNumberFormat="1" applyFont="1" applyFill="1" applyBorder="1" applyAlignment="1" applyProtection="1">
      <alignment horizontal="center" vertical="center"/>
    </xf>
    <xf numFmtId="0" fontId="11" fillId="0" borderId="0" xfId="2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167" fontId="11" fillId="0" borderId="0" xfId="0" applyNumberFormat="1" applyFont="1" applyFill="1" applyAlignment="1" applyProtection="1">
      <alignment horizontal="left" vertical="center"/>
    </xf>
    <xf numFmtId="37" fontId="12" fillId="0" borderId="0" xfId="20" applyNumberFormat="1" applyFont="1" applyFill="1" applyAlignment="1" applyProtection="1">
      <alignment vertical="center"/>
    </xf>
    <xf numFmtId="5" fontId="12" fillId="0" borderId="0" xfId="20" applyNumberFormat="1" applyFont="1" applyFill="1" applyAlignment="1" applyProtection="1">
      <alignment vertical="center"/>
    </xf>
    <xf numFmtId="5" fontId="12" fillId="0" borderId="0" xfId="0" applyNumberFormat="1" applyFont="1" applyFill="1" applyAlignment="1" applyProtection="1">
      <alignment vertical="center"/>
    </xf>
    <xf numFmtId="169" fontId="12" fillId="0" borderId="0" xfId="0" applyNumberFormat="1" applyFont="1" applyFill="1" applyAlignment="1" applyProtection="1">
      <alignment vertical="center"/>
    </xf>
    <xf numFmtId="37" fontId="12" fillId="0" borderId="0" xfId="0" applyNumberFormat="1" applyFont="1" applyFill="1" applyAlignment="1" applyProtection="1">
      <alignment vertical="center"/>
    </xf>
    <xf numFmtId="174" fontId="12" fillId="0" borderId="0" xfId="0" applyNumberFormat="1" applyFont="1" applyFill="1" applyAlignment="1" applyProtection="1">
      <alignment vertical="center"/>
    </xf>
    <xf numFmtId="167" fontId="11" fillId="0" borderId="19" xfId="0" applyNumberFormat="1" applyFont="1" applyFill="1" applyBorder="1" applyAlignment="1" applyProtection="1">
      <alignment vertical="center"/>
    </xf>
    <xf numFmtId="167" fontId="12" fillId="0" borderId="19" xfId="0" applyNumberFormat="1" applyFont="1" applyFill="1" applyBorder="1" applyAlignment="1" applyProtection="1">
      <alignment vertical="center"/>
    </xf>
    <xf numFmtId="167" fontId="11" fillId="0" borderId="0" xfId="0" applyNumberFormat="1" applyFont="1" applyFill="1" applyAlignment="1" applyProtection="1">
      <alignment vertical="center"/>
    </xf>
    <xf numFmtId="5" fontId="12" fillId="0" borderId="0" xfId="0" applyNumberFormat="1" applyFont="1" applyFill="1" applyAlignment="1">
      <alignment vertical="center"/>
    </xf>
    <xf numFmtId="169" fontId="12" fillId="0" borderId="0" xfId="0" applyNumberFormat="1" applyFont="1" applyFill="1" applyAlignment="1">
      <alignment vertical="center"/>
    </xf>
    <xf numFmtId="167" fontId="11" fillId="0" borderId="0" xfId="0" applyNumberFormat="1" applyFont="1" applyFill="1" applyBorder="1" applyAlignment="1" applyProtection="1">
      <alignment vertical="center"/>
    </xf>
    <xf numFmtId="167" fontId="12" fillId="0" borderId="3" xfId="0" applyNumberFormat="1" applyFont="1" applyFill="1" applyBorder="1" applyAlignment="1" applyProtection="1">
      <alignment vertical="center"/>
    </xf>
    <xf numFmtId="167" fontId="17" fillId="0" borderId="0" xfId="0" applyNumberFormat="1" applyFont="1" applyFill="1" applyAlignment="1" applyProtection="1">
      <alignment horizontal="left" vertical="center"/>
    </xf>
    <xf numFmtId="5" fontId="12" fillId="0" borderId="0" xfId="0" applyNumberFormat="1" applyFont="1" applyFill="1" applyBorder="1" applyAlignment="1" applyProtection="1">
      <alignment vertical="center"/>
    </xf>
    <xf numFmtId="37" fontId="12" fillId="0" borderId="3" xfId="0" applyNumberFormat="1" applyFont="1" applyFill="1" applyBorder="1" applyAlignment="1" applyProtection="1">
      <alignment vertical="center"/>
    </xf>
    <xf numFmtId="5" fontId="12" fillId="0" borderId="3" xfId="20" applyNumberFormat="1" applyFont="1" applyFill="1" applyBorder="1" applyAlignment="1" applyProtection="1">
      <alignment vertical="center"/>
    </xf>
    <xf numFmtId="6" fontId="12" fillId="0" borderId="3" xfId="0" applyNumberFormat="1" applyFont="1" applyFill="1" applyBorder="1" applyAlignment="1" applyProtection="1">
      <alignment vertical="center"/>
    </xf>
    <xf numFmtId="5" fontId="12" fillId="0" borderId="3" xfId="0" applyNumberFormat="1" applyFont="1" applyFill="1" applyBorder="1" applyAlignment="1" applyProtection="1">
      <alignment vertical="center"/>
    </xf>
    <xf numFmtId="3" fontId="12" fillId="0" borderId="0" xfId="0" applyNumberFormat="1" applyFont="1" applyFill="1" applyBorder="1" applyAlignment="1">
      <alignment vertical="center"/>
    </xf>
    <xf numFmtId="5" fontId="12" fillId="0" borderId="0" xfId="7" applyNumberFormat="1" applyFont="1" applyFill="1" applyBorder="1" applyAlignment="1">
      <alignment vertical="center"/>
    </xf>
    <xf numFmtId="175" fontId="12" fillId="0" borderId="3" xfId="0" applyNumberFormat="1" applyFont="1" applyFill="1" applyBorder="1" applyAlignment="1" applyProtection="1">
      <alignment vertical="center"/>
    </xf>
    <xf numFmtId="0" fontId="11" fillId="0" borderId="0" xfId="0" applyFont="1" applyFill="1" applyAlignment="1">
      <alignment vertical="center"/>
    </xf>
    <xf numFmtId="3" fontId="12" fillId="0" borderId="65" xfId="0" applyNumberFormat="1" applyFont="1" applyFill="1" applyBorder="1" applyAlignment="1">
      <alignment vertical="center"/>
    </xf>
    <xf numFmtId="5" fontId="12" fillId="0" borderId="65" xfId="7" applyNumberFormat="1" applyFont="1" applyFill="1" applyBorder="1" applyAlignment="1">
      <alignment vertical="center"/>
    </xf>
    <xf numFmtId="6" fontId="12" fillId="0" borderId="0" xfId="0" applyNumberFormat="1" applyFont="1" applyFill="1" applyAlignment="1">
      <alignment vertical="center"/>
    </xf>
    <xf numFmtId="172" fontId="12" fillId="0" borderId="0" xfId="7" applyNumberFormat="1" applyFont="1" applyFill="1" applyAlignment="1">
      <alignment vertical="center"/>
    </xf>
    <xf numFmtId="177" fontId="12" fillId="0" borderId="0" xfId="2" applyNumberFormat="1" applyFont="1" applyFill="1" applyAlignment="1">
      <alignment vertical="center"/>
    </xf>
    <xf numFmtId="0" fontId="12" fillId="0" borderId="17" xfId="0" applyFont="1" applyFill="1" applyBorder="1" applyAlignment="1">
      <alignment vertical="center"/>
    </xf>
    <xf numFmtId="173" fontId="12" fillId="0" borderId="17" xfId="0" applyNumberFormat="1" applyFont="1" applyFill="1" applyBorder="1" applyAlignment="1" applyProtection="1">
      <alignment vertical="center"/>
    </xf>
    <xf numFmtId="37" fontId="12" fillId="0" borderId="17" xfId="0" applyNumberFormat="1" applyFont="1" applyFill="1" applyBorder="1" applyAlignment="1">
      <alignment vertical="center"/>
    </xf>
    <xf numFmtId="167" fontId="11" fillId="0" borderId="0" xfId="0" applyNumberFormat="1" applyFont="1" applyFill="1" applyAlignment="1" applyProtection="1">
      <alignment horizontal="center" vertical="center"/>
    </xf>
    <xf numFmtId="5" fontId="11" fillId="0" borderId="0" xfId="0" applyNumberFormat="1" applyFont="1" applyFill="1" applyAlignment="1" applyProtection="1">
      <alignment horizontal="center" vertical="center"/>
    </xf>
    <xf numFmtId="167" fontId="11" fillId="0" borderId="18" xfId="0" applyNumberFormat="1" applyFont="1" applyFill="1" applyBorder="1" applyAlignment="1" applyProtection="1">
      <alignment horizontal="center" vertical="center"/>
    </xf>
    <xf numFmtId="5" fontId="11" fillId="0" borderId="18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vertical="center"/>
    </xf>
    <xf numFmtId="3" fontId="12" fillId="0" borderId="0" xfId="2" applyNumberFormat="1" applyFont="1" applyFill="1" applyAlignment="1">
      <alignment vertical="center"/>
    </xf>
    <xf numFmtId="3" fontId="12" fillId="0" borderId="0" xfId="2" applyNumberFormat="1" applyFont="1" applyFill="1" applyBorder="1" applyAlignment="1">
      <alignment vertical="center"/>
    </xf>
    <xf numFmtId="5" fontId="12" fillId="0" borderId="0" xfId="0" quotePrefix="1" applyNumberFormat="1" applyFont="1" applyFill="1" applyBorder="1" applyAlignment="1" applyProtection="1">
      <alignment vertical="center"/>
    </xf>
    <xf numFmtId="167" fontId="12" fillId="0" borderId="0" xfId="0" applyNumberFormat="1" applyFont="1" applyFill="1" applyAlignment="1" applyProtection="1">
      <alignment vertical="center"/>
    </xf>
    <xf numFmtId="37" fontId="12" fillId="0" borderId="0" xfId="0" applyNumberFormat="1" applyFont="1" applyFill="1" applyBorder="1" applyAlignment="1" applyProtection="1">
      <alignment vertical="center"/>
    </xf>
    <xf numFmtId="169" fontId="12" fillId="0" borderId="0" xfId="0" applyNumberFormat="1" applyFont="1" applyFill="1" applyBorder="1" applyAlignment="1" applyProtection="1">
      <alignment vertical="center"/>
    </xf>
    <xf numFmtId="175" fontId="12" fillId="0" borderId="0" xfId="0" applyNumberFormat="1" applyFont="1" applyFill="1" applyBorder="1" applyAlignment="1" applyProtection="1">
      <alignment vertical="center"/>
    </xf>
    <xf numFmtId="6" fontId="12" fillId="0" borderId="0" xfId="0" applyNumberFormat="1" applyFont="1" applyFill="1" applyBorder="1" applyAlignment="1" applyProtection="1">
      <alignment vertical="center"/>
    </xf>
    <xf numFmtId="5" fontId="12" fillId="0" borderId="5" xfId="7" applyNumberFormat="1" applyFont="1" applyFill="1" applyBorder="1" applyAlignment="1">
      <alignment vertical="center"/>
    </xf>
    <xf numFmtId="0" fontId="17" fillId="0" borderId="0" xfId="3434" applyFont="1" applyFill="1" applyBorder="1"/>
    <xf numFmtId="0" fontId="11" fillId="0" borderId="0" xfId="3434" applyFont="1" applyFill="1" applyBorder="1" applyAlignment="1">
      <alignment horizontal="left"/>
    </xf>
    <xf numFmtId="0" fontId="11" fillId="0" borderId="0" xfId="3434" quotePrefix="1" applyFont="1" applyFill="1" applyBorder="1" applyAlignment="1">
      <alignment horizontal="left"/>
    </xf>
    <xf numFmtId="176" fontId="12" fillId="0" borderId="0" xfId="7" applyNumberFormat="1" applyFont="1" applyFill="1" applyBorder="1" applyAlignment="1"/>
    <xf numFmtId="10" fontId="12" fillId="0" borderId="0" xfId="22" applyNumberFormat="1" applyFont="1" applyFill="1" applyBorder="1" applyAlignment="1"/>
    <xf numFmtId="10" fontId="110" fillId="0" borderId="0" xfId="22" applyNumberFormat="1" applyFont="1" applyFill="1" applyBorder="1" applyAlignment="1"/>
    <xf numFmtId="0" fontId="11" fillId="0" borderId="0" xfId="0" applyFont="1" applyFill="1" applyBorder="1">
      <alignment vertical="top"/>
    </xf>
    <xf numFmtId="37" fontId="12" fillId="0" borderId="0" xfId="2" applyNumberFormat="1" applyFont="1" applyFill="1" applyBorder="1">
      <alignment vertical="top"/>
    </xf>
    <xf numFmtId="176" fontId="12" fillId="0" borderId="66" xfId="7" applyNumberFormat="1" applyFont="1" applyFill="1" applyBorder="1" applyAlignment="1"/>
    <xf numFmtId="3" fontId="12" fillId="0" borderId="0" xfId="2" applyNumberFormat="1" applyFont="1" applyBorder="1" applyAlignment="1">
      <alignment horizontal="center" vertical="top"/>
    </xf>
    <xf numFmtId="5" fontId="12" fillId="0" borderId="0" xfId="2" applyNumberFormat="1" applyFont="1" applyBorder="1">
      <alignment vertical="top"/>
    </xf>
    <xf numFmtId="37" fontId="12" fillId="0" borderId="0" xfId="2" applyNumberFormat="1" applyFont="1" applyBorder="1">
      <alignment vertical="top"/>
    </xf>
    <xf numFmtId="37" fontId="12" fillId="0" borderId="0" xfId="23" applyNumberFormat="1" applyFont="1" applyBorder="1">
      <alignment vertical="top"/>
    </xf>
    <xf numFmtId="37" fontId="12" fillId="0" borderId="0" xfId="2" applyNumberFormat="1" applyFont="1" applyBorder="1" applyAlignment="1">
      <alignment horizontal="right" vertical="top"/>
    </xf>
    <xf numFmtId="3" fontId="12" fillId="0" borderId="0" xfId="2" applyNumberFormat="1" applyFont="1" applyFill="1" applyBorder="1">
      <alignment vertical="top"/>
    </xf>
    <xf numFmtId="3" fontId="12" fillId="0" borderId="0" xfId="2" applyNumberFormat="1" applyFont="1" applyBorder="1" applyAlignment="1">
      <alignment horizontal="right" vertical="top"/>
    </xf>
    <xf numFmtId="5" fontId="12" fillId="0" borderId="0" xfId="2" applyNumberFormat="1" applyFont="1" applyBorder="1" applyAlignment="1">
      <alignment horizontal="right" vertical="top"/>
    </xf>
    <xf numFmtId="10" fontId="12" fillId="0" borderId="0" xfId="23" applyFont="1" applyBorder="1">
      <alignment vertical="top"/>
    </xf>
    <xf numFmtId="3" fontId="12" fillId="0" borderId="0" xfId="23" applyNumberFormat="1" applyFont="1" applyBorder="1">
      <alignment vertical="top"/>
    </xf>
    <xf numFmtId="0" fontId="11" fillId="0" borderId="0" xfId="0" applyFont="1" applyFill="1">
      <alignment vertical="top"/>
    </xf>
    <xf numFmtId="0" fontId="11" fillId="0" borderId="0" xfId="0" quotePrefix="1" applyFont="1" applyFill="1" applyAlignment="1">
      <alignment horizontal="left" vertical="top" indent="2"/>
    </xf>
    <xf numFmtId="3" fontId="12" fillId="0" borderId="0" xfId="8286" applyFont="1" applyFill="1">
      <alignment vertical="top"/>
    </xf>
    <xf numFmtId="3" fontId="12" fillId="0" borderId="3" xfId="5" applyFont="1" applyBorder="1">
      <alignment vertical="top"/>
    </xf>
    <xf numFmtId="3" fontId="12" fillId="0" borderId="3" xfId="5" applyFont="1" applyFill="1" applyBorder="1">
      <alignment vertical="top"/>
    </xf>
    <xf numFmtId="3" fontId="12" fillId="0" borderId="0" xfId="5" applyFont="1" applyBorder="1">
      <alignment vertical="top"/>
    </xf>
    <xf numFmtId="3" fontId="12" fillId="0" borderId="0" xfId="0" applyNumberFormat="1" applyFont="1" applyFill="1" applyBorder="1" applyAlignment="1" applyProtection="1">
      <alignment vertical="top"/>
    </xf>
    <xf numFmtId="3" fontId="12" fillId="0" borderId="3" xfId="8286" applyFont="1" applyFill="1" applyBorder="1">
      <alignment vertical="top"/>
    </xf>
    <xf numFmtId="3" fontId="12" fillId="0" borderId="0" xfId="5" applyFont="1" applyFill="1" applyAlignment="1">
      <alignment horizontal="right" vertical="top"/>
    </xf>
    <xf numFmtId="3" fontId="12" fillId="0" borderId="0" xfId="5" applyFont="1" applyFill="1" applyAlignment="1">
      <alignment vertical="top"/>
    </xf>
    <xf numFmtId="3" fontId="12" fillId="0" borderId="0" xfId="8286" applyFont="1" applyFill="1" applyBorder="1">
      <alignment vertical="top"/>
    </xf>
    <xf numFmtId="0" fontId="11" fillId="0" borderId="0" xfId="0" quotePrefix="1" applyFont="1" applyAlignment="1">
      <alignment horizontal="left" vertical="top"/>
    </xf>
    <xf numFmtId="4" fontId="12" fillId="0" borderId="0" xfId="0" applyNumberFormat="1" applyFont="1" applyFill="1" applyBorder="1" applyAlignment="1" applyProtection="1">
      <alignment vertical="top"/>
    </xf>
    <xf numFmtId="3" fontId="12" fillId="0" borderId="0" xfId="5" applyFont="1" applyFill="1" applyBorder="1">
      <alignment vertical="top"/>
    </xf>
    <xf numFmtId="168" fontId="12" fillId="0" borderId="0" xfId="2" applyNumberFormat="1" applyFont="1" applyAlignment="1"/>
    <xf numFmtId="168" fontId="12" fillId="0" borderId="0" xfId="2" applyNumberFormat="1" applyFont="1" applyAlignment="1">
      <alignment horizontal="right" vertical="top"/>
    </xf>
    <xf numFmtId="0" fontId="12" fillId="0" borderId="0" xfId="0" applyFont="1" applyBorder="1">
      <alignment vertical="top"/>
    </xf>
    <xf numFmtId="10" fontId="12" fillId="0" borderId="0" xfId="0" applyNumberFormat="1" applyFont="1" applyFill="1">
      <alignment vertical="top"/>
    </xf>
    <xf numFmtId="10" fontId="12" fillId="0" borderId="3" xfId="0" applyNumberFormat="1" applyFont="1" applyFill="1" applyBorder="1">
      <alignment vertical="top"/>
    </xf>
    <xf numFmtId="10" fontId="12" fillId="0" borderId="3" xfId="22" applyNumberFormat="1" applyFont="1" applyFill="1" applyBorder="1">
      <alignment vertical="top"/>
    </xf>
    <xf numFmtId="3" fontId="12" fillId="0" borderId="0" xfId="8286" quotePrefix="1" applyFont="1" applyFill="1">
      <alignment vertical="top"/>
    </xf>
    <xf numFmtId="0" fontId="12" fillId="0" borderId="0" xfId="0" applyFont="1" applyAlignment="1">
      <alignment horizontal="center" vertical="top"/>
    </xf>
    <xf numFmtId="10" fontId="12" fillId="0" borderId="0" xfId="22" applyFont="1" applyFill="1" applyBorder="1" applyAlignment="1" applyProtection="1">
      <alignment vertical="top"/>
    </xf>
    <xf numFmtId="10" fontId="12" fillId="0" borderId="0" xfId="22" applyNumberFormat="1" applyFont="1" applyAlignment="1">
      <alignment horizontal="right" vertical="top"/>
    </xf>
    <xf numFmtId="10" fontId="11" fillId="0" borderId="0" xfId="22" applyFont="1" applyFill="1" applyBorder="1" applyAlignment="1" applyProtection="1">
      <alignment vertical="top"/>
    </xf>
    <xf numFmtId="3" fontId="11" fillId="0" borderId="0" xfId="19" applyNumberFormat="1" applyFont="1" applyFill="1">
      <alignment vertical="top"/>
    </xf>
    <xf numFmtId="0" fontId="12" fillId="0" borderId="0" xfId="17" applyFont="1" applyFill="1" applyAlignment="1">
      <alignment horizontal="center"/>
    </xf>
    <xf numFmtId="3" fontId="11" fillId="0" borderId="0" xfId="5" quotePrefix="1" applyFont="1" applyFill="1" applyBorder="1" applyAlignment="1">
      <alignment horizontal="left" vertical="top"/>
    </xf>
    <xf numFmtId="3" fontId="12" fillId="0" borderId="0" xfId="8297" applyNumberFormat="1" applyFont="1" applyFill="1">
      <alignment vertical="top"/>
    </xf>
    <xf numFmtId="37" fontId="12" fillId="0" borderId="0" xfId="2" applyNumberFormat="1" applyFont="1" applyFill="1" applyAlignment="1"/>
    <xf numFmtId="3" fontId="11" fillId="0" borderId="0" xfId="18" applyNumberFormat="1" applyFont="1" applyFill="1">
      <alignment vertical="top"/>
    </xf>
    <xf numFmtId="17" fontId="12" fillId="0" borderId="0" xfId="17" applyNumberFormat="1" applyFont="1" applyFill="1" applyAlignment="1">
      <alignment horizontal="center"/>
    </xf>
    <xf numFmtId="3" fontId="11" fillId="0" borderId="6" xfId="5" applyFont="1" applyFill="1" applyBorder="1">
      <alignment vertical="top"/>
    </xf>
    <xf numFmtId="0" fontId="12" fillId="0" borderId="0" xfId="17" applyFont="1" applyFill="1"/>
    <xf numFmtId="3" fontId="11" fillId="0" borderId="0" xfId="17" applyNumberFormat="1" applyFont="1" applyFill="1" applyAlignment="1">
      <alignment horizontal="center"/>
    </xf>
    <xf numFmtId="3" fontId="12" fillId="0" borderId="0" xfId="17" applyNumberFormat="1" applyFont="1" applyFill="1" applyAlignment="1">
      <alignment horizontal="center"/>
    </xf>
    <xf numFmtId="3" fontId="17" fillId="0" borderId="0" xfId="5" applyFont="1" applyFill="1">
      <alignment vertical="top"/>
    </xf>
    <xf numFmtId="3" fontId="12" fillId="0" borderId="0" xfId="19" quotePrefix="1" applyNumberFormat="1" applyFont="1" applyFill="1">
      <alignment vertical="top"/>
    </xf>
    <xf numFmtId="37" fontId="12" fillId="0" borderId="0" xfId="19" quotePrefix="1" applyNumberFormat="1" applyFont="1" applyFill="1">
      <alignment vertical="top"/>
    </xf>
    <xf numFmtId="3" fontId="11" fillId="0" borderId="0" xfId="5" quotePrefix="1" applyFont="1" applyFill="1" applyAlignment="1">
      <alignment horizontal="left" vertical="top"/>
    </xf>
    <xf numFmtId="3" fontId="11" fillId="0" borderId="3" xfId="5" applyFont="1" applyFill="1" applyBorder="1">
      <alignment vertical="top"/>
    </xf>
    <xf numFmtId="17" fontId="12" fillId="0" borderId="0" xfId="19" applyNumberFormat="1" applyFont="1" applyFill="1" applyAlignment="1">
      <alignment horizontal="center" vertical="top"/>
    </xf>
    <xf numFmtId="3" fontId="11" fillId="0" borderId="6" xfId="0" applyNumberFormat="1" applyFont="1" applyFill="1" applyBorder="1" applyAlignment="1">
      <alignment horizontal="left" vertical="top"/>
    </xf>
    <xf numFmtId="3" fontId="12" fillId="0" borderId="6" xfId="0" applyNumberFormat="1" applyFont="1" applyFill="1" applyBorder="1">
      <alignment vertical="top"/>
    </xf>
    <xf numFmtId="3" fontId="11" fillId="0" borderId="0" xfId="0" applyNumberFormat="1" applyFont="1" applyFill="1" applyBorder="1" applyAlignment="1">
      <alignment horizontal="left" vertical="top"/>
    </xf>
    <xf numFmtId="0" fontId="11" fillId="0" borderId="3" xfId="0" applyNumberFormat="1" applyFont="1" applyFill="1" applyBorder="1" applyAlignment="1">
      <alignment horizontal="center" vertical="top"/>
    </xf>
    <xf numFmtId="37" fontId="11" fillId="0" borderId="0" xfId="0" applyNumberFormat="1" applyFont="1" applyFill="1">
      <alignment vertical="top"/>
    </xf>
    <xf numFmtId="37" fontId="11" fillId="0" borderId="0" xfId="0" applyNumberFormat="1" applyFont="1" applyFill="1" applyBorder="1">
      <alignment vertical="top"/>
    </xf>
    <xf numFmtId="37" fontId="12" fillId="0" borderId="0" xfId="2" applyNumberFormat="1" applyFont="1" applyFill="1" applyBorder="1" applyAlignment="1"/>
    <xf numFmtId="37" fontId="11" fillId="0" borderId="6" xfId="0" applyNumberFormat="1" applyFont="1" applyFill="1" applyBorder="1">
      <alignment vertical="top"/>
    </xf>
    <xf numFmtId="3" fontId="11" fillId="0" borderId="6" xfId="0" applyNumberFormat="1" applyFont="1" applyFill="1" applyBorder="1">
      <alignment vertical="top"/>
    </xf>
    <xf numFmtId="0" fontId="12" fillId="0" borderId="6" xfId="0" applyFont="1" applyFill="1" applyBorder="1">
      <alignment vertical="top"/>
    </xf>
    <xf numFmtId="37" fontId="11" fillId="0" borderId="0" xfId="5" applyNumberFormat="1" applyFont="1" applyFill="1" applyBorder="1">
      <alignment vertical="top"/>
    </xf>
    <xf numFmtId="3" fontId="18" fillId="0" borderId="0" xfId="0" applyNumberFormat="1" applyFont="1" applyFill="1" applyAlignment="1">
      <alignment horizontal="center"/>
    </xf>
    <xf numFmtId="37" fontId="12" fillId="0" borderId="25" xfId="0" applyNumberFormat="1" applyFont="1" applyFill="1" applyBorder="1">
      <alignment vertical="top"/>
    </xf>
    <xf numFmtId="37" fontId="12" fillId="0" borderId="26" xfId="0" applyNumberFormat="1" applyFont="1" applyFill="1" applyBorder="1">
      <alignment vertical="top"/>
    </xf>
    <xf numFmtId="10" fontId="12" fillId="0" borderId="27" xfId="26" applyNumberFormat="1" applyFont="1" applyFill="1" applyBorder="1">
      <alignment vertical="top"/>
    </xf>
    <xf numFmtId="10" fontId="12" fillId="0" borderId="0" xfId="26" applyNumberFormat="1" applyFont="1" applyFill="1" applyBorder="1">
      <alignment vertical="top"/>
    </xf>
    <xf numFmtId="37" fontId="11" fillId="0" borderId="3" xfId="0" applyNumberFormat="1" applyFont="1" applyFill="1" applyBorder="1">
      <alignment vertical="top"/>
    </xf>
    <xf numFmtId="37" fontId="12" fillId="0" borderId="0" xfId="0" applyNumberFormat="1" applyFont="1" applyFill="1" applyAlignment="1">
      <alignment horizontal="center" vertical="top"/>
    </xf>
    <xf numFmtId="37" fontId="11" fillId="0" borderId="0" xfId="0" quotePrefix="1" applyNumberFormat="1" applyFont="1" applyFill="1">
      <alignment vertical="top"/>
    </xf>
    <xf numFmtId="0" fontId="12" fillId="0" borderId="0" xfId="0" applyNumberFormat="1" applyFont="1" applyFill="1" applyAlignment="1">
      <alignment horizontal="center" vertical="top"/>
    </xf>
    <xf numFmtId="37" fontId="12" fillId="0" borderId="3" xfId="0" applyNumberFormat="1" applyFont="1" applyFill="1" applyBorder="1" applyAlignment="1">
      <alignment horizontal="center" vertical="top"/>
    </xf>
    <xf numFmtId="0" fontId="12" fillId="0" borderId="3" xfId="0" applyNumberFormat="1" applyFont="1" applyFill="1" applyBorder="1" applyAlignment="1">
      <alignment horizontal="center" vertical="top"/>
    </xf>
    <xf numFmtId="37" fontId="12" fillId="0" borderId="14" xfId="0" applyNumberFormat="1" applyFont="1" applyFill="1" applyBorder="1">
      <alignment vertical="top"/>
    </xf>
    <xf numFmtId="37" fontId="12" fillId="0" borderId="20" xfId="0" applyNumberFormat="1" applyFont="1" applyFill="1" applyBorder="1">
      <alignment vertical="top"/>
    </xf>
    <xf numFmtId="37" fontId="12" fillId="0" borderId="15" xfId="0" applyNumberFormat="1" applyFont="1" applyFill="1" applyBorder="1">
      <alignment vertical="top"/>
    </xf>
    <xf numFmtId="37" fontId="11" fillId="0" borderId="23" xfId="0" applyNumberFormat="1" applyFont="1" applyFill="1" applyBorder="1">
      <alignment vertical="top"/>
    </xf>
    <xf numFmtId="37" fontId="11" fillId="0" borderId="5" xfId="0" applyNumberFormat="1" applyFont="1" applyFill="1" applyBorder="1">
      <alignment vertical="top"/>
    </xf>
    <xf numFmtId="37" fontId="11" fillId="0" borderId="38" xfId="0" applyNumberFormat="1" applyFont="1" applyFill="1" applyBorder="1">
      <alignment vertical="top"/>
    </xf>
    <xf numFmtId="37" fontId="12" fillId="0" borderId="21" xfId="0" applyNumberFormat="1" applyFont="1" applyFill="1" applyBorder="1">
      <alignment vertical="top"/>
    </xf>
    <xf numFmtId="37" fontId="12" fillId="0" borderId="17" xfId="0" applyNumberFormat="1" applyFont="1" applyFill="1" applyBorder="1">
      <alignment vertical="top"/>
    </xf>
    <xf numFmtId="37" fontId="12" fillId="0" borderId="22" xfId="0" applyNumberFormat="1" applyFont="1" applyFill="1" applyBorder="1">
      <alignment vertical="top"/>
    </xf>
    <xf numFmtId="164" fontId="12" fillId="0" borderId="0" xfId="22" applyNumberFormat="1" applyFont="1" applyFill="1" applyBorder="1">
      <alignment vertical="top"/>
    </xf>
    <xf numFmtId="5" fontId="12" fillId="0" borderId="0" xfId="7" applyNumberFormat="1" applyFont="1" applyFill="1" applyBorder="1">
      <alignment vertical="top"/>
    </xf>
    <xf numFmtId="3" fontId="11" fillId="0" borderId="0" xfId="0" applyNumberFormat="1" applyFont="1" applyFill="1" applyBorder="1">
      <alignment vertical="top"/>
    </xf>
    <xf numFmtId="3" fontId="11" fillId="0" borderId="4" xfId="0" applyNumberFormat="1" applyFont="1" applyFill="1" applyBorder="1" applyAlignment="1">
      <alignment horizontal="center" vertical="top"/>
    </xf>
    <xf numFmtId="5" fontId="11" fillId="0" borderId="0" xfId="0" applyNumberFormat="1" applyFont="1" applyFill="1" applyAlignment="1">
      <alignment horizontal="center" vertical="top"/>
    </xf>
    <xf numFmtId="3" fontId="12" fillId="0" borderId="3" xfId="0" applyNumberFormat="1" applyFont="1" applyFill="1" applyBorder="1">
      <alignment vertical="top"/>
    </xf>
    <xf numFmtId="5" fontId="11" fillId="0" borderId="0" xfId="7" applyNumberFormat="1" applyFont="1" applyFill="1" applyBorder="1">
      <alignment vertical="top"/>
    </xf>
    <xf numFmtId="3" fontId="12" fillId="0" borderId="0" xfId="0" quotePrefix="1" applyNumberFormat="1" applyFont="1" applyFill="1" applyAlignment="1">
      <alignment horizontal="left" vertical="top"/>
    </xf>
    <xf numFmtId="3" fontId="12" fillId="0" borderId="0" xfId="0" applyNumberFormat="1" applyFont="1" applyFill="1" applyAlignment="1">
      <alignment horizontal="center" vertical="top"/>
    </xf>
    <xf numFmtId="3" fontId="12" fillId="0" borderId="0" xfId="0" quotePrefix="1" applyNumberFormat="1" applyFont="1" applyFill="1" applyAlignment="1">
      <alignment horizontal="center" vertical="top"/>
    </xf>
    <xf numFmtId="37" fontId="12" fillId="0" borderId="0" xfId="8760" applyNumberFormat="1" applyFont="1" applyFill="1"/>
    <xf numFmtId="37" fontId="12" fillId="0" borderId="3" xfId="8760" applyNumberFormat="1" applyFont="1" applyFill="1" applyBorder="1"/>
    <xf numFmtId="3" fontId="11" fillId="0" borderId="0" xfId="0" quotePrefix="1" applyNumberFormat="1" applyFont="1" applyFill="1" applyAlignment="1">
      <alignment horizontal="center" vertical="top"/>
    </xf>
    <xf numFmtId="0" fontId="11" fillId="0" borderId="0" xfId="0" applyNumberFormat="1" applyFont="1" applyFill="1" applyAlignment="1">
      <alignment horizontal="center" vertical="top"/>
    </xf>
    <xf numFmtId="3" fontId="11" fillId="0" borderId="3" xfId="0" quotePrefix="1" applyNumberFormat="1" applyFont="1" applyFill="1" applyBorder="1" applyAlignment="1">
      <alignment horizontal="center" vertical="top"/>
    </xf>
    <xf numFmtId="3" fontId="11" fillId="0" borderId="0" xfId="0" quotePrefix="1" applyNumberFormat="1" applyFont="1" applyAlignment="1">
      <alignment horizontal="center" vertical="top"/>
    </xf>
    <xf numFmtId="5" fontId="12" fillId="0" borderId="0" xfId="8290" applyFont="1" applyFill="1" applyAlignment="1">
      <alignment horizontal="right" vertical="top"/>
    </xf>
    <xf numFmtId="5" fontId="12" fillId="0" borderId="0" xfId="9" applyFont="1" applyFill="1" applyAlignment="1">
      <alignment horizontal="right" vertical="top"/>
    </xf>
    <xf numFmtId="41" fontId="12" fillId="0" borderId="0" xfId="8286" applyNumberFormat="1" applyFont="1" applyFill="1" applyAlignment="1">
      <alignment horizontal="right" vertical="top"/>
    </xf>
    <xf numFmtId="41" fontId="12" fillId="0" borderId="3" xfId="8286" applyNumberFormat="1" applyFont="1" applyFill="1" applyBorder="1" applyAlignment="1">
      <alignment horizontal="right" vertical="top"/>
    </xf>
    <xf numFmtId="41" fontId="12" fillId="0" borderId="3" xfId="5" applyNumberFormat="1" applyFont="1" applyFill="1" applyBorder="1" applyAlignment="1">
      <alignment horizontal="right" vertical="top"/>
    </xf>
    <xf numFmtId="41" fontId="12" fillId="0" borderId="0" xfId="8286" applyNumberFormat="1" applyFont="1" applyFill="1" applyBorder="1" applyAlignment="1">
      <alignment horizontal="right" vertical="top"/>
    </xf>
    <xf numFmtId="3" fontId="12" fillId="2" borderId="0" xfId="0" applyNumberFormat="1" applyFont="1" applyFill="1">
      <alignment vertical="top"/>
    </xf>
    <xf numFmtId="0" fontId="12" fillId="0" borderId="0" xfId="0" applyFont="1" applyFill="1" applyAlignment="1"/>
    <xf numFmtId="37" fontId="12" fillId="0" borderId="0" xfId="7" applyNumberFormat="1" applyFont="1" applyAlignment="1"/>
    <xf numFmtId="37" fontId="12" fillId="0" borderId="3" xfId="7" applyNumberFormat="1" applyFont="1" applyBorder="1" applyAlignment="1"/>
    <xf numFmtId="37" fontId="12" fillId="0" borderId="0" xfId="7" applyNumberFormat="1" applyFont="1" applyBorder="1" applyAlignment="1"/>
    <xf numFmtId="0" fontId="12" fillId="0" borderId="0" xfId="0" applyFont="1" applyFill="1" applyBorder="1" applyAlignment="1"/>
    <xf numFmtId="37" fontId="12" fillId="0" borderId="3" xfId="2" applyNumberFormat="1" applyFont="1" applyBorder="1" applyAlignment="1"/>
    <xf numFmtId="165" fontId="12" fillId="0" borderId="0" xfId="22" applyNumberFormat="1" applyFont="1" applyAlignment="1"/>
    <xf numFmtId="5" fontId="12" fillId="0" borderId="0" xfId="0" applyNumberFormat="1" applyFont="1" applyFill="1" applyBorder="1" applyAlignment="1"/>
    <xf numFmtId="0" fontId="12" fillId="0" borderId="0" xfId="0" applyFont="1" applyFill="1" applyBorder="1">
      <alignment vertical="top"/>
    </xf>
    <xf numFmtId="164" fontId="12" fillId="0" borderId="3" xfId="22" applyNumberFormat="1" applyFont="1" applyFill="1" applyBorder="1" applyAlignment="1"/>
    <xf numFmtId="0" fontId="12" fillId="0" borderId="0" xfId="0" quotePrefix="1" applyFont="1" applyFill="1" applyBorder="1" applyAlignment="1">
      <alignment horizontal="left"/>
    </xf>
    <xf numFmtId="168" fontId="12" fillId="0" borderId="0" xfId="2" applyNumberFormat="1" applyFont="1" applyFill="1" applyBorder="1" applyAlignment="1"/>
    <xf numFmtId="176" fontId="12" fillId="0" borderId="5" xfId="7" applyNumberFormat="1" applyFont="1" applyFill="1" applyBorder="1" applyAlignment="1"/>
    <xf numFmtId="5" fontId="12" fillId="0" borderId="0" xfId="7" applyNumberFormat="1" applyFont="1" applyFill="1" applyBorder="1" applyAlignment="1">
      <alignment horizontal="right" vertical="top"/>
    </xf>
    <xf numFmtId="0" fontId="18" fillId="0" borderId="0" xfId="0" applyFont="1" applyAlignment="1">
      <alignment horizontal="left" indent="1"/>
    </xf>
    <xf numFmtId="37" fontId="12" fillId="0" borderId="0" xfId="5" applyNumberFormat="1" applyFont="1" applyFill="1" applyBorder="1" applyAlignment="1">
      <alignment horizontal="right" vertical="top"/>
    </xf>
    <xf numFmtId="37" fontId="12" fillId="0" borderId="0" xfId="0" applyNumberFormat="1" applyFont="1" applyFill="1" applyBorder="1" applyAlignment="1">
      <alignment horizontal="center" vertical="top"/>
    </xf>
    <xf numFmtId="5" fontId="12" fillId="0" borderId="0" xfId="7" applyNumberFormat="1" applyFont="1" applyFill="1">
      <alignment vertical="top"/>
    </xf>
    <xf numFmtId="0" fontId="12" fillId="0" borderId="0" xfId="0" applyNumberFormat="1" applyFont="1" applyFill="1" applyBorder="1" applyAlignment="1">
      <alignment horizontal="center" vertical="top"/>
    </xf>
    <xf numFmtId="4" fontId="12" fillId="0" borderId="0" xfId="0" applyNumberFormat="1" applyFont="1" applyFill="1" applyBorder="1">
      <alignment vertical="top"/>
    </xf>
    <xf numFmtId="4" fontId="11" fillId="0" borderId="0" xfId="0" applyNumberFormat="1" applyFont="1" applyFill="1" applyBorder="1">
      <alignment vertical="top"/>
    </xf>
    <xf numFmtId="4" fontId="11" fillId="0" borderId="0" xfId="0" applyNumberFormat="1" applyFont="1" applyFill="1" applyBorder="1" applyAlignment="1">
      <alignment horizontal="center" vertical="top"/>
    </xf>
    <xf numFmtId="3" fontId="12" fillId="0" borderId="0" xfId="0" applyNumberFormat="1" applyFont="1" applyFill="1" applyBorder="1" applyAlignment="1">
      <alignment horizontal="center" vertical="top"/>
    </xf>
    <xf numFmtId="4" fontId="12" fillId="0" borderId="0" xfId="0" applyNumberFormat="1" applyFont="1" applyFill="1" applyBorder="1" applyAlignment="1" applyProtection="1">
      <alignment horizontal="left" vertical="top"/>
      <protection locked="0"/>
    </xf>
    <xf numFmtId="0" fontId="12" fillId="0" borderId="0" xfId="0" applyNumberFormat="1" applyFont="1" applyFill="1" applyBorder="1">
      <alignment vertical="top"/>
    </xf>
    <xf numFmtId="0" fontId="11" fillId="0" borderId="0" xfId="0" applyFont="1" applyFill="1" applyBorder="1" applyAlignment="1">
      <alignment horizontal="center" vertical="top"/>
    </xf>
    <xf numFmtId="3" fontId="12" fillId="0" borderId="0" xfId="0" applyNumberFormat="1" applyFont="1" applyBorder="1" applyAlignment="1">
      <alignment horizontal="left" vertical="top" indent="1"/>
    </xf>
    <xf numFmtId="37" fontId="12" fillId="0" borderId="0" xfId="9003" applyNumberFormat="1" applyFont="1" applyFill="1" applyAlignment="1">
      <alignment vertical="top"/>
    </xf>
    <xf numFmtId="37" fontId="12" fillId="0" borderId="0" xfId="9446" applyNumberFormat="1" applyFont="1" applyFill="1" applyAlignment="1">
      <alignment vertical="top"/>
    </xf>
    <xf numFmtId="37" fontId="12" fillId="0" borderId="3" xfId="9003" applyNumberFormat="1" applyFont="1" applyFill="1" applyBorder="1" applyAlignment="1">
      <alignment vertical="top"/>
    </xf>
    <xf numFmtId="37" fontId="12" fillId="0" borderId="3" xfId="2" applyNumberFormat="1" applyFont="1" applyBorder="1">
      <alignment vertical="top"/>
    </xf>
    <xf numFmtId="10" fontId="12" fillId="0" borderId="0" xfId="23" applyFont="1">
      <alignment vertical="top"/>
    </xf>
    <xf numFmtId="37" fontId="12" fillId="0" borderId="0" xfId="2" applyNumberFormat="1" applyFont="1" applyAlignment="1">
      <alignment horizontal="right" vertical="top"/>
    </xf>
    <xf numFmtId="3" fontId="12" fillId="0" borderId="0" xfId="2" applyNumberFormat="1" applyFont="1" applyAlignment="1">
      <alignment horizontal="right" vertical="top"/>
    </xf>
    <xf numFmtId="3" fontId="12" fillId="0" borderId="0" xfId="3" applyNumberFormat="1" applyFont="1" applyAlignment="1">
      <alignment vertical="top"/>
    </xf>
    <xf numFmtId="37" fontId="12" fillId="0" borderId="0" xfId="9487" applyNumberFormat="1" applyFont="1" applyFill="1">
      <alignment horizontal="right" vertical="top"/>
    </xf>
    <xf numFmtId="37" fontId="12" fillId="0" borderId="0" xfId="2" applyNumberFormat="1" applyFont="1" applyFill="1" applyAlignment="1">
      <alignment horizontal="right" vertical="top"/>
    </xf>
    <xf numFmtId="37" fontId="12" fillId="0" borderId="3" xfId="9487" applyNumberFormat="1" applyFont="1" applyFill="1" applyBorder="1">
      <alignment horizontal="right" vertical="top"/>
    </xf>
    <xf numFmtId="37" fontId="12" fillId="0" borderId="3" xfId="2" applyNumberFormat="1" applyFont="1" applyFill="1" applyBorder="1" applyAlignment="1">
      <alignment horizontal="right" vertical="top"/>
    </xf>
  </cellXfs>
  <cellStyles count="9488">
    <cellStyle name="20% - Accent1" xfId="8261" builtinId="30" customBuiltin="1"/>
    <cellStyle name="20% - Accent1 10" xfId="31"/>
    <cellStyle name="20% - Accent1 10 2" xfId="8306"/>
    <cellStyle name="20% - Accent1 10 3" xfId="9009"/>
    <cellStyle name="20% - Accent1 11" xfId="32"/>
    <cellStyle name="20% - Accent1 11 2" xfId="8307"/>
    <cellStyle name="20% - Accent1 11 3" xfId="9010"/>
    <cellStyle name="20% - Accent1 12" xfId="8989"/>
    <cellStyle name="20% - Accent1 13" xfId="9454"/>
    <cellStyle name="20% - Accent1 2" xfId="33"/>
    <cellStyle name="20% - Accent1 2 2" xfId="34"/>
    <cellStyle name="20% - Accent1 2 2 2" xfId="35"/>
    <cellStyle name="20% - Accent1 2 2 2 2" xfId="8309"/>
    <cellStyle name="20% - Accent1 2 2 2 3" xfId="9012"/>
    <cellStyle name="20% - Accent1 2 2 3" xfId="36"/>
    <cellStyle name="20% - Accent1 2 2 3 2" xfId="8310"/>
    <cellStyle name="20% - Accent1 2 2 3 3" xfId="9013"/>
    <cellStyle name="20% - Accent1 2 2 4" xfId="37"/>
    <cellStyle name="20% - Accent1 2 2 4 2" xfId="8311"/>
    <cellStyle name="20% - Accent1 2 2 4 3" xfId="9014"/>
    <cellStyle name="20% - Accent1 2 2 5" xfId="38"/>
    <cellStyle name="20% - Accent1 2 2 5 2" xfId="8312"/>
    <cellStyle name="20% - Accent1 2 2 5 3" xfId="9015"/>
    <cellStyle name="20% - Accent1 2 2 6" xfId="39"/>
    <cellStyle name="20% - Accent1 2 2 6 2" xfId="8313"/>
    <cellStyle name="20% - Accent1 2 2 6 3" xfId="9016"/>
    <cellStyle name="20% - Accent1 2 2 7" xfId="8308"/>
    <cellStyle name="20% - Accent1 2 2 8" xfId="9011"/>
    <cellStyle name="20% - Accent1 2 3" xfId="40"/>
    <cellStyle name="20% - Accent1 2 4" xfId="41"/>
    <cellStyle name="20% - Accent1 2 5" xfId="42"/>
    <cellStyle name="20% - Accent1 2 6" xfId="8874"/>
    <cellStyle name="20% - Accent1 2 7" xfId="9439"/>
    <cellStyle name="20% - Accent1 3" xfId="43"/>
    <cellStyle name="20% - Accent1 3 10" xfId="9017"/>
    <cellStyle name="20% - Accent1 3 2" xfId="44"/>
    <cellStyle name="20% - Accent1 3 2 2" xfId="8315"/>
    <cellStyle name="20% - Accent1 3 2 3" xfId="9018"/>
    <cellStyle name="20% - Accent1 3 3" xfId="45"/>
    <cellStyle name="20% - Accent1 3 3 2" xfId="8316"/>
    <cellStyle name="20% - Accent1 3 3 3" xfId="9019"/>
    <cellStyle name="20% - Accent1 3 4" xfId="46"/>
    <cellStyle name="20% - Accent1 3 4 2" xfId="8317"/>
    <cellStyle name="20% - Accent1 3 4 3" xfId="9020"/>
    <cellStyle name="20% - Accent1 3 5" xfId="47"/>
    <cellStyle name="20% - Accent1 3 5 2" xfId="8318"/>
    <cellStyle name="20% - Accent1 3 5 3" xfId="9021"/>
    <cellStyle name="20% - Accent1 3 6" xfId="48"/>
    <cellStyle name="20% - Accent1 3 6 2" xfId="8319"/>
    <cellStyle name="20% - Accent1 3 6 3" xfId="9022"/>
    <cellStyle name="20% - Accent1 3 7" xfId="49"/>
    <cellStyle name="20% - Accent1 3 7 2" xfId="8320"/>
    <cellStyle name="20% - Accent1 3 7 3" xfId="9023"/>
    <cellStyle name="20% - Accent1 3 8" xfId="50"/>
    <cellStyle name="20% - Accent1 3 8 2" xfId="8321"/>
    <cellStyle name="20% - Accent1 3 8 3" xfId="9024"/>
    <cellStyle name="20% - Accent1 3 9" xfId="8314"/>
    <cellStyle name="20% - Accent1 4" xfId="51"/>
    <cellStyle name="20% - Accent1 4 10" xfId="9025"/>
    <cellStyle name="20% - Accent1 4 2" xfId="52"/>
    <cellStyle name="20% - Accent1 4 2 2" xfId="8323"/>
    <cellStyle name="20% - Accent1 4 2 3" xfId="9026"/>
    <cellStyle name="20% - Accent1 4 3" xfId="53"/>
    <cellStyle name="20% - Accent1 4 3 2" xfId="8324"/>
    <cellStyle name="20% - Accent1 4 3 3" xfId="9027"/>
    <cellStyle name="20% - Accent1 4 4" xfId="54"/>
    <cellStyle name="20% - Accent1 4 4 2" xfId="8325"/>
    <cellStyle name="20% - Accent1 4 4 3" xfId="9028"/>
    <cellStyle name="20% - Accent1 4 5" xfId="55"/>
    <cellStyle name="20% - Accent1 4 5 2" xfId="8326"/>
    <cellStyle name="20% - Accent1 4 5 3" xfId="9029"/>
    <cellStyle name="20% - Accent1 4 6" xfId="56"/>
    <cellStyle name="20% - Accent1 4 6 2" xfId="8327"/>
    <cellStyle name="20% - Accent1 4 6 3" xfId="9030"/>
    <cellStyle name="20% - Accent1 4 7" xfId="57"/>
    <cellStyle name="20% - Accent1 4 7 2" xfId="8328"/>
    <cellStyle name="20% - Accent1 4 7 3" xfId="9031"/>
    <cellStyle name="20% - Accent1 4 8" xfId="58"/>
    <cellStyle name="20% - Accent1 4 8 2" xfId="8329"/>
    <cellStyle name="20% - Accent1 4 8 3" xfId="9032"/>
    <cellStyle name="20% - Accent1 4 9" xfId="8322"/>
    <cellStyle name="20% - Accent1 5" xfId="59"/>
    <cellStyle name="20% - Accent1 5 10" xfId="9033"/>
    <cellStyle name="20% - Accent1 5 2" xfId="60"/>
    <cellStyle name="20% - Accent1 5 2 2" xfId="8331"/>
    <cellStyle name="20% - Accent1 5 2 3" xfId="9034"/>
    <cellStyle name="20% - Accent1 5 3" xfId="61"/>
    <cellStyle name="20% - Accent1 5 3 2" xfId="8332"/>
    <cellStyle name="20% - Accent1 5 3 3" xfId="9035"/>
    <cellStyle name="20% - Accent1 5 4" xfId="62"/>
    <cellStyle name="20% - Accent1 5 4 2" xfId="8333"/>
    <cellStyle name="20% - Accent1 5 4 3" xfId="9036"/>
    <cellStyle name="20% - Accent1 5 5" xfId="63"/>
    <cellStyle name="20% - Accent1 5 5 2" xfId="8334"/>
    <cellStyle name="20% - Accent1 5 5 3" xfId="9037"/>
    <cellStyle name="20% - Accent1 5 6" xfId="64"/>
    <cellStyle name="20% - Accent1 5 6 2" xfId="8335"/>
    <cellStyle name="20% - Accent1 5 6 3" xfId="9038"/>
    <cellStyle name="20% - Accent1 5 7" xfId="65"/>
    <cellStyle name="20% - Accent1 5 7 2" xfId="8336"/>
    <cellStyle name="20% - Accent1 5 7 3" xfId="9039"/>
    <cellStyle name="20% - Accent1 5 8" xfId="66"/>
    <cellStyle name="20% - Accent1 5 8 2" xfId="8337"/>
    <cellStyle name="20% - Accent1 5 8 3" xfId="9040"/>
    <cellStyle name="20% - Accent1 5 9" xfId="8330"/>
    <cellStyle name="20% - Accent1 6" xfId="67"/>
    <cellStyle name="20% - Accent1 6 2" xfId="8338"/>
    <cellStyle name="20% - Accent1 6 3" xfId="9041"/>
    <cellStyle name="20% - Accent1 7" xfId="68"/>
    <cellStyle name="20% - Accent1 7 2" xfId="8339"/>
    <cellStyle name="20% - Accent1 7 3" xfId="9042"/>
    <cellStyle name="20% - Accent1 8" xfId="69"/>
    <cellStyle name="20% - Accent1 8 2" xfId="8340"/>
    <cellStyle name="20% - Accent1 8 3" xfId="9043"/>
    <cellStyle name="20% - Accent1 9" xfId="70"/>
    <cellStyle name="20% - Accent1 9 2" xfId="8341"/>
    <cellStyle name="20% - Accent1 9 3" xfId="9044"/>
    <cellStyle name="20% - Accent2" xfId="8265" builtinId="34" customBuiltin="1"/>
    <cellStyle name="20% - Accent2 10" xfId="71"/>
    <cellStyle name="20% - Accent2 10 2" xfId="8342"/>
    <cellStyle name="20% - Accent2 10 3" xfId="9045"/>
    <cellStyle name="20% - Accent2 11" xfId="72"/>
    <cellStyle name="20% - Accent2 11 2" xfId="8343"/>
    <cellStyle name="20% - Accent2 11 3" xfId="9046"/>
    <cellStyle name="20% - Accent2 12" xfId="8746"/>
    <cellStyle name="20% - Accent2 13" xfId="9456"/>
    <cellStyle name="20% - Accent2 2" xfId="73"/>
    <cellStyle name="20% - Accent2 2 2" xfId="74"/>
    <cellStyle name="20% - Accent2 2 2 2" xfId="75"/>
    <cellStyle name="20% - Accent2 2 2 2 2" xfId="8345"/>
    <cellStyle name="20% - Accent2 2 2 2 3" xfId="9048"/>
    <cellStyle name="20% - Accent2 2 2 3" xfId="76"/>
    <cellStyle name="20% - Accent2 2 2 3 2" xfId="8346"/>
    <cellStyle name="20% - Accent2 2 2 3 3" xfId="9049"/>
    <cellStyle name="20% - Accent2 2 2 4" xfId="77"/>
    <cellStyle name="20% - Accent2 2 2 4 2" xfId="8347"/>
    <cellStyle name="20% - Accent2 2 2 4 3" xfId="9050"/>
    <cellStyle name="20% - Accent2 2 2 5" xfId="78"/>
    <cellStyle name="20% - Accent2 2 2 5 2" xfId="8348"/>
    <cellStyle name="20% - Accent2 2 2 5 3" xfId="9051"/>
    <cellStyle name="20% - Accent2 2 2 6" xfId="79"/>
    <cellStyle name="20% - Accent2 2 2 6 2" xfId="8349"/>
    <cellStyle name="20% - Accent2 2 2 6 3" xfId="9052"/>
    <cellStyle name="20% - Accent2 2 2 7" xfId="8344"/>
    <cellStyle name="20% - Accent2 2 2 8" xfId="9047"/>
    <cellStyle name="20% - Accent2 2 3" xfId="80"/>
    <cellStyle name="20% - Accent2 2 4" xfId="81"/>
    <cellStyle name="20% - Accent2 2 5" xfId="82"/>
    <cellStyle name="20% - Accent2 2 6" xfId="8814"/>
    <cellStyle name="20% - Accent2 2 7" xfId="9437"/>
    <cellStyle name="20% - Accent2 3" xfId="83"/>
    <cellStyle name="20% - Accent2 3 10" xfId="9053"/>
    <cellStyle name="20% - Accent2 3 2" xfId="84"/>
    <cellStyle name="20% - Accent2 3 2 2" xfId="8351"/>
    <cellStyle name="20% - Accent2 3 2 3" xfId="9054"/>
    <cellStyle name="20% - Accent2 3 3" xfId="85"/>
    <cellStyle name="20% - Accent2 3 3 2" xfId="8352"/>
    <cellStyle name="20% - Accent2 3 3 3" xfId="9055"/>
    <cellStyle name="20% - Accent2 3 4" xfId="86"/>
    <cellStyle name="20% - Accent2 3 4 2" xfId="8353"/>
    <cellStyle name="20% - Accent2 3 4 3" xfId="9056"/>
    <cellStyle name="20% - Accent2 3 5" xfId="87"/>
    <cellStyle name="20% - Accent2 3 5 2" xfId="8354"/>
    <cellStyle name="20% - Accent2 3 5 3" xfId="9057"/>
    <cellStyle name="20% - Accent2 3 6" xfId="88"/>
    <cellStyle name="20% - Accent2 3 6 2" xfId="8355"/>
    <cellStyle name="20% - Accent2 3 6 3" xfId="9058"/>
    <cellStyle name="20% - Accent2 3 7" xfId="89"/>
    <cellStyle name="20% - Accent2 3 7 2" xfId="8356"/>
    <cellStyle name="20% - Accent2 3 7 3" xfId="9059"/>
    <cellStyle name="20% - Accent2 3 8" xfId="90"/>
    <cellStyle name="20% - Accent2 3 8 2" xfId="8357"/>
    <cellStyle name="20% - Accent2 3 8 3" xfId="9060"/>
    <cellStyle name="20% - Accent2 3 9" xfId="8350"/>
    <cellStyle name="20% - Accent2 4" xfId="91"/>
    <cellStyle name="20% - Accent2 4 10" xfId="9061"/>
    <cellStyle name="20% - Accent2 4 2" xfId="92"/>
    <cellStyle name="20% - Accent2 4 2 2" xfId="8359"/>
    <cellStyle name="20% - Accent2 4 2 3" xfId="9062"/>
    <cellStyle name="20% - Accent2 4 3" xfId="93"/>
    <cellStyle name="20% - Accent2 4 3 2" xfId="8360"/>
    <cellStyle name="20% - Accent2 4 3 3" xfId="9063"/>
    <cellStyle name="20% - Accent2 4 4" xfId="94"/>
    <cellStyle name="20% - Accent2 4 4 2" xfId="8361"/>
    <cellStyle name="20% - Accent2 4 4 3" xfId="9064"/>
    <cellStyle name="20% - Accent2 4 5" xfId="95"/>
    <cellStyle name="20% - Accent2 4 5 2" xfId="8362"/>
    <cellStyle name="20% - Accent2 4 5 3" xfId="9065"/>
    <cellStyle name="20% - Accent2 4 6" xfId="96"/>
    <cellStyle name="20% - Accent2 4 6 2" xfId="8363"/>
    <cellStyle name="20% - Accent2 4 6 3" xfId="9066"/>
    <cellStyle name="20% - Accent2 4 7" xfId="97"/>
    <cellStyle name="20% - Accent2 4 7 2" xfId="8364"/>
    <cellStyle name="20% - Accent2 4 7 3" xfId="9067"/>
    <cellStyle name="20% - Accent2 4 8" xfId="98"/>
    <cellStyle name="20% - Accent2 4 8 2" xfId="8365"/>
    <cellStyle name="20% - Accent2 4 8 3" xfId="9068"/>
    <cellStyle name="20% - Accent2 4 9" xfId="8358"/>
    <cellStyle name="20% - Accent2 5" xfId="99"/>
    <cellStyle name="20% - Accent2 5 10" xfId="9069"/>
    <cellStyle name="20% - Accent2 5 2" xfId="100"/>
    <cellStyle name="20% - Accent2 5 2 2" xfId="8367"/>
    <cellStyle name="20% - Accent2 5 2 3" xfId="9070"/>
    <cellStyle name="20% - Accent2 5 3" xfId="101"/>
    <cellStyle name="20% - Accent2 5 3 2" xfId="8368"/>
    <cellStyle name="20% - Accent2 5 3 3" xfId="9071"/>
    <cellStyle name="20% - Accent2 5 4" xfId="102"/>
    <cellStyle name="20% - Accent2 5 4 2" xfId="8369"/>
    <cellStyle name="20% - Accent2 5 4 3" xfId="9072"/>
    <cellStyle name="20% - Accent2 5 5" xfId="103"/>
    <cellStyle name="20% - Accent2 5 5 2" xfId="8370"/>
    <cellStyle name="20% - Accent2 5 5 3" xfId="9073"/>
    <cellStyle name="20% - Accent2 5 6" xfId="104"/>
    <cellStyle name="20% - Accent2 5 6 2" xfId="8371"/>
    <cellStyle name="20% - Accent2 5 6 3" xfId="9074"/>
    <cellStyle name="20% - Accent2 5 7" xfId="105"/>
    <cellStyle name="20% - Accent2 5 7 2" xfId="8372"/>
    <cellStyle name="20% - Accent2 5 7 3" xfId="9075"/>
    <cellStyle name="20% - Accent2 5 8" xfId="106"/>
    <cellStyle name="20% - Accent2 5 8 2" xfId="8373"/>
    <cellStyle name="20% - Accent2 5 8 3" xfId="9076"/>
    <cellStyle name="20% - Accent2 5 9" xfId="8366"/>
    <cellStyle name="20% - Accent2 6" xfId="107"/>
    <cellStyle name="20% - Accent2 6 2" xfId="8374"/>
    <cellStyle name="20% - Accent2 6 3" xfId="9077"/>
    <cellStyle name="20% - Accent2 7" xfId="108"/>
    <cellStyle name="20% - Accent2 7 2" xfId="8375"/>
    <cellStyle name="20% - Accent2 7 3" xfId="9078"/>
    <cellStyle name="20% - Accent2 8" xfId="109"/>
    <cellStyle name="20% - Accent2 8 2" xfId="8376"/>
    <cellStyle name="20% - Accent2 8 3" xfId="9079"/>
    <cellStyle name="20% - Accent2 9" xfId="110"/>
    <cellStyle name="20% - Accent2 9 2" xfId="8377"/>
    <cellStyle name="20% - Accent2 9 3" xfId="9080"/>
    <cellStyle name="20% - Accent3" xfId="8269" builtinId="38" customBuiltin="1"/>
    <cellStyle name="20% - Accent3 10" xfId="111"/>
    <cellStyle name="20% - Accent3 10 2" xfId="8378"/>
    <cellStyle name="20% - Accent3 10 3" xfId="9081"/>
    <cellStyle name="20% - Accent3 11" xfId="112"/>
    <cellStyle name="20% - Accent3 11 2" xfId="8379"/>
    <cellStyle name="20% - Accent3 11 3" xfId="9082"/>
    <cellStyle name="20% - Accent3 12" xfId="8935"/>
    <cellStyle name="20% - Accent3 13" xfId="9458"/>
    <cellStyle name="20% - Accent3 2" xfId="113"/>
    <cellStyle name="20% - Accent3 2 2" xfId="114"/>
    <cellStyle name="20% - Accent3 2 2 2" xfId="115"/>
    <cellStyle name="20% - Accent3 2 2 2 2" xfId="8381"/>
    <cellStyle name="20% - Accent3 2 2 2 3" xfId="9084"/>
    <cellStyle name="20% - Accent3 2 2 3" xfId="116"/>
    <cellStyle name="20% - Accent3 2 2 3 2" xfId="8382"/>
    <cellStyle name="20% - Accent3 2 2 3 3" xfId="9085"/>
    <cellStyle name="20% - Accent3 2 2 4" xfId="117"/>
    <cellStyle name="20% - Accent3 2 2 4 2" xfId="8383"/>
    <cellStyle name="20% - Accent3 2 2 4 3" xfId="9086"/>
    <cellStyle name="20% - Accent3 2 2 5" xfId="118"/>
    <cellStyle name="20% - Accent3 2 2 5 2" xfId="8384"/>
    <cellStyle name="20% - Accent3 2 2 5 3" xfId="9087"/>
    <cellStyle name="20% - Accent3 2 2 6" xfId="119"/>
    <cellStyle name="20% - Accent3 2 2 6 2" xfId="8385"/>
    <cellStyle name="20% - Accent3 2 2 6 3" xfId="9088"/>
    <cellStyle name="20% - Accent3 2 2 7" xfId="8380"/>
    <cellStyle name="20% - Accent3 2 2 8" xfId="9083"/>
    <cellStyle name="20% - Accent3 2 3" xfId="120"/>
    <cellStyle name="20% - Accent3 2 4" xfId="121"/>
    <cellStyle name="20% - Accent3 2 5" xfId="122"/>
    <cellStyle name="20% - Accent3 2 6" xfId="8913"/>
    <cellStyle name="20% - Accent3 2 7" xfId="9435"/>
    <cellStyle name="20% - Accent3 3" xfId="123"/>
    <cellStyle name="20% - Accent3 3 10" xfId="9089"/>
    <cellStyle name="20% - Accent3 3 2" xfId="124"/>
    <cellStyle name="20% - Accent3 3 2 2" xfId="8387"/>
    <cellStyle name="20% - Accent3 3 2 3" xfId="9090"/>
    <cellStyle name="20% - Accent3 3 3" xfId="125"/>
    <cellStyle name="20% - Accent3 3 3 2" xfId="8388"/>
    <cellStyle name="20% - Accent3 3 3 3" xfId="9091"/>
    <cellStyle name="20% - Accent3 3 4" xfId="126"/>
    <cellStyle name="20% - Accent3 3 4 2" xfId="8389"/>
    <cellStyle name="20% - Accent3 3 4 3" xfId="9092"/>
    <cellStyle name="20% - Accent3 3 5" xfId="127"/>
    <cellStyle name="20% - Accent3 3 5 2" xfId="8390"/>
    <cellStyle name="20% - Accent3 3 5 3" xfId="9093"/>
    <cellStyle name="20% - Accent3 3 6" xfId="128"/>
    <cellStyle name="20% - Accent3 3 6 2" xfId="8391"/>
    <cellStyle name="20% - Accent3 3 6 3" xfId="9094"/>
    <cellStyle name="20% - Accent3 3 7" xfId="129"/>
    <cellStyle name="20% - Accent3 3 7 2" xfId="8392"/>
    <cellStyle name="20% - Accent3 3 7 3" xfId="9095"/>
    <cellStyle name="20% - Accent3 3 8" xfId="130"/>
    <cellStyle name="20% - Accent3 3 8 2" xfId="8393"/>
    <cellStyle name="20% - Accent3 3 8 3" xfId="9096"/>
    <cellStyle name="20% - Accent3 3 9" xfId="8386"/>
    <cellStyle name="20% - Accent3 4" xfId="131"/>
    <cellStyle name="20% - Accent3 4 10" xfId="9097"/>
    <cellStyle name="20% - Accent3 4 2" xfId="132"/>
    <cellStyle name="20% - Accent3 4 2 2" xfId="8395"/>
    <cellStyle name="20% - Accent3 4 2 3" xfId="9098"/>
    <cellStyle name="20% - Accent3 4 3" xfId="133"/>
    <cellStyle name="20% - Accent3 4 3 2" xfId="8396"/>
    <cellStyle name="20% - Accent3 4 3 3" xfId="9099"/>
    <cellStyle name="20% - Accent3 4 4" xfId="134"/>
    <cellStyle name="20% - Accent3 4 4 2" xfId="8397"/>
    <cellStyle name="20% - Accent3 4 4 3" xfId="9100"/>
    <cellStyle name="20% - Accent3 4 5" xfId="135"/>
    <cellStyle name="20% - Accent3 4 5 2" xfId="8398"/>
    <cellStyle name="20% - Accent3 4 5 3" xfId="9101"/>
    <cellStyle name="20% - Accent3 4 6" xfId="136"/>
    <cellStyle name="20% - Accent3 4 6 2" xfId="8399"/>
    <cellStyle name="20% - Accent3 4 6 3" xfId="9102"/>
    <cellStyle name="20% - Accent3 4 7" xfId="137"/>
    <cellStyle name="20% - Accent3 4 7 2" xfId="8400"/>
    <cellStyle name="20% - Accent3 4 7 3" xfId="9103"/>
    <cellStyle name="20% - Accent3 4 8" xfId="138"/>
    <cellStyle name="20% - Accent3 4 8 2" xfId="8401"/>
    <cellStyle name="20% - Accent3 4 8 3" xfId="9104"/>
    <cellStyle name="20% - Accent3 4 9" xfId="8394"/>
    <cellStyle name="20% - Accent3 5" xfId="139"/>
    <cellStyle name="20% - Accent3 5 10" xfId="9105"/>
    <cellStyle name="20% - Accent3 5 2" xfId="140"/>
    <cellStyle name="20% - Accent3 5 2 2" xfId="8403"/>
    <cellStyle name="20% - Accent3 5 2 3" xfId="9106"/>
    <cellStyle name="20% - Accent3 5 3" xfId="141"/>
    <cellStyle name="20% - Accent3 5 3 2" xfId="8404"/>
    <cellStyle name="20% - Accent3 5 3 3" xfId="9107"/>
    <cellStyle name="20% - Accent3 5 4" xfId="142"/>
    <cellStyle name="20% - Accent3 5 4 2" xfId="8405"/>
    <cellStyle name="20% - Accent3 5 4 3" xfId="9108"/>
    <cellStyle name="20% - Accent3 5 5" xfId="143"/>
    <cellStyle name="20% - Accent3 5 5 2" xfId="8406"/>
    <cellStyle name="20% - Accent3 5 5 3" xfId="9109"/>
    <cellStyle name="20% - Accent3 5 6" xfId="144"/>
    <cellStyle name="20% - Accent3 5 6 2" xfId="8407"/>
    <cellStyle name="20% - Accent3 5 6 3" xfId="9110"/>
    <cellStyle name="20% - Accent3 5 7" xfId="145"/>
    <cellStyle name="20% - Accent3 5 7 2" xfId="8408"/>
    <cellStyle name="20% - Accent3 5 7 3" xfId="9111"/>
    <cellStyle name="20% - Accent3 5 8" xfId="146"/>
    <cellStyle name="20% - Accent3 5 8 2" xfId="8409"/>
    <cellStyle name="20% - Accent3 5 8 3" xfId="9112"/>
    <cellStyle name="20% - Accent3 5 9" xfId="8402"/>
    <cellStyle name="20% - Accent3 6" xfId="147"/>
    <cellStyle name="20% - Accent3 6 2" xfId="8410"/>
    <cellStyle name="20% - Accent3 6 3" xfId="9113"/>
    <cellStyle name="20% - Accent3 7" xfId="148"/>
    <cellStyle name="20% - Accent3 7 2" xfId="8411"/>
    <cellStyle name="20% - Accent3 7 3" xfId="9114"/>
    <cellStyle name="20% - Accent3 8" xfId="149"/>
    <cellStyle name="20% - Accent3 8 2" xfId="8412"/>
    <cellStyle name="20% - Accent3 8 3" xfId="9115"/>
    <cellStyle name="20% - Accent3 9" xfId="150"/>
    <cellStyle name="20% - Accent3 9 2" xfId="8413"/>
    <cellStyle name="20% - Accent3 9 3" xfId="9116"/>
    <cellStyle name="20% - Accent4" xfId="8273" builtinId="42" customBuiltin="1"/>
    <cellStyle name="20% - Accent4 10" xfId="151"/>
    <cellStyle name="20% - Accent4 10 2" xfId="8414"/>
    <cellStyle name="20% - Accent4 10 3" xfId="9117"/>
    <cellStyle name="20% - Accent4 11" xfId="152"/>
    <cellStyle name="20% - Accent4 11 2" xfId="8415"/>
    <cellStyle name="20% - Accent4 11 3" xfId="9118"/>
    <cellStyle name="20% - Accent4 12" xfId="8749"/>
    <cellStyle name="20% - Accent4 13" xfId="9460"/>
    <cellStyle name="20% - Accent4 2" xfId="153"/>
    <cellStyle name="20% - Accent4 2 2" xfId="154"/>
    <cellStyle name="20% - Accent4 2 2 2" xfId="155"/>
    <cellStyle name="20% - Accent4 2 2 2 2" xfId="8417"/>
    <cellStyle name="20% - Accent4 2 2 2 3" xfId="9120"/>
    <cellStyle name="20% - Accent4 2 2 3" xfId="156"/>
    <cellStyle name="20% - Accent4 2 2 3 2" xfId="8418"/>
    <cellStyle name="20% - Accent4 2 2 3 3" xfId="9121"/>
    <cellStyle name="20% - Accent4 2 2 4" xfId="157"/>
    <cellStyle name="20% - Accent4 2 2 4 2" xfId="8419"/>
    <cellStyle name="20% - Accent4 2 2 4 3" xfId="9122"/>
    <cellStyle name="20% - Accent4 2 2 5" xfId="158"/>
    <cellStyle name="20% - Accent4 2 2 5 2" xfId="8420"/>
    <cellStyle name="20% - Accent4 2 2 5 3" xfId="9123"/>
    <cellStyle name="20% - Accent4 2 2 6" xfId="159"/>
    <cellStyle name="20% - Accent4 2 2 6 2" xfId="8421"/>
    <cellStyle name="20% - Accent4 2 2 6 3" xfId="9124"/>
    <cellStyle name="20% - Accent4 2 2 7" xfId="8416"/>
    <cellStyle name="20% - Accent4 2 2 8" xfId="9119"/>
    <cellStyle name="20% - Accent4 2 3" xfId="160"/>
    <cellStyle name="20% - Accent4 2 4" xfId="161"/>
    <cellStyle name="20% - Accent4 2 5" xfId="162"/>
    <cellStyle name="20% - Accent4 2 6" xfId="8817"/>
    <cellStyle name="20% - Accent4 2 7" xfId="9433"/>
    <cellStyle name="20% - Accent4 3" xfId="163"/>
    <cellStyle name="20% - Accent4 3 10" xfId="9125"/>
    <cellStyle name="20% - Accent4 3 2" xfId="164"/>
    <cellStyle name="20% - Accent4 3 2 2" xfId="8423"/>
    <cellStyle name="20% - Accent4 3 2 3" xfId="9126"/>
    <cellStyle name="20% - Accent4 3 3" xfId="165"/>
    <cellStyle name="20% - Accent4 3 3 2" xfId="8424"/>
    <cellStyle name="20% - Accent4 3 3 3" xfId="9127"/>
    <cellStyle name="20% - Accent4 3 4" xfId="166"/>
    <cellStyle name="20% - Accent4 3 4 2" xfId="8425"/>
    <cellStyle name="20% - Accent4 3 4 3" xfId="9128"/>
    <cellStyle name="20% - Accent4 3 5" xfId="167"/>
    <cellStyle name="20% - Accent4 3 5 2" xfId="8426"/>
    <cellStyle name="20% - Accent4 3 5 3" xfId="9129"/>
    <cellStyle name="20% - Accent4 3 6" xfId="168"/>
    <cellStyle name="20% - Accent4 3 6 2" xfId="8427"/>
    <cellStyle name="20% - Accent4 3 6 3" xfId="9130"/>
    <cellStyle name="20% - Accent4 3 7" xfId="169"/>
    <cellStyle name="20% - Accent4 3 7 2" xfId="8428"/>
    <cellStyle name="20% - Accent4 3 7 3" xfId="9131"/>
    <cellStyle name="20% - Accent4 3 8" xfId="170"/>
    <cellStyle name="20% - Accent4 3 8 2" xfId="8429"/>
    <cellStyle name="20% - Accent4 3 8 3" xfId="9132"/>
    <cellStyle name="20% - Accent4 3 9" xfId="8422"/>
    <cellStyle name="20% - Accent4 4" xfId="171"/>
    <cellStyle name="20% - Accent4 4 10" xfId="9133"/>
    <cellStyle name="20% - Accent4 4 2" xfId="172"/>
    <cellStyle name="20% - Accent4 4 2 2" xfId="8431"/>
    <cellStyle name="20% - Accent4 4 2 3" xfId="9134"/>
    <cellStyle name="20% - Accent4 4 3" xfId="173"/>
    <cellStyle name="20% - Accent4 4 3 2" xfId="8432"/>
    <cellStyle name="20% - Accent4 4 3 3" xfId="9135"/>
    <cellStyle name="20% - Accent4 4 4" xfId="174"/>
    <cellStyle name="20% - Accent4 4 4 2" xfId="8433"/>
    <cellStyle name="20% - Accent4 4 4 3" xfId="9136"/>
    <cellStyle name="20% - Accent4 4 5" xfId="175"/>
    <cellStyle name="20% - Accent4 4 5 2" xfId="8434"/>
    <cellStyle name="20% - Accent4 4 5 3" xfId="9137"/>
    <cellStyle name="20% - Accent4 4 6" xfId="176"/>
    <cellStyle name="20% - Accent4 4 6 2" xfId="8435"/>
    <cellStyle name="20% - Accent4 4 6 3" xfId="9138"/>
    <cellStyle name="20% - Accent4 4 7" xfId="177"/>
    <cellStyle name="20% - Accent4 4 7 2" xfId="8436"/>
    <cellStyle name="20% - Accent4 4 7 3" xfId="9139"/>
    <cellStyle name="20% - Accent4 4 8" xfId="178"/>
    <cellStyle name="20% - Accent4 4 8 2" xfId="8437"/>
    <cellStyle name="20% - Accent4 4 8 3" xfId="9140"/>
    <cellStyle name="20% - Accent4 4 9" xfId="8430"/>
    <cellStyle name="20% - Accent4 5" xfId="179"/>
    <cellStyle name="20% - Accent4 5 10" xfId="9141"/>
    <cellStyle name="20% - Accent4 5 2" xfId="180"/>
    <cellStyle name="20% - Accent4 5 2 2" xfId="8439"/>
    <cellStyle name="20% - Accent4 5 2 3" xfId="9142"/>
    <cellStyle name="20% - Accent4 5 3" xfId="181"/>
    <cellStyle name="20% - Accent4 5 3 2" xfId="8440"/>
    <cellStyle name="20% - Accent4 5 3 3" xfId="9143"/>
    <cellStyle name="20% - Accent4 5 4" xfId="182"/>
    <cellStyle name="20% - Accent4 5 4 2" xfId="8441"/>
    <cellStyle name="20% - Accent4 5 4 3" xfId="9144"/>
    <cellStyle name="20% - Accent4 5 5" xfId="183"/>
    <cellStyle name="20% - Accent4 5 5 2" xfId="8442"/>
    <cellStyle name="20% - Accent4 5 5 3" xfId="9145"/>
    <cellStyle name="20% - Accent4 5 6" xfId="184"/>
    <cellStyle name="20% - Accent4 5 6 2" xfId="8443"/>
    <cellStyle name="20% - Accent4 5 6 3" xfId="9146"/>
    <cellStyle name="20% - Accent4 5 7" xfId="185"/>
    <cellStyle name="20% - Accent4 5 7 2" xfId="8444"/>
    <cellStyle name="20% - Accent4 5 7 3" xfId="9147"/>
    <cellStyle name="20% - Accent4 5 8" xfId="186"/>
    <cellStyle name="20% - Accent4 5 8 2" xfId="8445"/>
    <cellStyle name="20% - Accent4 5 8 3" xfId="9148"/>
    <cellStyle name="20% - Accent4 5 9" xfId="8438"/>
    <cellStyle name="20% - Accent4 6" xfId="187"/>
    <cellStyle name="20% - Accent4 6 2" xfId="8446"/>
    <cellStyle name="20% - Accent4 6 3" xfId="9149"/>
    <cellStyle name="20% - Accent4 7" xfId="188"/>
    <cellStyle name="20% - Accent4 7 2" xfId="8447"/>
    <cellStyle name="20% - Accent4 7 3" xfId="9150"/>
    <cellStyle name="20% - Accent4 8" xfId="189"/>
    <cellStyle name="20% - Accent4 8 2" xfId="8448"/>
    <cellStyle name="20% - Accent4 8 3" xfId="9151"/>
    <cellStyle name="20% - Accent4 9" xfId="190"/>
    <cellStyle name="20% - Accent4 9 2" xfId="8449"/>
    <cellStyle name="20% - Accent4 9 3" xfId="9152"/>
    <cellStyle name="20% - Accent5" xfId="8277" builtinId="46" customBuiltin="1"/>
    <cellStyle name="20% - Accent5 10" xfId="191"/>
    <cellStyle name="20% - Accent5 10 2" xfId="8450"/>
    <cellStyle name="20% - Accent5 10 3" xfId="9153"/>
    <cellStyle name="20% - Accent5 11" xfId="192"/>
    <cellStyle name="20% - Accent5 11 2" xfId="8451"/>
    <cellStyle name="20% - Accent5 11 3" xfId="9154"/>
    <cellStyle name="20% - Accent5 12" xfId="8928"/>
    <cellStyle name="20% - Accent5 13" xfId="9462"/>
    <cellStyle name="20% - Accent5 2" xfId="193"/>
    <cellStyle name="20% - Accent5 2 2" xfId="194"/>
    <cellStyle name="20% - Accent5 2 2 2" xfId="195"/>
    <cellStyle name="20% - Accent5 2 2 2 2" xfId="8453"/>
    <cellStyle name="20% - Accent5 2 2 2 3" xfId="9156"/>
    <cellStyle name="20% - Accent5 2 2 3" xfId="196"/>
    <cellStyle name="20% - Accent5 2 2 3 2" xfId="8454"/>
    <cellStyle name="20% - Accent5 2 2 3 3" xfId="9157"/>
    <cellStyle name="20% - Accent5 2 2 4" xfId="197"/>
    <cellStyle name="20% - Accent5 2 2 4 2" xfId="8455"/>
    <cellStyle name="20% - Accent5 2 2 4 3" xfId="9158"/>
    <cellStyle name="20% - Accent5 2 2 5" xfId="198"/>
    <cellStyle name="20% - Accent5 2 2 5 2" xfId="8456"/>
    <cellStyle name="20% - Accent5 2 2 5 3" xfId="9159"/>
    <cellStyle name="20% - Accent5 2 2 6" xfId="199"/>
    <cellStyle name="20% - Accent5 2 2 6 2" xfId="8457"/>
    <cellStyle name="20% - Accent5 2 2 6 3" xfId="9160"/>
    <cellStyle name="20% - Accent5 2 2 7" xfId="8452"/>
    <cellStyle name="20% - Accent5 2 2 8" xfId="9155"/>
    <cellStyle name="20% - Accent5 2 3" xfId="200"/>
    <cellStyle name="20% - Accent5 2 4" xfId="201"/>
    <cellStyle name="20% - Accent5 2 5" xfId="202"/>
    <cellStyle name="20% - Accent5 2 6" xfId="8909"/>
    <cellStyle name="20% - Accent5 2 7" xfId="9431"/>
    <cellStyle name="20% - Accent5 3" xfId="203"/>
    <cellStyle name="20% - Accent5 3 10" xfId="9161"/>
    <cellStyle name="20% - Accent5 3 2" xfId="204"/>
    <cellStyle name="20% - Accent5 3 2 2" xfId="8459"/>
    <cellStyle name="20% - Accent5 3 2 3" xfId="9162"/>
    <cellStyle name="20% - Accent5 3 3" xfId="205"/>
    <cellStyle name="20% - Accent5 3 3 2" xfId="8460"/>
    <cellStyle name="20% - Accent5 3 3 3" xfId="9163"/>
    <cellStyle name="20% - Accent5 3 4" xfId="206"/>
    <cellStyle name="20% - Accent5 3 4 2" xfId="8461"/>
    <cellStyle name="20% - Accent5 3 4 3" xfId="9164"/>
    <cellStyle name="20% - Accent5 3 5" xfId="207"/>
    <cellStyle name="20% - Accent5 3 5 2" xfId="8462"/>
    <cellStyle name="20% - Accent5 3 5 3" xfId="9165"/>
    <cellStyle name="20% - Accent5 3 6" xfId="208"/>
    <cellStyle name="20% - Accent5 3 6 2" xfId="8463"/>
    <cellStyle name="20% - Accent5 3 6 3" xfId="9166"/>
    <cellStyle name="20% - Accent5 3 7" xfId="209"/>
    <cellStyle name="20% - Accent5 3 7 2" xfId="8464"/>
    <cellStyle name="20% - Accent5 3 7 3" xfId="9167"/>
    <cellStyle name="20% - Accent5 3 8" xfId="210"/>
    <cellStyle name="20% - Accent5 3 8 2" xfId="8465"/>
    <cellStyle name="20% - Accent5 3 8 3" xfId="9168"/>
    <cellStyle name="20% - Accent5 3 9" xfId="8458"/>
    <cellStyle name="20% - Accent5 4" xfId="211"/>
    <cellStyle name="20% - Accent5 4 10" xfId="9169"/>
    <cellStyle name="20% - Accent5 4 2" xfId="212"/>
    <cellStyle name="20% - Accent5 4 2 2" xfId="8467"/>
    <cellStyle name="20% - Accent5 4 2 3" xfId="9170"/>
    <cellStyle name="20% - Accent5 4 3" xfId="213"/>
    <cellStyle name="20% - Accent5 4 3 2" xfId="8468"/>
    <cellStyle name="20% - Accent5 4 3 3" xfId="9171"/>
    <cellStyle name="20% - Accent5 4 4" xfId="214"/>
    <cellStyle name="20% - Accent5 4 4 2" xfId="8469"/>
    <cellStyle name="20% - Accent5 4 4 3" xfId="9172"/>
    <cellStyle name="20% - Accent5 4 5" xfId="215"/>
    <cellStyle name="20% - Accent5 4 5 2" xfId="8470"/>
    <cellStyle name="20% - Accent5 4 5 3" xfId="9173"/>
    <cellStyle name="20% - Accent5 4 6" xfId="216"/>
    <cellStyle name="20% - Accent5 4 6 2" xfId="8471"/>
    <cellStyle name="20% - Accent5 4 6 3" xfId="9174"/>
    <cellStyle name="20% - Accent5 4 7" xfId="217"/>
    <cellStyle name="20% - Accent5 4 7 2" xfId="8472"/>
    <cellStyle name="20% - Accent5 4 7 3" xfId="9175"/>
    <cellStyle name="20% - Accent5 4 8" xfId="218"/>
    <cellStyle name="20% - Accent5 4 8 2" xfId="8473"/>
    <cellStyle name="20% - Accent5 4 8 3" xfId="9176"/>
    <cellStyle name="20% - Accent5 4 9" xfId="8466"/>
    <cellStyle name="20% - Accent5 5" xfId="219"/>
    <cellStyle name="20% - Accent5 5 10" xfId="9177"/>
    <cellStyle name="20% - Accent5 5 2" xfId="220"/>
    <cellStyle name="20% - Accent5 5 2 2" xfId="8475"/>
    <cellStyle name="20% - Accent5 5 2 3" xfId="9178"/>
    <cellStyle name="20% - Accent5 5 3" xfId="221"/>
    <cellStyle name="20% - Accent5 5 3 2" xfId="8476"/>
    <cellStyle name="20% - Accent5 5 3 3" xfId="9179"/>
    <cellStyle name="20% - Accent5 5 4" xfId="222"/>
    <cellStyle name="20% - Accent5 5 4 2" xfId="8477"/>
    <cellStyle name="20% - Accent5 5 4 3" xfId="9180"/>
    <cellStyle name="20% - Accent5 5 5" xfId="223"/>
    <cellStyle name="20% - Accent5 5 5 2" xfId="8478"/>
    <cellStyle name="20% - Accent5 5 5 3" xfId="9181"/>
    <cellStyle name="20% - Accent5 5 6" xfId="224"/>
    <cellStyle name="20% - Accent5 5 6 2" xfId="8479"/>
    <cellStyle name="20% - Accent5 5 6 3" xfId="9182"/>
    <cellStyle name="20% - Accent5 5 7" xfId="225"/>
    <cellStyle name="20% - Accent5 5 7 2" xfId="8480"/>
    <cellStyle name="20% - Accent5 5 7 3" xfId="9183"/>
    <cellStyle name="20% - Accent5 5 8" xfId="226"/>
    <cellStyle name="20% - Accent5 5 8 2" xfId="8481"/>
    <cellStyle name="20% - Accent5 5 8 3" xfId="9184"/>
    <cellStyle name="20% - Accent5 5 9" xfId="8474"/>
    <cellStyle name="20% - Accent5 6" xfId="227"/>
    <cellStyle name="20% - Accent5 6 2" xfId="8482"/>
    <cellStyle name="20% - Accent5 6 3" xfId="9185"/>
    <cellStyle name="20% - Accent5 7" xfId="228"/>
    <cellStyle name="20% - Accent5 7 2" xfId="8483"/>
    <cellStyle name="20% - Accent5 7 3" xfId="9186"/>
    <cellStyle name="20% - Accent5 8" xfId="229"/>
    <cellStyle name="20% - Accent5 8 2" xfId="8484"/>
    <cellStyle name="20% - Accent5 8 3" xfId="9187"/>
    <cellStyle name="20% - Accent5 9" xfId="230"/>
    <cellStyle name="20% - Accent5 9 2" xfId="8485"/>
    <cellStyle name="20% - Accent5 9 3" xfId="9188"/>
    <cellStyle name="20% - Accent6" xfId="8281" builtinId="50" customBuiltin="1"/>
    <cellStyle name="20% - Accent6 10" xfId="9464"/>
    <cellStyle name="20% - Accent6 2" xfId="231"/>
    <cellStyle name="20% - Accent6 2 2" xfId="232"/>
    <cellStyle name="20% - Accent6 2 2 2" xfId="233"/>
    <cellStyle name="20% - Accent6 2 2 2 2" xfId="8487"/>
    <cellStyle name="20% - Accent6 2 2 2 3" xfId="9190"/>
    <cellStyle name="20% - Accent6 2 2 3" xfId="234"/>
    <cellStyle name="20% - Accent6 2 2 3 2" xfId="8488"/>
    <cellStyle name="20% - Accent6 2 2 3 3" xfId="9191"/>
    <cellStyle name="20% - Accent6 2 2 4" xfId="235"/>
    <cellStyle name="20% - Accent6 2 2 4 2" xfId="8489"/>
    <cellStyle name="20% - Accent6 2 2 4 3" xfId="9192"/>
    <cellStyle name="20% - Accent6 2 2 5" xfId="236"/>
    <cellStyle name="20% - Accent6 2 2 5 2" xfId="8490"/>
    <cellStyle name="20% - Accent6 2 2 5 3" xfId="9193"/>
    <cellStyle name="20% - Accent6 2 2 6" xfId="237"/>
    <cellStyle name="20% - Accent6 2 2 6 2" xfId="8491"/>
    <cellStyle name="20% - Accent6 2 2 6 3" xfId="9194"/>
    <cellStyle name="20% - Accent6 2 2 7" xfId="8486"/>
    <cellStyle name="20% - Accent6 2 2 8" xfId="9189"/>
    <cellStyle name="20% - Accent6 2 3" xfId="238"/>
    <cellStyle name="20% - Accent6 2 4" xfId="239"/>
    <cellStyle name="20% - Accent6 2 5" xfId="240"/>
    <cellStyle name="20% - Accent6 3" xfId="241"/>
    <cellStyle name="20% - Accent6 3 2" xfId="8492"/>
    <cellStyle name="20% - Accent6 3 3" xfId="9195"/>
    <cellStyle name="20% - Accent6 4" xfId="242"/>
    <cellStyle name="20% - Accent6 4 2" xfId="8493"/>
    <cellStyle name="20% - Accent6 4 3" xfId="9196"/>
    <cellStyle name="20% - Accent6 5" xfId="243"/>
    <cellStyle name="20% - Accent6 5 2" xfId="8494"/>
    <cellStyle name="20% - Accent6 5 3" xfId="9197"/>
    <cellStyle name="20% - Accent6 6" xfId="244"/>
    <cellStyle name="20% - Accent6 6 2" xfId="8495"/>
    <cellStyle name="20% - Accent6 6 3" xfId="9198"/>
    <cellStyle name="20% - Accent6 7" xfId="245"/>
    <cellStyle name="20% - Accent6 7 2" xfId="8496"/>
    <cellStyle name="20% - Accent6 7 3" xfId="9199"/>
    <cellStyle name="20% - Accent6 8" xfId="246"/>
    <cellStyle name="20% - Accent6 8 2" xfId="8497"/>
    <cellStyle name="20% - Accent6 8 3" xfId="9200"/>
    <cellStyle name="20% - Accent6 9" xfId="8994"/>
    <cellStyle name="40% - Accent1" xfId="8262" builtinId="31" customBuiltin="1"/>
    <cellStyle name="40% - Accent1 10" xfId="247"/>
    <cellStyle name="40% - Accent1 10 2" xfId="8498"/>
    <cellStyle name="40% - Accent1 10 3" xfId="9201"/>
    <cellStyle name="40% - Accent1 11" xfId="248"/>
    <cellStyle name="40% - Accent1 11 2" xfId="8499"/>
    <cellStyle name="40% - Accent1 11 3" xfId="9202"/>
    <cellStyle name="40% - Accent1 12" xfId="8743"/>
    <cellStyle name="40% - Accent1 13" xfId="9455"/>
    <cellStyle name="40% - Accent1 2" xfId="249"/>
    <cellStyle name="40% - Accent1 2 2" xfId="250"/>
    <cellStyle name="40% - Accent1 2 2 2" xfId="251"/>
    <cellStyle name="40% - Accent1 2 2 2 2" xfId="8501"/>
    <cellStyle name="40% - Accent1 2 2 2 3" xfId="9204"/>
    <cellStyle name="40% - Accent1 2 2 3" xfId="252"/>
    <cellStyle name="40% - Accent1 2 2 3 2" xfId="8502"/>
    <cellStyle name="40% - Accent1 2 2 3 3" xfId="9205"/>
    <cellStyle name="40% - Accent1 2 2 4" xfId="253"/>
    <cellStyle name="40% - Accent1 2 2 4 2" xfId="8503"/>
    <cellStyle name="40% - Accent1 2 2 4 3" xfId="9206"/>
    <cellStyle name="40% - Accent1 2 2 5" xfId="254"/>
    <cellStyle name="40% - Accent1 2 2 5 2" xfId="8504"/>
    <cellStyle name="40% - Accent1 2 2 5 3" xfId="9207"/>
    <cellStyle name="40% - Accent1 2 2 6" xfId="255"/>
    <cellStyle name="40% - Accent1 2 2 6 2" xfId="8505"/>
    <cellStyle name="40% - Accent1 2 2 6 3" xfId="9208"/>
    <cellStyle name="40% - Accent1 2 2 7" xfId="8500"/>
    <cellStyle name="40% - Accent1 2 2 8" xfId="9203"/>
    <cellStyle name="40% - Accent1 2 3" xfId="256"/>
    <cellStyle name="40% - Accent1 2 4" xfId="257"/>
    <cellStyle name="40% - Accent1 2 5" xfId="258"/>
    <cellStyle name="40% - Accent1 2 6" xfId="8976"/>
    <cellStyle name="40% - Accent1 2 7" xfId="9438"/>
    <cellStyle name="40% - Accent1 3" xfId="259"/>
    <cellStyle name="40% - Accent1 3 10" xfId="9209"/>
    <cellStyle name="40% - Accent1 3 2" xfId="260"/>
    <cellStyle name="40% - Accent1 3 2 2" xfId="8507"/>
    <cellStyle name="40% - Accent1 3 2 3" xfId="9210"/>
    <cellStyle name="40% - Accent1 3 3" xfId="261"/>
    <cellStyle name="40% - Accent1 3 3 2" xfId="8508"/>
    <cellStyle name="40% - Accent1 3 3 3" xfId="9211"/>
    <cellStyle name="40% - Accent1 3 4" xfId="262"/>
    <cellStyle name="40% - Accent1 3 4 2" xfId="8509"/>
    <cellStyle name="40% - Accent1 3 4 3" xfId="9212"/>
    <cellStyle name="40% - Accent1 3 5" xfId="263"/>
    <cellStyle name="40% - Accent1 3 5 2" xfId="8510"/>
    <cellStyle name="40% - Accent1 3 5 3" xfId="9213"/>
    <cellStyle name="40% - Accent1 3 6" xfId="264"/>
    <cellStyle name="40% - Accent1 3 6 2" xfId="8511"/>
    <cellStyle name="40% - Accent1 3 6 3" xfId="9214"/>
    <cellStyle name="40% - Accent1 3 7" xfId="265"/>
    <cellStyle name="40% - Accent1 3 7 2" xfId="8512"/>
    <cellStyle name="40% - Accent1 3 7 3" xfId="9215"/>
    <cellStyle name="40% - Accent1 3 8" xfId="266"/>
    <cellStyle name="40% - Accent1 3 8 2" xfId="8513"/>
    <cellStyle name="40% - Accent1 3 8 3" xfId="9216"/>
    <cellStyle name="40% - Accent1 3 9" xfId="8506"/>
    <cellStyle name="40% - Accent1 4" xfId="267"/>
    <cellStyle name="40% - Accent1 4 10" xfId="9217"/>
    <cellStyle name="40% - Accent1 4 2" xfId="268"/>
    <cellStyle name="40% - Accent1 4 2 2" xfId="8515"/>
    <cellStyle name="40% - Accent1 4 2 3" xfId="9218"/>
    <cellStyle name="40% - Accent1 4 3" xfId="269"/>
    <cellStyle name="40% - Accent1 4 3 2" xfId="8516"/>
    <cellStyle name="40% - Accent1 4 3 3" xfId="9219"/>
    <cellStyle name="40% - Accent1 4 4" xfId="270"/>
    <cellStyle name="40% - Accent1 4 4 2" xfId="8517"/>
    <cellStyle name="40% - Accent1 4 4 3" xfId="9220"/>
    <cellStyle name="40% - Accent1 4 5" xfId="271"/>
    <cellStyle name="40% - Accent1 4 5 2" xfId="8518"/>
    <cellStyle name="40% - Accent1 4 5 3" xfId="9221"/>
    <cellStyle name="40% - Accent1 4 6" xfId="272"/>
    <cellStyle name="40% - Accent1 4 6 2" xfId="8519"/>
    <cellStyle name="40% - Accent1 4 6 3" xfId="9222"/>
    <cellStyle name="40% - Accent1 4 7" xfId="273"/>
    <cellStyle name="40% - Accent1 4 7 2" xfId="8520"/>
    <cellStyle name="40% - Accent1 4 7 3" xfId="9223"/>
    <cellStyle name="40% - Accent1 4 8" xfId="274"/>
    <cellStyle name="40% - Accent1 4 8 2" xfId="8521"/>
    <cellStyle name="40% - Accent1 4 8 3" xfId="9224"/>
    <cellStyle name="40% - Accent1 4 9" xfId="8514"/>
    <cellStyle name="40% - Accent1 5" xfId="275"/>
    <cellStyle name="40% - Accent1 5 10" xfId="9225"/>
    <cellStyle name="40% - Accent1 5 2" xfId="276"/>
    <cellStyle name="40% - Accent1 5 2 2" xfId="8523"/>
    <cellStyle name="40% - Accent1 5 2 3" xfId="9226"/>
    <cellStyle name="40% - Accent1 5 3" xfId="277"/>
    <cellStyle name="40% - Accent1 5 3 2" xfId="8524"/>
    <cellStyle name="40% - Accent1 5 3 3" xfId="9227"/>
    <cellStyle name="40% - Accent1 5 4" xfId="278"/>
    <cellStyle name="40% - Accent1 5 4 2" xfId="8525"/>
    <cellStyle name="40% - Accent1 5 4 3" xfId="9228"/>
    <cellStyle name="40% - Accent1 5 5" xfId="279"/>
    <cellStyle name="40% - Accent1 5 5 2" xfId="8526"/>
    <cellStyle name="40% - Accent1 5 5 3" xfId="9229"/>
    <cellStyle name="40% - Accent1 5 6" xfId="280"/>
    <cellStyle name="40% - Accent1 5 6 2" xfId="8527"/>
    <cellStyle name="40% - Accent1 5 6 3" xfId="9230"/>
    <cellStyle name="40% - Accent1 5 7" xfId="281"/>
    <cellStyle name="40% - Accent1 5 7 2" xfId="8528"/>
    <cellStyle name="40% - Accent1 5 7 3" xfId="9231"/>
    <cellStyle name="40% - Accent1 5 8" xfId="282"/>
    <cellStyle name="40% - Accent1 5 8 2" xfId="8529"/>
    <cellStyle name="40% - Accent1 5 8 3" xfId="9232"/>
    <cellStyle name="40% - Accent1 5 9" xfId="8522"/>
    <cellStyle name="40% - Accent1 6" xfId="283"/>
    <cellStyle name="40% - Accent1 6 2" xfId="8530"/>
    <cellStyle name="40% - Accent1 6 3" xfId="9233"/>
    <cellStyle name="40% - Accent1 7" xfId="284"/>
    <cellStyle name="40% - Accent1 7 2" xfId="8531"/>
    <cellStyle name="40% - Accent1 7 3" xfId="9234"/>
    <cellStyle name="40% - Accent1 8" xfId="285"/>
    <cellStyle name="40% - Accent1 8 2" xfId="8532"/>
    <cellStyle name="40% - Accent1 8 3" xfId="9235"/>
    <cellStyle name="40% - Accent1 9" xfId="286"/>
    <cellStyle name="40% - Accent1 9 2" xfId="8533"/>
    <cellStyle name="40% - Accent1 9 3" xfId="9236"/>
    <cellStyle name="40% - Accent2" xfId="8266" builtinId="35" customBuiltin="1"/>
    <cellStyle name="40% - Accent2 10" xfId="287"/>
    <cellStyle name="40% - Accent2 10 2" xfId="8534"/>
    <cellStyle name="40% - Accent2 10 3" xfId="9237"/>
    <cellStyle name="40% - Accent2 11" xfId="288"/>
    <cellStyle name="40% - Accent2 11 2" xfId="8535"/>
    <cellStyle name="40% - Accent2 11 3" xfId="9238"/>
    <cellStyle name="40% - Accent2 12" xfId="8933"/>
    <cellStyle name="40% - Accent2 13" xfId="9457"/>
    <cellStyle name="40% - Accent2 2" xfId="289"/>
    <cellStyle name="40% - Accent2 2 2" xfId="290"/>
    <cellStyle name="40% - Accent2 2 2 2" xfId="291"/>
    <cellStyle name="40% - Accent2 2 2 2 2" xfId="8537"/>
    <cellStyle name="40% - Accent2 2 2 2 3" xfId="9240"/>
    <cellStyle name="40% - Accent2 2 2 3" xfId="292"/>
    <cellStyle name="40% - Accent2 2 2 3 2" xfId="8538"/>
    <cellStyle name="40% - Accent2 2 2 3 3" xfId="9241"/>
    <cellStyle name="40% - Accent2 2 2 4" xfId="293"/>
    <cellStyle name="40% - Accent2 2 2 4 2" xfId="8539"/>
    <cellStyle name="40% - Accent2 2 2 4 3" xfId="9242"/>
    <cellStyle name="40% - Accent2 2 2 5" xfId="294"/>
    <cellStyle name="40% - Accent2 2 2 5 2" xfId="8540"/>
    <cellStyle name="40% - Accent2 2 2 5 3" xfId="9243"/>
    <cellStyle name="40% - Accent2 2 2 6" xfId="295"/>
    <cellStyle name="40% - Accent2 2 2 6 2" xfId="8541"/>
    <cellStyle name="40% - Accent2 2 2 6 3" xfId="9244"/>
    <cellStyle name="40% - Accent2 2 2 7" xfId="8536"/>
    <cellStyle name="40% - Accent2 2 2 8" xfId="9239"/>
    <cellStyle name="40% - Accent2 2 3" xfId="296"/>
    <cellStyle name="40% - Accent2 2 4" xfId="297"/>
    <cellStyle name="40% - Accent2 2 5" xfId="298"/>
    <cellStyle name="40% - Accent2 2 6" xfId="8815"/>
    <cellStyle name="40% - Accent2 2 7" xfId="9436"/>
    <cellStyle name="40% - Accent2 3" xfId="299"/>
    <cellStyle name="40% - Accent2 3 10" xfId="9245"/>
    <cellStyle name="40% - Accent2 3 2" xfId="300"/>
    <cellStyle name="40% - Accent2 3 2 2" xfId="8543"/>
    <cellStyle name="40% - Accent2 3 2 3" xfId="9246"/>
    <cellStyle name="40% - Accent2 3 3" xfId="301"/>
    <cellStyle name="40% - Accent2 3 3 2" xfId="8544"/>
    <cellStyle name="40% - Accent2 3 3 3" xfId="9247"/>
    <cellStyle name="40% - Accent2 3 4" xfId="302"/>
    <cellStyle name="40% - Accent2 3 4 2" xfId="8545"/>
    <cellStyle name="40% - Accent2 3 4 3" xfId="9248"/>
    <cellStyle name="40% - Accent2 3 5" xfId="303"/>
    <cellStyle name="40% - Accent2 3 5 2" xfId="8546"/>
    <cellStyle name="40% - Accent2 3 5 3" xfId="9249"/>
    <cellStyle name="40% - Accent2 3 6" xfId="304"/>
    <cellStyle name="40% - Accent2 3 6 2" xfId="8547"/>
    <cellStyle name="40% - Accent2 3 6 3" xfId="9250"/>
    <cellStyle name="40% - Accent2 3 7" xfId="305"/>
    <cellStyle name="40% - Accent2 3 7 2" xfId="8548"/>
    <cellStyle name="40% - Accent2 3 7 3" xfId="9251"/>
    <cellStyle name="40% - Accent2 3 8" xfId="306"/>
    <cellStyle name="40% - Accent2 3 8 2" xfId="8549"/>
    <cellStyle name="40% - Accent2 3 8 3" xfId="9252"/>
    <cellStyle name="40% - Accent2 3 9" xfId="8542"/>
    <cellStyle name="40% - Accent2 4" xfId="307"/>
    <cellStyle name="40% - Accent2 4 10" xfId="9253"/>
    <cellStyle name="40% - Accent2 4 2" xfId="308"/>
    <cellStyle name="40% - Accent2 4 2 2" xfId="8551"/>
    <cellStyle name="40% - Accent2 4 2 3" xfId="9254"/>
    <cellStyle name="40% - Accent2 4 3" xfId="309"/>
    <cellStyle name="40% - Accent2 4 3 2" xfId="8552"/>
    <cellStyle name="40% - Accent2 4 3 3" xfId="9255"/>
    <cellStyle name="40% - Accent2 4 4" xfId="310"/>
    <cellStyle name="40% - Accent2 4 4 2" xfId="8553"/>
    <cellStyle name="40% - Accent2 4 4 3" xfId="9256"/>
    <cellStyle name="40% - Accent2 4 5" xfId="311"/>
    <cellStyle name="40% - Accent2 4 5 2" xfId="8554"/>
    <cellStyle name="40% - Accent2 4 5 3" xfId="9257"/>
    <cellStyle name="40% - Accent2 4 6" xfId="312"/>
    <cellStyle name="40% - Accent2 4 6 2" xfId="8555"/>
    <cellStyle name="40% - Accent2 4 6 3" xfId="9258"/>
    <cellStyle name="40% - Accent2 4 7" xfId="313"/>
    <cellStyle name="40% - Accent2 4 7 2" xfId="8556"/>
    <cellStyle name="40% - Accent2 4 7 3" xfId="9259"/>
    <cellStyle name="40% - Accent2 4 8" xfId="314"/>
    <cellStyle name="40% - Accent2 4 8 2" xfId="8557"/>
    <cellStyle name="40% - Accent2 4 8 3" xfId="9260"/>
    <cellStyle name="40% - Accent2 4 9" xfId="8550"/>
    <cellStyle name="40% - Accent2 5" xfId="315"/>
    <cellStyle name="40% - Accent2 5 10" xfId="9261"/>
    <cellStyle name="40% - Accent2 5 2" xfId="316"/>
    <cellStyle name="40% - Accent2 5 2 2" xfId="8559"/>
    <cellStyle name="40% - Accent2 5 2 3" xfId="9262"/>
    <cellStyle name="40% - Accent2 5 3" xfId="317"/>
    <cellStyle name="40% - Accent2 5 3 2" xfId="8560"/>
    <cellStyle name="40% - Accent2 5 3 3" xfId="9263"/>
    <cellStyle name="40% - Accent2 5 4" xfId="318"/>
    <cellStyle name="40% - Accent2 5 4 2" xfId="8561"/>
    <cellStyle name="40% - Accent2 5 4 3" xfId="9264"/>
    <cellStyle name="40% - Accent2 5 5" xfId="319"/>
    <cellStyle name="40% - Accent2 5 5 2" xfId="8562"/>
    <cellStyle name="40% - Accent2 5 5 3" xfId="9265"/>
    <cellStyle name="40% - Accent2 5 6" xfId="320"/>
    <cellStyle name="40% - Accent2 5 6 2" xfId="8563"/>
    <cellStyle name="40% - Accent2 5 6 3" xfId="9266"/>
    <cellStyle name="40% - Accent2 5 7" xfId="321"/>
    <cellStyle name="40% - Accent2 5 7 2" xfId="8564"/>
    <cellStyle name="40% - Accent2 5 7 3" xfId="9267"/>
    <cellStyle name="40% - Accent2 5 8" xfId="322"/>
    <cellStyle name="40% - Accent2 5 8 2" xfId="8565"/>
    <cellStyle name="40% - Accent2 5 8 3" xfId="9268"/>
    <cellStyle name="40% - Accent2 5 9" xfId="8558"/>
    <cellStyle name="40% - Accent2 6" xfId="323"/>
    <cellStyle name="40% - Accent2 6 2" xfId="8566"/>
    <cellStyle name="40% - Accent2 6 3" xfId="9269"/>
    <cellStyle name="40% - Accent2 7" xfId="324"/>
    <cellStyle name="40% - Accent2 7 2" xfId="8567"/>
    <cellStyle name="40% - Accent2 7 3" xfId="9270"/>
    <cellStyle name="40% - Accent2 8" xfId="325"/>
    <cellStyle name="40% - Accent2 8 2" xfId="8568"/>
    <cellStyle name="40% - Accent2 8 3" xfId="9271"/>
    <cellStyle name="40% - Accent2 9" xfId="326"/>
    <cellStyle name="40% - Accent2 9 2" xfId="8569"/>
    <cellStyle name="40% - Accent2 9 3" xfId="9272"/>
    <cellStyle name="40% - Accent3" xfId="8270" builtinId="39" customBuiltin="1"/>
    <cellStyle name="40% - Accent3 10" xfId="327"/>
    <cellStyle name="40% - Accent3 10 2" xfId="8570"/>
    <cellStyle name="40% - Accent3 10 3" xfId="9273"/>
    <cellStyle name="40% - Accent3 11" xfId="328"/>
    <cellStyle name="40% - Accent3 11 2" xfId="8571"/>
    <cellStyle name="40% - Accent3 11 3" xfId="9274"/>
    <cellStyle name="40% - Accent3 12" xfId="8941"/>
    <cellStyle name="40% - Accent3 13" xfId="9459"/>
    <cellStyle name="40% - Accent3 2" xfId="329"/>
    <cellStyle name="40% - Accent3 2 2" xfId="330"/>
    <cellStyle name="40% - Accent3 2 2 2" xfId="331"/>
    <cellStyle name="40% - Accent3 2 2 2 2" xfId="8573"/>
    <cellStyle name="40% - Accent3 2 2 2 3" xfId="9276"/>
    <cellStyle name="40% - Accent3 2 2 3" xfId="332"/>
    <cellStyle name="40% - Accent3 2 2 3 2" xfId="8574"/>
    <cellStyle name="40% - Accent3 2 2 3 3" xfId="9277"/>
    <cellStyle name="40% - Accent3 2 2 4" xfId="333"/>
    <cellStyle name="40% - Accent3 2 2 4 2" xfId="8575"/>
    <cellStyle name="40% - Accent3 2 2 4 3" xfId="9278"/>
    <cellStyle name="40% - Accent3 2 2 5" xfId="334"/>
    <cellStyle name="40% - Accent3 2 2 5 2" xfId="8576"/>
    <cellStyle name="40% - Accent3 2 2 5 3" xfId="9279"/>
    <cellStyle name="40% - Accent3 2 2 6" xfId="335"/>
    <cellStyle name="40% - Accent3 2 2 6 2" xfId="8577"/>
    <cellStyle name="40% - Accent3 2 2 6 3" xfId="9280"/>
    <cellStyle name="40% - Accent3 2 2 7" xfId="8572"/>
    <cellStyle name="40% - Accent3 2 2 8" xfId="9275"/>
    <cellStyle name="40% - Accent3 2 3" xfId="336"/>
    <cellStyle name="40% - Accent3 2 4" xfId="337"/>
    <cellStyle name="40% - Accent3 2 5" xfId="338"/>
    <cellStyle name="40% - Accent3 2 6" xfId="8914"/>
    <cellStyle name="40% - Accent3 2 7" xfId="9434"/>
    <cellStyle name="40% - Accent3 3" xfId="339"/>
    <cellStyle name="40% - Accent3 3 10" xfId="9281"/>
    <cellStyle name="40% - Accent3 3 2" xfId="340"/>
    <cellStyle name="40% - Accent3 3 2 2" xfId="8579"/>
    <cellStyle name="40% - Accent3 3 2 3" xfId="9282"/>
    <cellStyle name="40% - Accent3 3 3" xfId="341"/>
    <cellStyle name="40% - Accent3 3 3 2" xfId="8580"/>
    <cellStyle name="40% - Accent3 3 3 3" xfId="9283"/>
    <cellStyle name="40% - Accent3 3 4" xfId="342"/>
    <cellStyle name="40% - Accent3 3 4 2" xfId="8581"/>
    <cellStyle name="40% - Accent3 3 4 3" xfId="9284"/>
    <cellStyle name="40% - Accent3 3 5" xfId="343"/>
    <cellStyle name="40% - Accent3 3 5 2" xfId="8582"/>
    <cellStyle name="40% - Accent3 3 5 3" xfId="9285"/>
    <cellStyle name="40% - Accent3 3 6" xfId="344"/>
    <cellStyle name="40% - Accent3 3 6 2" xfId="8583"/>
    <cellStyle name="40% - Accent3 3 6 3" xfId="9286"/>
    <cellStyle name="40% - Accent3 3 7" xfId="345"/>
    <cellStyle name="40% - Accent3 3 7 2" xfId="8584"/>
    <cellStyle name="40% - Accent3 3 7 3" xfId="9287"/>
    <cellStyle name="40% - Accent3 3 8" xfId="346"/>
    <cellStyle name="40% - Accent3 3 8 2" xfId="8585"/>
    <cellStyle name="40% - Accent3 3 8 3" xfId="9288"/>
    <cellStyle name="40% - Accent3 3 9" xfId="8578"/>
    <cellStyle name="40% - Accent3 4" xfId="347"/>
    <cellStyle name="40% - Accent3 4 10" xfId="9289"/>
    <cellStyle name="40% - Accent3 4 2" xfId="348"/>
    <cellStyle name="40% - Accent3 4 2 2" xfId="8587"/>
    <cellStyle name="40% - Accent3 4 2 3" xfId="9290"/>
    <cellStyle name="40% - Accent3 4 3" xfId="349"/>
    <cellStyle name="40% - Accent3 4 3 2" xfId="8588"/>
    <cellStyle name="40% - Accent3 4 3 3" xfId="9291"/>
    <cellStyle name="40% - Accent3 4 4" xfId="350"/>
    <cellStyle name="40% - Accent3 4 4 2" xfId="8589"/>
    <cellStyle name="40% - Accent3 4 4 3" xfId="9292"/>
    <cellStyle name="40% - Accent3 4 5" xfId="351"/>
    <cellStyle name="40% - Accent3 4 5 2" xfId="8590"/>
    <cellStyle name="40% - Accent3 4 5 3" xfId="9293"/>
    <cellStyle name="40% - Accent3 4 6" xfId="352"/>
    <cellStyle name="40% - Accent3 4 6 2" xfId="8591"/>
    <cellStyle name="40% - Accent3 4 6 3" xfId="9294"/>
    <cellStyle name="40% - Accent3 4 7" xfId="353"/>
    <cellStyle name="40% - Accent3 4 7 2" xfId="8592"/>
    <cellStyle name="40% - Accent3 4 7 3" xfId="9295"/>
    <cellStyle name="40% - Accent3 4 8" xfId="354"/>
    <cellStyle name="40% - Accent3 4 8 2" xfId="8593"/>
    <cellStyle name="40% - Accent3 4 8 3" xfId="9296"/>
    <cellStyle name="40% - Accent3 4 9" xfId="8586"/>
    <cellStyle name="40% - Accent3 5" xfId="355"/>
    <cellStyle name="40% - Accent3 5 10" xfId="9297"/>
    <cellStyle name="40% - Accent3 5 2" xfId="356"/>
    <cellStyle name="40% - Accent3 5 2 2" xfId="8595"/>
    <cellStyle name="40% - Accent3 5 2 3" xfId="9298"/>
    <cellStyle name="40% - Accent3 5 3" xfId="357"/>
    <cellStyle name="40% - Accent3 5 3 2" xfId="8596"/>
    <cellStyle name="40% - Accent3 5 3 3" xfId="9299"/>
    <cellStyle name="40% - Accent3 5 4" xfId="358"/>
    <cellStyle name="40% - Accent3 5 4 2" xfId="8597"/>
    <cellStyle name="40% - Accent3 5 4 3" xfId="9300"/>
    <cellStyle name="40% - Accent3 5 5" xfId="359"/>
    <cellStyle name="40% - Accent3 5 5 2" xfId="8598"/>
    <cellStyle name="40% - Accent3 5 5 3" xfId="9301"/>
    <cellStyle name="40% - Accent3 5 6" xfId="360"/>
    <cellStyle name="40% - Accent3 5 6 2" xfId="8599"/>
    <cellStyle name="40% - Accent3 5 6 3" xfId="9302"/>
    <cellStyle name="40% - Accent3 5 7" xfId="361"/>
    <cellStyle name="40% - Accent3 5 7 2" xfId="8600"/>
    <cellStyle name="40% - Accent3 5 7 3" xfId="9303"/>
    <cellStyle name="40% - Accent3 5 8" xfId="362"/>
    <cellStyle name="40% - Accent3 5 8 2" xfId="8601"/>
    <cellStyle name="40% - Accent3 5 8 3" xfId="9304"/>
    <cellStyle name="40% - Accent3 5 9" xfId="8594"/>
    <cellStyle name="40% - Accent3 6" xfId="363"/>
    <cellStyle name="40% - Accent3 6 2" xfId="8602"/>
    <cellStyle name="40% - Accent3 6 3" xfId="9305"/>
    <cellStyle name="40% - Accent3 7" xfId="364"/>
    <cellStyle name="40% - Accent3 7 2" xfId="8603"/>
    <cellStyle name="40% - Accent3 7 3" xfId="9306"/>
    <cellStyle name="40% - Accent3 8" xfId="365"/>
    <cellStyle name="40% - Accent3 8 2" xfId="8604"/>
    <cellStyle name="40% - Accent3 8 3" xfId="9307"/>
    <cellStyle name="40% - Accent3 9" xfId="366"/>
    <cellStyle name="40% - Accent3 9 2" xfId="8605"/>
    <cellStyle name="40% - Accent3 9 3" xfId="9308"/>
    <cellStyle name="40% - Accent4" xfId="8274" builtinId="43" customBuiltin="1"/>
    <cellStyle name="40% - Accent4 10" xfId="367"/>
    <cellStyle name="40% - Accent4 10 2" xfId="8606"/>
    <cellStyle name="40% - Accent4 10 3" xfId="9309"/>
    <cellStyle name="40% - Accent4 11" xfId="368"/>
    <cellStyle name="40% - Accent4 11 2" xfId="8607"/>
    <cellStyle name="40% - Accent4 11 3" xfId="9310"/>
    <cellStyle name="40% - Accent4 12" xfId="8750"/>
    <cellStyle name="40% - Accent4 13" xfId="9461"/>
    <cellStyle name="40% - Accent4 2" xfId="369"/>
    <cellStyle name="40% - Accent4 2 2" xfId="370"/>
    <cellStyle name="40% - Accent4 2 2 2" xfId="371"/>
    <cellStyle name="40% - Accent4 2 2 2 2" xfId="8609"/>
    <cellStyle name="40% - Accent4 2 2 2 3" xfId="9312"/>
    <cellStyle name="40% - Accent4 2 2 3" xfId="372"/>
    <cellStyle name="40% - Accent4 2 2 3 2" xfId="8610"/>
    <cellStyle name="40% - Accent4 2 2 3 3" xfId="9313"/>
    <cellStyle name="40% - Accent4 2 2 4" xfId="373"/>
    <cellStyle name="40% - Accent4 2 2 4 2" xfId="8611"/>
    <cellStyle name="40% - Accent4 2 2 4 3" xfId="9314"/>
    <cellStyle name="40% - Accent4 2 2 5" xfId="374"/>
    <cellStyle name="40% - Accent4 2 2 5 2" xfId="8612"/>
    <cellStyle name="40% - Accent4 2 2 5 3" xfId="9315"/>
    <cellStyle name="40% - Accent4 2 2 6" xfId="375"/>
    <cellStyle name="40% - Accent4 2 2 6 2" xfId="8613"/>
    <cellStyle name="40% - Accent4 2 2 6 3" xfId="9316"/>
    <cellStyle name="40% - Accent4 2 2 7" xfId="8608"/>
    <cellStyle name="40% - Accent4 2 2 8" xfId="9311"/>
    <cellStyle name="40% - Accent4 2 3" xfId="376"/>
    <cellStyle name="40% - Accent4 2 4" xfId="377"/>
    <cellStyle name="40% - Accent4 2 5" xfId="378"/>
    <cellStyle name="40% - Accent4 2 6" xfId="8818"/>
    <cellStyle name="40% - Accent4 2 7" xfId="9432"/>
    <cellStyle name="40% - Accent4 3" xfId="379"/>
    <cellStyle name="40% - Accent4 3 10" xfId="9317"/>
    <cellStyle name="40% - Accent4 3 2" xfId="380"/>
    <cellStyle name="40% - Accent4 3 2 2" xfId="8615"/>
    <cellStyle name="40% - Accent4 3 2 3" xfId="9318"/>
    <cellStyle name="40% - Accent4 3 3" xfId="381"/>
    <cellStyle name="40% - Accent4 3 3 2" xfId="8616"/>
    <cellStyle name="40% - Accent4 3 3 3" xfId="9319"/>
    <cellStyle name="40% - Accent4 3 4" xfId="382"/>
    <cellStyle name="40% - Accent4 3 4 2" xfId="8617"/>
    <cellStyle name="40% - Accent4 3 4 3" xfId="9320"/>
    <cellStyle name="40% - Accent4 3 5" xfId="383"/>
    <cellStyle name="40% - Accent4 3 5 2" xfId="8618"/>
    <cellStyle name="40% - Accent4 3 5 3" xfId="9321"/>
    <cellStyle name="40% - Accent4 3 6" xfId="384"/>
    <cellStyle name="40% - Accent4 3 6 2" xfId="8619"/>
    <cellStyle name="40% - Accent4 3 6 3" xfId="9322"/>
    <cellStyle name="40% - Accent4 3 7" xfId="385"/>
    <cellStyle name="40% - Accent4 3 7 2" xfId="8620"/>
    <cellStyle name="40% - Accent4 3 7 3" xfId="9323"/>
    <cellStyle name="40% - Accent4 3 8" xfId="386"/>
    <cellStyle name="40% - Accent4 3 8 2" xfId="8621"/>
    <cellStyle name="40% - Accent4 3 8 3" xfId="9324"/>
    <cellStyle name="40% - Accent4 3 9" xfId="8614"/>
    <cellStyle name="40% - Accent4 4" xfId="387"/>
    <cellStyle name="40% - Accent4 4 10" xfId="9325"/>
    <cellStyle name="40% - Accent4 4 2" xfId="388"/>
    <cellStyle name="40% - Accent4 4 2 2" xfId="8623"/>
    <cellStyle name="40% - Accent4 4 2 3" xfId="9326"/>
    <cellStyle name="40% - Accent4 4 3" xfId="389"/>
    <cellStyle name="40% - Accent4 4 3 2" xfId="8624"/>
    <cellStyle name="40% - Accent4 4 3 3" xfId="9327"/>
    <cellStyle name="40% - Accent4 4 4" xfId="390"/>
    <cellStyle name="40% - Accent4 4 4 2" xfId="8625"/>
    <cellStyle name="40% - Accent4 4 4 3" xfId="9328"/>
    <cellStyle name="40% - Accent4 4 5" xfId="391"/>
    <cellStyle name="40% - Accent4 4 5 2" xfId="8626"/>
    <cellStyle name="40% - Accent4 4 5 3" xfId="9329"/>
    <cellStyle name="40% - Accent4 4 6" xfId="392"/>
    <cellStyle name="40% - Accent4 4 6 2" xfId="8627"/>
    <cellStyle name="40% - Accent4 4 6 3" xfId="9330"/>
    <cellStyle name="40% - Accent4 4 7" xfId="393"/>
    <cellStyle name="40% - Accent4 4 7 2" xfId="8628"/>
    <cellStyle name="40% - Accent4 4 7 3" xfId="9331"/>
    <cellStyle name="40% - Accent4 4 8" xfId="394"/>
    <cellStyle name="40% - Accent4 4 8 2" xfId="8629"/>
    <cellStyle name="40% - Accent4 4 8 3" xfId="9332"/>
    <cellStyle name="40% - Accent4 4 9" xfId="8622"/>
    <cellStyle name="40% - Accent4 5" xfId="395"/>
    <cellStyle name="40% - Accent4 5 10" xfId="9333"/>
    <cellStyle name="40% - Accent4 5 2" xfId="396"/>
    <cellStyle name="40% - Accent4 5 2 2" xfId="8631"/>
    <cellStyle name="40% - Accent4 5 2 3" xfId="9334"/>
    <cellStyle name="40% - Accent4 5 3" xfId="397"/>
    <cellStyle name="40% - Accent4 5 3 2" xfId="8632"/>
    <cellStyle name="40% - Accent4 5 3 3" xfId="9335"/>
    <cellStyle name="40% - Accent4 5 4" xfId="398"/>
    <cellStyle name="40% - Accent4 5 4 2" xfId="8633"/>
    <cellStyle name="40% - Accent4 5 4 3" xfId="9336"/>
    <cellStyle name="40% - Accent4 5 5" xfId="399"/>
    <cellStyle name="40% - Accent4 5 5 2" xfId="8634"/>
    <cellStyle name="40% - Accent4 5 5 3" xfId="9337"/>
    <cellStyle name="40% - Accent4 5 6" xfId="400"/>
    <cellStyle name="40% - Accent4 5 6 2" xfId="8635"/>
    <cellStyle name="40% - Accent4 5 6 3" xfId="9338"/>
    <cellStyle name="40% - Accent4 5 7" xfId="401"/>
    <cellStyle name="40% - Accent4 5 7 2" xfId="8636"/>
    <cellStyle name="40% - Accent4 5 7 3" xfId="9339"/>
    <cellStyle name="40% - Accent4 5 8" xfId="402"/>
    <cellStyle name="40% - Accent4 5 8 2" xfId="8637"/>
    <cellStyle name="40% - Accent4 5 8 3" xfId="9340"/>
    <cellStyle name="40% - Accent4 5 9" xfId="8630"/>
    <cellStyle name="40% - Accent4 6" xfId="403"/>
    <cellStyle name="40% - Accent4 6 2" xfId="8638"/>
    <cellStyle name="40% - Accent4 6 3" xfId="9341"/>
    <cellStyle name="40% - Accent4 7" xfId="404"/>
    <cellStyle name="40% - Accent4 7 2" xfId="8639"/>
    <cellStyle name="40% - Accent4 7 3" xfId="9342"/>
    <cellStyle name="40% - Accent4 8" xfId="405"/>
    <cellStyle name="40% - Accent4 8 2" xfId="8640"/>
    <cellStyle name="40% - Accent4 8 3" xfId="9343"/>
    <cellStyle name="40% - Accent4 9" xfId="406"/>
    <cellStyle name="40% - Accent4 9 2" xfId="8641"/>
    <cellStyle name="40% - Accent4 9 3" xfId="9344"/>
    <cellStyle name="40% - Accent5" xfId="8278" builtinId="47" customBuiltin="1"/>
    <cellStyle name="40% - Accent5 10" xfId="407"/>
    <cellStyle name="40% - Accent5 10 2" xfId="8642"/>
    <cellStyle name="40% - Accent5 10 3" xfId="9345"/>
    <cellStyle name="40% - Accent5 11" xfId="408"/>
    <cellStyle name="40% - Accent5 11 2" xfId="8643"/>
    <cellStyle name="40% - Accent5 11 3" xfId="9346"/>
    <cellStyle name="40% - Accent5 12" xfId="8863"/>
    <cellStyle name="40% - Accent5 13" xfId="9463"/>
    <cellStyle name="40% - Accent5 2" xfId="409"/>
    <cellStyle name="40% - Accent5 2 2" xfId="410"/>
    <cellStyle name="40% - Accent5 2 2 2" xfId="411"/>
    <cellStyle name="40% - Accent5 2 2 2 2" xfId="8645"/>
    <cellStyle name="40% - Accent5 2 2 2 3" xfId="9348"/>
    <cellStyle name="40% - Accent5 2 2 3" xfId="412"/>
    <cellStyle name="40% - Accent5 2 2 3 2" xfId="8646"/>
    <cellStyle name="40% - Accent5 2 2 3 3" xfId="9349"/>
    <cellStyle name="40% - Accent5 2 2 4" xfId="413"/>
    <cellStyle name="40% - Accent5 2 2 4 2" xfId="8647"/>
    <cellStyle name="40% - Accent5 2 2 4 3" xfId="9350"/>
    <cellStyle name="40% - Accent5 2 2 5" xfId="414"/>
    <cellStyle name="40% - Accent5 2 2 5 2" xfId="8648"/>
    <cellStyle name="40% - Accent5 2 2 5 3" xfId="9351"/>
    <cellStyle name="40% - Accent5 2 2 6" xfId="415"/>
    <cellStyle name="40% - Accent5 2 2 6 2" xfId="8649"/>
    <cellStyle name="40% - Accent5 2 2 6 3" xfId="9352"/>
    <cellStyle name="40% - Accent5 2 2 7" xfId="8644"/>
    <cellStyle name="40% - Accent5 2 2 8" xfId="9347"/>
    <cellStyle name="40% - Accent5 2 3" xfId="416"/>
    <cellStyle name="40% - Accent5 2 4" xfId="417"/>
    <cellStyle name="40% - Accent5 2 5" xfId="418"/>
    <cellStyle name="40% - Accent5 2 6" xfId="8857"/>
    <cellStyle name="40% - Accent5 2 7" xfId="9430"/>
    <cellStyle name="40% - Accent5 3" xfId="419"/>
    <cellStyle name="40% - Accent5 3 10" xfId="9353"/>
    <cellStyle name="40% - Accent5 3 2" xfId="420"/>
    <cellStyle name="40% - Accent5 3 2 2" xfId="8652"/>
    <cellStyle name="40% - Accent5 3 2 3" xfId="9354"/>
    <cellStyle name="40% - Accent5 3 3" xfId="421"/>
    <cellStyle name="40% - Accent5 3 3 2" xfId="8653"/>
    <cellStyle name="40% - Accent5 3 3 3" xfId="9355"/>
    <cellStyle name="40% - Accent5 3 4" xfId="422"/>
    <cellStyle name="40% - Accent5 3 4 2" xfId="8654"/>
    <cellStyle name="40% - Accent5 3 4 3" xfId="9356"/>
    <cellStyle name="40% - Accent5 3 5" xfId="423"/>
    <cellStyle name="40% - Accent5 3 5 2" xfId="8655"/>
    <cellStyle name="40% - Accent5 3 5 3" xfId="9357"/>
    <cellStyle name="40% - Accent5 3 6" xfId="424"/>
    <cellStyle name="40% - Accent5 3 6 2" xfId="8656"/>
    <cellStyle name="40% - Accent5 3 6 3" xfId="9358"/>
    <cellStyle name="40% - Accent5 3 7" xfId="425"/>
    <cellStyle name="40% - Accent5 3 7 2" xfId="8657"/>
    <cellStyle name="40% - Accent5 3 7 3" xfId="9359"/>
    <cellStyle name="40% - Accent5 3 8" xfId="426"/>
    <cellStyle name="40% - Accent5 3 8 2" xfId="8658"/>
    <cellStyle name="40% - Accent5 3 8 3" xfId="9360"/>
    <cellStyle name="40% - Accent5 3 9" xfId="8651"/>
    <cellStyle name="40% - Accent5 4" xfId="427"/>
    <cellStyle name="40% - Accent5 4 10" xfId="9361"/>
    <cellStyle name="40% - Accent5 4 2" xfId="428"/>
    <cellStyle name="40% - Accent5 4 2 2" xfId="8660"/>
    <cellStyle name="40% - Accent5 4 2 3" xfId="9362"/>
    <cellStyle name="40% - Accent5 4 3" xfId="429"/>
    <cellStyle name="40% - Accent5 4 3 2" xfId="8661"/>
    <cellStyle name="40% - Accent5 4 3 3" xfId="9363"/>
    <cellStyle name="40% - Accent5 4 4" xfId="430"/>
    <cellStyle name="40% - Accent5 4 4 2" xfId="8662"/>
    <cellStyle name="40% - Accent5 4 4 3" xfId="9364"/>
    <cellStyle name="40% - Accent5 4 5" xfId="431"/>
    <cellStyle name="40% - Accent5 4 5 2" xfId="8663"/>
    <cellStyle name="40% - Accent5 4 5 3" xfId="9365"/>
    <cellStyle name="40% - Accent5 4 6" xfId="432"/>
    <cellStyle name="40% - Accent5 4 6 2" xfId="8664"/>
    <cellStyle name="40% - Accent5 4 6 3" xfId="9366"/>
    <cellStyle name="40% - Accent5 4 7" xfId="433"/>
    <cellStyle name="40% - Accent5 4 7 2" xfId="8665"/>
    <cellStyle name="40% - Accent5 4 7 3" xfId="9367"/>
    <cellStyle name="40% - Accent5 4 8" xfId="434"/>
    <cellStyle name="40% - Accent5 4 8 2" xfId="8666"/>
    <cellStyle name="40% - Accent5 4 8 3" xfId="9368"/>
    <cellStyle name="40% - Accent5 4 9" xfId="8659"/>
    <cellStyle name="40% - Accent5 5" xfId="435"/>
    <cellStyle name="40% - Accent5 5 10" xfId="9369"/>
    <cellStyle name="40% - Accent5 5 2" xfId="436"/>
    <cellStyle name="40% - Accent5 5 2 2" xfId="8668"/>
    <cellStyle name="40% - Accent5 5 2 3" xfId="9370"/>
    <cellStyle name="40% - Accent5 5 3" xfId="437"/>
    <cellStyle name="40% - Accent5 5 3 2" xfId="8669"/>
    <cellStyle name="40% - Accent5 5 3 3" xfId="9371"/>
    <cellStyle name="40% - Accent5 5 4" xfId="438"/>
    <cellStyle name="40% - Accent5 5 4 2" xfId="8670"/>
    <cellStyle name="40% - Accent5 5 4 3" xfId="9372"/>
    <cellStyle name="40% - Accent5 5 5" xfId="439"/>
    <cellStyle name="40% - Accent5 5 5 2" xfId="8671"/>
    <cellStyle name="40% - Accent5 5 5 3" xfId="9373"/>
    <cellStyle name="40% - Accent5 5 6" xfId="440"/>
    <cellStyle name="40% - Accent5 5 6 2" xfId="8672"/>
    <cellStyle name="40% - Accent5 5 6 3" xfId="9374"/>
    <cellStyle name="40% - Accent5 5 7" xfId="441"/>
    <cellStyle name="40% - Accent5 5 7 2" xfId="8673"/>
    <cellStyle name="40% - Accent5 5 7 3" xfId="9375"/>
    <cellStyle name="40% - Accent5 5 8" xfId="442"/>
    <cellStyle name="40% - Accent5 5 8 2" xfId="8674"/>
    <cellStyle name="40% - Accent5 5 8 3" xfId="9376"/>
    <cellStyle name="40% - Accent5 5 9" xfId="8667"/>
    <cellStyle name="40% - Accent5 6" xfId="443"/>
    <cellStyle name="40% - Accent5 6 2" xfId="8675"/>
    <cellStyle name="40% - Accent5 6 3" xfId="9377"/>
    <cellStyle name="40% - Accent5 7" xfId="444"/>
    <cellStyle name="40% - Accent5 7 2" xfId="8676"/>
    <cellStyle name="40% - Accent5 7 3" xfId="9378"/>
    <cellStyle name="40% - Accent5 8" xfId="445"/>
    <cellStyle name="40% - Accent5 8 2" xfId="8677"/>
    <cellStyle name="40% - Accent5 8 3" xfId="9379"/>
    <cellStyle name="40% - Accent5 9" xfId="446"/>
    <cellStyle name="40% - Accent5 9 2" xfId="8678"/>
    <cellStyle name="40% - Accent5 9 3" xfId="9380"/>
    <cellStyle name="40% - Accent6" xfId="8282" builtinId="51" customBuiltin="1"/>
    <cellStyle name="40% - Accent6 10" xfId="447"/>
    <cellStyle name="40% - Accent6 10 2" xfId="8679"/>
    <cellStyle name="40% - Accent6 10 3" xfId="9381"/>
    <cellStyle name="40% - Accent6 11" xfId="448"/>
    <cellStyle name="40% - Accent6 11 2" xfId="8680"/>
    <cellStyle name="40% - Accent6 11 3" xfId="9382"/>
    <cellStyle name="40% - Accent6 12" xfId="8867"/>
    <cellStyle name="40% - Accent6 13" xfId="9465"/>
    <cellStyle name="40% - Accent6 2" xfId="449"/>
    <cellStyle name="40% - Accent6 2 2" xfId="450"/>
    <cellStyle name="40% - Accent6 2 2 2" xfId="451"/>
    <cellStyle name="40% - Accent6 2 2 2 2" xfId="8682"/>
    <cellStyle name="40% - Accent6 2 2 2 3" xfId="9384"/>
    <cellStyle name="40% - Accent6 2 2 3" xfId="452"/>
    <cellStyle name="40% - Accent6 2 2 3 2" xfId="8683"/>
    <cellStyle name="40% - Accent6 2 2 3 3" xfId="9385"/>
    <cellStyle name="40% - Accent6 2 2 4" xfId="453"/>
    <cellStyle name="40% - Accent6 2 2 4 2" xfId="8684"/>
    <cellStyle name="40% - Accent6 2 2 4 3" xfId="9386"/>
    <cellStyle name="40% - Accent6 2 2 5" xfId="454"/>
    <cellStyle name="40% - Accent6 2 2 5 2" xfId="8685"/>
    <cellStyle name="40% - Accent6 2 2 5 3" xfId="9387"/>
    <cellStyle name="40% - Accent6 2 2 6" xfId="455"/>
    <cellStyle name="40% - Accent6 2 2 6 2" xfId="8686"/>
    <cellStyle name="40% - Accent6 2 2 6 3" xfId="9388"/>
    <cellStyle name="40% - Accent6 2 2 7" xfId="8681"/>
    <cellStyle name="40% - Accent6 2 2 8" xfId="9383"/>
    <cellStyle name="40% - Accent6 2 3" xfId="456"/>
    <cellStyle name="40% - Accent6 2 4" xfId="457"/>
    <cellStyle name="40% - Accent6 2 5" xfId="458"/>
    <cellStyle name="40% - Accent6 2 6" xfId="8862"/>
    <cellStyle name="40% - Accent6 2 7" xfId="9429"/>
    <cellStyle name="40% - Accent6 3" xfId="459"/>
    <cellStyle name="40% - Accent6 3 10" xfId="9389"/>
    <cellStyle name="40% - Accent6 3 2" xfId="460"/>
    <cellStyle name="40% - Accent6 3 2 2" xfId="8688"/>
    <cellStyle name="40% - Accent6 3 2 3" xfId="9390"/>
    <cellStyle name="40% - Accent6 3 3" xfId="461"/>
    <cellStyle name="40% - Accent6 3 3 2" xfId="8689"/>
    <cellStyle name="40% - Accent6 3 3 3" xfId="9391"/>
    <cellStyle name="40% - Accent6 3 4" xfId="462"/>
    <cellStyle name="40% - Accent6 3 4 2" xfId="8690"/>
    <cellStyle name="40% - Accent6 3 4 3" xfId="9392"/>
    <cellStyle name="40% - Accent6 3 5" xfId="463"/>
    <cellStyle name="40% - Accent6 3 5 2" xfId="8691"/>
    <cellStyle name="40% - Accent6 3 5 3" xfId="9393"/>
    <cellStyle name="40% - Accent6 3 6" xfId="464"/>
    <cellStyle name="40% - Accent6 3 6 2" xfId="8692"/>
    <cellStyle name="40% - Accent6 3 6 3" xfId="9394"/>
    <cellStyle name="40% - Accent6 3 7" xfId="465"/>
    <cellStyle name="40% - Accent6 3 7 2" xfId="8693"/>
    <cellStyle name="40% - Accent6 3 7 3" xfId="9395"/>
    <cellStyle name="40% - Accent6 3 8" xfId="466"/>
    <cellStyle name="40% - Accent6 3 8 2" xfId="8694"/>
    <cellStyle name="40% - Accent6 3 8 3" xfId="9396"/>
    <cellStyle name="40% - Accent6 3 9" xfId="8687"/>
    <cellStyle name="40% - Accent6 4" xfId="467"/>
    <cellStyle name="40% - Accent6 4 10" xfId="9397"/>
    <cellStyle name="40% - Accent6 4 2" xfId="468"/>
    <cellStyle name="40% - Accent6 4 2 2" xfId="8696"/>
    <cellStyle name="40% - Accent6 4 2 3" xfId="9398"/>
    <cellStyle name="40% - Accent6 4 3" xfId="469"/>
    <cellStyle name="40% - Accent6 4 3 2" xfId="8697"/>
    <cellStyle name="40% - Accent6 4 3 3" xfId="9399"/>
    <cellStyle name="40% - Accent6 4 4" xfId="470"/>
    <cellStyle name="40% - Accent6 4 4 2" xfId="8698"/>
    <cellStyle name="40% - Accent6 4 4 3" xfId="9400"/>
    <cellStyle name="40% - Accent6 4 5" xfId="471"/>
    <cellStyle name="40% - Accent6 4 5 2" xfId="8699"/>
    <cellStyle name="40% - Accent6 4 5 3" xfId="9401"/>
    <cellStyle name="40% - Accent6 4 6" xfId="472"/>
    <cellStyle name="40% - Accent6 4 6 2" xfId="8700"/>
    <cellStyle name="40% - Accent6 4 6 3" xfId="9402"/>
    <cellStyle name="40% - Accent6 4 7" xfId="473"/>
    <cellStyle name="40% - Accent6 4 7 2" xfId="8701"/>
    <cellStyle name="40% - Accent6 4 7 3" xfId="9403"/>
    <cellStyle name="40% - Accent6 4 8" xfId="474"/>
    <cellStyle name="40% - Accent6 4 8 2" xfId="8702"/>
    <cellStyle name="40% - Accent6 4 8 3" xfId="9404"/>
    <cellStyle name="40% - Accent6 4 9" xfId="8695"/>
    <cellStyle name="40% - Accent6 5" xfId="475"/>
    <cellStyle name="40% - Accent6 5 10" xfId="9405"/>
    <cellStyle name="40% - Accent6 5 2" xfId="476"/>
    <cellStyle name="40% - Accent6 5 2 2" xfId="8704"/>
    <cellStyle name="40% - Accent6 5 2 3" xfId="9406"/>
    <cellStyle name="40% - Accent6 5 3" xfId="477"/>
    <cellStyle name="40% - Accent6 5 3 2" xfId="8705"/>
    <cellStyle name="40% - Accent6 5 3 3" xfId="9407"/>
    <cellStyle name="40% - Accent6 5 4" xfId="478"/>
    <cellStyle name="40% - Accent6 5 4 2" xfId="8706"/>
    <cellStyle name="40% - Accent6 5 4 3" xfId="9408"/>
    <cellStyle name="40% - Accent6 5 5" xfId="479"/>
    <cellStyle name="40% - Accent6 5 5 2" xfId="8707"/>
    <cellStyle name="40% - Accent6 5 5 3" xfId="9409"/>
    <cellStyle name="40% - Accent6 5 6" xfId="480"/>
    <cellStyle name="40% - Accent6 5 6 2" xfId="8708"/>
    <cellStyle name="40% - Accent6 5 6 3" xfId="9410"/>
    <cellStyle name="40% - Accent6 5 7" xfId="481"/>
    <cellStyle name="40% - Accent6 5 7 2" xfId="8709"/>
    <cellStyle name="40% - Accent6 5 7 3" xfId="9411"/>
    <cellStyle name="40% - Accent6 5 8" xfId="482"/>
    <cellStyle name="40% - Accent6 5 8 2" xfId="8710"/>
    <cellStyle name="40% - Accent6 5 8 3" xfId="9412"/>
    <cellStyle name="40% - Accent6 5 9" xfId="8703"/>
    <cellStyle name="40% - Accent6 6" xfId="483"/>
    <cellStyle name="40% - Accent6 6 2" xfId="8711"/>
    <cellStyle name="40% - Accent6 6 3" xfId="9413"/>
    <cellStyle name="40% - Accent6 7" xfId="484"/>
    <cellStyle name="40% - Accent6 7 2" xfId="8712"/>
    <cellStyle name="40% - Accent6 7 3" xfId="9414"/>
    <cellStyle name="40% - Accent6 8" xfId="485"/>
    <cellStyle name="40% - Accent6 8 2" xfId="8713"/>
    <cellStyle name="40% - Accent6 8 3" xfId="9415"/>
    <cellStyle name="40% - Accent6 9" xfId="486"/>
    <cellStyle name="40% - Accent6 9 2" xfId="8714"/>
    <cellStyle name="40% - Accent6 9 3" xfId="9416"/>
    <cellStyle name="60% - Accent1" xfId="8263" builtinId="32" customBuiltin="1"/>
    <cellStyle name="60% - Accent1 2" xfId="487"/>
    <cellStyle name="60% - Accent1 2 2" xfId="488"/>
    <cellStyle name="60% - Accent1 2 3" xfId="489"/>
    <cellStyle name="60% - Accent1 2 4" xfId="490"/>
    <cellStyle name="60% - Accent1 2 5" xfId="491"/>
    <cellStyle name="60% - Accent1 2 6" xfId="8812"/>
    <cellStyle name="60% - Accent1 3" xfId="492"/>
    <cellStyle name="60% - Accent1 3 2" xfId="493"/>
    <cellStyle name="60% - Accent1 3 3" xfId="494"/>
    <cellStyle name="60% - Accent1 3 4" xfId="495"/>
    <cellStyle name="60% - Accent1 3 5" xfId="496"/>
    <cellStyle name="60% - Accent1 3 6" xfId="497"/>
    <cellStyle name="60% - Accent1 3 7" xfId="498"/>
    <cellStyle name="60% - Accent1 3 8" xfId="499"/>
    <cellStyle name="60% - Accent1 4" xfId="500"/>
    <cellStyle name="60% - Accent1 4 2" xfId="501"/>
    <cellStyle name="60% - Accent1 4 3" xfId="502"/>
    <cellStyle name="60% - Accent1 4 4" xfId="503"/>
    <cellStyle name="60% - Accent1 4 5" xfId="504"/>
    <cellStyle name="60% - Accent1 4 6" xfId="505"/>
    <cellStyle name="60% - Accent1 4 7" xfId="506"/>
    <cellStyle name="60% - Accent1 4 8" xfId="507"/>
    <cellStyle name="60% - Accent1 5" xfId="508"/>
    <cellStyle name="60% - Accent1 5 2" xfId="509"/>
    <cellStyle name="60% - Accent1 5 3" xfId="510"/>
    <cellStyle name="60% - Accent1 5 4" xfId="511"/>
    <cellStyle name="60% - Accent1 5 5" xfId="512"/>
    <cellStyle name="60% - Accent1 5 6" xfId="513"/>
    <cellStyle name="60% - Accent1 5 7" xfId="514"/>
    <cellStyle name="60% - Accent1 5 8" xfId="515"/>
    <cellStyle name="60% - Accent1 6" xfId="516"/>
    <cellStyle name="60% - Accent1 7" xfId="8744"/>
    <cellStyle name="60% - Accent2" xfId="8267" builtinId="36" customBuiltin="1"/>
    <cellStyle name="60% - Accent2 2" xfId="517"/>
    <cellStyle name="60% - Accent2 2 2" xfId="518"/>
    <cellStyle name="60% - Accent2 2 3" xfId="519"/>
    <cellStyle name="60% - Accent2 2 4" xfId="520"/>
    <cellStyle name="60% - Accent2 2 5" xfId="521"/>
    <cellStyle name="60% - Accent2 2 6" xfId="8912"/>
    <cellStyle name="60% - Accent2 3" xfId="522"/>
    <cellStyle name="60% - Accent2 3 2" xfId="523"/>
    <cellStyle name="60% - Accent2 3 3" xfId="524"/>
    <cellStyle name="60% - Accent2 3 4" xfId="525"/>
    <cellStyle name="60% - Accent2 3 5" xfId="526"/>
    <cellStyle name="60% - Accent2 3 6" xfId="527"/>
    <cellStyle name="60% - Accent2 3 7" xfId="528"/>
    <cellStyle name="60% - Accent2 3 8" xfId="529"/>
    <cellStyle name="60% - Accent2 4" xfId="530"/>
    <cellStyle name="60% - Accent2 4 2" xfId="531"/>
    <cellStyle name="60% - Accent2 4 3" xfId="532"/>
    <cellStyle name="60% - Accent2 4 4" xfId="533"/>
    <cellStyle name="60% - Accent2 4 5" xfId="534"/>
    <cellStyle name="60% - Accent2 4 6" xfId="535"/>
    <cellStyle name="60% - Accent2 4 7" xfId="536"/>
    <cellStyle name="60% - Accent2 4 8" xfId="537"/>
    <cellStyle name="60% - Accent2 5" xfId="538"/>
    <cellStyle name="60% - Accent2 5 2" xfId="539"/>
    <cellStyle name="60% - Accent2 5 3" xfId="540"/>
    <cellStyle name="60% - Accent2 5 4" xfId="541"/>
    <cellStyle name="60% - Accent2 5 5" xfId="542"/>
    <cellStyle name="60% - Accent2 5 6" xfId="543"/>
    <cellStyle name="60% - Accent2 5 7" xfId="544"/>
    <cellStyle name="60% - Accent2 5 8" xfId="545"/>
    <cellStyle name="60% - Accent2 6" xfId="546"/>
    <cellStyle name="60% - Accent2 7" xfId="8936"/>
    <cellStyle name="60% - Accent3" xfId="8271" builtinId="40" customBuiltin="1"/>
    <cellStyle name="60% - Accent3 2" xfId="547"/>
    <cellStyle name="60% - Accent3 2 2" xfId="548"/>
    <cellStyle name="60% - Accent3 2 3" xfId="549"/>
    <cellStyle name="60% - Accent3 2 4" xfId="550"/>
    <cellStyle name="60% - Accent3 2 5" xfId="551"/>
    <cellStyle name="60% - Accent3 2 6" xfId="8987"/>
    <cellStyle name="60% - Accent3 3" xfId="552"/>
    <cellStyle name="60% - Accent3 3 2" xfId="553"/>
    <cellStyle name="60% - Accent3 3 3" xfId="554"/>
    <cellStyle name="60% - Accent3 3 4" xfId="555"/>
    <cellStyle name="60% - Accent3 3 5" xfId="556"/>
    <cellStyle name="60% - Accent3 3 6" xfId="557"/>
    <cellStyle name="60% - Accent3 3 7" xfId="558"/>
    <cellStyle name="60% - Accent3 3 8" xfId="559"/>
    <cellStyle name="60% - Accent3 4" xfId="560"/>
    <cellStyle name="60% - Accent3 4 2" xfId="561"/>
    <cellStyle name="60% - Accent3 4 3" xfId="562"/>
    <cellStyle name="60% - Accent3 4 4" xfId="563"/>
    <cellStyle name="60% - Accent3 4 5" xfId="564"/>
    <cellStyle name="60% - Accent3 4 6" xfId="565"/>
    <cellStyle name="60% - Accent3 4 7" xfId="566"/>
    <cellStyle name="60% - Accent3 4 8" xfId="567"/>
    <cellStyle name="60% - Accent3 5" xfId="568"/>
    <cellStyle name="60% - Accent3 5 2" xfId="569"/>
    <cellStyle name="60% - Accent3 5 3" xfId="570"/>
    <cellStyle name="60% - Accent3 5 4" xfId="571"/>
    <cellStyle name="60% - Accent3 5 5" xfId="572"/>
    <cellStyle name="60% - Accent3 5 6" xfId="573"/>
    <cellStyle name="60% - Accent3 5 7" xfId="574"/>
    <cellStyle name="60% - Accent3 5 8" xfId="575"/>
    <cellStyle name="60% - Accent3 6" xfId="576"/>
    <cellStyle name="60% - Accent3 7" xfId="8747"/>
    <cellStyle name="60% - Accent4" xfId="8275" builtinId="44" customBuiltin="1"/>
    <cellStyle name="60% - Accent4 2" xfId="577"/>
    <cellStyle name="60% - Accent4 2 2" xfId="578"/>
    <cellStyle name="60% - Accent4 2 3" xfId="579"/>
    <cellStyle name="60% - Accent4 2 4" xfId="580"/>
    <cellStyle name="60% - Accent4 2 5" xfId="581"/>
    <cellStyle name="60% - Accent4 2 6" xfId="8819"/>
    <cellStyle name="60% - Accent4 3" xfId="582"/>
    <cellStyle name="60% - Accent4 3 2" xfId="583"/>
    <cellStyle name="60% - Accent4 3 3" xfId="584"/>
    <cellStyle name="60% - Accent4 3 4" xfId="585"/>
    <cellStyle name="60% - Accent4 3 5" xfId="586"/>
    <cellStyle name="60% - Accent4 3 6" xfId="587"/>
    <cellStyle name="60% - Accent4 3 7" xfId="588"/>
    <cellStyle name="60% - Accent4 3 8" xfId="589"/>
    <cellStyle name="60% - Accent4 4" xfId="590"/>
    <cellStyle name="60% - Accent4 4 2" xfId="591"/>
    <cellStyle name="60% - Accent4 4 3" xfId="592"/>
    <cellStyle name="60% - Accent4 4 4" xfId="593"/>
    <cellStyle name="60% - Accent4 4 5" xfId="594"/>
    <cellStyle name="60% - Accent4 4 6" xfId="595"/>
    <cellStyle name="60% - Accent4 4 7" xfId="596"/>
    <cellStyle name="60% - Accent4 4 8" xfId="597"/>
    <cellStyle name="60% - Accent4 5" xfId="598"/>
    <cellStyle name="60% - Accent4 5 2" xfId="599"/>
    <cellStyle name="60% - Accent4 5 3" xfId="600"/>
    <cellStyle name="60% - Accent4 5 4" xfId="601"/>
    <cellStyle name="60% - Accent4 5 5" xfId="602"/>
    <cellStyle name="60% - Accent4 5 6" xfId="603"/>
    <cellStyle name="60% - Accent4 5 7" xfId="604"/>
    <cellStyle name="60% - Accent4 5 8" xfId="605"/>
    <cellStyle name="60% - Accent4 6" xfId="606"/>
    <cellStyle name="60% - Accent4 7" xfId="8918"/>
    <cellStyle name="60% - Accent5" xfId="8279" builtinId="48" customBuiltin="1"/>
    <cellStyle name="60% - Accent5 2" xfId="607"/>
    <cellStyle name="60% - Accent5 2 2" xfId="608"/>
    <cellStyle name="60% - Accent5 2 3" xfId="609"/>
    <cellStyle name="60% - Accent5 2 4" xfId="610"/>
    <cellStyle name="60% - Accent5 2 5" xfId="611"/>
    <cellStyle name="60% - Accent5 2 6" xfId="8910"/>
    <cellStyle name="60% - Accent5 3" xfId="612"/>
    <cellStyle name="60% - Accent5 3 2" xfId="613"/>
    <cellStyle name="60% - Accent5 3 3" xfId="614"/>
    <cellStyle name="60% - Accent5 3 4" xfId="615"/>
    <cellStyle name="60% - Accent5 3 5" xfId="616"/>
    <cellStyle name="60% - Accent5 3 6" xfId="617"/>
    <cellStyle name="60% - Accent5 3 7" xfId="618"/>
    <cellStyle name="60% - Accent5 3 8" xfId="619"/>
    <cellStyle name="60% - Accent5 4" xfId="620"/>
    <cellStyle name="60% - Accent5 4 2" xfId="621"/>
    <cellStyle name="60% - Accent5 4 3" xfId="622"/>
    <cellStyle name="60% - Accent5 4 4" xfId="623"/>
    <cellStyle name="60% - Accent5 4 5" xfId="624"/>
    <cellStyle name="60% - Accent5 4 6" xfId="625"/>
    <cellStyle name="60% - Accent5 4 7" xfId="626"/>
    <cellStyle name="60% - Accent5 4 8" xfId="627"/>
    <cellStyle name="60% - Accent5 5" xfId="628"/>
    <cellStyle name="60% - Accent5 5 2" xfId="629"/>
    <cellStyle name="60% - Accent5 5 3" xfId="630"/>
    <cellStyle name="60% - Accent5 5 4" xfId="631"/>
    <cellStyle name="60% - Accent5 5 5" xfId="632"/>
    <cellStyle name="60% - Accent5 5 6" xfId="633"/>
    <cellStyle name="60% - Accent5 5 7" xfId="634"/>
    <cellStyle name="60% - Accent5 5 8" xfId="635"/>
    <cellStyle name="60% - Accent5 6" xfId="636"/>
    <cellStyle name="60% - Accent5 7" xfId="8929"/>
    <cellStyle name="60% - Accent6" xfId="8283" builtinId="52" customBuiltin="1"/>
    <cellStyle name="60% - Accent6 2" xfId="637"/>
    <cellStyle name="60% - Accent6 2 2" xfId="638"/>
    <cellStyle name="60% - Accent6 2 3" xfId="639"/>
    <cellStyle name="60% - Accent6 2 4" xfId="640"/>
    <cellStyle name="60% - Accent6 2 5" xfId="641"/>
    <cellStyle name="60% - Accent6 2 6" xfId="8979"/>
    <cellStyle name="60% - Accent6 3" xfId="642"/>
    <cellStyle name="60% - Accent6 3 2" xfId="643"/>
    <cellStyle name="60% - Accent6 3 3" xfId="644"/>
    <cellStyle name="60% - Accent6 3 4" xfId="645"/>
    <cellStyle name="60% - Accent6 3 5" xfId="646"/>
    <cellStyle name="60% - Accent6 3 6" xfId="647"/>
    <cellStyle name="60% - Accent6 3 7" xfId="648"/>
    <cellStyle name="60% - Accent6 3 8" xfId="649"/>
    <cellStyle name="60% - Accent6 4" xfId="650"/>
    <cellStyle name="60% - Accent6 4 2" xfId="651"/>
    <cellStyle name="60% - Accent6 4 3" xfId="652"/>
    <cellStyle name="60% - Accent6 4 4" xfId="653"/>
    <cellStyle name="60% - Accent6 4 5" xfId="654"/>
    <cellStyle name="60% - Accent6 4 6" xfId="655"/>
    <cellStyle name="60% - Accent6 4 7" xfId="656"/>
    <cellStyle name="60% - Accent6 4 8" xfId="657"/>
    <cellStyle name="60% - Accent6 5" xfId="658"/>
    <cellStyle name="60% - Accent6 5 2" xfId="659"/>
    <cellStyle name="60% - Accent6 5 3" xfId="660"/>
    <cellStyle name="60% - Accent6 5 4" xfId="661"/>
    <cellStyle name="60% - Accent6 5 5" xfId="662"/>
    <cellStyle name="60% - Accent6 5 6" xfId="663"/>
    <cellStyle name="60% - Accent6 5 7" xfId="664"/>
    <cellStyle name="60% - Accent6 5 8" xfId="665"/>
    <cellStyle name="60% - Accent6 6" xfId="666"/>
    <cellStyle name="60% - Accent6 7" xfId="8990"/>
    <cellStyle name="Accent1" xfId="8260" builtinId="29" customBuiltin="1"/>
    <cellStyle name="Accent1 - 20%" xfId="667"/>
    <cellStyle name="Accent1 - 20% 10" xfId="668"/>
    <cellStyle name="Accent1 - 20% 11" xfId="669"/>
    <cellStyle name="Accent1 - 20% 12" xfId="670"/>
    <cellStyle name="Accent1 - 20% 13" xfId="671"/>
    <cellStyle name="Accent1 - 20% 14" xfId="672"/>
    <cellStyle name="Accent1 - 20% 15" xfId="673"/>
    <cellStyle name="Accent1 - 20% 16" xfId="674"/>
    <cellStyle name="Accent1 - 20% 17" xfId="675"/>
    <cellStyle name="Accent1 - 20% 18" xfId="676"/>
    <cellStyle name="Accent1 - 20% 19" xfId="677"/>
    <cellStyle name="Accent1 - 20% 2" xfId="678"/>
    <cellStyle name="Accent1 - 20% 2 2" xfId="679"/>
    <cellStyle name="Accent1 - 20% 20" xfId="680"/>
    <cellStyle name="Accent1 - 20% 21" xfId="681"/>
    <cellStyle name="Accent1 - 20% 22" xfId="682"/>
    <cellStyle name="Accent1 - 20% 23" xfId="683"/>
    <cellStyle name="Accent1 - 20% 24" xfId="684"/>
    <cellStyle name="Accent1 - 20% 25" xfId="685"/>
    <cellStyle name="Accent1 - 20% 26" xfId="686"/>
    <cellStyle name="Accent1 - 20% 27" xfId="687"/>
    <cellStyle name="Accent1 - 20% 28" xfId="688"/>
    <cellStyle name="Accent1 - 20% 29" xfId="689"/>
    <cellStyle name="Accent1 - 20% 3" xfId="690"/>
    <cellStyle name="Accent1 - 20% 30" xfId="691"/>
    <cellStyle name="Accent1 - 20% 31" xfId="692"/>
    <cellStyle name="Accent1 - 20% 32" xfId="693"/>
    <cellStyle name="Accent1 - 20% 33" xfId="694"/>
    <cellStyle name="Accent1 - 20% 34" xfId="695"/>
    <cellStyle name="Accent1 - 20% 35" xfId="696"/>
    <cellStyle name="Accent1 - 20% 36" xfId="697"/>
    <cellStyle name="Accent1 - 20% 37" xfId="698"/>
    <cellStyle name="Accent1 - 20% 38" xfId="699"/>
    <cellStyle name="Accent1 - 20% 39" xfId="700"/>
    <cellStyle name="Accent1 - 20% 4" xfId="701"/>
    <cellStyle name="Accent1 - 20% 40" xfId="702"/>
    <cellStyle name="Accent1 - 20% 41" xfId="703"/>
    <cellStyle name="Accent1 - 20% 42" xfId="704"/>
    <cellStyle name="Accent1 - 20% 43" xfId="705"/>
    <cellStyle name="Accent1 - 20% 44" xfId="706"/>
    <cellStyle name="Accent1 - 20% 45" xfId="707"/>
    <cellStyle name="Accent1 - 20% 46" xfId="708"/>
    <cellStyle name="Accent1 - 20% 47" xfId="709"/>
    <cellStyle name="Accent1 - 20% 5" xfId="710"/>
    <cellStyle name="Accent1 - 20% 6" xfId="711"/>
    <cellStyle name="Accent1 - 20% 7" xfId="712"/>
    <cellStyle name="Accent1 - 20% 8" xfId="713"/>
    <cellStyle name="Accent1 - 20% 9" xfId="714"/>
    <cellStyle name="Accent1 - 40%" xfId="715"/>
    <cellStyle name="Accent1 - 40% 10" xfId="716"/>
    <cellStyle name="Accent1 - 40% 11" xfId="717"/>
    <cellStyle name="Accent1 - 40% 12" xfId="718"/>
    <cellStyle name="Accent1 - 40% 13" xfId="719"/>
    <cellStyle name="Accent1 - 40% 14" xfId="720"/>
    <cellStyle name="Accent1 - 40% 15" xfId="721"/>
    <cellStyle name="Accent1 - 40% 16" xfId="722"/>
    <cellStyle name="Accent1 - 40% 17" xfId="723"/>
    <cellStyle name="Accent1 - 40% 18" xfId="724"/>
    <cellStyle name="Accent1 - 40% 19" xfId="725"/>
    <cellStyle name="Accent1 - 40% 2" xfId="726"/>
    <cellStyle name="Accent1 - 40% 2 2" xfId="727"/>
    <cellStyle name="Accent1 - 40% 20" xfId="728"/>
    <cellStyle name="Accent1 - 40% 21" xfId="729"/>
    <cellStyle name="Accent1 - 40% 22" xfId="730"/>
    <cellStyle name="Accent1 - 40% 23" xfId="731"/>
    <cellStyle name="Accent1 - 40% 24" xfId="732"/>
    <cellStyle name="Accent1 - 40% 25" xfId="733"/>
    <cellStyle name="Accent1 - 40% 26" xfId="734"/>
    <cellStyle name="Accent1 - 40% 27" xfId="735"/>
    <cellStyle name="Accent1 - 40% 28" xfId="736"/>
    <cellStyle name="Accent1 - 40% 29" xfId="737"/>
    <cellStyle name="Accent1 - 40% 3" xfId="738"/>
    <cellStyle name="Accent1 - 40% 30" xfId="739"/>
    <cellStyle name="Accent1 - 40% 31" xfId="740"/>
    <cellStyle name="Accent1 - 40% 32" xfId="741"/>
    <cellStyle name="Accent1 - 40% 33" xfId="742"/>
    <cellStyle name="Accent1 - 40% 34" xfId="743"/>
    <cellStyle name="Accent1 - 40% 35" xfId="744"/>
    <cellStyle name="Accent1 - 40% 36" xfId="745"/>
    <cellStyle name="Accent1 - 40% 37" xfId="746"/>
    <cellStyle name="Accent1 - 40% 38" xfId="747"/>
    <cellStyle name="Accent1 - 40% 39" xfId="748"/>
    <cellStyle name="Accent1 - 40% 4" xfId="749"/>
    <cellStyle name="Accent1 - 40% 40" xfId="750"/>
    <cellStyle name="Accent1 - 40% 41" xfId="751"/>
    <cellStyle name="Accent1 - 40% 42" xfId="752"/>
    <cellStyle name="Accent1 - 40% 43" xfId="753"/>
    <cellStyle name="Accent1 - 40% 44" xfId="754"/>
    <cellStyle name="Accent1 - 40% 45" xfId="755"/>
    <cellStyle name="Accent1 - 40% 46" xfId="756"/>
    <cellStyle name="Accent1 - 40% 47" xfId="757"/>
    <cellStyle name="Accent1 - 40% 5" xfId="758"/>
    <cellStyle name="Accent1 - 40% 6" xfId="759"/>
    <cellStyle name="Accent1 - 40% 7" xfId="760"/>
    <cellStyle name="Accent1 - 40% 8" xfId="761"/>
    <cellStyle name="Accent1 - 40% 9" xfId="762"/>
    <cellStyle name="Accent1 - 60%" xfId="763"/>
    <cellStyle name="Accent1 - 60% 10" xfId="764"/>
    <cellStyle name="Accent1 - 60% 11" xfId="765"/>
    <cellStyle name="Accent1 - 60% 12" xfId="766"/>
    <cellStyle name="Accent1 - 60% 13" xfId="767"/>
    <cellStyle name="Accent1 - 60% 14" xfId="768"/>
    <cellStyle name="Accent1 - 60% 15" xfId="769"/>
    <cellStyle name="Accent1 - 60% 16" xfId="770"/>
    <cellStyle name="Accent1 - 60% 17" xfId="771"/>
    <cellStyle name="Accent1 - 60% 18" xfId="772"/>
    <cellStyle name="Accent1 - 60% 19" xfId="773"/>
    <cellStyle name="Accent1 - 60% 2" xfId="774"/>
    <cellStyle name="Accent1 - 60% 2 2" xfId="775"/>
    <cellStyle name="Accent1 - 60% 20" xfId="776"/>
    <cellStyle name="Accent1 - 60% 21" xfId="777"/>
    <cellStyle name="Accent1 - 60% 22" xfId="778"/>
    <cellStyle name="Accent1 - 60% 23" xfId="779"/>
    <cellStyle name="Accent1 - 60% 24" xfId="780"/>
    <cellStyle name="Accent1 - 60% 25" xfId="781"/>
    <cellStyle name="Accent1 - 60% 26" xfId="782"/>
    <cellStyle name="Accent1 - 60% 27" xfId="783"/>
    <cellStyle name="Accent1 - 60% 28" xfId="784"/>
    <cellStyle name="Accent1 - 60% 29" xfId="785"/>
    <cellStyle name="Accent1 - 60% 3" xfId="786"/>
    <cellStyle name="Accent1 - 60% 30" xfId="787"/>
    <cellStyle name="Accent1 - 60% 31" xfId="788"/>
    <cellStyle name="Accent1 - 60% 32" xfId="789"/>
    <cellStyle name="Accent1 - 60% 33" xfId="790"/>
    <cellStyle name="Accent1 - 60% 34" xfId="791"/>
    <cellStyle name="Accent1 - 60% 35" xfId="792"/>
    <cellStyle name="Accent1 - 60% 36" xfId="793"/>
    <cellStyle name="Accent1 - 60% 37" xfId="794"/>
    <cellStyle name="Accent1 - 60% 38" xfId="795"/>
    <cellStyle name="Accent1 - 60% 39" xfId="796"/>
    <cellStyle name="Accent1 - 60% 4" xfId="797"/>
    <cellStyle name="Accent1 - 60% 40" xfId="798"/>
    <cellStyle name="Accent1 - 60% 41" xfId="799"/>
    <cellStyle name="Accent1 - 60% 42" xfId="800"/>
    <cellStyle name="Accent1 - 60% 43" xfId="801"/>
    <cellStyle name="Accent1 - 60% 44" xfId="802"/>
    <cellStyle name="Accent1 - 60% 45" xfId="803"/>
    <cellStyle name="Accent1 - 60% 46" xfId="804"/>
    <cellStyle name="Accent1 - 60% 5" xfId="805"/>
    <cellStyle name="Accent1 - 60% 6" xfId="806"/>
    <cellStyle name="Accent1 - 60% 7" xfId="807"/>
    <cellStyle name="Accent1 - 60% 8" xfId="808"/>
    <cellStyle name="Accent1 - 60% 9" xfId="809"/>
    <cellStyle name="Accent1 10" xfId="810"/>
    <cellStyle name="Accent1 10 2" xfId="811"/>
    <cellStyle name="Accent1 10 3" xfId="812"/>
    <cellStyle name="Accent1 11" xfId="813"/>
    <cellStyle name="Accent1 11 2" xfId="814"/>
    <cellStyle name="Accent1 11 3" xfId="815"/>
    <cellStyle name="Accent1 12" xfId="816"/>
    <cellStyle name="Accent1 13" xfId="8876"/>
    <cellStyle name="Accent1 14" xfId="8820"/>
    <cellStyle name="Accent1 15" xfId="8886"/>
    <cellStyle name="Accent1 2" xfId="817"/>
    <cellStyle name="Accent1 2 2" xfId="818"/>
    <cellStyle name="Accent1 2 2 2" xfId="819"/>
    <cellStyle name="Accent1 2 3" xfId="820"/>
    <cellStyle name="Accent1 2 3 2" xfId="821"/>
    <cellStyle name="Accent1 2 4" xfId="822"/>
    <cellStyle name="Accent1 2 4 2" xfId="823"/>
    <cellStyle name="Accent1 3" xfId="824"/>
    <cellStyle name="Accent1 3 2" xfId="825"/>
    <cellStyle name="Accent1 3 2 2" xfId="826"/>
    <cellStyle name="Accent1 3 3" xfId="827"/>
    <cellStyle name="Accent1 3 4" xfId="828"/>
    <cellStyle name="Accent1 3 5" xfId="829"/>
    <cellStyle name="Accent1 4" xfId="830"/>
    <cellStyle name="Accent1 4 2" xfId="831"/>
    <cellStyle name="Accent1 4 3" xfId="832"/>
    <cellStyle name="Accent1 4 4" xfId="833"/>
    <cellStyle name="Accent1 4 5" xfId="834"/>
    <cellStyle name="Accent1 5" xfId="835"/>
    <cellStyle name="Accent1 5 2" xfId="836"/>
    <cellStyle name="Accent1 5 3" xfId="837"/>
    <cellStyle name="Accent1 5 4" xfId="838"/>
    <cellStyle name="Accent1 6" xfId="839"/>
    <cellStyle name="Accent1 6 2" xfId="840"/>
    <cellStyle name="Accent1 6 3" xfId="841"/>
    <cellStyle name="Accent1 6 4" xfId="842"/>
    <cellStyle name="Accent1 7" xfId="843"/>
    <cellStyle name="Accent1 7 2" xfId="844"/>
    <cellStyle name="Accent1 7 3" xfId="845"/>
    <cellStyle name="Accent1 7 4" xfId="846"/>
    <cellStyle name="Accent1 8" xfId="847"/>
    <cellStyle name="Accent1 8 2" xfId="848"/>
    <cellStyle name="Accent1 8 3" xfId="849"/>
    <cellStyle name="Accent1 9" xfId="850"/>
    <cellStyle name="Accent1 9 2" xfId="851"/>
    <cellStyle name="Accent1 9 3" xfId="852"/>
    <cellStyle name="Accent2" xfId="8264" builtinId="33" customBuiltin="1"/>
    <cellStyle name="Accent2 - 20%" xfId="853"/>
    <cellStyle name="Accent2 - 20% 10" xfId="854"/>
    <cellStyle name="Accent2 - 20% 11" xfId="855"/>
    <cellStyle name="Accent2 - 20% 12" xfId="856"/>
    <cellStyle name="Accent2 - 20% 13" xfId="857"/>
    <cellStyle name="Accent2 - 20% 14" xfId="858"/>
    <cellStyle name="Accent2 - 20% 15" xfId="859"/>
    <cellStyle name="Accent2 - 20% 16" xfId="860"/>
    <cellStyle name="Accent2 - 20% 17" xfId="861"/>
    <cellStyle name="Accent2 - 20% 18" xfId="862"/>
    <cellStyle name="Accent2 - 20% 19" xfId="863"/>
    <cellStyle name="Accent2 - 20% 2" xfId="864"/>
    <cellStyle name="Accent2 - 20% 2 2" xfId="865"/>
    <cellStyle name="Accent2 - 20% 20" xfId="866"/>
    <cellStyle name="Accent2 - 20% 21" xfId="867"/>
    <cellStyle name="Accent2 - 20% 22" xfId="868"/>
    <cellStyle name="Accent2 - 20% 23" xfId="869"/>
    <cellStyle name="Accent2 - 20% 24" xfId="870"/>
    <cellStyle name="Accent2 - 20% 25" xfId="871"/>
    <cellStyle name="Accent2 - 20% 26" xfId="872"/>
    <cellStyle name="Accent2 - 20% 27" xfId="873"/>
    <cellStyle name="Accent2 - 20% 28" xfId="874"/>
    <cellStyle name="Accent2 - 20% 29" xfId="875"/>
    <cellStyle name="Accent2 - 20% 3" xfId="876"/>
    <cellStyle name="Accent2 - 20% 30" xfId="877"/>
    <cellStyle name="Accent2 - 20% 31" xfId="878"/>
    <cellStyle name="Accent2 - 20% 32" xfId="879"/>
    <cellStyle name="Accent2 - 20% 33" xfId="880"/>
    <cellStyle name="Accent2 - 20% 34" xfId="881"/>
    <cellStyle name="Accent2 - 20% 35" xfId="882"/>
    <cellStyle name="Accent2 - 20% 36" xfId="883"/>
    <cellStyle name="Accent2 - 20% 37" xfId="884"/>
    <cellStyle name="Accent2 - 20% 38" xfId="885"/>
    <cellStyle name="Accent2 - 20% 39" xfId="886"/>
    <cellStyle name="Accent2 - 20% 4" xfId="887"/>
    <cellStyle name="Accent2 - 20% 40" xfId="888"/>
    <cellStyle name="Accent2 - 20% 41" xfId="889"/>
    <cellStyle name="Accent2 - 20% 42" xfId="890"/>
    <cellStyle name="Accent2 - 20% 43" xfId="891"/>
    <cellStyle name="Accent2 - 20% 44" xfId="892"/>
    <cellStyle name="Accent2 - 20% 45" xfId="893"/>
    <cellStyle name="Accent2 - 20% 46" xfId="894"/>
    <cellStyle name="Accent2 - 20% 47" xfId="895"/>
    <cellStyle name="Accent2 - 20% 5" xfId="896"/>
    <cellStyle name="Accent2 - 20% 6" xfId="897"/>
    <cellStyle name="Accent2 - 20% 7" xfId="898"/>
    <cellStyle name="Accent2 - 20% 8" xfId="899"/>
    <cellStyle name="Accent2 - 20% 9" xfId="900"/>
    <cellStyle name="Accent2 - 40%" xfId="901"/>
    <cellStyle name="Accent2 - 40% 10" xfId="902"/>
    <cellStyle name="Accent2 - 40% 11" xfId="903"/>
    <cellStyle name="Accent2 - 40% 12" xfId="904"/>
    <cellStyle name="Accent2 - 40% 13" xfId="905"/>
    <cellStyle name="Accent2 - 40% 14" xfId="906"/>
    <cellStyle name="Accent2 - 40% 15" xfId="907"/>
    <cellStyle name="Accent2 - 40% 16" xfId="908"/>
    <cellStyle name="Accent2 - 40% 17" xfId="909"/>
    <cellStyle name="Accent2 - 40% 18" xfId="910"/>
    <cellStyle name="Accent2 - 40% 19" xfId="911"/>
    <cellStyle name="Accent2 - 40% 2" xfId="912"/>
    <cellStyle name="Accent2 - 40% 2 2" xfId="913"/>
    <cellStyle name="Accent2 - 40% 20" xfId="914"/>
    <cellStyle name="Accent2 - 40% 21" xfId="915"/>
    <cellStyle name="Accent2 - 40% 22" xfId="916"/>
    <cellStyle name="Accent2 - 40% 23" xfId="917"/>
    <cellStyle name="Accent2 - 40% 24" xfId="918"/>
    <cellStyle name="Accent2 - 40% 25" xfId="919"/>
    <cellStyle name="Accent2 - 40% 26" xfId="920"/>
    <cellStyle name="Accent2 - 40% 27" xfId="921"/>
    <cellStyle name="Accent2 - 40% 28" xfId="922"/>
    <cellStyle name="Accent2 - 40% 29" xfId="923"/>
    <cellStyle name="Accent2 - 40% 3" xfId="924"/>
    <cellStyle name="Accent2 - 40% 30" xfId="925"/>
    <cellStyle name="Accent2 - 40% 31" xfId="926"/>
    <cellStyle name="Accent2 - 40% 32" xfId="927"/>
    <cellStyle name="Accent2 - 40% 33" xfId="928"/>
    <cellStyle name="Accent2 - 40% 34" xfId="929"/>
    <cellStyle name="Accent2 - 40% 35" xfId="930"/>
    <cellStyle name="Accent2 - 40% 36" xfId="931"/>
    <cellStyle name="Accent2 - 40% 37" xfId="932"/>
    <cellStyle name="Accent2 - 40% 38" xfId="933"/>
    <cellStyle name="Accent2 - 40% 39" xfId="934"/>
    <cellStyle name="Accent2 - 40% 4" xfId="935"/>
    <cellStyle name="Accent2 - 40% 40" xfId="936"/>
    <cellStyle name="Accent2 - 40% 41" xfId="937"/>
    <cellStyle name="Accent2 - 40% 42" xfId="938"/>
    <cellStyle name="Accent2 - 40% 43" xfId="939"/>
    <cellStyle name="Accent2 - 40% 44" xfId="940"/>
    <cellStyle name="Accent2 - 40% 45" xfId="941"/>
    <cellStyle name="Accent2 - 40% 46" xfId="942"/>
    <cellStyle name="Accent2 - 40% 47" xfId="943"/>
    <cellStyle name="Accent2 - 40% 5" xfId="944"/>
    <cellStyle name="Accent2 - 40% 6" xfId="945"/>
    <cellStyle name="Accent2 - 40% 7" xfId="946"/>
    <cellStyle name="Accent2 - 40% 8" xfId="947"/>
    <cellStyle name="Accent2 - 40% 9" xfId="948"/>
    <cellStyle name="Accent2 - 60%" xfId="949"/>
    <cellStyle name="Accent2 - 60% 10" xfId="950"/>
    <cellStyle name="Accent2 - 60% 11" xfId="951"/>
    <cellStyle name="Accent2 - 60% 12" xfId="952"/>
    <cellStyle name="Accent2 - 60% 13" xfId="953"/>
    <cellStyle name="Accent2 - 60% 14" xfId="954"/>
    <cellStyle name="Accent2 - 60% 15" xfId="955"/>
    <cellStyle name="Accent2 - 60% 16" xfId="956"/>
    <cellStyle name="Accent2 - 60% 17" xfId="957"/>
    <cellStyle name="Accent2 - 60% 18" xfId="958"/>
    <cellStyle name="Accent2 - 60% 19" xfId="959"/>
    <cellStyle name="Accent2 - 60% 2" xfId="960"/>
    <cellStyle name="Accent2 - 60% 2 2" xfId="961"/>
    <cellStyle name="Accent2 - 60% 20" xfId="962"/>
    <cellStyle name="Accent2 - 60% 21" xfId="963"/>
    <cellStyle name="Accent2 - 60% 22" xfId="964"/>
    <cellStyle name="Accent2 - 60% 23" xfId="965"/>
    <cellStyle name="Accent2 - 60% 24" xfId="966"/>
    <cellStyle name="Accent2 - 60% 25" xfId="967"/>
    <cellStyle name="Accent2 - 60% 26" xfId="968"/>
    <cellStyle name="Accent2 - 60% 27" xfId="969"/>
    <cellStyle name="Accent2 - 60% 28" xfId="970"/>
    <cellStyle name="Accent2 - 60% 29" xfId="971"/>
    <cellStyle name="Accent2 - 60% 3" xfId="972"/>
    <cellStyle name="Accent2 - 60% 30" xfId="973"/>
    <cellStyle name="Accent2 - 60% 31" xfId="974"/>
    <cellStyle name="Accent2 - 60% 32" xfId="975"/>
    <cellStyle name="Accent2 - 60% 33" xfId="976"/>
    <cellStyle name="Accent2 - 60% 34" xfId="977"/>
    <cellStyle name="Accent2 - 60% 35" xfId="978"/>
    <cellStyle name="Accent2 - 60% 36" xfId="979"/>
    <cellStyle name="Accent2 - 60% 37" xfId="980"/>
    <cellStyle name="Accent2 - 60% 38" xfId="981"/>
    <cellStyle name="Accent2 - 60% 39" xfId="982"/>
    <cellStyle name="Accent2 - 60% 4" xfId="983"/>
    <cellStyle name="Accent2 - 60% 40" xfId="984"/>
    <cellStyle name="Accent2 - 60% 41" xfId="985"/>
    <cellStyle name="Accent2 - 60% 42" xfId="986"/>
    <cellStyle name="Accent2 - 60% 43" xfId="987"/>
    <cellStyle name="Accent2 - 60% 44" xfId="988"/>
    <cellStyle name="Accent2 - 60% 45" xfId="989"/>
    <cellStyle name="Accent2 - 60% 46" xfId="990"/>
    <cellStyle name="Accent2 - 60% 5" xfId="991"/>
    <cellStyle name="Accent2 - 60% 6" xfId="992"/>
    <cellStyle name="Accent2 - 60% 7" xfId="993"/>
    <cellStyle name="Accent2 - 60% 8" xfId="994"/>
    <cellStyle name="Accent2 - 60% 9" xfId="995"/>
    <cellStyle name="Accent2 10" xfId="996"/>
    <cellStyle name="Accent2 10 2" xfId="997"/>
    <cellStyle name="Accent2 10 3" xfId="998"/>
    <cellStyle name="Accent2 10 4" xfId="999"/>
    <cellStyle name="Accent2 10 5" xfId="1000"/>
    <cellStyle name="Accent2 10 6" xfId="1001"/>
    <cellStyle name="Accent2 10 7" xfId="1002"/>
    <cellStyle name="Accent2 10 8" xfId="1003"/>
    <cellStyle name="Accent2 11" xfId="1004"/>
    <cellStyle name="Accent2 11 2" xfId="1005"/>
    <cellStyle name="Accent2 11 3" xfId="1006"/>
    <cellStyle name="Accent2 11 4" xfId="1007"/>
    <cellStyle name="Accent2 11 5" xfId="1008"/>
    <cellStyle name="Accent2 11 6" xfId="1009"/>
    <cellStyle name="Accent2 11 7" xfId="1010"/>
    <cellStyle name="Accent2 11 8" xfId="1011"/>
    <cellStyle name="Accent2 12" xfId="1012"/>
    <cellStyle name="Accent2 13" xfId="8745"/>
    <cellStyle name="Accent2 14" xfId="8821"/>
    <cellStyle name="Accent2 15" xfId="8888"/>
    <cellStyle name="Accent2 2" xfId="1013"/>
    <cellStyle name="Accent2 2 2" xfId="1014"/>
    <cellStyle name="Accent2 2 2 2" xfId="1015"/>
    <cellStyle name="Accent2 2 3" xfId="1016"/>
    <cellStyle name="Accent2 2 3 2" xfId="1017"/>
    <cellStyle name="Accent2 2 4" xfId="1018"/>
    <cellStyle name="Accent2 2 4 2" xfId="1019"/>
    <cellStyle name="Accent2 2 5" xfId="8813"/>
    <cellStyle name="Accent2 3" xfId="1020"/>
    <cellStyle name="Accent2 3 2" xfId="1021"/>
    <cellStyle name="Accent2 3 2 2" xfId="1022"/>
    <cellStyle name="Accent2 3 3" xfId="1023"/>
    <cellStyle name="Accent2 3 4" xfId="1024"/>
    <cellStyle name="Accent2 3 5" xfId="1025"/>
    <cellStyle name="Accent2 4" xfId="1026"/>
    <cellStyle name="Accent2 4 2" xfId="1027"/>
    <cellStyle name="Accent2 4 3" xfId="1028"/>
    <cellStyle name="Accent2 4 4" xfId="1029"/>
    <cellStyle name="Accent2 4 5" xfId="1030"/>
    <cellStyle name="Accent2 5" xfId="1031"/>
    <cellStyle name="Accent2 5 2" xfId="1032"/>
    <cellStyle name="Accent2 5 3" xfId="1033"/>
    <cellStyle name="Accent2 5 4" xfId="1034"/>
    <cellStyle name="Accent2 6" xfId="1035"/>
    <cellStyle name="Accent2 6 2" xfId="1036"/>
    <cellStyle name="Accent2 6 3" xfId="1037"/>
    <cellStyle name="Accent2 6 4" xfId="1038"/>
    <cellStyle name="Accent2 7" xfId="1039"/>
    <cellStyle name="Accent2 7 2" xfId="1040"/>
    <cellStyle name="Accent2 7 3" xfId="1041"/>
    <cellStyle name="Accent2 7 4" xfId="1042"/>
    <cellStyle name="Accent2 8" xfId="1043"/>
    <cellStyle name="Accent2 8 2" xfId="1044"/>
    <cellStyle name="Accent2 8 3" xfId="1045"/>
    <cellStyle name="Accent2 9" xfId="1046"/>
    <cellStyle name="Accent2 9 2" xfId="1047"/>
    <cellStyle name="Accent2 9 3" xfId="1048"/>
    <cellStyle name="Accent2 9 4" xfId="1049"/>
    <cellStyle name="Accent2 9 5" xfId="1050"/>
    <cellStyle name="Accent2 9 6" xfId="1051"/>
    <cellStyle name="Accent2 9 7" xfId="1052"/>
    <cellStyle name="Accent2 9 8" xfId="1053"/>
    <cellStyle name="Accent3" xfId="8268" builtinId="37" customBuiltin="1"/>
    <cellStyle name="Accent3 - 20%" xfId="1054"/>
    <cellStyle name="Accent3 - 20% 10" xfId="1055"/>
    <cellStyle name="Accent3 - 20% 11" xfId="1056"/>
    <cellStyle name="Accent3 - 20% 12" xfId="1057"/>
    <cellStyle name="Accent3 - 20% 13" xfId="1058"/>
    <cellStyle name="Accent3 - 20% 14" xfId="1059"/>
    <cellStyle name="Accent3 - 20% 15" xfId="1060"/>
    <cellStyle name="Accent3 - 20% 16" xfId="1061"/>
    <cellStyle name="Accent3 - 20% 17" xfId="1062"/>
    <cellStyle name="Accent3 - 20% 18" xfId="1063"/>
    <cellStyle name="Accent3 - 20% 19" xfId="1064"/>
    <cellStyle name="Accent3 - 20% 2" xfId="1065"/>
    <cellStyle name="Accent3 - 20% 2 2" xfId="1066"/>
    <cellStyle name="Accent3 - 20% 20" xfId="1067"/>
    <cellStyle name="Accent3 - 20% 21" xfId="1068"/>
    <cellStyle name="Accent3 - 20% 22" xfId="1069"/>
    <cellStyle name="Accent3 - 20% 23" xfId="1070"/>
    <cellStyle name="Accent3 - 20% 24" xfId="1071"/>
    <cellStyle name="Accent3 - 20% 25" xfId="1072"/>
    <cellStyle name="Accent3 - 20% 26" xfId="1073"/>
    <cellStyle name="Accent3 - 20% 27" xfId="1074"/>
    <cellStyle name="Accent3 - 20% 28" xfId="1075"/>
    <cellStyle name="Accent3 - 20% 29" xfId="1076"/>
    <cellStyle name="Accent3 - 20% 3" xfId="1077"/>
    <cellStyle name="Accent3 - 20% 30" xfId="1078"/>
    <cellStyle name="Accent3 - 20% 31" xfId="1079"/>
    <cellStyle name="Accent3 - 20% 32" xfId="1080"/>
    <cellStyle name="Accent3 - 20% 33" xfId="1081"/>
    <cellStyle name="Accent3 - 20% 34" xfId="1082"/>
    <cellStyle name="Accent3 - 20% 35" xfId="1083"/>
    <cellStyle name="Accent3 - 20% 36" xfId="1084"/>
    <cellStyle name="Accent3 - 20% 37" xfId="1085"/>
    <cellStyle name="Accent3 - 20% 38" xfId="1086"/>
    <cellStyle name="Accent3 - 20% 39" xfId="1087"/>
    <cellStyle name="Accent3 - 20% 4" xfId="1088"/>
    <cellStyle name="Accent3 - 20% 40" xfId="1089"/>
    <cellStyle name="Accent3 - 20% 41" xfId="1090"/>
    <cellStyle name="Accent3 - 20% 42" xfId="1091"/>
    <cellStyle name="Accent3 - 20% 43" xfId="1092"/>
    <cellStyle name="Accent3 - 20% 44" xfId="1093"/>
    <cellStyle name="Accent3 - 20% 45" xfId="1094"/>
    <cellStyle name="Accent3 - 20% 46" xfId="1095"/>
    <cellStyle name="Accent3 - 20% 47" xfId="1096"/>
    <cellStyle name="Accent3 - 20% 5" xfId="1097"/>
    <cellStyle name="Accent3 - 20% 6" xfId="1098"/>
    <cellStyle name="Accent3 - 20% 7" xfId="1099"/>
    <cellStyle name="Accent3 - 20% 8" xfId="1100"/>
    <cellStyle name="Accent3 - 20% 9" xfId="1101"/>
    <cellStyle name="Accent3 - 40%" xfId="1102"/>
    <cellStyle name="Accent3 - 40% 10" xfId="1103"/>
    <cellStyle name="Accent3 - 40% 11" xfId="1104"/>
    <cellStyle name="Accent3 - 40% 12" xfId="1105"/>
    <cellStyle name="Accent3 - 40% 13" xfId="1106"/>
    <cellStyle name="Accent3 - 40% 14" xfId="1107"/>
    <cellStyle name="Accent3 - 40% 15" xfId="1108"/>
    <cellStyle name="Accent3 - 40% 16" xfId="1109"/>
    <cellStyle name="Accent3 - 40% 17" xfId="1110"/>
    <cellStyle name="Accent3 - 40% 18" xfId="1111"/>
    <cellStyle name="Accent3 - 40% 19" xfId="1112"/>
    <cellStyle name="Accent3 - 40% 2" xfId="1113"/>
    <cellStyle name="Accent3 - 40% 2 2" xfId="1114"/>
    <cellStyle name="Accent3 - 40% 20" xfId="1115"/>
    <cellStyle name="Accent3 - 40% 21" xfId="1116"/>
    <cellStyle name="Accent3 - 40% 22" xfId="1117"/>
    <cellStyle name="Accent3 - 40% 23" xfId="1118"/>
    <cellStyle name="Accent3 - 40% 24" xfId="1119"/>
    <cellStyle name="Accent3 - 40% 25" xfId="1120"/>
    <cellStyle name="Accent3 - 40% 26" xfId="1121"/>
    <cellStyle name="Accent3 - 40% 27" xfId="1122"/>
    <cellStyle name="Accent3 - 40% 28" xfId="1123"/>
    <cellStyle name="Accent3 - 40% 29" xfId="1124"/>
    <cellStyle name="Accent3 - 40% 3" xfId="1125"/>
    <cellStyle name="Accent3 - 40% 30" xfId="1126"/>
    <cellStyle name="Accent3 - 40% 31" xfId="1127"/>
    <cellStyle name="Accent3 - 40% 32" xfId="1128"/>
    <cellStyle name="Accent3 - 40% 33" xfId="1129"/>
    <cellStyle name="Accent3 - 40% 34" xfId="1130"/>
    <cellStyle name="Accent3 - 40% 35" xfId="1131"/>
    <cellStyle name="Accent3 - 40% 36" xfId="1132"/>
    <cellStyle name="Accent3 - 40% 37" xfId="1133"/>
    <cellStyle name="Accent3 - 40% 38" xfId="1134"/>
    <cellStyle name="Accent3 - 40% 39" xfId="1135"/>
    <cellStyle name="Accent3 - 40% 4" xfId="1136"/>
    <cellStyle name="Accent3 - 40% 40" xfId="1137"/>
    <cellStyle name="Accent3 - 40% 41" xfId="1138"/>
    <cellStyle name="Accent3 - 40% 42" xfId="1139"/>
    <cellStyle name="Accent3 - 40% 43" xfId="1140"/>
    <cellStyle name="Accent3 - 40% 44" xfId="1141"/>
    <cellStyle name="Accent3 - 40% 45" xfId="1142"/>
    <cellStyle name="Accent3 - 40% 46" xfId="1143"/>
    <cellStyle name="Accent3 - 40% 47" xfId="1144"/>
    <cellStyle name="Accent3 - 40% 5" xfId="1145"/>
    <cellStyle name="Accent3 - 40% 6" xfId="1146"/>
    <cellStyle name="Accent3 - 40% 7" xfId="1147"/>
    <cellStyle name="Accent3 - 40% 8" xfId="1148"/>
    <cellStyle name="Accent3 - 40% 9" xfId="1149"/>
    <cellStyle name="Accent3 - 60%" xfId="1150"/>
    <cellStyle name="Accent3 - 60% 10" xfId="1151"/>
    <cellStyle name="Accent3 - 60% 11" xfId="1152"/>
    <cellStyle name="Accent3 - 60% 12" xfId="1153"/>
    <cellStyle name="Accent3 - 60% 13" xfId="1154"/>
    <cellStyle name="Accent3 - 60% 14" xfId="1155"/>
    <cellStyle name="Accent3 - 60% 15" xfId="1156"/>
    <cellStyle name="Accent3 - 60% 16" xfId="1157"/>
    <cellStyle name="Accent3 - 60% 17" xfId="1158"/>
    <cellStyle name="Accent3 - 60% 18" xfId="1159"/>
    <cellStyle name="Accent3 - 60% 19" xfId="1160"/>
    <cellStyle name="Accent3 - 60% 2" xfId="1161"/>
    <cellStyle name="Accent3 - 60% 2 2" xfId="1162"/>
    <cellStyle name="Accent3 - 60% 20" xfId="1163"/>
    <cellStyle name="Accent3 - 60% 21" xfId="1164"/>
    <cellStyle name="Accent3 - 60% 22" xfId="1165"/>
    <cellStyle name="Accent3 - 60% 23" xfId="1166"/>
    <cellStyle name="Accent3 - 60% 24" xfId="1167"/>
    <cellStyle name="Accent3 - 60% 25" xfId="1168"/>
    <cellStyle name="Accent3 - 60% 26" xfId="1169"/>
    <cellStyle name="Accent3 - 60% 27" xfId="1170"/>
    <cellStyle name="Accent3 - 60% 28" xfId="1171"/>
    <cellStyle name="Accent3 - 60% 29" xfId="1172"/>
    <cellStyle name="Accent3 - 60% 3" xfId="1173"/>
    <cellStyle name="Accent3 - 60% 30" xfId="1174"/>
    <cellStyle name="Accent3 - 60% 31" xfId="1175"/>
    <cellStyle name="Accent3 - 60% 32" xfId="1176"/>
    <cellStyle name="Accent3 - 60% 33" xfId="1177"/>
    <cellStyle name="Accent3 - 60% 34" xfId="1178"/>
    <cellStyle name="Accent3 - 60% 35" xfId="1179"/>
    <cellStyle name="Accent3 - 60% 36" xfId="1180"/>
    <cellStyle name="Accent3 - 60% 37" xfId="1181"/>
    <cellStyle name="Accent3 - 60% 38" xfId="1182"/>
    <cellStyle name="Accent3 - 60% 39" xfId="1183"/>
    <cellStyle name="Accent3 - 60% 4" xfId="1184"/>
    <cellStyle name="Accent3 - 60% 40" xfId="1185"/>
    <cellStyle name="Accent3 - 60% 41" xfId="1186"/>
    <cellStyle name="Accent3 - 60% 42" xfId="1187"/>
    <cellStyle name="Accent3 - 60% 43" xfId="1188"/>
    <cellStyle name="Accent3 - 60% 44" xfId="1189"/>
    <cellStyle name="Accent3 - 60% 45" xfId="1190"/>
    <cellStyle name="Accent3 - 60% 46" xfId="1191"/>
    <cellStyle name="Accent3 - 60% 5" xfId="1192"/>
    <cellStyle name="Accent3 - 60% 6" xfId="1193"/>
    <cellStyle name="Accent3 - 60% 7" xfId="1194"/>
    <cellStyle name="Accent3 - 60% 8" xfId="1195"/>
    <cellStyle name="Accent3 - 60% 9" xfId="1196"/>
    <cellStyle name="Accent3 10" xfId="1197"/>
    <cellStyle name="Accent3 10 2" xfId="1198"/>
    <cellStyle name="Accent3 10 3" xfId="1199"/>
    <cellStyle name="Accent3 10 4" xfId="1200"/>
    <cellStyle name="Accent3 11" xfId="1201"/>
    <cellStyle name="Accent3 11 2" xfId="1202"/>
    <cellStyle name="Accent3 11 3" xfId="1203"/>
    <cellStyle name="Accent3 11 4" xfId="1204"/>
    <cellStyle name="Accent3 12" xfId="1205"/>
    <cellStyle name="Accent3 12 2" xfId="1206"/>
    <cellStyle name="Accent3 13" xfId="1207"/>
    <cellStyle name="Accent3 14" xfId="1208"/>
    <cellStyle name="Accent3 15" xfId="1209"/>
    <cellStyle name="Accent3 16" xfId="1210"/>
    <cellStyle name="Accent3 17" xfId="1211"/>
    <cellStyle name="Accent3 18" xfId="1212"/>
    <cellStyle name="Accent3 19" xfId="1213"/>
    <cellStyle name="Accent3 2" xfId="1214"/>
    <cellStyle name="Accent3 2 2" xfId="1215"/>
    <cellStyle name="Accent3 2 2 2" xfId="1216"/>
    <cellStyle name="Accent3 2 3" xfId="1217"/>
    <cellStyle name="Accent3 2 3 2" xfId="1218"/>
    <cellStyle name="Accent3 2 4" xfId="1219"/>
    <cellStyle name="Accent3 2 4 2" xfId="1220"/>
    <cellStyle name="Accent3 2 5" xfId="1221"/>
    <cellStyle name="Accent3 20" xfId="1222"/>
    <cellStyle name="Accent3 21" xfId="1223"/>
    <cellStyle name="Accent3 22" xfId="1224"/>
    <cellStyle name="Accent3 23" xfId="1225"/>
    <cellStyle name="Accent3 24" xfId="1226"/>
    <cellStyle name="Accent3 24 2" xfId="1227"/>
    <cellStyle name="Accent3 25" xfId="1228"/>
    <cellStyle name="Accent3 26" xfId="8934"/>
    <cellStyle name="Accent3 27" xfId="8931"/>
    <cellStyle name="Accent3 28" xfId="8828"/>
    <cellStyle name="Accent3 3" xfId="1229"/>
    <cellStyle name="Accent3 3 2" xfId="1230"/>
    <cellStyle name="Accent3 3 3" xfId="1231"/>
    <cellStyle name="Accent3 3 4" xfId="1232"/>
    <cellStyle name="Accent3 3 5" xfId="1233"/>
    <cellStyle name="Accent3 4" xfId="1234"/>
    <cellStyle name="Accent3 4 2" xfId="1235"/>
    <cellStyle name="Accent3 4 3" xfId="1236"/>
    <cellStyle name="Accent3 4 4" xfId="1237"/>
    <cellStyle name="Accent3 4 5" xfId="1238"/>
    <cellStyle name="Accent3 5" xfId="1239"/>
    <cellStyle name="Accent3 5 2" xfId="1240"/>
    <cellStyle name="Accent3 5 3" xfId="1241"/>
    <cellStyle name="Accent3 5 4" xfId="1242"/>
    <cellStyle name="Accent3 5 5" xfId="1243"/>
    <cellStyle name="Accent3 6" xfId="1244"/>
    <cellStyle name="Accent3 6 2" xfId="1245"/>
    <cellStyle name="Accent3 6 3" xfId="1246"/>
    <cellStyle name="Accent3 6 4" xfId="1247"/>
    <cellStyle name="Accent3 6 5" xfId="1248"/>
    <cellStyle name="Accent3 7" xfId="1249"/>
    <cellStyle name="Accent3 7 2" xfId="1250"/>
    <cellStyle name="Accent3 7 3" xfId="1251"/>
    <cellStyle name="Accent3 7 4" xfId="1252"/>
    <cellStyle name="Accent3 7 5" xfId="1253"/>
    <cellStyle name="Accent3 8" xfId="1254"/>
    <cellStyle name="Accent3 8 2" xfId="1255"/>
    <cellStyle name="Accent3 8 3" xfId="1256"/>
    <cellStyle name="Accent3 8 4" xfId="1257"/>
    <cellStyle name="Accent3 9" xfId="1258"/>
    <cellStyle name="Accent3 9 2" xfId="1259"/>
    <cellStyle name="Accent3 9 3" xfId="1260"/>
    <cellStyle name="Accent3 9 4" xfId="1261"/>
    <cellStyle name="Accent4" xfId="8272" builtinId="41" customBuiltin="1"/>
    <cellStyle name="Accent4 - 20%" xfId="1262"/>
    <cellStyle name="Accent4 - 20% 10" xfId="1263"/>
    <cellStyle name="Accent4 - 20% 11" xfId="1264"/>
    <cellStyle name="Accent4 - 20% 12" xfId="1265"/>
    <cellStyle name="Accent4 - 20% 13" xfId="1266"/>
    <cellStyle name="Accent4 - 20% 14" xfId="1267"/>
    <cellStyle name="Accent4 - 20% 15" xfId="1268"/>
    <cellStyle name="Accent4 - 20% 16" xfId="1269"/>
    <cellStyle name="Accent4 - 20% 17" xfId="1270"/>
    <cellStyle name="Accent4 - 20% 18" xfId="1271"/>
    <cellStyle name="Accent4 - 20% 19" xfId="1272"/>
    <cellStyle name="Accent4 - 20% 2" xfId="1273"/>
    <cellStyle name="Accent4 - 20% 2 2" xfId="1274"/>
    <cellStyle name="Accent4 - 20% 20" xfId="1275"/>
    <cellStyle name="Accent4 - 20% 21" xfId="1276"/>
    <cellStyle name="Accent4 - 20% 22" xfId="1277"/>
    <cellStyle name="Accent4 - 20% 23" xfId="1278"/>
    <cellStyle name="Accent4 - 20% 24" xfId="1279"/>
    <cellStyle name="Accent4 - 20% 25" xfId="1280"/>
    <cellStyle name="Accent4 - 20% 26" xfId="1281"/>
    <cellStyle name="Accent4 - 20% 27" xfId="1282"/>
    <cellStyle name="Accent4 - 20% 28" xfId="1283"/>
    <cellStyle name="Accent4 - 20% 29" xfId="1284"/>
    <cellStyle name="Accent4 - 20% 3" xfId="1285"/>
    <cellStyle name="Accent4 - 20% 30" xfId="1286"/>
    <cellStyle name="Accent4 - 20% 31" xfId="1287"/>
    <cellStyle name="Accent4 - 20% 32" xfId="1288"/>
    <cellStyle name="Accent4 - 20% 33" xfId="1289"/>
    <cellStyle name="Accent4 - 20% 34" xfId="1290"/>
    <cellStyle name="Accent4 - 20% 35" xfId="1291"/>
    <cellStyle name="Accent4 - 20% 36" xfId="1292"/>
    <cellStyle name="Accent4 - 20% 37" xfId="1293"/>
    <cellStyle name="Accent4 - 20% 38" xfId="1294"/>
    <cellStyle name="Accent4 - 20% 39" xfId="1295"/>
    <cellStyle name="Accent4 - 20% 4" xfId="1296"/>
    <cellStyle name="Accent4 - 20% 40" xfId="1297"/>
    <cellStyle name="Accent4 - 20% 41" xfId="1298"/>
    <cellStyle name="Accent4 - 20% 42" xfId="1299"/>
    <cellStyle name="Accent4 - 20% 43" xfId="1300"/>
    <cellStyle name="Accent4 - 20% 44" xfId="1301"/>
    <cellStyle name="Accent4 - 20% 45" xfId="1302"/>
    <cellStyle name="Accent4 - 20% 46" xfId="1303"/>
    <cellStyle name="Accent4 - 20% 47" xfId="1304"/>
    <cellStyle name="Accent4 - 20% 5" xfId="1305"/>
    <cellStyle name="Accent4 - 20% 6" xfId="1306"/>
    <cellStyle name="Accent4 - 20% 7" xfId="1307"/>
    <cellStyle name="Accent4 - 20% 8" xfId="1308"/>
    <cellStyle name="Accent4 - 20% 9" xfId="1309"/>
    <cellStyle name="Accent4 - 40%" xfId="1310"/>
    <cellStyle name="Accent4 - 40% 10" xfId="1311"/>
    <cellStyle name="Accent4 - 40% 11" xfId="1312"/>
    <cellStyle name="Accent4 - 40% 12" xfId="1313"/>
    <cellStyle name="Accent4 - 40% 13" xfId="1314"/>
    <cellStyle name="Accent4 - 40% 14" xfId="1315"/>
    <cellStyle name="Accent4 - 40% 15" xfId="1316"/>
    <cellStyle name="Accent4 - 40% 16" xfId="1317"/>
    <cellStyle name="Accent4 - 40% 17" xfId="1318"/>
    <cellStyle name="Accent4 - 40% 18" xfId="1319"/>
    <cellStyle name="Accent4 - 40% 19" xfId="1320"/>
    <cellStyle name="Accent4 - 40% 2" xfId="1321"/>
    <cellStyle name="Accent4 - 40% 2 2" xfId="1322"/>
    <cellStyle name="Accent4 - 40% 20" xfId="1323"/>
    <cellStyle name="Accent4 - 40% 21" xfId="1324"/>
    <cellStyle name="Accent4 - 40% 22" xfId="1325"/>
    <cellStyle name="Accent4 - 40% 23" xfId="1326"/>
    <cellStyle name="Accent4 - 40% 24" xfId="1327"/>
    <cellStyle name="Accent4 - 40% 25" xfId="1328"/>
    <cellStyle name="Accent4 - 40% 26" xfId="1329"/>
    <cellStyle name="Accent4 - 40% 27" xfId="1330"/>
    <cellStyle name="Accent4 - 40% 28" xfId="1331"/>
    <cellStyle name="Accent4 - 40% 29" xfId="1332"/>
    <cellStyle name="Accent4 - 40% 3" xfId="1333"/>
    <cellStyle name="Accent4 - 40% 30" xfId="1334"/>
    <cellStyle name="Accent4 - 40% 31" xfId="1335"/>
    <cellStyle name="Accent4 - 40% 32" xfId="1336"/>
    <cellStyle name="Accent4 - 40% 33" xfId="1337"/>
    <cellStyle name="Accent4 - 40% 34" xfId="1338"/>
    <cellStyle name="Accent4 - 40% 35" xfId="1339"/>
    <cellStyle name="Accent4 - 40% 36" xfId="1340"/>
    <cellStyle name="Accent4 - 40% 37" xfId="1341"/>
    <cellStyle name="Accent4 - 40% 38" xfId="1342"/>
    <cellStyle name="Accent4 - 40% 39" xfId="1343"/>
    <cellStyle name="Accent4 - 40% 4" xfId="1344"/>
    <cellStyle name="Accent4 - 40% 40" xfId="1345"/>
    <cellStyle name="Accent4 - 40% 41" xfId="1346"/>
    <cellStyle name="Accent4 - 40% 42" xfId="1347"/>
    <cellStyle name="Accent4 - 40% 43" xfId="1348"/>
    <cellStyle name="Accent4 - 40% 44" xfId="1349"/>
    <cellStyle name="Accent4 - 40% 45" xfId="1350"/>
    <cellStyle name="Accent4 - 40% 46" xfId="1351"/>
    <cellStyle name="Accent4 - 40% 47" xfId="1352"/>
    <cellStyle name="Accent4 - 40% 5" xfId="1353"/>
    <cellStyle name="Accent4 - 40% 6" xfId="1354"/>
    <cellStyle name="Accent4 - 40% 7" xfId="1355"/>
    <cellStyle name="Accent4 - 40% 8" xfId="1356"/>
    <cellStyle name="Accent4 - 40% 9" xfId="1357"/>
    <cellStyle name="Accent4 - 60%" xfId="1358"/>
    <cellStyle name="Accent4 - 60% 10" xfId="1359"/>
    <cellStyle name="Accent4 - 60% 11" xfId="1360"/>
    <cellStyle name="Accent4 - 60% 12" xfId="1361"/>
    <cellStyle name="Accent4 - 60% 13" xfId="1362"/>
    <cellStyle name="Accent4 - 60% 14" xfId="1363"/>
    <cellStyle name="Accent4 - 60% 15" xfId="1364"/>
    <cellStyle name="Accent4 - 60% 16" xfId="1365"/>
    <cellStyle name="Accent4 - 60% 17" xfId="1366"/>
    <cellStyle name="Accent4 - 60% 18" xfId="1367"/>
    <cellStyle name="Accent4 - 60% 19" xfId="1368"/>
    <cellStyle name="Accent4 - 60% 2" xfId="1369"/>
    <cellStyle name="Accent4 - 60% 2 2" xfId="1370"/>
    <cellStyle name="Accent4 - 60% 20" xfId="1371"/>
    <cellStyle name="Accent4 - 60% 21" xfId="1372"/>
    <cellStyle name="Accent4 - 60% 22" xfId="1373"/>
    <cellStyle name="Accent4 - 60% 23" xfId="1374"/>
    <cellStyle name="Accent4 - 60% 24" xfId="1375"/>
    <cellStyle name="Accent4 - 60% 25" xfId="1376"/>
    <cellStyle name="Accent4 - 60% 26" xfId="1377"/>
    <cellStyle name="Accent4 - 60% 27" xfId="1378"/>
    <cellStyle name="Accent4 - 60% 28" xfId="1379"/>
    <cellStyle name="Accent4 - 60% 29" xfId="1380"/>
    <cellStyle name="Accent4 - 60% 3" xfId="1381"/>
    <cellStyle name="Accent4 - 60% 30" xfId="1382"/>
    <cellStyle name="Accent4 - 60% 31" xfId="1383"/>
    <cellStyle name="Accent4 - 60% 32" xfId="1384"/>
    <cellStyle name="Accent4 - 60% 33" xfId="1385"/>
    <cellStyle name="Accent4 - 60% 34" xfId="1386"/>
    <cellStyle name="Accent4 - 60% 35" xfId="1387"/>
    <cellStyle name="Accent4 - 60% 36" xfId="1388"/>
    <cellStyle name="Accent4 - 60% 37" xfId="1389"/>
    <cellStyle name="Accent4 - 60% 38" xfId="1390"/>
    <cellStyle name="Accent4 - 60% 39" xfId="1391"/>
    <cellStyle name="Accent4 - 60% 4" xfId="1392"/>
    <cellStyle name="Accent4 - 60% 40" xfId="1393"/>
    <cellStyle name="Accent4 - 60% 41" xfId="1394"/>
    <cellStyle name="Accent4 - 60% 42" xfId="1395"/>
    <cellStyle name="Accent4 - 60% 43" xfId="1396"/>
    <cellStyle name="Accent4 - 60% 44" xfId="1397"/>
    <cellStyle name="Accent4 - 60% 45" xfId="1398"/>
    <cellStyle name="Accent4 - 60% 46" xfId="1399"/>
    <cellStyle name="Accent4 - 60% 5" xfId="1400"/>
    <cellStyle name="Accent4 - 60% 6" xfId="1401"/>
    <cellStyle name="Accent4 - 60% 7" xfId="1402"/>
    <cellStyle name="Accent4 - 60% 8" xfId="1403"/>
    <cellStyle name="Accent4 - 60% 9" xfId="1404"/>
    <cellStyle name="Accent4 10" xfId="1405"/>
    <cellStyle name="Accent4 10 2" xfId="1406"/>
    <cellStyle name="Accent4 10 3" xfId="1407"/>
    <cellStyle name="Accent4 10 4" xfId="1408"/>
    <cellStyle name="Accent4 10 5" xfId="1409"/>
    <cellStyle name="Accent4 10 6" xfId="1410"/>
    <cellStyle name="Accent4 10 7" xfId="1411"/>
    <cellStyle name="Accent4 10 8" xfId="1412"/>
    <cellStyle name="Accent4 10 9" xfId="1413"/>
    <cellStyle name="Accent4 11" xfId="1414"/>
    <cellStyle name="Accent4 11 2" xfId="1415"/>
    <cellStyle name="Accent4 11 3" xfId="1416"/>
    <cellStyle name="Accent4 11 4" xfId="1417"/>
    <cellStyle name="Accent4 11 5" xfId="1418"/>
    <cellStyle name="Accent4 11 6" xfId="1419"/>
    <cellStyle name="Accent4 11 7" xfId="1420"/>
    <cellStyle name="Accent4 11 8" xfId="1421"/>
    <cellStyle name="Accent4 11 9" xfId="1422"/>
    <cellStyle name="Accent4 12" xfId="1423"/>
    <cellStyle name="Accent4 12 2" xfId="1424"/>
    <cellStyle name="Accent4 13" xfId="1425"/>
    <cellStyle name="Accent4 14" xfId="1426"/>
    <cellStyle name="Accent4 15" xfId="1427"/>
    <cellStyle name="Accent4 16" xfId="1428"/>
    <cellStyle name="Accent4 17" xfId="1429"/>
    <cellStyle name="Accent4 18" xfId="1430"/>
    <cellStyle name="Accent4 19" xfId="1431"/>
    <cellStyle name="Accent4 2" xfId="1432"/>
    <cellStyle name="Accent4 2 2" xfId="1433"/>
    <cellStyle name="Accent4 2 2 2" xfId="1434"/>
    <cellStyle name="Accent4 2 3" xfId="1435"/>
    <cellStyle name="Accent4 2 3 2" xfId="1436"/>
    <cellStyle name="Accent4 2 4" xfId="1437"/>
    <cellStyle name="Accent4 2 4 2" xfId="1438"/>
    <cellStyle name="Accent4 2 5" xfId="1439"/>
    <cellStyle name="Accent4 2 6" xfId="8816"/>
    <cellStyle name="Accent4 20" xfId="1440"/>
    <cellStyle name="Accent4 21" xfId="1441"/>
    <cellStyle name="Accent4 22" xfId="1442"/>
    <cellStyle name="Accent4 23" xfId="1443"/>
    <cellStyle name="Accent4 24" xfId="1444"/>
    <cellStyle name="Accent4 24 2" xfId="1445"/>
    <cellStyle name="Accent4 25" xfId="1446"/>
    <cellStyle name="Accent4 26" xfId="8748"/>
    <cellStyle name="Accent4 27" xfId="8822"/>
    <cellStyle name="Accent4 28" xfId="8825"/>
    <cellStyle name="Accent4 3" xfId="1447"/>
    <cellStyle name="Accent4 3 2" xfId="1448"/>
    <cellStyle name="Accent4 3 3" xfId="1449"/>
    <cellStyle name="Accent4 3 4" xfId="1450"/>
    <cellStyle name="Accent4 3 5" xfId="1451"/>
    <cellStyle name="Accent4 4" xfId="1452"/>
    <cellStyle name="Accent4 4 2" xfId="1453"/>
    <cellStyle name="Accent4 4 3" xfId="1454"/>
    <cellStyle name="Accent4 4 4" xfId="1455"/>
    <cellStyle name="Accent4 4 5" xfId="1456"/>
    <cellStyle name="Accent4 5" xfId="1457"/>
    <cellStyle name="Accent4 5 2" xfId="1458"/>
    <cellStyle name="Accent4 5 3" xfId="1459"/>
    <cellStyle name="Accent4 5 4" xfId="1460"/>
    <cellStyle name="Accent4 5 5" xfId="1461"/>
    <cellStyle name="Accent4 6" xfId="1462"/>
    <cellStyle name="Accent4 6 2" xfId="1463"/>
    <cellStyle name="Accent4 6 3" xfId="1464"/>
    <cellStyle name="Accent4 6 4" xfId="1465"/>
    <cellStyle name="Accent4 6 5" xfId="1466"/>
    <cellStyle name="Accent4 7" xfId="1467"/>
    <cellStyle name="Accent4 7 2" xfId="1468"/>
    <cellStyle name="Accent4 7 3" xfId="1469"/>
    <cellStyle name="Accent4 7 4" xfId="1470"/>
    <cellStyle name="Accent4 7 5" xfId="1471"/>
    <cellStyle name="Accent4 8" xfId="1472"/>
    <cellStyle name="Accent4 8 2" xfId="1473"/>
    <cellStyle name="Accent4 8 3" xfId="1474"/>
    <cellStyle name="Accent4 8 4" xfId="1475"/>
    <cellStyle name="Accent4 9" xfId="1476"/>
    <cellStyle name="Accent4 9 2" xfId="1477"/>
    <cellStyle name="Accent4 9 3" xfId="1478"/>
    <cellStyle name="Accent4 9 4" xfId="1479"/>
    <cellStyle name="Accent4 9 5" xfId="1480"/>
    <cellStyle name="Accent4 9 6" xfId="1481"/>
    <cellStyle name="Accent4 9 7" xfId="1482"/>
    <cellStyle name="Accent4 9 8" xfId="1483"/>
    <cellStyle name="Accent4 9 9" xfId="1484"/>
    <cellStyle name="Accent5" xfId="8276" builtinId="45" customBuiltin="1"/>
    <cellStyle name="Accent5 - 20%" xfId="1485"/>
    <cellStyle name="Accent5 - 20% 10" xfId="1486"/>
    <cellStyle name="Accent5 - 20% 11" xfId="1487"/>
    <cellStyle name="Accent5 - 20% 12" xfId="1488"/>
    <cellStyle name="Accent5 - 20% 13" xfId="1489"/>
    <cellStyle name="Accent5 - 20% 14" xfId="1490"/>
    <cellStyle name="Accent5 - 20% 15" xfId="1491"/>
    <cellStyle name="Accent5 - 20% 16" xfId="1492"/>
    <cellStyle name="Accent5 - 20% 17" xfId="1493"/>
    <cellStyle name="Accent5 - 20% 18" xfId="1494"/>
    <cellStyle name="Accent5 - 20% 19" xfId="1495"/>
    <cellStyle name="Accent5 - 20% 2" xfId="1496"/>
    <cellStyle name="Accent5 - 20% 2 2" xfId="1497"/>
    <cellStyle name="Accent5 - 20% 20" xfId="1498"/>
    <cellStyle name="Accent5 - 20% 21" xfId="1499"/>
    <cellStyle name="Accent5 - 20% 22" xfId="1500"/>
    <cellStyle name="Accent5 - 20% 23" xfId="1501"/>
    <cellStyle name="Accent5 - 20% 24" xfId="1502"/>
    <cellStyle name="Accent5 - 20% 25" xfId="1503"/>
    <cellStyle name="Accent5 - 20% 26" xfId="1504"/>
    <cellStyle name="Accent5 - 20% 27" xfId="1505"/>
    <cellStyle name="Accent5 - 20% 28" xfId="1506"/>
    <cellStyle name="Accent5 - 20% 29" xfId="1507"/>
    <cellStyle name="Accent5 - 20% 3" xfId="1508"/>
    <cellStyle name="Accent5 - 20% 30" xfId="1509"/>
    <cellStyle name="Accent5 - 20% 31" xfId="1510"/>
    <cellStyle name="Accent5 - 20% 32" xfId="1511"/>
    <cellStyle name="Accent5 - 20% 33" xfId="1512"/>
    <cellStyle name="Accent5 - 20% 34" xfId="1513"/>
    <cellStyle name="Accent5 - 20% 35" xfId="1514"/>
    <cellStyle name="Accent5 - 20% 36" xfId="1515"/>
    <cellStyle name="Accent5 - 20% 37" xfId="1516"/>
    <cellStyle name="Accent5 - 20% 38" xfId="1517"/>
    <cellStyle name="Accent5 - 20% 39" xfId="1518"/>
    <cellStyle name="Accent5 - 20% 4" xfId="1519"/>
    <cellStyle name="Accent5 - 20% 40" xfId="1520"/>
    <cellStyle name="Accent5 - 20% 41" xfId="1521"/>
    <cellStyle name="Accent5 - 20% 42" xfId="1522"/>
    <cellStyle name="Accent5 - 20% 43" xfId="1523"/>
    <cellStyle name="Accent5 - 20% 44" xfId="1524"/>
    <cellStyle name="Accent5 - 20% 45" xfId="1525"/>
    <cellStyle name="Accent5 - 20% 46" xfId="1526"/>
    <cellStyle name="Accent5 - 20% 47" xfId="1527"/>
    <cellStyle name="Accent5 - 20% 5" xfId="1528"/>
    <cellStyle name="Accent5 - 20% 6" xfId="1529"/>
    <cellStyle name="Accent5 - 20% 7" xfId="1530"/>
    <cellStyle name="Accent5 - 20% 8" xfId="1531"/>
    <cellStyle name="Accent5 - 20% 9" xfId="1532"/>
    <cellStyle name="Accent5 - 40%" xfId="1533"/>
    <cellStyle name="Accent5 - 40% 10" xfId="1534"/>
    <cellStyle name="Accent5 - 40% 11" xfId="1535"/>
    <cellStyle name="Accent5 - 40% 12" xfId="1536"/>
    <cellStyle name="Accent5 - 40% 13" xfId="1537"/>
    <cellStyle name="Accent5 - 40% 14" xfId="1538"/>
    <cellStyle name="Accent5 - 40% 15" xfId="1539"/>
    <cellStyle name="Accent5 - 40% 16" xfId="1540"/>
    <cellStyle name="Accent5 - 40% 17" xfId="1541"/>
    <cellStyle name="Accent5 - 40% 18" xfId="1542"/>
    <cellStyle name="Accent5 - 40% 19" xfId="1543"/>
    <cellStyle name="Accent5 - 40% 2" xfId="1544"/>
    <cellStyle name="Accent5 - 40% 2 2" xfId="1545"/>
    <cellStyle name="Accent5 - 40% 20" xfId="1546"/>
    <cellStyle name="Accent5 - 40% 21" xfId="1547"/>
    <cellStyle name="Accent5 - 40% 22" xfId="1548"/>
    <cellStyle name="Accent5 - 40% 23" xfId="1549"/>
    <cellStyle name="Accent5 - 40% 24" xfId="1550"/>
    <cellStyle name="Accent5 - 40% 3" xfId="1551"/>
    <cellStyle name="Accent5 - 40% 4" xfId="1552"/>
    <cellStyle name="Accent5 - 40% 5" xfId="1553"/>
    <cellStyle name="Accent5 - 40% 6" xfId="1554"/>
    <cellStyle name="Accent5 - 40% 7" xfId="1555"/>
    <cellStyle name="Accent5 - 40% 8" xfId="1556"/>
    <cellStyle name="Accent5 - 40% 9" xfId="1557"/>
    <cellStyle name="Accent5 - 60%" xfId="1558"/>
    <cellStyle name="Accent5 - 60% 10" xfId="1559"/>
    <cellStyle name="Accent5 - 60% 11" xfId="1560"/>
    <cellStyle name="Accent5 - 60% 12" xfId="1561"/>
    <cellStyle name="Accent5 - 60% 13" xfId="1562"/>
    <cellStyle name="Accent5 - 60% 14" xfId="1563"/>
    <cellStyle name="Accent5 - 60% 15" xfId="1564"/>
    <cellStyle name="Accent5 - 60% 16" xfId="1565"/>
    <cellStyle name="Accent5 - 60% 17" xfId="1566"/>
    <cellStyle name="Accent5 - 60% 18" xfId="1567"/>
    <cellStyle name="Accent5 - 60% 19" xfId="1568"/>
    <cellStyle name="Accent5 - 60% 2" xfId="1569"/>
    <cellStyle name="Accent5 - 60% 2 2" xfId="1570"/>
    <cellStyle name="Accent5 - 60% 20" xfId="1571"/>
    <cellStyle name="Accent5 - 60% 21" xfId="1572"/>
    <cellStyle name="Accent5 - 60% 22" xfId="1573"/>
    <cellStyle name="Accent5 - 60% 23" xfId="1574"/>
    <cellStyle name="Accent5 - 60% 24" xfId="1575"/>
    <cellStyle name="Accent5 - 60% 25" xfId="1576"/>
    <cellStyle name="Accent5 - 60% 26" xfId="1577"/>
    <cellStyle name="Accent5 - 60% 27" xfId="1578"/>
    <cellStyle name="Accent5 - 60% 28" xfId="1579"/>
    <cellStyle name="Accent5 - 60% 29" xfId="1580"/>
    <cellStyle name="Accent5 - 60% 3" xfId="1581"/>
    <cellStyle name="Accent5 - 60% 30" xfId="1582"/>
    <cellStyle name="Accent5 - 60% 31" xfId="1583"/>
    <cellStyle name="Accent5 - 60% 32" xfId="1584"/>
    <cellStyle name="Accent5 - 60% 33" xfId="1585"/>
    <cellStyle name="Accent5 - 60% 34" xfId="1586"/>
    <cellStyle name="Accent5 - 60% 35" xfId="1587"/>
    <cellStyle name="Accent5 - 60% 36" xfId="1588"/>
    <cellStyle name="Accent5 - 60% 37" xfId="1589"/>
    <cellStyle name="Accent5 - 60% 38" xfId="1590"/>
    <cellStyle name="Accent5 - 60% 39" xfId="1591"/>
    <cellStyle name="Accent5 - 60% 4" xfId="1592"/>
    <cellStyle name="Accent5 - 60% 40" xfId="1593"/>
    <cellStyle name="Accent5 - 60% 41" xfId="1594"/>
    <cellStyle name="Accent5 - 60% 42" xfId="1595"/>
    <cellStyle name="Accent5 - 60% 43" xfId="1596"/>
    <cellStyle name="Accent5 - 60% 44" xfId="1597"/>
    <cellStyle name="Accent5 - 60% 45" xfId="1598"/>
    <cellStyle name="Accent5 - 60% 46" xfId="1599"/>
    <cellStyle name="Accent5 - 60% 5" xfId="1600"/>
    <cellStyle name="Accent5 - 60% 6" xfId="1601"/>
    <cellStyle name="Accent5 - 60% 7" xfId="1602"/>
    <cellStyle name="Accent5 - 60% 8" xfId="1603"/>
    <cellStyle name="Accent5 - 60% 9" xfId="1604"/>
    <cellStyle name="Accent5 10" xfId="1605"/>
    <cellStyle name="Accent5 10 2" xfId="1606"/>
    <cellStyle name="Accent5 10 3" xfId="1607"/>
    <cellStyle name="Accent5 10 4" xfId="1608"/>
    <cellStyle name="Accent5 10 5" xfId="1609"/>
    <cellStyle name="Accent5 10 6" xfId="1610"/>
    <cellStyle name="Accent5 10 7" xfId="1611"/>
    <cellStyle name="Accent5 10 8" xfId="1612"/>
    <cellStyle name="Accent5 10 9" xfId="1613"/>
    <cellStyle name="Accent5 11" xfId="1614"/>
    <cellStyle name="Accent5 11 2" xfId="1615"/>
    <cellStyle name="Accent5 11 3" xfId="1616"/>
    <cellStyle name="Accent5 11 4" xfId="1617"/>
    <cellStyle name="Accent5 11 5" xfId="1618"/>
    <cellStyle name="Accent5 11 6" xfId="1619"/>
    <cellStyle name="Accent5 11 7" xfId="1620"/>
    <cellStyle name="Accent5 11 8" xfId="1621"/>
    <cellStyle name="Accent5 11 9" xfId="1622"/>
    <cellStyle name="Accent5 12" xfId="1623"/>
    <cellStyle name="Accent5 12 2" xfId="1624"/>
    <cellStyle name="Accent5 13" xfId="1625"/>
    <cellStyle name="Accent5 14" xfId="1626"/>
    <cellStyle name="Accent5 15" xfId="1627"/>
    <cellStyle name="Accent5 16" xfId="1628"/>
    <cellStyle name="Accent5 17" xfId="1629"/>
    <cellStyle name="Accent5 18" xfId="1630"/>
    <cellStyle name="Accent5 19" xfId="1631"/>
    <cellStyle name="Accent5 2" xfId="1632"/>
    <cellStyle name="Accent5 2 2" xfId="1633"/>
    <cellStyle name="Accent5 2 2 2" xfId="1634"/>
    <cellStyle name="Accent5 2 3" xfId="1635"/>
    <cellStyle name="Accent5 2 3 2" xfId="1636"/>
    <cellStyle name="Accent5 2 4" xfId="1637"/>
    <cellStyle name="Accent5 2 4 2" xfId="1638"/>
    <cellStyle name="Accent5 2 5" xfId="1639"/>
    <cellStyle name="Accent5 2 6" xfId="8930"/>
    <cellStyle name="Accent5 20" xfId="1640"/>
    <cellStyle name="Accent5 21" xfId="1641"/>
    <cellStyle name="Accent5 22" xfId="1642"/>
    <cellStyle name="Accent5 23" xfId="1643"/>
    <cellStyle name="Accent5 24" xfId="1644"/>
    <cellStyle name="Accent5 24 2" xfId="1645"/>
    <cellStyle name="Accent5 25" xfId="1646"/>
    <cellStyle name="Accent5 26" xfId="8927"/>
    <cellStyle name="Accent5 27" xfId="8823"/>
    <cellStyle name="Accent5 28" xfId="8891"/>
    <cellStyle name="Accent5 3" xfId="1647"/>
    <cellStyle name="Accent5 3 2" xfId="1648"/>
    <cellStyle name="Accent5 3 3" xfId="1649"/>
    <cellStyle name="Accent5 3 4" xfId="1650"/>
    <cellStyle name="Accent5 3 5" xfId="1651"/>
    <cellStyle name="Accent5 4" xfId="1652"/>
    <cellStyle name="Accent5 4 2" xfId="1653"/>
    <cellStyle name="Accent5 4 3" xfId="1654"/>
    <cellStyle name="Accent5 4 4" xfId="1655"/>
    <cellStyle name="Accent5 4 5" xfId="1656"/>
    <cellStyle name="Accent5 5" xfId="1657"/>
    <cellStyle name="Accent5 5 2" xfId="1658"/>
    <cellStyle name="Accent5 5 3" xfId="1659"/>
    <cellStyle name="Accent5 5 4" xfId="1660"/>
    <cellStyle name="Accent5 5 5" xfId="1661"/>
    <cellStyle name="Accent5 6" xfId="1662"/>
    <cellStyle name="Accent5 6 2" xfId="1663"/>
    <cellStyle name="Accent5 6 3" xfId="1664"/>
    <cellStyle name="Accent5 6 4" xfId="1665"/>
    <cellStyle name="Accent5 6 5" xfId="1666"/>
    <cellStyle name="Accent5 7" xfId="1667"/>
    <cellStyle name="Accent5 7 2" xfId="1668"/>
    <cellStyle name="Accent5 7 3" xfId="1669"/>
    <cellStyle name="Accent5 7 4" xfId="1670"/>
    <cellStyle name="Accent5 7 5" xfId="1671"/>
    <cellStyle name="Accent5 8" xfId="1672"/>
    <cellStyle name="Accent5 8 2" xfId="1673"/>
    <cellStyle name="Accent5 8 3" xfId="1674"/>
    <cellStyle name="Accent5 8 4" xfId="1675"/>
    <cellStyle name="Accent5 9" xfId="1676"/>
    <cellStyle name="Accent5 9 2" xfId="1677"/>
    <cellStyle name="Accent5 9 3" xfId="1678"/>
    <cellStyle name="Accent5 9 4" xfId="1679"/>
    <cellStyle name="Accent5 9 5" xfId="1680"/>
    <cellStyle name="Accent5 9 6" xfId="1681"/>
    <cellStyle name="Accent5 9 7" xfId="1682"/>
    <cellStyle name="Accent5 9 8" xfId="1683"/>
    <cellStyle name="Accent5 9 9" xfId="1684"/>
    <cellStyle name="Accent6" xfId="8280" builtinId="49" customBuiltin="1"/>
    <cellStyle name="Accent6 - 20%" xfId="1685"/>
    <cellStyle name="Accent6 - 20% 10" xfId="1686"/>
    <cellStyle name="Accent6 - 20% 11" xfId="1687"/>
    <cellStyle name="Accent6 - 20% 12" xfId="1688"/>
    <cellStyle name="Accent6 - 20% 13" xfId="1689"/>
    <cellStyle name="Accent6 - 20% 14" xfId="1690"/>
    <cellStyle name="Accent6 - 20% 15" xfId="1691"/>
    <cellStyle name="Accent6 - 20% 16" xfId="1692"/>
    <cellStyle name="Accent6 - 20% 17" xfId="1693"/>
    <cellStyle name="Accent6 - 20% 18" xfId="1694"/>
    <cellStyle name="Accent6 - 20% 19" xfId="1695"/>
    <cellStyle name="Accent6 - 20% 2" xfId="1696"/>
    <cellStyle name="Accent6 - 20% 2 2" xfId="1697"/>
    <cellStyle name="Accent6 - 20% 20" xfId="1698"/>
    <cellStyle name="Accent6 - 20% 21" xfId="1699"/>
    <cellStyle name="Accent6 - 20% 22" xfId="1700"/>
    <cellStyle name="Accent6 - 20% 23" xfId="1701"/>
    <cellStyle name="Accent6 - 20% 24" xfId="1702"/>
    <cellStyle name="Accent6 - 20% 3" xfId="1703"/>
    <cellStyle name="Accent6 - 20% 4" xfId="1704"/>
    <cellStyle name="Accent6 - 20% 5" xfId="1705"/>
    <cellStyle name="Accent6 - 20% 6" xfId="1706"/>
    <cellStyle name="Accent6 - 20% 7" xfId="1707"/>
    <cellStyle name="Accent6 - 20% 8" xfId="1708"/>
    <cellStyle name="Accent6 - 20% 9" xfId="1709"/>
    <cellStyle name="Accent6 - 40%" xfId="1710"/>
    <cellStyle name="Accent6 - 40% 10" xfId="1711"/>
    <cellStyle name="Accent6 - 40% 11" xfId="1712"/>
    <cellStyle name="Accent6 - 40% 12" xfId="1713"/>
    <cellStyle name="Accent6 - 40% 13" xfId="1714"/>
    <cellStyle name="Accent6 - 40% 14" xfId="1715"/>
    <cellStyle name="Accent6 - 40% 15" xfId="1716"/>
    <cellStyle name="Accent6 - 40% 16" xfId="1717"/>
    <cellStyle name="Accent6 - 40% 17" xfId="1718"/>
    <cellStyle name="Accent6 - 40% 18" xfId="1719"/>
    <cellStyle name="Accent6 - 40% 19" xfId="1720"/>
    <cellStyle name="Accent6 - 40% 2" xfId="1721"/>
    <cellStyle name="Accent6 - 40% 2 2" xfId="1722"/>
    <cellStyle name="Accent6 - 40% 20" xfId="1723"/>
    <cellStyle name="Accent6 - 40% 21" xfId="1724"/>
    <cellStyle name="Accent6 - 40% 22" xfId="1725"/>
    <cellStyle name="Accent6 - 40% 23" xfId="1726"/>
    <cellStyle name="Accent6 - 40% 24" xfId="1727"/>
    <cellStyle name="Accent6 - 40% 25" xfId="1728"/>
    <cellStyle name="Accent6 - 40% 26" xfId="1729"/>
    <cellStyle name="Accent6 - 40% 27" xfId="1730"/>
    <cellStyle name="Accent6 - 40% 28" xfId="1731"/>
    <cellStyle name="Accent6 - 40% 29" xfId="1732"/>
    <cellStyle name="Accent6 - 40% 3" xfId="1733"/>
    <cellStyle name="Accent6 - 40% 30" xfId="1734"/>
    <cellStyle name="Accent6 - 40% 31" xfId="1735"/>
    <cellStyle name="Accent6 - 40% 32" xfId="1736"/>
    <cellStyle name="Accent6 - 40% 33" xfId="1737"/>
    <cellStyle name="Accent6 - 40% 34" xfId="1738"/>
    <cellStyle name="Accent6 - 40% 35" xfId="1739"/>
    <cellStyle name="Accent6 - 40% 36" xfId="1740"/>
    <cellStyle name="Accent6 - 40% 37" xfId="1741"/>
    <cellStyle name="Accent6 - 40% 38" xfId="1742"/>
    <cellStyle name="Accent6 - 40% 39" xfId="1743"/>
    <cellStyle name="Accent6 - 40% 4" xfId="1744"/>
    <cellStyle name="Accent6 - 40% 40" xfId="1745"/>
    <cellStyle name="Accent6 - 40% 41" xfId="1746"/>
    <cellStyle name="Accent6 - 40% 42" xfId="1747"/>
    <cellStyle name="Accent6 - 40% 43" xfId="1748"/>
    <cellStyle name="Accent6 - 40% 44" xfId="1749"/>
    <cellStyle name="Accent6 - 40% 45" xfId="1750"/>
    <cellStyle name="Accent6 - 40% 46" xfId="1751"/>
    <cellStyle name="Accent6 - 40% 47" xfId="1752"/>
    <cellStyle name="Accent6 - 40% 5" xfId="1753"/>
    <cellStyle name="Accent6 - 40% 6" xfId="1754"/>
    <cellStyle name="Accent6 - 40% 7" xfId="1755"/>
    <cellStyle name="Accent6 - 40% 8" xfId="1756"/>
    <cellStyle name="Accent6 - 40% 9" xfId="1757"/>
    <cellStyle name="Accent6 - 60%" xfId="1758"/>
    <cellStyle name="Accent6 - 60% 10" xfId="1759"/>
    <cellStyle name="Accent6 - 60% 11" xfId="1760"/>
    <cellStyle name="Accent6 - 60% 12" xfId="1761"/>
    <cellStyle name="Accent6 - 60% 13" xfId="1762"/>
    <cellStyle name="Accent6 - 60% 14" xfId="1763"/>
    <cellStyle name="Accent6 - 60% 15" xfId="1764"/>
    <cellStyle name="Accent6 - 60% 16" xfId="1765"/>
    <cellStyle name="Accent6 - 60% 17" xfId="1766"/>
    <cellStyle name="Accent6 - 60% 18" xfId="1767"/>
    <cellStyle name="Accent6 - 60% 19" xfId="1768"/>
    <cellStyle name="Accent6 - 60% 2" xfId="1769"/>
    <cellStyle name="Accent6 - 60% 2 2" xfId="1770"/>
    <cellStyle name="Accent6 - 60% 20" xfId="1771"/>
    <cellStyle name="Accent6 - 60% 21" xfId="1772"/>
    <cellStyle name="Accent6 - 60% 22" xfId="1773"/>
    <cellStyle name="Accent6 - 60% 23" xfId="1774"/>
    <cellStyle name="Accent6 - 60% 24" xfId="1775"/>
    <cellStyle name="Accent6 - 60% 25" xfId="1776"/>
    <cellStyle name="Accent6 - 60% 26" xfId="1777"/>
    <cellStyle name="Accent6 - 60% 27" xfId="1778"/>
    <cellStyle name="Accent6 - 60% 28" xfId="1779"/>
    <cellStyle name="Accent6 - 60% 29" xfId="1780"/>
    <cellStyle name="Accent6 - 60% 3" xfId="1781"/>
    <cellStyle name="Accent6 - 60% 30" xfId="1782"/>
    <cellStyle name="Accent6 - 60% 31" xfId="1783"/>
    <cellStyle name="Accent6 - 60% 32" xfId="1784"/>
    <cellStyle name="Accent6 - 60% 33" xfId="1785"/>
    <cellStyle name="Accent6 - 60% 34" xfId="1786"/>
    <cellStyle name="Accent6 - 60% 35" xfId="1787"/>
    <cellStyle name="Accent6 - 60% 36" xfId="1788"/>
    <cellStyle name="Accent6 - 60% 37" xfId="1789"/>
    <cellStyle name="Accent6 - 60% 38" xfId="1790"/>
    <cellStyle name="Accent6 - 60% 39" xfId="1791"/>
    <cellStyle name="Accent6 - 60% 4" xfId="1792"/>
    <cellStyle name="Accent6 - 60% 40" xfId="1793"/>
    <cellStyle name="Accent6 - 60% 41" xfId="1794"/>
    <cellStyle name="Accent6 - 60% 42" xfId="1795"/>
    <cellStyle name="Accent6 - 60% 43" xfId="1796"/>
    <cellStyle name="Accent6 - 60% 44" xfId="1797"/>
    <cellStyle name="Accent6 - 60% 45" xfId="1798"/>
    <cellStyle name="Accent6 - 60% 46" xfId="1799"/>
    <cellStyle name="Accent6 - 60% 5" xfId="1800"/>
    <cellStyle name="Accent6 - 60% 6" xfId="1801"/>
    <cellStyle name="Accent6 - 60% 7" xfId="1802"/>
    <cellStyle name="Accent6 - 60% 8" xfId="1803"/>
    <cellStyle name="Accent6 - 60% 9" xfId="1804"/>
    <cellStyle name="Accent6 10" xfId="1805"/>
    <cellStyle name="Accent6 10 2" xfId="1806"/>
    <cellStyle name="Accent6 10 3" xfId="1807"/>
    <cellStyle name="Accent6 10 4" xfId="1808"/>
    <cellStyle name="Accent6 11" xfId="1809"/>
    <cellStyle name="Accent6 11 2" xfId="1810"/>
    <cellStyle name="Accent6 11 3" xfId="1811"/>
    <cellStyle name="Accent6 11 4" xfId="1812"/>
    <cellStyle name="Accent6 12" xfId="1813"/>
    <cellStyle name="Accent6 12 2" xfId="1814"/>
    <cellStyle name="Accent6 13" xfId="1815"/>
    <cellStyle name="Accent6 14" xfId="1816"/>
    <cellStyle name="Accent6 15" xfId="1817"/>
    <cellStyle name="Accent6 16" xfId="1818"/>
    <cellStyle name="Accent6 17" xfId="1819"/>
    <cellStyle name="Accent6 18" xfId="1820"/>
    <cellStyle name="Accent6 19" xfId="1821"/>
    <cellStyle name="Accent6 2" xfId="1822"/>
    <cellStyle name="Accent6 2 2" xfId="1823"/>
    <cellStyle name="Accent6 2 2 2" xfId="1824"/>
    <cellStyle name="Accent6 2 3" xfId="1825"/>
    <cellStyle name="Accent6 2 3 2" xfId="1826"/>
    <cellStyle name="Accent6 2 4" xfId="1827"/>
    <cellStyle name="Accent6 2 4 2" xfId="1828"/>
    <cellStyle name="Accent6 2 5" xfId="1829"/>
    <cellStyle name="Accent6 20" xfId="1830"/>
    <cellStyle name="Accent6 21" xfId="1831"/>
    <cellStyle name="Accent6 22" xfId="1832"/>
    <cellStyle name="Accent6 23" xfId="1833"/>
    <cellStyle name="Accent6 24" xfId="1834"/>
    <cellStyle name="Accent6 24 2" xfId="1835"/>
    <cellStyle name="Accent6 25" xfId="1836"/>
    <cellStyle name="Accent6 26" xfId="8723"/>
    <cellStyle name="Accent6 27" xfId="8824"/>
    <cellStyle name="Accent6 28" xfId="8885"/>
    <cellStyle name="Accent6 3" xfId="1837"/>
    <cellStyle name="Accent6 3 2" xfId="1838"/>
    <cellStyle name="Accent6 3 3" xfId="1839"/>
    <cellStyle name="Accent6 3 4" xfId="1840"/>
    <cellStyle name="Accent6 3 5" xfId="1841"/>
    <cellStyle name="Accent6 4" xfId="1842"/>
    <cellStyle name="Accent6 4 2" xfId="1843"/>
    <cellStyle name="Accent6 4 3" xfId="1844"/>
    <cellStyle name="Accent6 4 4" xfId="1845"/>
    <cellStyle name="Accent6 4 5" xfId="1846"/>
    <cellStyle name="Accent6 5" xfId="1847"/>
    <cellStyle name="Accent6 5 2" xfId="1848"/>
    <cellStyle name="Accent6 5 3" xfId="1849"/>
    <cellStyle name="Accent6 5 4" xfId="1850"/>
    <cellStyle name="Accent6 5 5" xfId="1851"/>
    <cellStyle name="Accent6 6" xfId="1852"/>
    <cellStyle name="Accent6 6 2" xfId="1853"/>
    <cellStyle name="Accent6 6 3" xfId="1854"/>
    <cellStyle name="Accent6 6 4" xfId="1855"/>
    <cellStyle name="Accent6 6 5" xfId="1856"/>
    <cellStyle name="Accent6 7" xfId="1857"/>
    <cellStyle name="Accent6 7 2" xfId="1858"/>
    <cellStyle name="Accent6 7 3" xfId="1859"/>
    <cellStyle name="Accent6 7 4" xfId="1860"/>
    <cellStyle name="Accent6 7 5" xfId="1861"/>
    <cellStyle name="Accent6 8" xfId="1862"/>
    <cellStyle name="Accent6 8 2" xfId="1863"/>
    <cellStyle name="Accent6 8 3" xfId="1864"/>
    <cellStyle name="Accent6 8 4" xfId="1865"/>
    <cellStyle name="Accent6 9" xfId="1866"/>
    <cellStyle name="Accent6 9 2" xfId="1867"/>
    <cellStyle name="Accent6 9 3" xfId="1868"/>
    <cellStyle name="Accent6 9 4" xfId="1869"/>
    <cellStyle name="Bad" xfId="8250" builtinId="27" customBuiltin="1"/>
    <cellStyle name="Bad 10" xfId="1870"/>
    <cellStyle name="Bad 10 2" xfId="1871"/>
    <cellStyle name="Bad 10 3" xfId="1872"/>
    <cellStyle name="Bad 10 4" xfId="1873"/>
    <cellStyle name="Bad 10 5" xfId="1874"/>
    <cellStyle name="Bad 10 6" xfId="1875"/>
    <cellStyle name="Bad 10 7" xfId="1876"/>
    <cellStyle name="Bad 10 8" xfId="1877"/>
    <cellStyle name="Bad 10 9" xfId="1878"/>
    <cellStyle name="Bad 11" xfId="1879"/>
    <cellStyle name="Bad 11 2" xfId="1880"/>
    <cellStyle name="Bad 11 3" xfId="1881"/>
    <cellStyle name="Bad 11 4" xfId="1882"/>
    <cellStyle name="Bad 11 5" xfId="1883"/>
    <cellStyle name="Bad 11 6" xfId="1884"/>
    <cellStyle name="Bad 11 7" xfId="1885"/>
    <cellStyle name="Bad 11 8" xfId="1886"/>
    <cellStyle name="Bad 11 9" xfId="1887"/>
    <cellStyle name="Bad 12" xfId="1888"/>
    <cellStyle name="Bad 12 2" xfId="1889"/>
    <cellStyle name="Bad 13" xfId="1890"/>
    <cellStyle name="Bad 14" xfId="1891"/>
    <cellStyle name="Bad 15" xfId="1892"/>
    <cellStyle name="Bad 16" xfId="1893"/>
    <cellStyle name="Bad 17" xfId="1894"/>
    <cellStyle name="Bad 18" xfId="1895"/>
    <cellStyle name="Bad 19" xfId="1896"/>
    <cellStyle name="Bad 2" xfId="1897"/>
    <cellStyle name="Bad 2 2" xfId="1898"/>
    <cellStyle name="Bad 2 2 2" xfId="1899"/>
    <cellStyle name="Bad 2 3" xfId="1900"/>
    <cellStyle name="Bad 2 3 2" xfId="1901"/>
    <cellStyle name="Bad 2 4" xfId="1902"/>
    <cellStyle name="Bad 2 4 2" xfId="1903"/>
    <cellStyle name="Bad 2 5" xfId="1904"/>
    <cellStyle name="Bad 2 6" xfId="8861"/>
    <cellStyle name="Bad 20" xfId="1905"/>
    <cellStyle name="Bad 21" xfId="1906"/>
    <cellStyle name="Bad 22" xfId="1907"/>
    <cellStyle name="Bad 23" xfId="1908"/>
    <cellStyle name="Bad 24" xfId="1909"/>
    <cellStyle name="Bad 24 2" xfId="1910"/>
    <cellStyle name="Bad 25" xfId="1911"/>
    <cellStyle name="Bad 26" xfId="8919"/>
    <cellStyle name="Bad 3" xfId="1912"/>
    <cellStyle name="Bad 3 2" xfId="1913"/>
    <cellStyle name="Bad 3 3" xfId="1914"/>
    <cellStyle name="Bad 3 4" xfId="1915"/>
    <cellStyle name="Bad 3 5" xfId="1916"/>
    <cellStyle name="Bad 4" xfId="1917"/>
    <cellStyle name="Bad 4 2" xfId="1918"/>
    <cellStyle name="Bad 4 3" xfId="1919"/>
    <cellStyle name="Bad 4 4" xfId="1920"/>
    <cellStyle name="Bad 4 5" xfId="1921"/>
    <cellStyle name="Bad 5" xfId="1922"/>
    <cellStyle name="Bad 5 2" xfId="1923"/>
    <cellStyle name="Bad 5 3" xfId="1924"/>
    <cellStyle name="Bad 5 4" xfId="1925"/>
    <cellStyle name="Bad 5 5" xfId="1926"/>
    <cellStyle name="Bad 6" xfId="1927"/>
    <cellStyle name="Bad 6 2" xfId="1928"/>
    <cellStyle name="Bad 6 3" xfId="1929"/>
    <cellStyle name="Bad 6 4" xfId="1930"/>
    <cellStyle name="Bad 6 5" xfId="1931"/>
    <cellStyle name="Bad 7" xfId="1932"/>
    <cellStyle name="Bad 7 2" xfId="1933"/>
    <cellStyle name="Bad 7 3" xfId="1934"/>
    <cellStyle name="Bad 7 4" xfId="1935"/>
    <cellStyle name="Bad 7 5" xfId="1936"/>
    <cellStyle name="Bad 8" xfId="1937"/>
    <cellStyle name="Bad 8 2" xfId="1938"/>
    <cellStyle name="Bad 8 3" xfId="1939"/>
    <cellStyle name="Bad 8 4" xfId="1940"/>
    <cellStyle name="Bad 9" xfId="1941"/>
    <cellStyle name="Bad 9 2" xfId="1942"/>
    <cellStyle name="Bad 9 3" xfId="1943"/>
    <cellStyle name="Bad 9 4" xfId="1944"/>
    <cellStyle name="Bad 9 5" xfId="1945"/>
    <cellStyle name="Bad 9 6" xfId="1946"/>
    <cellStyle name="Bad 9 7" xfId="1947"/>
    <cellStyle name="Bad 9 8" xfId="1948"/>
    <cellStyle name="Bad 9 9" xfId="1949"/>
    <cellStyle name="Calculation" xfId="8254" builtinId="22" customBuiltin="1"/>
    <cellStyle name="Calculation 10" xfId="1950"/>
    <cellStyle name="Calculation 10 2" xfId="1951"/>
    <cellStyle name="Calculation 10 3" xfId="1952"/>
    <cellStyle name="Calculation 10 4" xfId="1953"/>
    <cellStyle name="Calculation 10 5" xfId="1954"/>
    <cellStyle name="Calculation 10 6" xfId="1955"/>
    <cellStyle name="Calculation 10 7" xfId="1956"/>
    <cellStyle name="Calculation 10 8" xfId="1957"/>
    <cellStyle name="Calculation 10 9" xfId="1958"/>
    <cellStyle name="Calculation 11" xfId="1959"/>
    <cellStyle name="Calculation 11 2" xfId="1960"/>
    <cellStyle name="Calculation 11 3" xfId="1961"/>
    <cellStyle name="Calculation 11 4" xfId="1962"/>
    <cellStyle name="Calculation 11 5" xfId="1963"/>
    <cellStyle name="Calculation 11 6" xfId="1964"/>
    <cellStyle name="Calculation 11 7" xfId="1965"/>
    <cellStyle name="Calculation 11 8" xfId="1966"/>
    <cellStyle name="Calculation 11 9" xfId="1967"/>
    <cellStyle name="Calculation 12" xfId="1968"/>
    <cellStyle name="Calculation 12 2" xfId="1969"/>
    <cellStyle name="Calculation 13" xfId="1970"/>
    <cellStyle name="Calculation 14" xfId="1971"/>
    <cellStyle name="Calculation 15" xfId="1972"/>
    <cellStyle name="Calculation 16" xfId="1973"/>
    <cellStyle name="Calculation 17" xfId="1974"/>
    <cellStyle name="Calculation 18" xfId="1975"/>
    <cellStyle name="Calculation 19" xfId="1976"/>
    <cellStyle name="Calculation 2" xfId="1977"/>
    <cellStyle name="Calculation 2 10" xfId="1978"/>
    <cellStyle name="Calculation 2 11" xfId="8851"/>
    <cellStyle name="Calculation 2 2" xfId="1979"/>
    <cellStyle name="Calculation 2 2 2" xfId="1980"/>
    <cellStyle name="Calculation 2 2 2 2" xfId="1981"/>
    <cellStyle name="Calculation 2 2 2 3" xfId="1982"/>
    <cellStyle name="Calculation 2 2 2 4" xfId="1983"/>
    <cellStyle name="Calculation 2 2 2 5" xfId="1984"/>
    <cellStyle name="Calculation 2 2 2 6" xfId="1985"/>
    <cellStyle name="Calculation 2 2 2 7" xfId="1986"/>
    <cellStyle name="Calculation 2 2 2 8" xfId="1987"/>
    <cellStyle name="Calculation 2 3" xfId="1988"/>
    <cellStyle name="Calculation 2 3 2" xfId="1989"/>
    <cellStyle name="Calculation 2 4" xfId="1990"/>
    <cellStyle name="Calculation 2 4 2" xfId="1991"/>
    <cellStyle name="Calculation 2 5" xfId="1992"/>
    <cellStyle name="Calculation 2 6" xfId="1993"/>
    <cellStyle name="Calculation 2 7" xfId="1994"/>
    <cellStyle name="Calculation 2 8" xfId="1995"/>
    <cellStyle name="Calculation 2 9" xfId="1996"/>
    <cellStyle name="Calculation 20" xfId="1997"/>
    <cellStyle name="Calculation 21" xfId="1998"/>
    <cellStyle name="Calculation 22" xfId="1999"/>
    <cellStyle name="Calculation 23" xfId="2000"/>
    <cellStyle name="Calculation 24" xfId="2001"/>
    <cellStyle name="Calculation 24 2" xfId="2002"/>
    <cellStyle name="Calculation 25" xfId="2003"/>
    <cellStyle name="Calculation 26" xfId="8852"/>
    <cellStyle name="Calculation 3" xfId="2004"/>
    <cellStyle name="Calculation 3 10" xfId="2005"/>
    <cellStyle name="Calculation 3 2" xfId="2006"/>
    <cellStyle name="Calculation 3 2 2" xfId="2007"/>
    <cellStyle name="Calculation 3 2 3" xfId="2008"/>
    <cellStyle name="Calculation 3 2 4" xfId="2009"/>
    <cellStyle name="Calculation 3 2 5" xfId="2010"/>
    <cellStyle name="Calculation 3 2 6" xfId="2011"/>
    <cellStyle name="Calculation 3 2 7" xfId="2012"/>
    <cellStyle name="Calculation 3 2 8" xfId="2013"/>
    <cellStyle name="Calculation 3 3" xfId="2014"/>
    <cellStyle name="Calculation 3 4" xfId="2015"/>
    <cellStyle name="Calculation 3 5" xfId="2016"/>
    <cellStyle name="Calculation 3 6" xfId="2017"/>
    <cellStyle name="Calculation 3 7" xfId="2018"/>
    <cellStyle name="Calculation 3 8" xfId="2019"/>
    <cellStyle name="Calculation 3 9" xfId="2020"/>
    <cellStyle name="Calculation 4" xfId="2021"/>
    <cellStyle name="Calculation 4 10" xfId="2022"/>
    <cellStyle name="Calculation 4 2" xfId="2023"/>
    <cellStyle name="Calculation 4 2 2" xfId="2024"/>
    <cellStyle name="Calculation 4 2 3" xfId="2025"/>
    <cellStyle name="Calculation 4 2 4" xfId="2026"/>
    <cellStyle name="Calculation 4 2 5" xfId="2027"/>
    <cellStyle name="Calculation 4 2 6" xfId="2028"/>
    <cellStyle name="Calculation 4 2 7" xfId="2029"/>
    <cellStyle name="Calculation 4 2 8" xfId="2030"/>
    <cellStyle name="Calculation 4 3" xfId="2031"/>
    <cellStyle name="Calculation 4 4" xfId="2032"/>
    <cellStyle name="Calculation 4 5" xfId="2033"/>
    <cellStyle name="Calculation 4 6" xfId="2034"/>
    <cellStyle name="Calculation 4 7" xfId="2035"/>
    <cellStyle name="Calculation 4 8" xfId="2036"/>
    <cellStyle name="Calculation 4 9" xfId="2037"/>
    <cellStyle name="Calculation 5" xfId="2038"/>
    <cellStyle name="Calculation 5 10" xfId="2039"/>
    <cellStyle name="Calculation 5 2" xfId="2040"/>
    <cellStyle name="Calculation 5 2 2" xfId="2041"/>
    <cellStyle name="Calculation 5 2 3" xfId="2042"/>
    <cellStyle name="Calculation 5 2 4" xfId="2043"/>
    <cellStyle name="Calculation 5 2 5" xfId="2044"/>
    <cellStyle name="Calculation 5 2 6" xfId="2045"/>
    <cellStyle name="Calculation 5 2 7" xfId="2046"/>
    <cellStyle name="Calculation 5 2 8" xfId="2047"/>
    <cellStyle name="Calculation 5 3" xfId="2048"/>
    <cellStyle name="Calculation 5 4" xfId="2049"/>
    <cellStyle name="Calculation 5 5" xfId="2050"/>
    <cellStyle name="Calculation 5 6" xfId="2051"/>
    <cellStyle name="Calculation 5 7" xfId="2052"/>
    <cellStyle name="Calculation 5 8" xfId="2053"/>
    <cellStyle name="Calculation 5 9" xfId="2054"/>
    <cellStyle name="Calculation 6" xfId="2055"/>
    <cellStyle name="Calculation 6 10" xfId="2056"/>
    <cellStyle name="Calculation 6 2" xfId="2057"/>
    <cellStyle name="Calculation 6 2 2" xfId="2058"/>
    <cellStyle name="Calculation 6 2 3" xfId="2059"/>
    <cellStyle name="Calculation 6 2 4" xfId="2060"/>
    <cellStyle name="Calculation 6 2 5" xfId="2061"/>
    <cellStyle name="Calculation 6 2 6" xfId="2062"/>
    <cellStyle name="Calculation 6 2 7" xfId="2063"/>
    <cellStyle name="Calculation 6 2 8" xfId="2064"/>
    <cellStyle name="Calculation 6 3" xfId="2065"/>
    <cellStyle name="Calculation 6 4" xfId="2066"/>
    <cellStyle name="Calculation 6 5" xfId="2067"/>
    <cellStyle name="Calculation 6 6" xfId="2068"/>
    <cellStyle name="Calculation 6 7" xfId="2069"/>
    <cellStyle name="Calculation 6 8" xfId="2070"/>
    <cellStyle name="Calculation 6 9" xfId="2071"/>
    <cellStyle name="Calculation 7" xfId="2072"/>
    <cellStyle name="Calculation 7 10" xfId="2073"/>
    <cellStyle name="Calculation 7 2" xfId="2074"/>
    <cellStyle name="Calculation 7 2 2" xfId="2075"/>
    <cellStyle name="Calculation 7 2 3" xfId="2076"/>
    <cellStyle name="Calculation 7 2 4" xfId="2077"/>
    <cellStyle name="Calculation 7 2 5" xfId="2078"/>
    <cellStyle name="Calculation 7 2 6" xfId="2079"/>
    <cellStyle name="Calculation 7 2 7" xfId="2080"/>
    <cellStyle name="Calculation 7 2 8" xfId="2081"/>
    <cellStyle name="Calculation 7 3" xfId="2082"/>
    <cellStyle name="Calculation 7 4" xfId="2083"/>
    <cellStyle name="Calculation 7 5" xfId="2084"/>
    <cellStyle name="Calculation 7 6" xfId="2085"/>
    <cellStyle name="Calculation 7 7" xfId="2086"/>
    <cellStyle name="Calculation 7 8" xfId="2087"/>
    <cellStyle name="Calculation 7 9" xfId="2088"/>
    <cellStyle name="Calculation 8" xfId="2089"/>
    <cellStyle name="Calculation 8 2" xfId="2090"/>
    <cellStyle name="Calculation 8 3" xfId="2091"/>
    <cellStyle name="Calculation 8 4" xfId="2092"/>
    <cellStyle name="Calculation 9" xfId="2093"/>
    <cellStyle name="Calculation 9 2" xfId="2094"/>
    <cellStyle name="Calculation 9 3" xfId="2095"/>
    <cellStyle name="Calculation 9 4" xfId="2096"/>
    <cellStyle name="Calculation 9 5" xfId="2097"/>
    <cellStyle name="Calculation 9 6" xfId="2098"/>
    <cellStyle name="Calculation 9 7" xfId="2099"/>
    <cellStyle name="Calculation 9 8" xfId="2100"/>
    <cellStyle name="Calculation 9 9" xfId="2101"/>
    <cellStyle name="Check Cell" xfId="8256" builtinId="23" customBuiltin="1"/>
    <cellStyle name="Check Cell 10" xfId="2102"/>
    <cellStyle name="Check Cell 10 2" xfId="2103"/>
    <cellStyle name="Check Cell 10 3" xfId="2104"/>
    <cellStyle name="Check Cell 10 4" xfId="2105"/>
    <cellStyle name="Check Cell 10 5" xfId="2106"/>
    <cellStyle name="Check Cell 10 6" xfId="2107"/>
    <cellStyle name="Check Cell 10 7" xfId="2108"/>
    <cellStyle name="Check Cell 10 8" xfId="2109"/>
    <cellStyle name="Check Cell 10 9" xfId="2110"/>
    <cellStyle name="Check Cell 11" xfId="2111"/>
    <cellStyle name="Check Cell 11 2" xfId="2112"/>
    <cellStyle name="Check Cell 11 3" xfId="2113"/>
    <cellStyle name="Check Cell 11 4" xfId="2114"/>
    <cellStyle name="Check Cell 11 5" xfId="2115"/>
    <cellStyle name="Check Cell 11 6" xfId="2116"/>
    <cellStyle name="Check Cell 11 7" xfId="2117"/>
    <cellStyle name="Check Cell 11 8" xfId="2118"/>
    <cellStyle name="Check Cell 11 9" xfId="2119"/>
    <cellStyle name="Check Cell 12" xfId="2120"/>
    <cellStyle name="Check Cell 12 2" xfId="2121"/>
    <cellStyle name="Check Cell 13" xfId="2122"/>
    <cellStyle name="Check Cell 14" xfId="2123"/>
    <cellStyle name="Check Cell 15" xfId="2124"/>
    <cellStyle name="Check Cell 16" xfId="2125"/>
    <cellStyle name="Check Cell 17" xfId="2126"/>
    <cellStyle name="Check Cell 18" xfId="2127"/>
    <cellStyle name="Check Cell 19" xfId="2128"/>
    <cellStyle name="Check Cell 2" xfId="2129"/>
    <cellStyle name="Check Cell 2 2" xfId="2130"/>
    <cellStyle name="Check Cell 2 2 2" xfId="2131"/>
    <cellStyle name="Check Cell 2 3" xfId="2132"/>
    <cellStyle name="Check Cell 2 3 2" xfId="2133"/>
    <cellStyle name="Check Cell 2 4" xfId="2134"/>
    <cellStyle name="Check Cell 2 4 2" xfId="2135"/>
    <cellStyle name="Check Cell 2 5" xfId="2136"/>
    <cellStyle name="Check Cell 2 6" xfId="8904"/>
    <cellStyle name="Check Cell 20" xfId="2137"/>
    <cellStyle name="Check Cell 21" xfId="2138"/>
    <cellStyle name="Check Cell 22" xfId="2139"/>
    <cellStyle name="Check Cell 23" xfId="2140"/>
    <cellStyle name="Check Cell 24" xfId="2141"/>
    <cellStyle name="Check Cell 24 2" xfId="2142"/>
    <cellStyle name="Check Cell 25" xfId="2143"/>
    <cellStyle name="Check Cell 26" xfId="8924"/>
    <cellStyle name="Check Cell 3" xfId="2144"/>
    <cellStyle name="Check Cell 3 2" xfId="2145"/>
    <cellStyle name="Check Cell 3 3" xfId="2146"/>
    <cellStyle name="Check Cell 3 4" xfId="2147"/>
    <cellStyle name="Check Cell 3 5" xfId="2148"/>
    <cellStyle name="Check Cell 4" xfId="2149"/>
    <cellStyle name="Check Cell 4 2" xfId="2150"/>
    <cellStyle name="Check Cell 4 3" xfId="2151"/>
    <cellStyle name="Check Cell 4 4" xfId="2152"/>
    <cellStyle name="Check Cell 4 5" xfId="2153"/>
    <cellStyle name="Check Cell 5" xfId="2154"/>
    <cellStyle name="Check Cell 5 2" xfId="2155"/>
    <cellStyle name="Check Cell 5 3" xfId="2156"/>
    <cellStyle name="Check Cell 5 4" xfId="2157"/>
    <cellStyle name="Check Cell 5 5" xfId="2158"/>
    <cellStyle name="Check Cell 6" xfId="2159"/>
    <cellStyle name="Check Cell 6 2" xfId="2160"/>
    <cellStyle name="Check Cell 6 3" xfId="2161"/>
    <cellStyle name="Check Cell 6 4" xfId="2162"/>
    <cellStyle name="Check Cell 6 5" xfId="2163"/>
    <cellStyle name="Check Cell 7" xfId="2164"/>
    <cellStyle name="Check Cell 7 2" xfId="2165"/>
    <cellStyle name="Check Cell 7 3" xfId="2166"/>
    <cellStyle name="Check Cell 7 4" xfId="2167"/>
    <cellStyle name="Check Cell 7 5" xfId="2168"/>
    <cellStyle name="Check Cell 8" xfId="2169"/>
    <cellStyle name="Check Cell 8 2" xfId="2170"/>
    <cellStyle name="Check Cell 8 3" xfId="2171"/>
    <cellStyle name="Check Cell 8 4" xfId="2172"/>
    <cellStyle name="Check Cell 9" xfId="2173"/>
    <cellStyle name="Check Cell 9 2" xfId="2174"/>
    <cellStyle name="Check Cell 9 3" xfId="2175"/>
    <cellStyle name="Check Cell 9 4" xfId="2176"/>
    <cellStyle name="Check Cell 9 5" xfId="2177"/>
    <cellStyle name="Check Cell 9 6" xfId="2178"/>
    <cellStyle name="Check Cell 9 7" xfId="2179"/>
    <cellStyle name="Check Cell 9 8" xfId="2180"/>
    <cellStyle name="Check Cell 9 9" xfId="2181"/>
    <cellStyle name="ColumnHeading" xfId="2182"/>
    <cellStyle name="coma 5" xfId="1"/>
    <cellStyle name="coma 5 2" xfId="8284"/>
    <cellStyle name="coma 5 3" xfId="8752"/>
    <cellStyle name="Comma" xfId="2" builtinId="3"/>
    <cellStyle name="Comma [0] 2" xfId="8769"/>
    <cellStyle name="Comma 10" xfId="2183"/>
    <cellStyle name="Comma 10 2" xfId="2184"/>
    <cellStyle name="Comma 11" xfId="2185"/>
    <cellStyle name="Comma 11 2" xfId="8737"/>
    <cellStyle name="Comma 11 3" xfId="9417"/>
    <cellStyle name="Comma 12" xfId="2186"/>
    <cellStyle name="Comma 13" xfId="2187"/>
    <cellStyle name="Comma 13 2" xfId="2188"/>
    <cellStyle name="Comma 13 3" xfId="8945"/>
    <cellStyle name="Comma 13 4" xfId="9448"/>
    <cellStyle name="Comma 14" xfId="2189"/>
    <cellStyle name="Comma 14 2" xfId="2190"/>
    <cellStyle name="Comma 15" xfId="2191"/>
    <cellStyle name="Comma 15 2" xfId="8950"/>
    <cellStyle name="Comma 15 3" xfId="9452"/>
    <cellStyle name="Comma 16" xfId="8956"/>
    <cellStyle name="Comma 16 2" xfId="9467"/>
    <cellStyle name="Comma 17" xfId="8285"/>
    <cellStyle name="Comma 18" xfId="8762"/>
    <cellStyle name="Comma 19" xfId="8991"/>
    <cellStyle name="Comma 2" xfId="27"/>
    <cellStyle name="Comma 2 2" xfId="2192"/>
    <cellStyle name="Comma 2 2 2" xfId="2193"/>
    <cellStyle name="Comma 2 2 2 2" xfId="2194"/>
    <cellStyle name="Comma 2 3" xfId="2195"/>
    <cellStyle name="Comma 2 3 2" xfId="2196"/>
    <cellStyle name="Comma 2 4" xfId="2197"/>
    <cellStyle name="Comma 2 4 2" xfId="2198"/>
    <cellStyle name="Comma 2 4 3" xfId="2199"/>
    <cellStyle name="Comma 2 5" xfId="2200"/>
    <cellStyle name="Comma 2 6" xfId="2201"/>
    <cellStyle name="Comma 2 7" xfId="8753"/>
    <cellStyle name="Comma 20" xfId="8827"/>
    <cellStyle name="Comma 21" xfId="8826"/>
    <cellStyle name="Comma 22" xfId="9001"/>
    <cellStyle name="Comma 23" xfId="8725"/>
    <cellStyle name="Comma 24" xfId="8834"/>
    <cellStyle name="Comma 25" xfId="8837"/>
    <cellStyle name="Comma 26" xfId="8836"/>
    <cellStyle name="Comma 27" xfId="8732"/>
    <cellStyle name="Comma 28" xfId="9003"/>
    <cellStyle name="Comma 29" xfId="9446"/>
    <cellStyle name="Comma 3" xfId="2202"/>
    <cellStyle name="Comma 3 2" xfId="2203"/>
    <cellStyle name="Comma 3 2 2" xfId="2204"/>
    <cellStyle name="Comma 3 2 3" xfId="8771"/>
    <cellStyle name="Comma 3 3" xfId="2205"/>
    <cellStyle name="Comma 3 3 2" xfId="8772"/>
    <cellStyle name="Comma 3 4" xfId="8303"/>
    <cellStyle name="Comma 3 5" xfId="8872"/>
    <cellStyle name="Comma 3 6" xfId="9006"/>
    <cellStyle name="Comma 30" xfId="9486"/>
    <cellStyle name="Comma 31" xfId="9487"/>
    <cellStyle name="Comma 32" xfId="9484"/>
    <cellStyle name="Comma 4" xfId="2206"/>
    <cellStyle name="Comma 4 2" xfId="2207"/>
    <cellStyle name="Comma 4 3" xfId="2208"/>
    <cellStyle name="Comma 4 4" xfId="8768"/>
    <cellStyle name="Comma 5" xfId="2209"/>
    <cellStyle name="Comma 6" xfId="2210"/>
    <cellStyle name="Comma 6 2" xfId="8968"/>
    <cellStyle name="Comma 7" xfId="2211"/>
    <cellStyle name="Comma 8" xfId="2212"/>
    <cellStyle name="Comma 9" xfId="2213"/>
    <cellStyle name="Comma_Oregon Earnings Test 2003" xfId="3"/>
    <cellStyle name="Comma_Rev &amp; Cost Model b" xfId="4"/>
    <cellStyle name="Comma0" xfId="5"/>
    <cellStyle name="Comma0 2" xfId="2214"/>
    <cellStyle name="Comma0 3" xfId="2215"/>
    <cellStyle name="Comma0 4" xfId="2216"/>
    <cellStyle name="Comma0 5" xfId="2217"/>
    <cellStyle name="Comma0 6" xfId="2218"/>
    <cellStyle name="Comma0 7" xfId="2219"/>
    <cellStyle name="Comma0 8" xfId="2220"/>
    <cellStyle name="Comma0 9" xfId="8286"/>
    <cellStyle name="Comma4" xfId="6"/>
    <cellStyle name="Comma4 2" xfId="8971"/>
    <cellStyle name="Comma4 3" xfId="8287"/>
    <cellStyle name="Comma4 4" xfId="8754"/>
    <cellStyle name="CountryTitle" xfId="2221"/>
    <cellStyle name="Currency" xfId="7" builtinId="4"/>
    <cellStyle name="currency 0" xfId="8"/>
    <cellStyle name="currency 0 2" xfId="8289"/>
    <cellStyle name="currency 0 3" xfId="8755"/>
    <cellStyle name="Currency 10" xfId="2222"/>
    <cellStyle name="Currency 11" xfId="2223"/>
    <cellStyle name="Currency 12" xfId="2224"/>
    <cellStyle name="Currency 13" xfId="2225"/>
    <cellStyle name="Currency 14" xfId="2226"/>
    <cellStyle name="Currency 15" xfId="2227"/>
    <cellStyle name="Currency 16" xfId="2228"/>
    <cellStyle name="Currency 17" xfId="2229"/>
    <cellStyle name="Currency 18" xfId="2230"/>
    <cellStyle name="Currency 19" xfId="8957"/>
    <cellStyle name="Currency 19 2" xfId="9468"/>
    <cellStyle name="Currency 2" xfId="2231"/>
    <cellStyle name="Currency 2 2" xfId="2232"/>
    <cellStyle name="Currency 2 3" xfId="2233"/>
    <cellStyle name="Currency 2 4" xfId="2234"/>
    <cellStyle name="Currency 2 5" xfId="2235"/>
    <cellStyle name="Currency 2 6" xfId="8305"/>
    <cellStyle name="Currency 2 7" xfId="9008"/>
    <cellStyle name="Currency 20" xfId="8958"/>
    <cellStyle name="Currency 20 2" xfId="9469"/>
    <cellStyle name="Currency 21" xfId="8965"/>
    <cellStyle name="Currency 21 2" xfId="9476"/>
    <cellStyle name="Currency 22" xfId="8962"/>
    <cellStyle name="Currency 22 2" xfId="9473"/>
    <cellStyle name="Currency 23" xfId="8963"/>
    <cellStyle name="Currency 23 2" xfId="9474"/>
    <cellStyle name="Currency 24" xfId="8974"/>
    <cellStyle name="Currency 24 2" xfId="9479"/>
    <cellStyle name="Currency 25" xfId="8288"/>
    <cellStyle name="Currency 26" xfId="8943"/>
    <cellStyle name="Currency 27" xfId="8997"/>
    <cellStyle name="Currency 28" xfId="8938"/>
    <cellStyle name="Currency 29" xfId="8996"/>
    <cellStyle name="Currency 3" xfId="2236"/>
    <cellStyle name="Currency 3 2" xfId="2237"/>
    <cellStyle name="Currency 30" xfId="8917"/>
    <cellStyle name="Currency 31" xfId="8982"/>
    <cellStyle name="Currency 32" xfId="8896"/>
    <cellStyle name="Currency 33" xfId="8650"/>
    <cellStyle name="Currency 34" xfId="8894"/>
    <cellStyle name="Currency 35" xfId="8715"/>
    <cellStyle name="Currency 36" xfId="8892"/>
    <cellStyle name="Currency 37" xfId="8940"/>
    <cellStyle name="Currency 38" xfId="8889"/>
    <cellStyle name="Currency 39" xfId="8717"/>
    <cellStyle name="Currency 4" xfId="2238"/>
    <cellStyle name="Currency 40" xfId="8884"/>
    <cellStyle name="Currency 41" xfId="8718"/>
    <cellStyle name="Currency 42" xfId="8883"/>
    <cellStyle name="Currency 43" xfId="8719"/>
    <cellStyle name="Currency 44" xfId="8881"/>
    <cellStyle name="Currency 45" xfId="8720"/>
    <cellStyle name="Currency 46" xfId="8879"/>
    <cellStyle name="Currency 47" xfId="8724"/>
    <cellStyle name="Currency 48" xfId="8877"/>
    <cellStyle name="Currency 49" xfId="8726"/>
    <cellStyle name="Currency 5" xfId="2239"/>
    <cellStyle name="Currency 50" xfId="8875"/>
    <cellStyle name="Currency 51" xfId="8727"/>
    <cellStyle name="Currency 52" xfId="8873"/>
    <cellStyle name="Currency 53" xfId="8729"/>
    <cellStyle name="Currency 54" xfId="8722"/>
    <cellStyle name="Currency 55" xfId="8730"/>
    <cellStyle name="Currency 56" xfId="8869"/>
    <cellStyle name="Currency 57" xfId="8733"/>
    <cellStyle name="Currency 58" xfId="8864"/>
    <cellStyle name="Currency 59" xfId="8735"/>
    <cellStyle name="Currency 6" xfId="2240"/>
    <cellStyle name="Currency 6 2" xfId="8946"/>
    <cellStyle name="Currency 6 3" xfId="9449"/>
    <cellStyle name="Currency 60" xfId="8858"/>
    <cellStyle name="Currency 61" xfId="8736"/>
    <cellStyle name="Currency 62" xfId="8942"/>
    <cellStyle name="Currency 63" xfId="8739"/>
    <cellStyle name="Currency 64" xfId="8849"/>
    <cellStyle name="Currency 65" xfId="8952"/>
    <cellStyle name="Currency 66" xfId="9000"/>
    <cellStyle name="Currency 67" xfId="8871"/>
    <cellStyle name="Currency 68" xfId="9002"/>
    <cellStyle name="Currency 69" xfId="8833"/>
    <cellStyle name="Currency 7" xfId="2241"/>
    <cellStyle name="Currency 70" xfId="8838"/>
    <cellStyle name="Currency 71" xfId="8839"/>
    <cellStyle name="Currency 72" xfId="9004"/>
    <cellStyle name="Currency 73" xfId="9445"/>
    <cellStyle name="Currency 74" xfId="9485"/>
    <cellStyle name="Currency 75" xfId="9444"/>
    <cellStyle name="Currency 76" xfId="9483"/>
    <cellStyle name="Currency 8" xfId="2242"/>
    <cellStyle name="Currency 9" xfId="2243"/>
    <cellStyle name="Currency0" xfId="9"/>
    <cellStyle name="Currency0 2" xfId="28"/>
    <cellStyle name="Currency0 3" xfId="2244"/>
    <cellStyle name="Currency0 4" xfId="2245"/>
    <cellStyle name="Currency0 5" xfId="2246"/>
    <cellStyle name="Currency0 6" xfId="2247"/>
    <cellStyle name="Currency0 7" xfId="2248"/>
    <cellStyle name="Currency0 8" xfId="2249"/>
    <cellStyle name="Currency0 9" xfId="8290"/>
    <cellStyle name="Currency4" xfId="10"/>
    <cellStyle name="Currency4 2" xfId="8972"/>
    <cellStyle name="Currency4 3" xfId="8291"/>
    <cellStyle name="Currency4 4" xfId="8993"/>
    <cellStyle name="Date" xfId="11"/>
    <cellStyle name="Date 10" xfId="8830"/>
    <cellStyle name="Date 11" xfId="9482"/>
    <cellStyle name="Date 2" xfId="2250"/>
    <cellStyle name="Date 2 2" xfId="2251"/>
    <cellStyle name="Date 2 2 2" xfId="2252"/>
    <cellStyle name="Date 2 2 3" xfId="2253"/>
    <cellStyle name="Date 2 2 4" xfId="2254"/>
    <cellStyle name="Date 2 2 5" xfId="2255"/>
    <cellStyle name="Date 2 2 6" xfId="2256"/>
    <cellStyle name="Date 2 2 7" xfId="2257"/>
    <cellStyle name="Date 2 3" xfId="2258"/>
    <cellStyle name="Date 2 4" xfId="2259"/>
    <cellStyle name="Date 2 5" xfId="2260"/>
    <cellStyle name="Date 2 6" xfId="2261"/>
    <cellStyle name="Date 2 7" xfId="2262"/>
    <cellStyle name="Date 3" xfId="2263"/>
    <cellStyle name="Date 4" xfId="2264"/>
    <cellStyle name="Date 5" xfId="2265"/>
    <cellStyle name="Date 6" xfId="2266"/>
    <cellStyle name="Date 7" xfId="2267"/>
    <cellStyle name="Date 8" xfId="2268"/>
    <cellStyle name="Date 9" xfId="8292"/>
    <cellStyle name="Emphasis 1" xfId="2269"/>
    <cellStyle name="Emphasis 1 10" xfId="2270"/>
    <cellStyle name="Emphasis 1 11" xfId="2271"/>
    <cellStyle name="Emphasis 1 12" xfId="2272"/>
    <cellStyle name="Emphasis 1 13" xfId="2273"/>
    <cellStyle name="Emphasis 1 14" xfId="2274"/>
    <cellStyle name="Emphasis 1 15" xfId="2275"/>
    <cellStyle name="Emphasis 1 16" xfId="2276"/>
    <cellStyle name="Emphasis 1 17" xfId="2277"/>
    <cellStyle name="Emphasis 1 18" xfId="2278"/>
    <cellStyle name="Emphasis 1 19" xfId="2279"/>
    <cellStyle name="Emphasis 1 2" xfId="2280"/>
    <cellStyle name="Emphasis 1 20" xfId="2281"/>
    <cellStyle name="Emphasis 1 21" xfId="2282"/>
    <cellStyle name="Emphasis 1 22" xfId="2283"/>
    <cellStyle name="Emphasis 1 23" xfId="2284"/>
    <cellStyle name="Emphasis 1 24" xfId="2285"/>
    <cellStyle name="Emphasis 1 25" xfId="2286"/>
    <cellStyle name="Emphasis 1 26" xfId="2287"/>
    <cellStyle name="Emphasis 1 27" xfId="2288"/>
    <cellStyle name="Emphasis 1 28" xfId="2289"/>
    <cellStyle name="Emphasis 1 29" xfId="2290"/>
    <cellStyle name="Emphasis 1 3" xfId="2291"/>
    <cellStyle name="Emphasis 1 30" xfId="2292"/>
    <cellStyle name="Emphasis 1 31" xfId="2293"/>
    <cellStyle name="Emphasis 1 32" xfId="2294"/>
    <cellStyle name="Emphasis 1 33" xfId="2295"/>
    <cellStyle name="Emphasis 1 34" xfId="2296"/>
    <cellStyle name="Emphasis 1 35" xfId="2297"/>
    <cellStyle name="Emphasis 1 36" xfId="2298"/>
    <cellStyle name="Emphasis 1 37" xfId="2299"/>
    <cellStyle name="Emphasis 1 38" xfId="2300"/>
    <cellStyle name="Emphasis 1 39" xfId="2301"/>
    <cellStyle name="Emphasis 1 4" xfId="2302"/>
    <cellStyle name="Emphasis 1 40" xfId="2303"/>
    <cellStyle name="Emphasis 1 41" xfId="2304"/>
    <cellStyle name="Emphasis 1 42" xfId="2305"/>
    <cellStyle name="Emphasis 1 43" xfId="2306"/>
    <cellStyle name="Emphasis 1 44" xfId="2307"/>
    <cellStyle name="Emphasis 1 45" xfId="2308"/>
    <cellStyle name="Emphasis 1 46" xfId="2309"/>
    <cellStyle name="Emphasis 1 5" xfId="2310"/>
    <cellStyle name="Emphasis 1 6" xfId="2311"/>
    <cellStyle name="Emphasis 1 7" xfId="2312"/>
    <cellStyle name="Emphasis 1 8" xfId="2313"/>
    <cellStyle name="Emphasis 1 9" xfId="2314"/>
    <cellStyle name="Emphasis 2" xfId="2315"/>
    <cellStyle name="Emphasis 2 10" xfId="2316"/>
    <cellStyle name="Emphasis 2 11" xfId="2317"/>
    <cellStyle name="Emphasis 2 12" xfId="2318"/>
    <cellStyle name="Emphasis 2 13" xfId="2319"/>
    <cellStyle name="Emphasis 2 14" xfId="2320"/>
    <cellStyle name="Emphasis 2 15" xfId="2321"/>
    <cellStyle name="Emphasis 2 16" xfId="2322"/>
    <cellStyle name="Emphasis 2 17" xfId="2323"/>
    <cellStyle name="Emphasis 2 18" xfId="2324"/>
    <cellStyle name="Emphasis 2 19" xfId="2325"/>
    <cellStyle name="Emphasis 2 2" xfId="2326"/>
    <cellStyle name="Emphasis 2 20" xfId="2327"/>
    <cellStyle name="Emphasis 2 21" xfId="2328"/>
    <cellStyle name="Emphasis 2 22" xfId="2329"/>
    <cellStyle name="Emphasis 2 23" xfId="2330"/>
    <cellStyle name="Emphasis 2 24" xfId="2331"/>
    <cellStyle name="Emphasis 2 25" xfId="2332"/>
    <cellStyle name="Emphasis 2 26" xfId="2333"/>
    <cellStyle name="Emphasis 2 27" xfId="2334"/>
    <cellStyle name="Emphasis 2 28" xfId="2335"/>
    <cellStyle name="Emphasis 2 29" xfId="2336"/>
    <cellStyle name="Emphasis 2 3" xfId="2337"/>
    <cellStyle name="Emphasis 2 30" xfId="2338"/>
    <cellStyle name="Emphasis 2 31" xfId="2339"/>
    <cellStyle name="Emphasis 2 32" xfId="2340"/>
    <cellStyle name="Emphasis 2 33" xfId="2341"/>
    <cellStyle name="Emphasis 2 34" xfId="2342"/>
    <cellStyle name="Emphasis 2 35" xfId="2343"/>
    <cellStyle name="Emphasis 2 36" xfId="2344"/>
    <cellStyle name="Emphasis 2 37" xfId="2345"/>
    <cellStyle name="Emphasis 2 38" xfId="2346"/>
    <cellStyle name="Emphasis 2 39" xfId="2347"/>
    <cellStyle name="Emphasis 2 4" xfId="2348"/>
    <cellStyle name="Emphasis 2 40" xfId="2349"/>
    <cellStyle name="Emphasis 2 41" xfId="2350"/>
    <cellStyle name="Emphasis 2 42" xfId="2351"/>
    <cellStyle name="Emphasis 2 43" xfId="2352"/>
    <cellStyle name="Emphasis 2 44" xfId="2353"/>
    <cellStyle name="Emphasis 2 45" xfId="2354"/>
    <cellStyle name="Emphasis 2 46" xfId="2355"/>
    <cellStyle name="Emphasis 2 5" xfId="2356"/>
    <cellStyle name="Emphasis 2 6" xfId="2357"/>
    <cellStyle name="Emphasis 2 7" xfId="2358"/>
    <cellStyle name="Emphasis 2 8" xfId="2359"/>
    <cellStyle name="Emphasis 2 9" xfId="2360"/>
    <cellStyle name="Emphasis 3" xfId="2361"/>
    <cellStyle name="Explanatory Text" xfId="8259" builtinId="53" customBuiltin="1"/>
    <cellStyle name="Explanatory Text 10" xfId="2362"/>
    <cellStyle name="Explanatory Text 11" xfId="2363"/>
    <cellStyle name="Explanatory Text 12" xfId="2364"/>
    <cellStyle name="Explanatory Text 13" xfId="2365"/>
    <cellStyle name="Explanatory Text 14" xfId="8926"/>
    <cellStyle name="Explanatory Text 2" xfId="2366"/>
    <cellStyle name="Explanatory Text 2 2" xfId="2367"/>
    <cellStyle name="Explanatory Text 2 2 2" xfId="2368"/>
    <cellStyle name="Explanatory Text 2 2 3" xfId="2369"/>
    <cellStyle name="Explanatory Text 2 2 4" xfId="2370"/>
    <cellStyle name="Explanatory Text 2 2 5" xfId="2371"/>
    <cellStyle name="Explanatory Text 2 2 6" xfId="2372"/>
    <cellStyle name="Explanatory Text 2 2 7" xfId="2373"/>
    <cellStyle name="Explanatory Text 2 2 8" xfId="2374"/>
    <cellStyle name="Explanatory Text 2 3" xfId="2375"/>
    <cellStyle name="Explanatory Text 2 4" xfId="2376"/>
    <cellStyle name="Explanatory Text 2 5" xfId="2377"/>
    <cellStyle name="Explanatory Text 2 6" xfId="8907"/>
    <cellStyle name="Explanatory Text 3" xfId="2378"/>
    <cellStyle name="Explanatory Text 3 2" xfId="2379"/>
    <cellStyle name="Explanatory Text 3 3" xfId="2380"/>
    <cellStyle name="Explanatory Text 3 4" xfId="2381"/>
    <cellStyle name="Explanatory Text 3 5" xfId="2382"/>
    <cellStyle name="Explanatory Text 3 6" xfId="2383"/>
    <cellStyle name="Explanatory Text 3 7" xfId="2384"/>
    <cellStyle name="Explanatory Text 3 8" xfId="2385"/>
    <cellStyle name="Explanatory Text 4" xfId="2386"/>
    <cellStyle name="Explanatory Text 4 2" xfId="2387"/>
    <cellStyle name="Explanatory Text 4 3" xfId="2388"/>
    <cellStyle name="Explanatory Text 4 4" xfId="2389"/>
    <cellStyle name="Explanatory Text 4 5" xfId="2390"/>
    <cellStyle name="Explanatory Text 4 6" xfId="2391"/>
    <cellStyle name="Explanatory Text 4 7" xfId="2392"/>
    <cellStyle name="Explanatory Text 4 8" xfId="2393"/>
    <cellStyle name="Explanatory Text 5" xfId="2394"/>
    <cellStyle name="Explanatory Text 5 2" xfId="2395"/>
    <cellStyle name="Explanatory Text 5 3" xfId="2396"/>
    <cellStyle name="Explanatory Text 5 4" xfId="2397"/>
    <cellStyle name="Explanatory Text 5 5" xfId="2398"/>
    <cellStyle name="Explanatory Text 5 6" xfId="2399"/>
    <cellStyle name="Explanatory Text 5 7" xfId="2400"/>
    <cellStyle name="Explanatory Text 5 8" xfId="2401"/>
    <cellStyle name="Explanatory Text 6" xfId="2402"/>
    <cellStyle name="Explanatory Text 7" xfId="2403"/>
    <cellStyle name="Explanatory Text 8" xfId="2404"/>
    <cellStyle name="Explanatory Text 9" xfId="2405"/>
    <cellStyle name="Fixed" xfId="12"/>
    <cellStyle name="Fixed 2" xfId="8293"/>
    <cellStyle name="Fixed 3" xfId="8992"/>
    <cellStyle name="Footnote" xfId="2406"/>
    <cellStyle name="Footnote 2" xfId="2407"/>
    <cellStyle name="Footnote 3" xfId="2408"/>
    <cellStyle name="Footnote 4" xfId="2409"/>
    <cellStyle name="Footnote 5" xfId="2410"/>
    <cellStyle name="Footnote 6" xfId="2411"/>
    <cellStyle name="Footnote 7" xfId="2412"/>
    <cellStyle name="Good" xfId="8249" builtinId="26" customBuiltin="1"/>
    <cellStyle name="Good 10" xfId="2413"/>
    <cellStyle name="Good 10 2" xfId="2414"/>
    <cellStyle name="Good 10 3" xfId="2415"/>
    <cellStyle name="Good 10 4" xfId="2416"/>
    <cellStyle name="Good 10 5" xfId="2417"/>
    <cellStyle name="Good 10 6" xfId="2418"/>
    <cellStyle name="Good 10 7" xfId="2419"/>
    <cellStyle name="Good 10 8" xfId="2420"/>
    <cellStyle name="Good 10 9" xfId="2421"/>
    <cellStyle name="Good 11" xfId="2422"/>
    <cellStyle name="Good 11 2" xfId="2423"/>
    <cellStyle name="Good 11 3" xfId="2424"/>
    <cellStyle name="Good 11 4" xfId="2425"/>
    <cellStyle name="Good 11 5" xfId="2426"/>
    <cellStyle name="Good 11 6" xfId="2427"/>
    <cellStyle name="Good 11 7" xfId="2428"/>
    <cellStyle name="Good 11 8" xfId="2429"/>
    <cellStyle name="Good 11 9" xfId="2430"/>
    <cellStyle name="Good 12" xfId="2431"/>
    <cellStyle name="Good 12 2" xfId="2432"/>
    <cellStyle name="Good 13" xfId="2433"/>
    <cellStyle name="Good 14" xfId="2434"/>
    <cellStyle name="Good 15" xfId="2435"/>
    <cellStyle name="Good 16" xfId="2436"/>
    <cellStyle name="Good 17" xfId="2437"/>
    <cellStyle name="Good 18" xfId="2438"/>
    <cellStyle name="Good 19" xfId="2439"/>
    <cellStyle name="Good 2" xfId="2440"/>
    <cellStyle name="Good 2 10" xfId="2441"/>
    <cellStyle name="Good 2 11" xfId="2442"/>
    <cellStyle name="Good 2 12" xfId="2443"/>
    <cellStyle name="Good 2 13" xfId="2444"/>
    <cellStyle name="Good 2 14" xfId="2445"/>
    <cellStyle name="Good 2 15" xfId="2446"/>
    <cellStyle name="Good 2 16" xfId="2447"/>
    <cellStyle name="Good 2 17" xfId="2448"/>
    <cellStyle name="Good 2 18" xfId="2449"/>
    <cellStyle name="Good 2 19" xfId="2450"/>
    <cellStyle name="Good 2 2" xfId="2451"/>
    <cellStyle name="Good 2 2 2" xfId="2452"/>
    <cellStyle name="Good 2 20" xfId="2453"/>
    <cellStyle name="Good 2 21" xfId="2454"/>
    <cellStyle name="Good 2 22" xfId="2455"/>
    <cellStyle name="Good 2 23" xfId="2456"/>
    <cellStyle name="Good 2 24" xfId="2457"/>
    <cellStyle name="Good 2 25" xfId="2458"/>
    <cellStyle name="Good 2 26" xfId="2459"/>
    <cellStyle name="Good 2 27" xfId="8981"/>
    <cellStyle name="Good 2 3" xfId="2460"/>
    <cellStyle name="Good 2 3 2" xfId="2461"/>
    <cellStyle name="Good 2 4" xfId="2462"/>
    <cellStyle name="Good 2 4 2" xfId="2463"/>
    <cellStyle name="Good 2 5" xfId="2464"/>
    <cellStyle name="Good 2 6" xfId="2465"/>
    <cellStyle name="Good 2 7" xfId="2466"/>
    <cellStyle name="Good 2 8" xfId="2467"/>
    <cellStyle name="Good 2 9" xfId="2468"/>
    <cellStyle name="Good 20" xfId="2469"/>
    <cellStyle name="Good 21" xfId="2470"/>
    <cellStyle name="Good 22" xfId="2471"/>
    <cellStyle name="Good 23" xfId="2472"/>
    <cellStyle name="Good 24" xfId="2473"/>
    <cellStyle name="Good 24 2" xfId="2474"/>
    <cellStyle name="Good 25" xfId="2475"/>
    <cellStyle name="Good 26" xfId="8866"/>
    <cellStyle name="Good 3" xfId="2476"/>
    <cellStyle name="Good 3 2" xfId="2477"/>
    <cellStyle name="Good 3 3" xfId="2478"/>
    <cellStyle name="Good 3 4" xfId="2479"/>
    <cellStyle name="Good 3 5" xfId="2480"/>
    <cellStyle name="Good 4" xfId="2481"/>
    <cellStyle name="Good 4 2" xfId="2482"/>
    <cellStyle name="Good 4 3" xfId="2483"/>
    <cellStyle name="Good 4 4" xfId="2484"/>
    <cellStyle name="Good 4 5" xfId="2485"/>
    <cellStyle name="Good 5" xfId="2486"/>
    <cellStyle name="Good 5 2" xfId="2487"/>
    <cellStyle name="Good 5 3" xfId="2488"/>
    <cellStyle name="Good 5 4" xfId="2489"/>
    <cellStyle name="Good 5 5" xfId="2490"/>
    <cellStyle name="Good 6" xfId="2491"/>
    <cellStyle name="Good 6 2" xfId="2492"/>
    <cellStyle name="Good 6 3" xfId="2493"/>
    <cellStyle name="Good 6 4" xfId="2494"/>
    <cellStyle name="Good 6 5" xfId="2495"/>
    <cellStyle name="Good 7" xfId="2496"/>
    <cellStyle name="Good 7 2" xfId="2497"/>
    <cellStyle name="Good 7 3" xfId="2498"/>
    <cellStyle name="Good 7 4" xfId="2499"/>
    <cellStyle name="Good 7 5" xfId="2500"/>
    <cellStyle name="Good 8" xfId="2501"/>
    <cellStyle name="Good 8 2" xfId="2502"/>
    <cellStyle name="Good 8 3" xfId="2503"/>
    <cellStyle name="Good 8 4" xfId="2504"/>
    <cellStyle name="Good 9" xfId="2505"/>
    <cellStyle name="Good 9 2" xfId="2506"/>
    <cellStyle name="Good 9 3" xfId="2507"/>
    <cellStyle name="Good 9 4" xfId="2508"/>
    <cellStyle name="Good 9 5" xfId="2509"/>
    <cellStyle name="Good 9 6" xfId="2510"/>
    <cellStyle name="Good 9 7" xfId="2511"/>
    <cellStyle name="Good 9 8" xfId="2512"/>
    <cellStyle name="Good 9 9" xfId="2513"/>
    <cellStyle name="Heading 1" xfId="13" builtinId="16" customBuiltin="1"/>
    <cellStyle name="Heading 1 10" xfId="2514"/>
    <cellStyle name="Heading 1 10 2" xfId="2515"/>
    <cellStyle name="Heading 1 10 3" xfId="2516"/>
    <cellStyle name="Heading 1 10 4" xfId="2517"/>
    <cellStyle name="Heading 1 10 5" xfId="2518"/>
    <cellStyle name="Heading 1 10 6" xfId="2519"/>
    <cellStyle name="Heading 1 10 7" xfId="2520"/>
    <cellStyle name="Heading 1 10 8" xfId="2521"/>
    <cellStyle name="Heading 1 11" xfId="2522"/>
    <cellStyle name="Heading 1 12" xfId="8937"/>
    <cellStyle name="Heading 1 2" xfId="2523"/>
    <cellStyle name="Heading 1 2 2" xfId="2524"/>
    <cellStyle name="Heading 1 2 2 2" xfId="2525"/>
    <cellStyle name="Heading 1 2 3" xfId="2526"/>
    <cellStyle name="Heading 1 2 3 2" xfId="2527"/>
    <cellStyle name="Heading 1 2 4" xfId="2528"/>
    <cellStyle name="Heading 1 2 4 2" xfId="2529"/>
    <cellStyle name="Heading 1 2 5" xfId="2530"/>
    <cellStyle name="Heading 1 2 6" xfId="8865"/>
    <cellStyle name="Heading 1 3" xfId="2531"/>
    <cellStyle name="Heading 1 3 2" xfId="2532"/>
    <cellStyle name="Heading 1 3 2 2" xfId="2533"/>
    <cellStyle name="Heading 1 3 3" xfId="2534"/>
    <cellStyle name="Heading 1 3 4" xfId="2535"/>
    <cellStyle name="Heading 1 3 5" xfId="2536"/>
    <cellStyle name="Heading 1 4" xfId="2537"/>
    <cellStyle name="Heading 1 4 2" xfId="2538"/>
    <cellStyle name="Heading 1 4 3" xfId="2539"/>
    <cellStyle name="Heading 1 4 4" xfId="2540"/>
    <cellStyle name="Heading 1 4 5" xfId="2541"/>
    <cellStyle name="Heading 1 5" xfId="2542"/>
    <cellStyle name="Heading 1 5 2" xfId="2543"/>
    <cellStyle name="Heading 1 5 3" xfId="2544"/>
    <cellStyle name="Heading 1 5 4" xfId="2545"/>
    <cellStyle name="Heading 1 6" xfId="2546"/>
    <cellStyle name="Heading 1 6 2" xfId="2547"/>
    <cellStyle name="Heading 1 6 3" xfId="2548"/>
    <cellStyle name="Heading 1 6 4" xfId="2549"/>
    <cellStyle name="Heading 1 7" xfId="2550"/>
    <cellStyle name="Heading 1 7 2" xfId="2551"/>
    <cellStyle name="Heading 1 7 3" xfId="2552"/>
    <cellStyle name="Heading 1 7 4" xfId="2553"/>
    <cellStyle name="Heading 1 8" xfId="2554"/>
    <cellStyle name="Heading 1 8 2" xfId="2555"/>
    <cellStyle name="Heading 1 8 3" xfId="2556"/>
    <cellStyle name="Heading 1 8 4" xfId="2557"/>
    <cellStyle name="Heading 1 8 5" xfId="2558"/>
    <cellStyle name="Heading 1 8 6" xfId="2559"/>
    <cellStyle name="Heading 1 8 7" xfId="2560"/>
    <cellStyle name="Heading 1 8 8" xfId="2561"/>
    <cellStyle name="Heading 1 9" xfId="2562"/>
    <cellStyle name="Heading 1 9 2" xfId="2563"/>
    <cellStyle name="Heading 1 9 3" xfId="2564"/>
    <cellStyle name="Heading 1 9 4" xfId="2565"/>
    <cellStyle name="Heading 1 9 5" xfId="2566"/>
    <cellStyle name="Heading 1 9 6" xfId="2567"/>
    <cellStyle name="Heading 1 9 7" xfId="2568"/>
    <cellStyle name="Heading 1 9 8" xfId="2569"/>
    <cellStyle name="Heading 2" xfId="14" builtinId="17" customBuiltin="1"/>
    <cellStyle name="Heading 2 10" xfId="2570"/>
    <cellStyle name="Heading 2 10 2" xfId="2571"/>
    <cellStyle name="Heading 2 10 3" xfId="2572"/>
    <cellStyle name="Heading 2 10 4" xfId="2573"/>
    <cellStyle name="Heading 2 10 5" xfId="2574"/>
    <cellStyle name="Heading 2 10 6" xfId="2575"/>
    <cellStyle name="Heading 2 10 7" xfId="2576"/>
    <cellStyle name="Heading 2 10 8" xfId="2577"/>
    <cellStyle name="Heading 2 10 9" xfId="2578"/>
    <cellStyle name="Heading 2 11" xfId="2579"/>
    <cellStyle name="Heading 2 11 2" xfId="2580"/>
    <cellStyle name="Heading 2 12" xfId="2581"/>
    <cellStyle name="Heading 2 13" xfId="2582"/>
    <cellStyle name="Heading 2 14" xfId="2583"/>
    <cellStyle name="Heading 2 15" xfId="2584"/>
    <cellStyle name="Heading 2 16" xfId="2585"/>
    <cellStyle name="Heading 2 17" xfId="2586"/>
    <cellStyle name="Heading 2 18" xfId="2587"/>
    <cellStyle name="Heading 2 19" xfId="2588"/>
    <cellStyle name="Heading 2 2" xfId="2589"/>
    <cellStyle name="Heading 2 2 2" xfId="2590"/>
    <cellStyle name="Heading 2 2 2 2" xfId="2591"/>
    <cellStyle name="Heading 2 2 3" xfId="2592"/>
    <cellStyle name="Heading 2 2 3 2" xfId="2593"/>
    <cellStyle name="Heading 2 2 4" xfId="2594"/>
    <cellStyle name="Heading 2 2 4 2" xfId="2595"/>
    <cellStyle name="Heading 2 2 5" xfId="2596"/>
    <cellStyle name="Heading 2 2 6" xfId="8983"/>
    <cellStyle name="Heading 2 20" xfId="2597"/>
    <cellStyle name="Heading 2 21" xfId="2598"/>
    <cellStyle name="Heading 2 22" xfId="2599"/>
    <cellStyle name="Heading 2 23" xfId="2600"/>
    <cellStyle name="Heading 2 24" xfId="2601"/>
    <cellStyle name="Heading 2 24 2" xfId="2602"/>
    <cellStyle name="Heading 2 25" xfId="2603"/>
    <cellStyle name="Heading 2 26" xfId="8294"/>
    <cellStyle name="Heading 2 27" xfId="8742"/>
    <cellStyle name="Heading 2 3" xfId="2604"/>
    <cellStyle name="Heading 2 3 2" xfId="2605"/>
    <cellStyle name="Heading 2 3 3" xfId="2606"/>
    <cellStyle name="Heading 2 3 4" xfId="2607"/>
    <cellStyle name="Heading 2 3 5" xfId="2608"/>
    <cellStyle name="Heading 2 4" xfId="2609"/>
    <cellStyle name="Heading 2 4 2" xfId="2610"/>
    <cellStyle name="Heading 2 4 3" xfId="2611"/>
    <cellStyle name="Heading 2 4 4" xfId="2612"/>
    <cellStyle name="Heading 2 4 5" xfId="2613"/>
    <cellStyle name="Heading 2 5" xfId="2614"/>
    <cellStyle name="Heading 2 5 2" xfId="2615"/>
    <cellStyle name="Heading 2 5 3" xfId="2616"/>
    <cellStyle name="Heading 2 5 4" xfId="2617"/>
    <cellStyle name="Heading 2 5 5" xfId="2618"/>
    <cellStyle name="Heading 2 6" xfId="2619"/>
    <cellStyle name="Heading 2 6 2" xfId="2620"/>
    <cellStyle name="Heading 2 6 3" xfId="2621"/>
    <cellStyle name="Heading 2 6 4" xfId="2622"/>
    <cellStyle name="Heading 2 6 5" xfId="2623"/>
    <cellStyle name="Heading 2 7" xfId="2624"/>
    <cellStyle name="Heading 2 7 2" xfId="2625"/>
    <cellStyle name="Heading 2 7 3" xfId="2626"/>
    <cellStyle name="Heading 2 7 4" xfId="2627"/>
    <cellStyle name="Heading 2 7 5" xfId="2628"/>
    <cellStyle name="Heading 2 8" xfId="2629"/>
    <cellStyle name="Heading 2 8 2" xfId="2630"/>
    <cellStyle name="Heading 2 8 3" xfId="2631"/>
    <cellStyle name="Heading 2 8 4" xfId="2632"/>
    <cellStyle name="Heading 2 8 5" xfId="2633"/>
    <cellStyle name="Heading 2 8 6" xfId="2634"/>
    <cellStyle name="Heading 2 8 7" xfId="2635"/>
    <cellStyle name="Heading 2 8 8" xfId="2636"/>
    <cellStyle name="Heading 2 8 9" xfId="2637"/>
    <cellStyle name="Heading 2 9" xfId="2638"/>
    <cellStyle name="Heading 2 9 2" xfId="2639"/>
    <cellStyle name="Heading 2 9 3" xfId="2640"/>
    <cellStyle name="Heading 2 9 4" xfId="2641"/>
    <cellStyle name="Heading 2 9 5" xfId="2642"/>
    <cellStyle name="Heading 2 9 6" xfId="2643"/>
    <cellStyle name="Heading 2 9 7" xfId="2644"/>
    <cellStyle name="Heading 2 9 8" xfId="2645"/>
    <cellStyle name="Heading 2 9 9" xfId="2646"/>
    <cellStyle name="Heading 3" xfId="8247" builtinId="18" customBuiltin="1"/>
    <cellStyle name="Heading 3 10" xfId="2647"/>
    <cellStyle name="Heading 3 10 2" xfId="2648"/>
    <cellStyle name="Heading 3 10 3" xfId="2649"/>
    <cellStyle name="Heading 3 10 4" xfId="2650"/>
    <cellStyle name="Heading 3 10 5" xfId="2651"/>
    <cellStyle name="Heading 3 10 6" xfId="2652"/>
    <cellStyle name="Heading 3 10 7" xfId="2653"/>
    <cellStyle name="Heading 3 10 8" xfId="2654"/>
    <cellStyle name="Heading 3 11" xfId="2655"/>
    <cellStyle name="Heading 3 11 2" xfId="2656"/>
    <cellStyle name="Heading 3 12" xfId="2657"/>
    <cellStyle name="Heading 3 13" xfId="2658"/>
    <cellStyle name="Heading 3 14" xfId="2659"/>
    <cellStyle name="Heading 3 15" xfId="2660"/>
    <cellStyle name="Heading 3 16" xfId="2661"/>
    <cellStyle name="Heading 3 17" xfId="2662"/>
    <cellStyle name="Heading 3 18" xfId="2663"/>
    <cellStyle name="Heading 3 19" xfId="2664"/>
    <cellStyle name="Heading 3 2" xfId="2665"/>
    <cellStyle name="Heading 3 2 10" xfId="2666"/>
    <cellStyle name="Heading 3 2 11" xfId="8916"/>
    <cellStyle name="Heading 3 2 2" xfId="2667"/>
    <cellStyle name="Heading 3 2 2 2" xfId="2668"/>
    <cellStyle name="Heading 3 2 2 3" xfId="2669"/>
    <cellStyle name="Heading 3 2 2 4" xfId="2670"/>
    <cellStyle name="Heading 3 2 2 5" xfId="2671"/>
    <cellStyle name="Heading 3 2 2 6" xfId="2672"/>
    <cellStyle name="Heading 3 2 2 7" xfId="2673"/>
    <cellStyle name="Heading 3 2 2 8" xfId="2674"/>
    <cellStyle name="Heading 3 2 3" xfId="2675"/>
    <cellStyle name="Heading 3 2 4" xfId="2676"/>
    <cellStyle name="Heading 3 2 4 2" xfId="2677"/>
    <cellStyle name="Heading 3 2 5" xfId="2678"/>
    <cellStyle name="Heading 3 2 6" xfId="2679"/>
    <cellStyle name="Heading 3 2 7" xfId="2680"/>
    <cellStyle name="Heading 3 2 8" xfId="2681"/>
    <cellStyle name="Heading 3 2 9" xfId="2682"/>
    <cellStyle name="Heading 3 20" xfId="2683"/>
    <cellStyle name="Heading 3 21" xfId="2684"/>
    <cellStyle name="Heading 3 22" xfId="2685"/>
    <cellStyle name="Heading 3 23" xfId="2686"/>
    <cellStyle name="Heading 3 24" xfId="2687"/>
    <cellStyle name="Heading 3 24 2" xfId="2688"/>
    <cellStyle name="Heading 3 25" xfId="2689"/>
    <cellStyle name="Heading 3 26" xfId="8995"/>
    <cellStyle name="Heading 3 3" xfId="2690"/>
    <cellStyle name="Heading 3 3 2" xfId="2691"/>
    <cellStyle name="Heading 3 3 2 2" xfId="2692"/>
    <cellStyle name="Heading 3 3 2 3" xfId="2693"/>
    <cellStyle name="Heading 3 3 2 4" xfId="2694"/>
    <cellStyle name="Heading 3 3 2 5" xfId="2695"/>
    <cellStyle name="Heading 3 3 2 6" xfId="2696"/>
    <cellStyle name="Heading 3 3 2 7" xfId="2697"/>
    <cellStyle name="Heading 3 3 2 8" xfId="2698"/>
    <cellStyle name="Heading 3 3 3" xfId="2699"/>
    <cellStyle name="Heading 3 3 4" xfId="2700"/>
    <cellStyle name="Heading 3 3 5" xfId="2701"/>
    <cellStyle name="Heading 3 3 6" xfId="2702"/>
    <cellStyle name="Heading 3 3 7" xfId="2703"/>
    <cellStyle name="Heading 3 3 8" xfId="2704"/>
    <cellStyle name="Heading 3 3 9" xfId="2705"/>
    <cellStyle name="Heading 3 4" xfId="2706"/>
    <cellStyle name="Heading 3 4 2" xfId="2707"/>
    <cellStyle name="Heading 3 4 2 2" xfId="2708"/>
    <cellStyle name="Heading 3 4 2 3" xfId="2709"/>
    <cellStyle name="Heading 3 4 2 4" xfId="2710"/>
    <cellStyle name="Heading 3 4 2 5" xfId="2711"/>
    <cellStyle name="Heading 3 4 2 6" xfId="2712"/>
    <cellStyle name="Heading 3 4 2 7" xfId="2713"/>
    <cellStyle name="Heading 3 4 2 8" xfId="2714"/>
    <cellStyle name="Heading 3 4 3" xfId="2715"/>
    <cellStyle name="Heading 3 4 4" xfId="2716"/>
    <cellStyle name="Heading 3 4 5" xfId="2717"/>
    <cellStyle name="Heading 3 4 6" xfId="2718"/>
    <cellStyle name="Heading 3 4 7" xfId="2719"/>
    <cellStyle name="Heading 3 4 8" xfId="2720"/>
    <cellStyle name="Heading 3 4 9" xfId="2721"/>
    <cellStyle name="Heading 3 5" xfId="2722"/>
    <cellStyle name="Heading 3 5 2" xfId="2723"/>
    <cellStyle name="Heading 3 5 2 2" xfId="2724"/>
    <cellStyle name="Heading 3 5 2 3" xfId="2725"/>
    <cellStyle name="Heading 3 5 2 4" xfId="2726"/>
    <cellStyle name="Heading 3 5 2 5" xfId="2727"/>
    <cellStyle name="Heading 3 5 2 6" xfId="2728"/>
    <cellStyle name="Heading 3 5 2 7" xfId="2729"/>
    <cellStyle name="Heading 3 5 2 8" xfId="2730"/>
    <cellStyle name="Heading 3 5 3" xfId="2731"/>
    <cellStyle name="Heading 3 5 4" xfId="2732"/>
    <cellStyle name="Heading 3 5 5" xfId="2733"/>
    <cellStyle name="Heading 3 5 6" xfId="2734"/>
    <cellStyle name="Heading 3 5 7" xfId="2735"/>
    <cellStyle name="Heading 3 5 8" xfId="2736"/>
    <cellStyle name="Heading 3 5 9" xfId="2737"/>
    <cellStyle name="Heading 3 6" xfId="2738"/>
    <cellStyle name="Heading 3 6 2" xfId="2739"/>
    <cellStyle name="Heading 3 6 2 2" xfId="2740"/>
    <cellStyle name="Heading 3 6 2 3" xfId="2741"/>
    <cellStyle name="Heading 3 6 2 4" xfId="2742"/>
    <cellStyle name="Heading 3 6 2 5" xfId="2743"/>
    <cellStyle name="Heading 3 6 2 6" xfId="2744"/>
    <cellStyle name="Heading 3 6 2 7" xfId="2745"/>
    <cellStyle name="Heading 3 6 2 8" xfId="2746"/>
    <cellStyle name="Heading 3 6 3" xfId="2747"/>
    <cellStyle name="Heading 3 6 4" xfId="2748"/>
    <cellStyle name="Heading 3 6 5" xfId="2749"/>
    <cellStyle name="Heading 3 6 6" xfId="2750"/>
    <cellStyle name="Heading 3 6 7" xfId="2751"/>
    <cellStyle name="Heading 3 6 8" xfId="2752"/>
    <cellStyle name="Heading 3 6 9" xfId="2753"/>
    <cellStyle name="Heading 3 7" xfId="2754"/>
    <cellStyle name="Heading 3 7 2" xfId="2755"/>
    <cellStyle name="Heading 3 7 2 2" xfId="2756"/>
    <cellStyle name="Heading 3 7 2 3" xfId="2757"/>
    <cellStyle name="Heading 3 7 2 4" xfId="2758"/>
    <cellStyle name="Heading 3 7 2 5" xfId="2759"/>
    <cellStyle name="Heading 3 7 2 6" xfId="2760"/>
    <cellStyle name="Heading 3 7 2 7" xfId="2761"/>
    <cellStyle name="Heading 3 7 2 8" xfId="2762"/>
    <cellStyle name="Heading 3 7 3" xfId="2763"/>
    <cellStyle name="Heading 3 7 4" xfId="2764"/>
    <cellStyle name="Heading 3 7 5" xfId="2765"/>
    <cellStyle name="Heading 3 7 6" xfId="2766"/>
    <cellStyle name="Heading 3 7 7" xfId="2767"/>
    <cellStyle name="Heading 3 7 8" xfId="2768"/>
    <cellStyle name="Heading 3 7 9" xfId="2769"/>
    <cellStyle name="Heading 3 8" xfId="2770"/>
    <cellStyle name="Heading 3 8 2" xfId="2771"/>
    <cellStyle name="Heading 3 8 3" xfId="2772"/>
    <cellStyle name="Heading 3 8 4" xfId="2773"/>
    <cellStyle name="Heading 3 8 5" xfId="2774"/>
    <cellStyle name="Heading 3 8 6" xfId="2775"/>
    <cellStyle name="Heading 3 8 7" xfId="2776"/>
    <cellStyle name="Heading 3 8 8" xfId="2777"/>
    <cellStyle name="Heading 3 9" xfId="2778"/>
    <cellStyle name="Heading 3 9 2" xfId="2779"/>
    <cellStyle name="Heading 3 9 3" xfId="2780"/>
    <cellStyle name="Heading 3 9 4" xfId="2781"/>
    <cellStyle name="Heading 3 9 5" xfId="2782"/>
    <cellStyle name="Heading 3 9 6" xfId="2783"/>
    <cellStyle name="Heading 3 9 7" xfId="2784"/>
    <cellStyle name="Heading 3 9 8" xfId="2785"/>
    <cellStyle name="Heading 4" xfId="8248" builtinId="19" customBuiltin="1"/>
    <cellStyle name="Heading 4 10" xfId="2786"/>
    <cellStyle name="Heading 4 10 2" xfId="2787"/>
    <cellStyle name="Heading 4 10 3" xfId="2788"/>
    <cellStyle name="Heading 4 10 4" xfId="2789"/>
    <cellStyle name="Heading 4 10 5" xfId="2790"/>
    <cellStyle name="Heading 4 10 6" xfId="2791"/>
    <cellStyle name="Heading 4 10 7" xfId="2792"/>
    <cellStyle name="Heading 4 10 8" xfId="2793"/>
    <cellStyle name="Heading 4 11" xfId="2794"/>
    <cellStyle name="Heading 4 12" xfId="8854"/>
    <cellStyle name="Heading 4 2" xfId="2795"/>
    <cellStyle name="Heading 4 2 10" xfId="8811"/>
    <cellStyle name="Heading 4 2 2" xfId="2796"/>
    <cellStyle name="Heading 4 2 2 2" xfId="2797"/>
    <cellStyle name="Heading 4 2 2 3" xfId="2798"/>
    <cellStyle name="Heading 4 2 2 4" xfId="2799"/>
    <cellStyle name="Heading 4 2 2 5" xfId="2800"/>
    <cellStyle name="Heading 4 2 2 6" xfId="2801"/>
    <cellStyle name="Heading 4 2 2 7" xfId="2802"/>
    <cellStyle name="Heading 4 2 2 8" xfId="2803"/>
    <cellStyle name="Heading 4 2 3" xfId="2804"/>
    <cellStyle name="Heading 4 2 4" xfId="2805"/>
    <cellStyle name="Heading 4 2 5" xfId="2806"/>
    <cellStyle name="Heading 4 2 6" xfId="2807"/>
    <cellStyle name="Heading 4 2 7" xfId="2808"/>
    <cellStyle name="Heading 4 2 8" xfId="2809"/>
    <cellStyle name="Heading 4 2 9" xfId="2810"/>
    <cellStyle name="Heading 4 3" xfId="2811"/>
    <cellStyle name="Heading 4 3 2" xfId="2812"/>
    <cellStyle name="Heading 4 3 2 2" xfId="2813"/>
    <cellStyle name="Heading 4 3 2 3" xfId="2814"/>
    <cellStyle name="Heading 4 3 2 4" xfId="2815"/>
    <cellStyle name="Heading 4 3 2 5" xfId="2816"/>
    <cellStyle name="Heading 4 3 2 6" xfId="2817"/>
    <cellStyle name="Heading 4 3 2 7" xfId="2818"/>
    <cellStyle name="Heading 4 3 2 8" xfId="2819"/>
    <cellStyle name="Heading 4 3 3" xfId="2820"/>
    <cellStyle name="Heading 4 3 4" xfId="2821"/>
    <cellStyle name="Heading 4 3 5" xfId="2822"/>
    <cellStyle name="Heading 4 3 6" xfId="2823"/>
    <cellStyle name="Heading 4 3 7" xfId="2824"/>
    <cellStyle name="Heading 4 3 8" xfId="2825"/>
    <cellStyle name="Heading 4 3 9" xfId="2826"/>
    <cellStyle name="Heading 4 4" xfId="2827"/>
    <cellStyle name="Heading 4 4 2" xfId="2828"/>
    <cellStyle name="Heading 4 4 2 2" xfId="2829"/>
    <cellStyle name="Heading 4 4 2 3" xfId="2830"/>
    <cellStyle name="Heading 4 4 2 4" xfId="2831"/>
    <cellStyle name="Heading 4 4 2 5" xfId="2832"/>
    <cellStyle name="Heading 4 4 2 6" xfId="2833"/>
    <cellStyle name="Heading 4 4 2 7" xfId="2834"/>
    <cellStyle name="Heading 4 4 2 8" xfId="2835"/>
    <cellStyle name="Heading 4 4 3" xfId="2836"/>
    <cellStyle name="Heading 4 4 4" xfId="2837"/>
    <cellStyle name="Heading 4 4 5" xfId="2838"/>
    <cellStyle name="Heading 4 4 6" xfId="2839"/>
    <cellStyle name="Heading 4 4 7" xfId="2840"/>
    <cellStyle name="Heading 4 4 8" xfId="2841"/>
    <cellStyle name="Heading 4 4 9" xfId="2842"/>
    <cellStyle name="Heading 4 5" xfId="2843"/>
    <cellStyle name="Heading 4 5 2" xfId="2844"/>
    <cellStyle name="Heading 4 5 2 2" xfId="2845"/>
    <cellStyle name="Heading 4 5 2 3" xfId="2846"/>
    <cellStyle name="Heading 4 5 2 4" xfId="2847"/>
    <cellStyle name="Heading 4 5 2 5" xfId="2848"/>
    <cellStyle name="Heading 4 5 2 6" xfId="2849"/>
    <cellStyle name="Heading 4 5 2 7" xfId="2850"/>
    <cellStyle name="Heading 4 5 2 8" xfId="2851"/>
    <cellStyle name="Heading 4 5 3" xfId="2852"/>
    <cellStyle name="Heading 4 5 4" xfId="2853"/>
    <cellStyle name="Heading 4 5 5" xfId="2854"/>
    <cellStyle name="Heading 4 5 6" xfId="2855"/>
    <cellStyle name="Heading 4 5 7" xfId="2856"/>
    <cellStyle name="Heading 4 5 8" xfId="2857"/>
    <cellStyle name="Heading 4 5 9" xfId="2858"/>
    <cellStyle name="Heading 4 6" xfId="2859"/>
    <cellStyle name="Heading 4 6 2" xfId="2860"/>
    <cellStyle name="Heading 4 6 2 2" xfId="2861"/>
    <cellStyle name="Heading 4 6 2 3" xfId="2862"/>
    <cellStyle name="Heading 4 6 2 4" xfId="2863"/>
    <cellStyle name="Heading 4 6 2 5" xfId="2864"/>
    <cellStyle name="Heading 4 6 2 6" xfId="2865"/>
    <cellStyle name="Heading 4 6 2 7" xfId="2866"/>
    <cellStyle name="Heading 4 6 2 8" xfId="2867"/>
    <cellStyle name="Heading 4 6 3" xfId="2868"/>
    <cellStyle name="Heading 4 6 4" xfId="2869"/>
    <cellStyle name="Heading 4 6 5" xfId="2870"/>
    <cellStyle name="Heading 4 6 6" xfId="2871"/>
    <cellStyle name="Heading 4 6 7" xfId="2872"/>
    <cellStyle name="Heading 4 6 8" xfId="2873"/>
    <cellStyle name="Heading 4 6 9" xfId="2874"/>
    <cellStyle name="Heading 4 7" xfId="2875"/>
    <cellStyle name="Heading 4 7 2" xfId="2876"/>
    <cellStyle name="Heading 4 7 2 2" xfId="2877"/>
    <cellStyle name="Heading 4 7 2 3" xfId="2878"/>
    <cellStyle name="Heading 4 7 2 4" xfId="2879"/>
    <cellStyle name="Heading 4 7 2 5" xfId="2880"/>
    <cellStyle name="Heading 4 7 2 6" xfId="2881"/>
    <cellStyle name="Heading 4 7 2 7" xfId="2882"/>
    <cellStyle name="Heading 4 7 2 8" xfId="2883"/>
    <cellStyle name="Heading 4 7 3" xfId="2884"/>
    <cellStyle name="Heading 4 7 4" xfId="2885"/>
    <cellStyle name="Heading 4 7 5" xfId="2886"/>
    <cellStyle name="Heading 4 7 6" xfId="2887"/>
    <cellStyle name="Heading 4 7 7" xfId="2888"/>
    <cellStyle name="Heading 4 7 8" xfId="2889"/>
    <cellStyle name="Heading 4 7 9" xfId="2890"/>
    <cellStyle name="Heading 4 8" xfId="2891"/>
    <cellStyle name="Heading 4 8 2" xfId="2892"/>
    <cellStyle name="Heading 4 8 3" xfId="2893"/>
    <cellStyle name="Heading 4 8 4" xfId="2894"/>
    <cellStyle name="Heading 4 8 5" xfId="2895"/>
    <cellStyle name="Heading 4 8 6" xfId="2896"/>
    <cellStyle name="Heading 4 8 7" xfId="2897"/>
    <cellStyle name="Heading 4 8 8" xfId="2898"/>
    <cellStyle name="Heading 4 9" xfId="2899"/>
    <cellStyle name="Heading 4 9 2" xfId="2900"/>
    <cellStyle name="Heading 4 9 3" xfId="2901"/>
    <cellStyle name="Heading 4 9 4" xfId="2902"/>
    <cellStyle name="Heading 4 9 5" xfId="2903"/>
    <cellStyle name="Heading 4 9 6" xfId="2904"/>
    <cellStyle name="Heading 4 9 7" xfId="2905"/>
    <cellStyle name="Heading 4 9 8" xfId="2906"/>
    <cellStyle name="Heading1" xfId="2907"/>
    <cellStyle name="Heading2" xfId="2908"/>
    <cellStyle name="hidden" xfId="15"/>
    <cellStyle name="hidden 2" xfId="8295"/>
    <cellStyle name="hidden 3" xfId="8853"/>
    <cellStyle name="hide" xfId="16"/>
    <cellStyle name="hide 2" xfId="8296"/>
    <cellStyle name="hide 3" xfId="8756"/>
    <cellStyle name="Input" xfId="8252" builtinId="20" customBuiltin="1"/>
    <cellStyle name="Input 10" xfId="2909"/>
    <cellStyle name="Input 10 2" xfId="2910"/>
    <cellStyle name="Input 10 3" xfId="2911"/>
    <cellStyle name="Input 10 4" xfId="2912"/>
    <cellStyle name="Input 10 5" xfId="2913"/>
    <cellStyle name="Input 10 6" xfId="2914"/>
    <cellStyle name="Input 10 7" xfId="2915"/>
    <cellStyle name="Input 10 8" xfId="2916"/>
    <cellStyle name="Input 10 9" xfId="2917"/>
    <cellStyle name="Input 11" xfId="2918"/>
    <cellStyle name="Input 11 2" xfId="2919"/>
    <cellStyle name="Input 11 3" xfId="2920"/>
    <cellStyle name="Input 11 4" xfId="2921"/>
    <cellStyle name="Input 11 5" xfId="2922"/>
    <cellStyle name="Input 11 6" xfId="2923"/>
    <cellStyle name="Input 11 7" xfId="2924"/>
    <cellStyle name="Input 11 8" xfId="2925"/>
    <cellStyle name="Input 11 9" xfId="2926"/>
    <cellStyle name="Input 12" xfId="2927"/>
    <cellStyle name="Input 12 2" xfId="2928"/>
    <cellStyle name="Input 13" xfId="2929"/>
    <cellStyle name="Input 14" xfId="2930"/>
    <cellStyle name="Input 15" xfId="2931"/>
    <cellStyle name="Input 16" xfId="2932"/>
    <cellStyle name="Input 17" xfId="2933"/>
    <cellStyle name="Input 18" xfId="2934"/>
    <cellStyle name="Input 19" xfId="2935"/>
    <cellStyle name="Input 2" xfId="2936"/>
    <cellStyle name="Input 2 2" xfId="2937"/>
    <cellStyle name="Input 2 2 2" xfId="2938"/>
    <cellStyle name="Input 2 3" xfId="2939"/>
    <cellStyle name="Input 2 3 2" xfId="2940"/>
    <cellStyle name="Input 2 4" xfId="2941"/>
    <cellStyle name="Input 2 4 2" xfId="2942"/>
    <cellStyle name="Input 2 5" xfId="2943"/>
    <cellStyle name="Input 2 6" xfId="8901"/>
    <cellStyle name="Input 20" xfId="2944"/>
    <cellStyle name="Input 21" xfId="2945"/>
    <cellStyle name="Input 22" xfId="2946"/>
    <cellStyle name="Input 23" xfId="2947"/>
    <cellStyle name="Input 24" xfId="2948"/>
    <cellStyle name="Input 24 2" xfId="2949"/>
    <cellStyle name="Input 25" xfId="2950"/>
    <cellStyle name="Input 26" xfId="8921"/>
    <cellStyle name="Input 3" xfId="2951"/>
    <cellStyle name="Input 3 2" xfId="2952"/>
    <cellStyle name="Input 3 3" xfId="2953"/>
    <cellStyle name="Input 3 4" xfId="2954"/>
    <cellStyle name="Input 3 5" xfId="2955"/>
    <cellStyle name="Input 4" xfId="2956"/>
    <cellStyle name="Input 4 2" xfId="2957"/>
    <cellStyle name="Input 4 3" xfId="2958"/>
    <cellStyle name="Input 4 4" xfId="2959"/>
    <cellStyle name="Input 4 5" xfId="2960"/>
    <cellStyle name="Input 5" xfId="2961"/>
    <cellStyle name="Input 5 2" xfId="2962"/>
    <cellStyle name="Input 5 3" xfId="2963"/>
    <cellStyle name="Input 5 4" xfId="2964"/>
    <cellStyle name="Input 5 5" xfId="2965"/>
    <cellStyle name="Input 6" xfId="2966"/>
    <cellStyle name="Input 6 2" xfId="2967"/>
    <cellStyle name="Input 6 3" xfId="2968"/>
    <cellStyle name="Input 6 4" xfId="2969"/>
    <cellStyle name="Input 6 5" xfId="2970"/>
    <cellStyle name="Input 7" xfId="2971"/>
    <cellStyle name="Input 7 2" xfId="2972"/>
    <cellStyle name="Input 7 3" xfId="2973"/>
    <cellStyle name="Input 7 4" xfId="2974"/>
    <cellStyle name="Input 7 5" xfId="2975"/>
    <cellStyle name="Input 8" xfId="2976"/>
    <cellStyle name="Input 8 2" xfId="2977"/>
    <cellStyle name="Input 8 3" xfId="2978"/>
    <cellStyle name="Input 8 4" xfId="2979"/>
    <cellStyle name="Input 9" xfId="2980"/>
    <cellStyle name="Input 9 2" xfId="2981"/>
    <cellStyle name="Input 9 3" xfId="2982"/>
    <cellStyle name="Input 9 4" xfId="2983"/>
    <cellStyle name="Input 9 5" xfId="2984"/>
    <cellStyle name="Input 9 6" xfId="2985"/>
    <cellStyle name="Input 9 7" xfId="2986"/>
    <cellStyle name="Input 9 8" xfId="2987"/>
    <cellStyle name="Input 9 9" xfId="2988"/>
    <cellStyle name="Linked Cell" xfId="8255" builtinId="24" customBuiltin="1"/>
    <cellStyle name="Linked Cell 10" xfId="2989"/>
    <cellStyle name="Linked Cell 10 2" xfId="2990"/>
    <cellStyle name="Linked Cell 10 3" xfId="2991"/>
    <cellStyle name="Linked Cell 10 4" xfId="2992"/>
    <cellStyle name="Linked Cell 10 5" xfId="2993"/>
    <cellStyle name="Linked Cell 10 6" xfId="2994"/>
    <cellStyle name="Linked Cell 10 7" xfId="2995"/>
    <cellStyle name="Linked Cell 10 8" xfId="2996"/>
    <cellStyle name="Linked Cell 11" xfId="2997"/>
    <cellStyle name="Linked Cell 11 2" xfId="2998"/>
    <cellStyle name="Linked Cell 12" xfId="2999"/>
    <cellStyle name="Linked Cell 13" xfId="3000"/>
    <cellStyle name="Linked Cell 14" xfId="3001"/>
    <cellStyle name="Linked Cell 15" xfId="3002"/>
    <cellStyle name="Linked Cell 16" xfId="3003"/>
    <cellStyle name="Linked Cell 17" xfId="3004"/>
    <cellStyle name="Linked Cell 18" xfId="3005"/>
    <cellStyle name="Linked Cell 19" xfId="3006"/>
    <cellStyle name="Linked Cell 2" xfId="3007"/>
    <cellStyle name="Linked Cell 2 10" xfId="3008"/>
    <cellStyle name="Linked Cell 2 11" xfId="8903"/>
    <cellStyle name="Linked Cell 2 2" xfId="3009"/>
    <cellStyle name="Linked Cell 2 2 2" xfId="3010"/>
    <cellStyle name="Linked Cell 2 2 3" xfId="3011"/>
    <cellStyle name="Linked Cell 2 2 4" xfId="3012"/>
    <cellStyle name="Linked Cell 2 2 5" xfId="3013"/>
    <cellStyle name="Linked Cell 2 2 6" xfId="3014"/>
    <cellStyle name="Linked Cell 2 2 7" xfId="3015"/>
    <cellStyle name="Linked Cell 2 2 8" xfId="3016"/>
    <cellStyle name="Linked Cell 2 3" xfId="3017"/>
    <cellStyle name="Linked Cell 2 4" xfId="3018"/>
    <cellStyle name="Linked Cell 2 4 2" xfId="3019"/>
    <cellStyle name="Linked Cell 2 5" xfId="3020"/>
    <cellStyle name="Linked Cell 2 6" xfId="3021"/>
    <cellStyle name="Linked Cell 2 7" xfId="3022"/>
    <cellStyle name="Linked Cell 2 8" xfId="3023"/>
    <cellStyle name="Linked Cell 2 9" xfId="3024"/>
    <cellStyle name="Linked Cell 20" xfId="3025"/>
    <cellStyle name="Linked Cell 21" xfId="3026"/>
    <cellStyle name="Linked Cell 22" xfId="3027"/>
    <cellStyle name="Linked Cell 23" xfId="3028"/>
    <cellStyle name="Linked Cell 24" xfId="3029"/>
    <cellStyle name="Linked Cell 24 2" xfId="3030"/>
    <cellStyle name="Linked Cell 25" xfId="3031"/>
    <cellStyle name="Linked Cell 26" xfId="8923"/>
    <cellStyle name="Linked Cell 3" xfId="3032"/>
    <cellStyle name="Linked Cell 3 2" xfId="3033"/>
    <cellStyle name="Linked Cell 3 2 2" xfId="3034"/>
    <cellStyle name="Linked Cell 3 2 3" xfId="3035"/>
    <cellStyle name="Linked Cell 3 2 4" xfId="3036"/>
    <cellStyle name="Linked Cell 3 2 5" xfId="3037"/>
    <cellStyle name="Linked Cell 3 2 6" xfId="3038"/>
    <cellStyle name="Linked Cell 3 2 7" xfId="3039"/>
    <cellStyle name="Linked Cell 3 2 8" xfId="3040"/>
    <cellStyle name="Linked Cell 3 3" xfId="3041"/>
    <cellStyle name="Linked Cell 3 4" xfId="3042"/>
    <cellStyle name="Linked Cell 3 5" xfId="3043"/>
    <cellStyle name="Linked Cell 3 6" xfId="3044"/>
    <cellStyle name="Linked Cell 3 7" xfId="3045"/>
    <cellStyle name="Linked Cell 3 8" xfId="3046"/>
    <cellStyle name="Linked Cell 3 9" xfId="3047"/>
    <cellStyle name="Linked Cell 4" xfId="3048"/>
    <cellStyle name="Linked Cell 4 2" xfId="3049"/>
    <cellStyle name="Linked Cell 4 2 2" xfId="3050"/>
    <cellStyle name="Linked Cell 4 2 3" xfId="3051"/>
    <cellStyle name="Linked Cell 4 2 4" xfId="3052"/>
    <cellStyle name="Linked Cell 4 2 5" xfId="3053"/>
    <cellStyle name="Linked Cell 4 2 6" xfId="3054"/>
    <cellStyle name="Linked Cell 4 2 7" xfId="3055"/>
    <cellStyle name="Linked Cell 4 2 8" xfId="3056"/>
    <cellStyle name="Linked Cell 4 3" xfId="3057"/>
    <cellStyle name="Linked Cell 4 4" xfId="3058"/>
    <cellStyle name="Linked Cell 4 5" xfId="3059"/>
    <cellStyle name="Linked Cell 4 6" xfId="3060"/>
    <cellStyle name="Linked Cell 4 7" xfId="3061"/>
    <cellStyle name="Linked Cell 4 8" xfId="3062"/>
    <cellStyle name="Linked Cell 4 9" xfId="3063"/>
    <cellStyle name="Linked Cell 5" xfId="3064"/>
    <cellStyle name="Linked Cell 5 2" xfId="3065"/>
    <cellStyle name="Linked Cell 5 2 2" xfId="3066"/>
    <cellStyle name="Linked Cell 5 2 3" xfId="3067"/>
    <cellStyle name="Linked Cell 5 2 4" xfId="3068"/>
    <cellStyle name="Linked Cell 5 2 5" xfId="3069"/>
    <cellStyle name="Linked Cell 5 2 6" xfId="3070"/>
    <cellStyle name="Linked Cell 5 2 7" xfId="3071"/>
    <cellStyle name="Linked Cell 5 2 8" xfId="3072"/>
    <cellStyle name="Linked Cell 5 3" xfId="3073"/>
    <cellStyle name="Linked Cell 5 4" xfId="3074"/>
    <cellStyle name="Linked Cell 5 5" xfId="3075"/>
    <cellStyle name="Linked Cell 5 6" xfId="3076"/>
    <cellStyle name="Linked Cell 5 7" xfId="3077"/>
    <cellStyle name="Linked Cell 5 8" xfId="3078"/>
    <cellStyle name="Linked Cell 5 9" xfId="3079"/>
    <cellStyle name="Linked Cell 6" xfId="3080"/>
    <cellStyle name="Linked Cell 6 2" xfId="3081"/>
    <cellStyle name="Linked Cell 6 2 2" xfId="3082"/>
    <cellStyle name="Linked Cell 6 2 3" xfId="3083"/>
    <cellStyle name="Linked Cell 6 2 4" xfId="3084"/>
    <cellStyle name="Linked Cell 6 2 5" xfId="3085"/>
    <cellStyle name="Linked Cell 6 2 6" xfId="3086"/>
    <cellStyle name="Linked Cell 6 2 7" xfId="3087"/>
    <cellStyle name="Linked Cell 6 2 8" xfId="3088"/>
    <cellStyle name="Linked Cell 6 3" xfId="3089"/>
    <cellStyle name="Linked Cell 6 4" xfId="3090"/>
    <cellStyle name="Linked Cell 6 5" xfId="3091"/>
    <cellStyle name="Linked Cell 6 6" xfId="3092"/>
    <cellStyle name="Linked Cell 6 7" xfId="3093"/>
    <cellStyle name="Linked Cell 6 8" xfId="3094"/>
    <cellStyle name="Linked Cell 6 9" xfId="3095"/>
    <cellStyle name="Linked Cell 7" xfId="3096"/>
    <cellStyle name="Linked Cell 7 2" xfId="3097"/>
    <cellStyle name="Linked Cell 7 2 2" xfId="3098"/>
    <cellStyle name="Linked Cell 7 2 3" xfId="3099"/>
    <cellStyle name="Linked Cell 7 2 4" xfId="3100"/>
    <cellStyle name="Linked Cell 7 2 5" xfId="3101"/>
    <cellStyle name="Linked Cell 7 2 6" xfId="3102"/>
    <cellStyle name="Linked Cell 7 2 7" xfId="3103"/>
    <cellStyle name="Linked Cell 7 2 8" xfId="3104"/>
    <cellStyle name="Linked Cell 7 3" xfId="3105"/>
    <cellStyle name="Linked Cell 7 4" xfId="3106"/>
    <cellStyle name="Linked Cell 7 5" xfId="3107"/>
    <cellStyle name="Linked Cell 7 6" xfId="3108"/>
    <cellStyle name="Linked Cell 7 7" xfId="3109"/>
    <cellStyle name="Linked Cell 7 8" xfId="3110"/>
    <cellStyle name="Linked Cell 7 9" xfId="3111"/>
    <cellStyle name="Linked Cell 8" xfId="3112"/>
    <cellStyle name="Linked Cell 8 2" xfId="3113"/>
    <cellStyle name="Linked Cell 8 3" xfId="3114"/>
    <cellStyle name="Linked Cell 8 4" xfId="3115"/>
    <cellStyle name="Linked Cell 8 5" xfId="3116"/>
    <cellStyle name="Linked Cell 8 6" xfId="3117"/>
    <cellStyle name="Linked Cell 8 7" xfId="3118"/>
    <cellStyle name="Linked Cell 8 8" xfId="3119"/>
    <cellStyle name="Linked Cell 9" xfId="3120"/>
    <cellStyle name="Linked Cell 9 2" xfId="3121"/>
    <cellStyle name="Linked Cell 9 3" xfId="3122"/>
    <cellStyle name="Linked Cell 9 4" xfId="3123"/>
    <cellStyle name="Linked Cell 9 5" xfId="3124"/>
    <cellStyle name="Linked Cell 9 6" xfId="3125"/>
    <cellStyle name="Linked Cell 9 7" xfId="3126"/>
    <cellStyle name="Linked Cell 9 8" xfId="3127"/>
    <cellStyle name="Neutral" xfId="8251" builtinId="28" customBuiltin="1"/>
    <cellStyle name="Neutral 10" xfId="3128"/>
    <cellStyle name="Neutral 10 2" xfId="3129"/>
    <cellStyle name="Neutral 10 3" xfId="3130"/>
    <cellStyle name="Neutral 10 4" xfId="3131"/>
    <cellStyle name="Neutral 10 5" xfId="3132"/>
    <cellStyle name="Neutral 10 6" xfId="3133"/>
    <cellStyle name="Neutral 10 7" xfId="3134"/>
    <cellStyle name="Neutral 10 8" xfId="3135"/>
    <cellStyle name="Neutral 10 9" xfId="3136"/>
    <cellStyle name="Neutral 11" xfId="3137"/>
    <cellStyle name="Neutral 11 2" xfId="3138"/>
    <cellStyle name="Neutral 11 3" xfId="3139"/>
    <cellStyle name="Neutral 11 4" xfId="3140"/>
    <cellStyle name="Neutral 11 5" xfId="3141"/>
    <cellStyle name="Neutral 11 6" xfId="3142"/>
    <cellStyle name="Neutral 11 7" xfId="3143"/>
    <cellStyle name="Neutral 11 8" xfId="3144"/>
    <cellStyle name="Neutral 11 9" xfId="3145"/>
    <cellStyle name="Neutral 12" xfId="3146"/>
    <cellStyle name="Neutral 12 2" xfId="3147"/>
    <cellStyle name="Neutral 13" xfId="3148"/>
    <cellStyle name="Neutral 14" xfId="3149"/>
    <cellStyle name="Neutral 15" xfId="3150"/>
    <cellStyle name="Neutral 16" xfId="3151"/>
    <cellStyle name="Neutral 17" xfId="3152"/>
    <cellStyle name="Neutral 18" xfId="3153"/>
    <cellStyle name="Neutral 19" xfId="3154"/>
    <cellStyle name="Neutral 2" xfId="29"/>
    <cellStyle name="Neutral 2 10" xfId="3155"/>
    <cellStyle name="Neutral 2 11" xfId="8900"/>
    <cellStyle name="Neutral 2 2" xfId="3156"/>
    <cellStyle name="Neutral 2 2 2" xfId="3157"/>
    <cellStyle name="Neutral 2 2 2 2" xfId="3158"/>
    <cellStyle name="Neutral 2 2 2 3" xfId="3159"/>
    <cellStyle name="Neutral 2 2 2 4" xfId="3160"/>
    <cellStyle name="Neutral 2 2 2 5" xfId="3161"/>
    <cellStyle name="Neutral 2 2 2 6" xfId="3162"/>
    <cellStyle name="Neutral 2 2 2 7" xfId="3163"/>
    <cellStyle name="Neutral 2 2 2 8" xfId="3164"/>
    <cellStyle name="Neutral 2 3" xfId="3165"/>
    <cellStyle name="Neutral 2 3 2" xfId="3166"/>
    <cellStyle name="Neutral 2 4" xfId="3167"/>
    <cellStyle name="Neutral 2 4 2" xfId="3168"/>
    <cellStyle name="Neutral 2 5" xfId="3169"/>
    <cellStyle name="Neutral 2 6" xfId="3170"/>
    <cellStyle name="Neutral 2 7" xfId="3171"/>
    <cellStyle name="Neutral 2 8" xfId="3172"/>
    <cellStyle name="Neutral 2 9" xfId="3173"/>
    <cellStyle name="Neutral 20" xfId="3174"/>
    <cellStyle name="Neutral 21" xfId="3175"/>
    <cellStyle name="Neutral 22" xfId="3176"/>
    <cellStyle name="Neutral 23" xfId="3177"/>
    <cellStyle name="Neutral 24" xfId="3178"/>
    <cellStyle name="Neutral 24 2" xfId="3179"/>
    <cellStyle name="Neutral 25" xfId="3180"/>
    <cellStyle name="Neutral 26" xfId="8920"/>
    <cellStyle name="Neutral 3" xfId="3181"/>
    <cellStyle name="Neutral 3 10" xfId="3182"/>
    <cellStyle name="Neutral 3 2" xfId="3183"/>
    <cellStyle name="Neutral 3 2 2" xfId="3184"/>
    <cellStyle name="Neutral 3 2 3" xfId="3185"/>
    <cellStyle name="Neutral 3 2 4" xfId="3186"/>
    <cellStyle name="Neutral 3 2 5" xfId="3187"/>
    <cellStyle name="Neutral 3 2 6" xfId="3188"/>
    <cellStyle name="Neutral 3 2 7" xfId="3189"/>
    <cellStyle name="Neutral 3 2 8" xfId="3190"/>
    <cellStyle name="Neutral 3 3" xfId="3191"/>
    <cellStyle name="Neutral 3 4" xfId="3192"/>
    <cellStyle name="Neutral 3 5" xfId="3193"/>
    <cellStyle name="Neutral 3 6" xfId="3194"/>
    <cellStyle name="Neutral 3 7" xfId="3195"/>
    <cellStyle name="Neutral 3 8" xfId="3196"/>
    <cellStyle name="Neutral 3 9" xfId="3197"/>
    <cellStyle name="Neutral 4" xfId="3198"/>
    <cellStyle name="Neutral 4 10" xfId="3199"/>
    <cellStyle name="Neutral 4 2" xfId="3200"/>
    <cellStyle name="Neutral 4 2 2" xfId="3201"/>
    <cellStyle name="Neutral 4 2 3" xfId="3202"/>
    <cellStyle name="Neutral 4 2 4" xfId="3203"/>
    <cellStyle name="Neutral 4 2 5" xfId="3204"/>
    <cellStyle name="Neutral 4 2 6" xfId="3205"/>
    <cellStyle name="Neutral 4 2 7" xfId="3206"/>
    <cellStyle name="Neutral 4 2 8" xfId="3207"/>
    <cellStyle name="Neutral 4 3" xfId="3208"/>
    <cellStyle name="Neutral 4 4" xfId="3209"/>
    <cellStyle name="Neutral 4 5" xfId="3210"/>
    <cellStyle name="Neutral 4 6" xfId="3211"/>
    <cellStyle name="Neutral 4 7" xfId="3212"/>
    <cellStyle name="Neutral 4 8" xfId="3213"/>
    <cellStyle name="Neutral 4 9" xfId="3214"/>
    <cellStyle name="Neutral 5" xfId="3215"/>
    <cellStyle name="Neutral 5 10" xfId="3216"/>
    <cellStyle name="Neutral 5 2" xfId="3217"/>
    <cellStyle name="Neutral 5 2 2" xfId="3218"/>
    <cellStyle name="Neutral 5 2 3" xfId="3219"/>
    <cellStyle name="Neutral 5 2 4" xfId="3220"/>
    <cellStyle name="Neutral 5 2 5" xfId="3221"/>
    <cellStyle name="Neutral 5 2 6" xfId="3222"/>
    <cellStyle name="Neutral 5 2 7" xfId="3223"/>
    <cellStyle name="Neutral 5 2 8" xfId="3224"/>
    <cellStyle name="Neutral 5 3" xfId="3225"/>
    <cellStyle name="Neutral 5 4" xfId="3226"/>
    <cellStyle name="Neutral 5 5" xfId="3227"/>
    <cellStyle name="Neutral 5 6" xfId="3228"/>
    <cellStyle name="Neutral 5 7" xfId="3229"/>
    <cellStyle name="Neutral 5 8" xfId="3230"/>
    <cellStyle name="Neutral 5 9" xfId="3231"/>
    <cellStyle name="Neutral 6" xfId="3232"/>
    <cellStyle name="Neutral 6 10" xfId="3233"/>
    <cellStyle name="Neutral 6 2" xfId="3234"/>
    <cellStyle name="Neutral 6 2 2" xfId="3235"/>
    <cellStyle name="Neutral 6 2 3" xfId="3236"/>
    <cellStyle name="Neutral 6 2 4" xfId="3237"/>
    <cellStyle name="Neutral 6 2 5" xfId="3238"/>
    <cellStyle name="Neutral 6 2 6" xfId="3239"/>
    <cellStyle name="Neutral 6 2 7" xfId="3240"/>
    <cellStyle name="Neutral 6 2 8" xfId="3241"/>
    <cellStyle name="Neutral 6 3" xfId="3242"/>
    <cellStyle name="Neutral 6 4" xfId="3243"/>
    <cellStyle name="Neutral 6 5" xfId="3244"/>
    <cellStyle name="Neutral 6 6" xfId="3245"/>
    <cellStyle name="Neutral 6 7" xfId="3246"/>
    <cellStyle name="Neutral 6 8" xfId="3247"/>
    <cellStyle name="Neutral 6 9" xfId="3248"/>
    <cellStyle name="Neutral 7" xfId="3249"/>
    <cellStyle name="Neutral 7 10" xfId="3250"/>
    <cellStyle name="Neutral 7 2" xfId="3251"/>
    <cellStyle name="Neutral 7 2 2" xfId="3252"/>
    <cellStyle name="Neutral 7 2 3" xfId="3253"/>
    <cellStyle name="Neutral 7 2 4" xfId="3254"/>
    <cellStyle name="Neutral 7 2 5" xfId="3255"/>
    <cellStyle name="Neutral 7 2 6" xfId="3256"/>
    <cellStyle name="Neutral 7 2 7" xfId="3257"/>
    <cellStyle name="Neutral 7 2 8" xfId="3258"/>
    <cellStyle name="Neutral 7 3" xfId="3259"/>
    <cellStyle name="Neutral 7 4" xfId="3260"/>
    <cellStyle name="Neutral 7 5" xfId="3261"/>
    <cellStyle name="Neutral 7 6" xfId="3262"/>
    <cellStyle name="Neutral 7 7" xfId="3263"/>
    <cellStyle name="Neutral 7 8" xfId="3264"/>
    <cellStyle name="Neutral 7 9" xfId="3265"/>
    <cellStyle name="Neutral 8" xfId="3266"/>
    <cellStyle name="Neutral 8 2" xfId="3267"/>
    <cellStyle name="Neutral 8 3" xfId="3268"/>
    <cellStyle name="Neutral 8 4" xfId="3269"/>
    <cellStyle name="Neutral 9" xfId="3270"/>
    <cellStyle name="Neutral 9 2" xfId="3271"/>
    <cellStyle name="Neutral 9 3" xfId="3272"/>
    <cellStyle name="Neutral 9 4" xfId="3273"/>
    <cellStyle name="Neutral 9 5" xfId="3274"/>
    <cellStyle name="Neutral 9 6" xfId="3275"/>
    <cellStyle name="Neutral 9 7" xfId="3276"/>
    <cellStyle name="Neutral 9 8" xfId="3277"/>
    <cellStyle name="Neutral 9 9" xfId="3278"/>
    <cellStyle name="Normal" xfId="0" builtinId="0"/>
    <cellStyle name="Normal [0]" xfId="3279"/>
    <cellStyle name="Normal [0] 2" xfId="3280"/>
    <cellStyle name="Normal [0] 3" xfId="3281"/>
    <cellStyle name="Normal [0] 4" xfId="3282"/>
    <cellStyle name="Normal [0] 5" xfId="3283"/>
    <cellStyle name="Normal [0] 6" xfId="3284"/>
    <cellStyle name="Normal [0] 7" xfId="3285"/>
    <cellStyle name="Normal [2]" xfId="3286"/>
    <cellStyle name="Normal [2] 2" xfId="3287"/>
    <cellStyle name="Normal [2] 3" xfId="3288"/>
    <cellStyle name="Normal [2] 4" xfId="3289"/>
    <cellStyle name="Normal [2] 5" xfId="3290"/>
    <cellStyle name="Normal [2] 6" xfId="3291"/>
    <cellStyle name="Normal [2] 7" xfId="3292"/>
    <cellStyle name="Normal 10" xfId="3293"/>
    <cellStyle name="Normal 11" xfId="3294"/>
    <cellStyle name="Normal 11 2" xfId="3295"/>
    <cellStyle name="Normal 12" xfId="3296"/>
    <cellStyle name="Normal 13" xfId="3297"/>
    <cellStyle name="Normal 136" xfId="3298"/>
    <cellStyle name="Normal 136 2" xfId="8951"/>
    <cellStyle name="Normal 136 3" xfId="9453"/>
    <cellStyle name="Normal 14" xfId="3299"/>
    <cellStyle name="Normal 14 2" xfId="3300"/>
    <cellStyle name="Normal 15" xfId="3301"/>
    <cellStyle name="Normal 15 2" xfId="3302"/>
    <cellStyle name="Normal 16" xfId="3303"/>
    <cellStyle name="Normal 16 2" xfId="3304"/>
    <cellStyle name="Normal 17" xfId="3305"/>
    <cellStyle name="Normal 18" xfId="3306"/>
    <cellStyle name="Normal 19" xfId="3307"/>
    <cellStyle name="Normal 2" xfId="30"/>
    <cellStyle name="Normal 2 10" xfId="3308"/>
    <cellStyle name="Normal 2 11" xfId="3309"/>
    <cellStyle name="Normal 2 12" xfId="3310"/>
    <cellStyle name="Normal 2 13" xfId="3311"/>
    <cellStyle name="Normal 2 14" xfId="3312"/>
    <cellStyle name="Normal 2 15" xfId="3313"/>
    <cellStyle name="Normal 2 16" xfId="3314"/>
    <cellStyle name="Normal 2 17" xfId="3315"/>
    <cellStyle name="Normal 2 18" xfId="3316"/>
    <cellStyle name="Normal 2 19" xfId="3317"/>
    <cellStyle name="Normal 2 2" xfId="3318"/>
    <cellStyle name="Normal 2 2 2" xfId="3319"/>
    <cellStyle name="Normal 2 2 2 2" xfId="3320"/>
    <cellStyle name="Normal 2 2 3" xfId="3321"/>
    <cellStyle name="Normal 2 2 4" xfId="8773"/>
    <cellStyle name="Normal 2 20" xfId="3322"/>
    <cellStyle name="Normal 2 21" xfId="3323"/>
    <cellStyle name="Normal 2 21 2" xfId="8840"/>
    <cellStyle name="Normal 2 21 3" xfId="9418"/>
    <cellStyle name="Normal 2 22" xfId="8966"/>
    <cellStyle name="Normal 2 23" xfId="8887"/>
    <cellStyle name="Normal 2 3" xfId="3324"/>
    <cellStyle name="Normal 2 3 2" xfId="3325"/>
    <cellStyle name="Normal 2 3 3" xfId="8774"/>
    <cellStyle name="Normal 2 4" xfId="3326"/>
    <cellStyle name="Normal 2 4 2" xfId="8775"/>
    <cellStyle name="Normal 2 5" xfId="3327"/>
    <cellStyle name="Normal 2 5 2" xfId="8776"/>
    <cellStyle name="Normal 2 6" xfId="3328"/>
    <cellStyle name="Normal 2 7" xfId="3329"/>
    <cellStyle name="Normal 2 8" xfId="3330"/>
    <cellStyle name="Normal 2 9" xfId="3331"/>
    <cellStyle name="Normal 20" xfId="3332"/>
    <cellStyle name="Normal 20 2" xfId="3333"/>
    <cellStyle name="Normal 21" xfId="3334"/>
    <cellStyle name="Normal 21 2" xfId="3335"/>
    <cellStyle name="Normal 22" xfId="3336"/>
    <cellStyle name="Normal 22 2" xfId="3337"/>
    <cellStyle name="Normal 23" xfId="3338"/>
    <cellStyle name="Normal 23 2" xfId="3339"/>
    <cellStyle name="Normal 24" xfId="3340"/>
    <cellStyle name="Normal 24 2" xfId="3341"/>
    <cellStyle name="Normal 25" xfId="3342"/>
    <cellStyle name="Normal 25 2" xfId="3343"/>
    <cellStyle name="Normal 26" xfId="3344"/>
    <cellStyle name="Normal 26 2" xfId="3345"/>
    <cellStyle name="Normal 27" xfId="3346"/>
    <cellStyle name="Normal 27 2" xfId="3347"/>
    <cellStyle name="Normal 28" xfId="3348"/>
    <cellStyle name="Normal 28 2" xfId="8841"/>
    <cellStyle name="Normal 28 3" xfId="9419"/>
    <cellStyle name="Normal 29" xfId="3349"/>
    <cellStyle name="Normal 3" xfId="3350"/>
    <cellStyle name="Normal 3 2" xfId="3351"/>
    <cellStyle name="Normal 3 2 2" xfId="3352"/>
    <cellStyle name="Normal 3 2 3" xfId="8842"/>
    <cellStyle name="Normal 3 2 4" xfId="9420"/>
    <cellStyle name="Normal 3 3" xfId="3353"/>
    <cellStyle name="Normal 3 4" xfId="8967"/>
    <cellStyle name="Normal 3 5" xfId="8302"/>
    <cellStyle name="Normal 3 6" xfId="9005"/>
    <cellStyle name="Normal 30" xfId="3354"/>
    <cellStyle name="Normal 31" xfId="3355"/>
    <cellStyle name="Normal 31 2" xfId="3356"/>
    <cellStyle name="Normal 32" xfId="3357"/>
    <cellStyle name="Normal 32 2" xfId="3358"/>
    <cellStyle name="Normal 32 3" xfId="3359"/>
    <cellStyle name="Normal 33" xfId="3360"/>
    <cellStyle name="Normal 33 2" xfId="3361"/>
    <cellStyle name="Normal 34" xfId="3362"/>
    <cellStyle name="Normal 34 2" xfId="3363"/>
    <cellStyle name="Normal 35" xfId="3364"/>
    <cellStyle name="Normal 35 2" xfId="3365"/>
    <cellStyle name="Normal 36" xfId="3366"/>
    <cellStyle name="Normal 36 2" xfId="3367"/>
    <cellStyle name="Normal 37" xfId="3368"/>
    <cellStyle name="Normal 37 2" xfId="3369"/>
    <cellStyle name="Normal 38" xfId="3370"/>
    <cellStyle name="Normal 38 2" xfId="3371"/>
    <cellStyle name="Normal 39" xfId="3372"/>
    <cellStyle name="Normal 4" xfId="3373"/>
    <cellStyle name="Normal 4 10" xfId="8984"/>
    <cellStyle name="Normal 4 11" xfId="8807"/>
    <cellStyle name="Normal 4 12" xfId="8751"/>
    <cellStyle name="Normal 4 13" xfId="8731"/>
    <cellStyle name="Normal 4 2" xfId="3374"/>
    <cellStyle name="Normal 4 2 2" xfId="8859"/>
    <cellStyle name="Normal 4 2 2 2" xfId="8777"/>
    <cellStyle name="Normal 4 2 3" xfId="8778"/>
    <cellStyle name="Normal 4 2 3 2" xfId="8779"/>
    <cellStyle name="Normal 4 2 4" xfId="8738"/>
    <cellStyle name="Normal 4 2 4 2" xfId="8780"/>
    <cellStyle name="Normal 4 2 5" xfId="8781"/>
    <cellStyle name="Normal 4 2 5 2" xfId="8893"/>
    <cellStyle name="Normal 4 2 6" xfId="8986"/>
    <cellStyle name="Normal 4 2 6 2" xfId="8985"/>
    <cellStyle name="Normal 4 2 7" xfId="8782"/>
    <cellStyle name="Normal 4 2 8" xfId="8766"/>
    <cellStyle name="Normal 4 3" xfId="3375"/>
    <cellStyle name="Normal 4 3 2" xfId="8783"/>
    <cellStyle name="Normal 4 3 2 2" xfId="8734"/>
    <cellStyle name="Normal 4 3 3" xfId="8784"/>
    <cellStyle name="Normal 4 3 3 2" xfId="8785"/>
    <cellStyle name="Normal 4 3 4" xfId="8897"/>
    <cellStyle name="Normal 4 3 4 2" xfId="8999"/>
    <cellStyle name="Normal 4 3 5" xfId="8898"/>
    <cellStyle name="Normal 4 3 5 2" xfId="8899"/>
    <cellStyle name="Normal 4 3 6" xfId="8882"/>
    <cellStyle name="Normal 4 3 6 2" xfId="8911"/>
    <cellStyle name="Normal 4 3 7" xfId="8998"/>
    <cellStyle name="Normal 4 3 8" xfId="8855"/>
    <cellStyle name="Normal 4 4" xfId="3376"/>
    <cellStyle name="Normal 4 4 2" xfId="8786"/>
    <cellStyle name="Normal 4 4 3" xfId="8980"/>
    <cellStyle name="Normal 4 5" xfId="3377"/>
    <cellStyle name="Normal 4 5 2" xfId="8788"/>
    <cellStyle name="Normal 4 5 3" xfId="8787"/>
    <cellStyle name="Normal 4 6" xfId="3378"/>
    <cellStyle name="Normal 4 6 2" xfId="8868"/>
    <cellStyle name="Normal 4 6 3" xfId="8789"/>
    <cellStyle name="Normal 4 7" xfId="3379"/>
    <cellStyle name="Normal 4 7 2" xfId="8850"/>
    <cellStyle name="Normal 4 7 3" xfId="8790"/>
    <cellStyle name="Normal 4 8" xfId="8939"/>
    <cellStyle name="Normal 4 8 2" xfId="8791"/>
    <cellStyle name="Normal 4 9" xfId="8770"/>
    <cellStyle name="Normal 4 9 2" xfId="8805"/>
    <cellStyle name="Normal 4 9 3" xfId="8808"/>
    <cellStyle name="Normal 40" xfId="3380"/>
    <cellStyle name="Normal 41" xfId="3381"/>
    <cellStyle name="Normal 42" xfId="3382"/>
    <cellStyle name="Normal 42 2" xfId="8843"/>
    <cellStyle name="Normal 42 3" xfId="9421"/>
    <cellStyle name="Normal 43" xfId="3383"/>
    <cellStyle name="Normal 43 2" xfId="3384"/>
    <cellStyle name="Normal 44" xfId="3385"/>
    <cellStyle name="Normal 45" xfId="3386"/>
    <cellStyle name="Normal 46" xfId="3387"/>
    <cellStyle name="Normal 47" xfId="3388"/>
    <cellStyle name="Normal 47 2" xfId="3389"/>
    <cellStyle name="Normal 48" xfId="3390"/>
    <cellStyle name="Normal 48 2" xfId="3391"/>
    <cellStyle name="Normal 49" xfId="3392"/>
    <cellStyle name="Normal 49 2" xfId="3393"/>
    <cellStyle name="Normal 5" xfId="3394"/>
    <cellStyle name="Normal 5 10" xfId="8760"/>
    <cellStyle name="Normal 5 2" xfId="8970"/>
    <cellStyle name="Normal 5 2 2" xfId="8792"/>
    <cellStyle name="Normal 5 2 3" xfId="9477"/>
    <cellStyle name="Normal 5 3" xfId="8793"/>
    <cellStyle name="Normal 5 3 2" xfId="8860"/>
    <cellStyle name="Normal 5 4" xfId="8794"/>
    <cellStyle name="Normal 5 4 2" xfId="8978"/>
    <cellStyle name="Normal 5 5" xfId="8795"/>
    <cellStyle name="Normal 5 5 2" xfId="8796"/>
    <cellStyle name="Normal 5 6" xfId="8797"/>
    <cellStyle name="Normal 5 6 2" xfId="8798"/>
    <cellStyle name="Normal 5 7" xfId="8988"/>
    <cellStyle name="Normal 5 7 2" xfId="8806"/>
    <cellStyle name="Normal 5 7 3" xfId="8809"/>
    <cellStyle name="Normal 5 8" xfId="8856"/>
    <cellStyle name="Normal 5 9" xfId="8740"/>
    <cellStyle name="Normal 50" xfId="3395"/>
    <cellStyle name="Normal 50 2" xfId="3396"/>
    <cellStyle name="Normal 50 3" xfId="8944"/>
    <cellStyle name="Normal 50 4" xfId="9447"/>
    <cellStyle name="Normal 51" xfId="3397"/>
    <cellStyle name="Normal 52" xfId="3398"/>
    <cellStyle name="Normal 53" xfId="3399"/>
    <cellStyle name="Normal 54" xfId="3400"/>
    <cellStyle name="Normal 54 2" xfId="3401"/>
    <cellStyle name="Normal 55" xfId="3402"/>
    <cellStyle name="Normal 55 2" xfId="3403"/>
    <cellStyle name="Normal 56" xfId="3404"/>
    <cellStyle name="Normal 56 2" xfId="3405"/>
    <cellStyle name="Normal 57" xfId="3406"/>
    <cellStyle name="Normal 57 2" xfId="3407"/>
    <cellStyle name="Normal 58" xfId="3408"/>
    <cellStyle name="Normal 58 2" xfId="3409"/>
    <cellStyle name="Normal 59" xfId="3410"/>
    <cellStyle name="Normal 59 2" xfId="3411"/>
    <cellStyle name="Normal 6" xfId="3412"/>
    <cellStyle name="Normal 6 2" xfId="8878"/>
    <cellStyle name="Normal 6 2 2" xfId="8799"/>
    <cellStyle name="Normal 6 3" xfId="8800"/>
    <cellStyle name="Normal 6 3 2" xfId="8801"/>
    <cellStyle name="Normal 6 4" xfId="8802"/>
    <cellStyle name="Normal 6 4 2" xfId="8915"/>
    <cellStyle name="Normal 6 5" xfId="8803"/>
    <cellStyle name="Normal 6 5 2" xfId="8977"/>
    <cellStyle name="Normal 6 6" xfId="8764"/>
    <cellStyle name="Normal 6 6 2" xfId="8895"/>
    <cellStyle name="Normal 6 6 3" xfId="8890"/>
    <cellStyle name="Normal 6 6 4" xfId="8953"/>
    <cellStyle name="Normal 6 7" xfId="8804"/>
    <cellStyle name="Normal 6 8" xfId="8763"/>
    <cellStyle name="Normal 60" xfId="3413"/>
    <cellStyle name="Normal 60 2" xfId="3414"/>
    <cellStyle name="Normal 60 3" xfId="3415"/>
    <cellStyle name="Normal 61" xfId="3416"/>
    <cellStyle name="Normal 61 2" xfId="3417"/>
    <cellStyle name="Normal 61 3" xfId="3418"/>
    <cellStyle name="Normal 62" xfId="3419"/>
    <cellStyle name="Normal 62 2" xfId="3420"/>
    <cellStyle name="Normal 62 3" xfId="3421"/>
    <cellStyle name="Normal 63" xfId="3422"/>
    <cellStyle name="Normal 63 2" xfId="3423"/>
    <cellStyle name="Normal 63 3" xfId="3424"/>
    <cellStyle name="Normal 64" xfId="3425"/>
    <cellStyle name="Normal 64 2" xfId="3426"/>
    <cellStyle name="Normal 65" xfId="3427"/>
    <cellStyle name="Normal 65 2" xfId="3428"/>
    <cellStyle name="Normal 65 2 2" xfId="3429"/>
    <cellStyle name="Normal 65 3" xfId="3430"/>
    <cellStyle name="Normal 65 3 2" xfId="3431"/>
    <cellStyle name="Normal 65 4" xfId="3432"/>
    <cellStyle name="Normal 66" xfId="3433"/>
    <cellStyle name="Normal 66 2" xfId="8949"/>
    <cellStyle name="Normal 66 3" xfId="9451"/>
    <cellStyle name="Normal 67" xfId="8955"/>
    <cellStyle name="Normal 67 2" xfId="9466"/>
    <cellStyle name="Normal 68" xfId="8960"/>
    <cellStyle name="Normal 68 2" xfId="9471"/>
    <cellStyle name="Normal 69" xfId="8964"/>
    <cellStyle name="Normal 69 2" xfId="9475"/>
    <cellStyle name="Normal 7" xfId="3434"/>
    <cellStyle name="Normal 7 2" xfId="3435"/>
    <cellStyle name="Normal 7 3" xfId="8810"/>
    <cellStyle name="Normal 70" xfId="3436"/>
    <cellStyle name="Normal 70 2" xfId="3437"/>
    <cellStyle name="Normal 70 2 2" xfId="8845"/>
    <cellStyle name="Normal 70 2 3" xfId="9423"/>
    <cellStyle name="Normal 70 3" xfId="3438"/>
    <cellStyle name="Normal 70 3 2" xfId="8846"/>
    <cellStyle name="Normal 70 3 3" xfId="9424"/>
    <cellStyle name="Normal 70 4" xfId="8844"/>
    <cellStyle name="Normal 70 5" xfId="9422"/>
    <cellStyle name="Normal 71" xfId="8973"/>
    <cellStyle name="Normal 71 2" xfId="9478"/>
    <cellStyle name="Normal 72" xfId="8975"/>
    <cellStyle name="Normal 72 2" xfId="9480"/>
    <cellStyle name="Normal 73" xfId="3439"/>
    <cellStyle name="Normal 73 2" xfId="3440"/>
    <cellStyle name="Normal 73 2 2" xfId="3441"/>
    <cellStyle name="Normal 73 3" xfId="3442"/>
    <cellStyle name="Normal 73 3 2" xfId="3443"/>
    <cellStyle name="Normal 73 4" xfId="3444"/>
    <cellStyle name="Normal 74" xfId="3445"/>
    <cellStyle name="Normal 74 2" xfId="3446"/>
    <cellStyle name="Normal 74 2 2" xfId="3447"/>
    <cellStyle name="Normal 74 3" xfId="3448"/>
    <cellStyle name="Normal 74 3 2" xfId="3449"/>
    <cellStyle name="Normal 74 4" xfId="3450"/>
    <cellStyle name="Normal 75" xfId="8959"/>
    <cellStyle name="Normal 75 2" xfId="9470"/>
    <cellStyle name="Normal 76" xfId="8741"/>
    <cellStyle name="Normal 77" xfId="3451"/>
    <cellStyle name="Normal 77 2" xfId="3452"/>
    <cellStyle name="Normal 77 3" xfId="3453"/>
    <cellStyle name="Normal 78" xfId="3454"/>
    <cellStyle name="Normal 78 2" xfId="3455"/>
    <cellStyle name="Normal 78 3" xfId="3456"/>
    <cellStyle name="Normal 79" xfId="3457"/>
    <cellStyle name="Normal 79 2" xfId="3458"/>
    <cellStyle name="Normal 79 3" xfId="3459"/>
    <cellStyle name="Normal 8" xfId="3460"/>
    <cellStyle name="Normal 8 2" xfId="3461"/>
    <cellStyle name="Normal 80" xfId="3462"/>
    <cellStyle name="Normal 80 2" xfId="3463"/>
    <cellStyle name="Normal 80 3" xfId="3464"/>
    <cellStyle name="Normal 81" xfId="3465"/>
    <cellStyle name="Normal 81 2" xfId="3466"/>
    <cellStyle name="Normal 81 3" xfId="3467"/>
    <cellStyle name="Normal 82" xfId="3468"/>
    <cellStyle name="Normal 82 2" xfId="3469"/>
    <cellStyle name="Normal 83" xfId="3470"/>
    <cellStyle name="Normal 83 2" xfId="3471"/>
    <cellStyle name="Normal 84" xfId="3472"/>
    <cellStyle name="Normal 84 2" xfId="3473"/>
    <cellStyle name="Normal 85" xfId="8908"/>
    <cellStyle name="Normal 86" xfId="8829"/>
    <cellStyle name="Normal 87" xfId="8870"/>
    <cellStyle name="Normal 88" xfId="8728"/>
    <cellStyle name="Normal 89" xfId="8835"/>
    <cellStyle name="Normal 9" xfId="3474"/>
    <cellStyle name="Normal 9 2" xfId="3475"/>
    <cellStyle name="Normal 90" xfId="8831"/>
    <cellStyle name="Normal 91" xfId="8832"/>
    <cellStyle name="Normal 92" xfId="9443"/>
    <cellStyle name="Normal 93" xfId="9442"/>
    <cellStyle name="Normal_2007 Oregon Earnings Test Plant workpaper updated apr08" xfId="17"/>
    <cellStyle name="Normal_2007 Oregon Earnings Test Report model" xfId="18"/>
    <cellStyle name="Normal_2007 Oregon Earnings Test Report model 2" xfId="8297"/>
    <cellStyle name="Normal_2007 Washington Commission Basis Report model" xfId="19"/>
    <cellStyle name="Normal_2007 Washington Commission Basis Report model 2" xfId="8948"/>
    <cellStyle name="Normal_Rev &amp; Cost Model b" xfId="20"/>
    <cellStyle name="Note" xfId="8258" builtinId="10" customBuiltin="1"/>
    <cellStyle name="Note 10" xfId="3476"/>
    <cellStyle name="Note 10 2" xfId="3477"/>
    <cellStyle name="Note 10 3" xfId="3478"/>
    <cellStyle name="Note 10 4" xfId="3479"/>
    <cellStyle name="Note 10 5" xfId="3480"/>
    <cellStyle name="Note 10 6" xfId="3481"/>
    <cellStyle name="Note 10 7" xfId="3482"/>
    <cellStyle name="Note 10 8" xfId="3483"/>
    <cellStyle name="Note 10 9" xfId="3484"/>
    <cellStyle name="Note 11" xfId="3485"/>
    <cellStyle name="Note 11 2" xfId="3486"/>
    <cellStyle name="Note 11 3" xfId="3487"/>
    <cellStyle name="Note 11 4" xfId="3488"/>
    <cellStyle name="Note 11 5" xfId="3489"/>
    <cellStyle name="Note 11 6" xfId="3490"/>
    <cellStyle name="Note 11 7" xfId="3491"/>
    <cellStyle name="Note 11 8" xfId="3492"/>
    <cellStyle name="Note 11 9" xfId="3493"/>
    <cellStyle name="Note 12" xfId="3494"/>
    <cellStyle name="Note 12 2" xfId="3495"/>
    <cellStyle name="Note 12 3" xfId="3496"/>
    <cellStyle name="Note 12 4" xfId="3497"/>
    <cellStyle name="Note 12 5" xfId="3498"/>
    <cellStyle name="Note 12 6" xfId="3499"/>
    <cellStyle name="Note 12 7" xfId="3500"/>
    <cellStyle name="Note 12 8" xfId="3501"/>
    <cellStyle name="Note 12 9" xfId="3502"/>
    <cellStyle name="Note 13" xfId="3503"/>
    <cellStyle name="Note 13 2" xfId="3504"/>
    <cellStyle name="Note 13 3" xfId="3505"/>
    <cellStyle name="Note 13 4" xfId="3506"/>
    <cellStyle name="Note 13 5" xfId="3507"/>
    <cellStyle name="Note 13 6" xfId="3508"/>
    <cellStyle name="Note 13 7" xfId="3509"/>
    <cellStyle name="Note 13 8" xfId="3510"/>
    <cellStyle name="Note 13 9" xfId="3511"/>
    <cellStyle name="Note 14" xfId="3512"/>
    <cellStyle name="Note 14 10" xfId="3513"/>
    <cellStyle name="Note 14 2" xfId="3514"/>
    <cellStyle name="Note 14 2 2" xfId="3515"/>
    <cellStyle name="Note 14 2 3" xfId="3516"/>
    <cellStyle name="Note 14 2 4" xfId="3517"/>
    <cellStyle name="Note 14 2 5" xfId="3518"/>
    <cellStyle name="Note 14 2 6" xfId="3519"/>
    <cellStyle name="Note 14 2 7" xfId="3520"/>
    <cellStyle name="Note 14 2 8" xfId="3521"/>
    <cellStyle name="Note 14 3" xfId="3522"/>
    <cellStyle name="Note 14 4" xfId="3523"/>
    <cellStyle name="Note 14 5" xfId="3524"/>
    <cellStyle name="Note 14 6" xfId="3525"/>
    <cellStyle name="Note 14 7" xfId="3526"/>
    <cellStyle name="Note 14 8" xfId="3527"/>
    <cellStyle name="Note 14 9" xfId="3528"/>
    <cellStyle name="Note 15" xfId="3529"/>
    <cellStyle name="Note 15 10" xfId="3530"/>
    <cellStyle name="Note 15 2" xfId="3531"/>
    <cellStyle name="Note 15 2 2" xfId="3532"/>
    <cellStyle name="Note 15 2 3" xfId="3533"/>
    <cellStyle name="Note 15 2 4" xfId="3534"/>
    <cellStyle name="Note 15 2 5" xfId="3535"/>
    <cellStyle name="Note 15 2 6" xfId="3536"/>
    <cellStyle name="Note 15 2 7" xfId="3537"/>
    <cellStyle name="Note 15 2 8" xfId="3538"/>
    <cellStyle name="Note 15 3" xfId="3539"/>
    <cellStyle name="Note 15 4" xfId="3540"/>
    <cellStyle name="Note 15 5" xfId="3541"/>
    <cellStyle name="Note 15 6" xfId="3542"/>
    <cellStyle name="Note 15 7" xfId="3543"/>
    <cellStyle name="Note 15 8" xfId="3544"/>
    <cellStyle name="Note 15 9" xfId="3545"/>
    <cellStyle name="Note 16" xfId="3546"/>
    <cellStyle name="Note 16 2" xfId="3547"/>
    <cellStyle name="Note 16 3" xfId="3548"/>
    <cellStyle name="Note 16 4" xfId="3549"/>
    <cellStyle name="Note 16 5" xfId="3550"/>
    <cellStyle name="Note 16 6" xfId="3551"/>
    <cellStyle name="Note 16 7" xfId="3552"/>
    <cellStyle name="Note 16 8" xfId="3553"/>
    <cellStyle name="Note 16 9" xfId="3554"/>
    <cellStyle name="Note 17" xfId="3555"/>
    <cellStyle name="Note 17 2" xfId="3556"/>
    <cellStyle name="Note 17 3" xfId="3557"/>
    <cellStyle name="Note 17 4" xfId="3558"/>
    <cellStyle name="Note 18" xfId="3559"/>
    <cellStyle name="Note 18 2" xfId="3560"/>
    <cellStyle name="Note 18 3" xfId="3561"/>
    <cellStyle name="Note 18 4" xfId="3562"/>
    <cellStyle name="Note 18 5" xfId="3563"/>
    <cellStyle name="Note 18 6" xfId="3564"/>
    <cellStyle name="Note 18 7" xfId="3565"/>
    <cellStyle name="Note 18 8" xfId="3566"/>
    <cellStyle name="Note 19" xfId="3567"/>
    <cellStyle name="Note 19 2" xfId="3568"/>
    <cellStyle name="Note 19 3" xfId="3569"/>
    <cellStyle name="Note 19 4" xfId="3570"/>
    <cellStyle name="Note 19 5" xfId="3571"/>
    <cellStyle name="Note 19 6" xfId="3572"/>
    <cellStyle name="Note 19 7" xfId="3573"/>
    <cellStyle name="Note 19 8" xfId="3574"/>
    <cellStyle name="Note 19 9" xfId="3575"/>
    <cellStyle name="Note 2" xfId="3576"/>
    <cellStyle name="Note 2 10" xfId="3577"/>
    <cellStyle name="Note 2 11" xfId="3578"/>
    <cellStyle name="Note 2 12" xfId="3579"/>
    <cellStyle name="Note 2 13" xfId="3580"/>
    <cellStyle name="Note 2 14" xfId="3581"/>
    <cellStyle name="Note 2 15" xfId="3582"/>
    <cellStyle name="Note 2 16" xfId="3583"/>
    <cellStyle name="Note 2 17" xfId="3584"/>
    <cellStyle name="Note 2 18" xfId="3585"/>
    <cellStyle name="Note 2 19" xfId="3586"/>
    <cellStyle name="Note 2 2" xfId="3587"/>
    <cellStyle name="Note 2 20" xfId="3588"/>
    <cellStyle name="Note 2 21" xfId="3589"/>
    <cellStyle name="Note 2 22" xfId="3590"/>
    <cellStyle name="Note 2 23" xfId="3591"/>
    <cellStyle name="Note 2 24" xfId="3592"/>
    <cellStyle name="Note 2 25" xfId="3593"/>
    <cellStyle name="Note 2 26" xfId="3594"/>
    <cellStyle name="Note 2 27" xfId="8906"/>
    <cellStyle name="Note 2 28" xfId="9441"/>
    <cellStyle name="Note 2 3" xfId="3595"/>
    <cellStyle name="Note 2 4" xfId="3596"/>
    <cellStyle name="Note 2 5" xfId="3597"/>
    <cellStyle name="Note 2 6" xfId="3598"/>
    <cellStyle name="Note 2 7" xfId="3599"/>
    <cellStyle name="Note 2 8" xfId="3600"/>
    <cellStyle name="Note 2 9" xfId="3601"/>
    <cellStyle name="Note 20" xfId="3602"/>
    <cellStyle name="Note 20 2" xfId="3603"/>
    <cellStyle name="Note 20 3" xfId="3604"/>
    <cellStyle name="Note 20 4" xfId="3605"/>
    <cellStyle name="Note 20 5" xfId="3606"/>
    <cellStyle name="Note 20 6" xfId="3607"/>
    <cellStyle name="Note 20 7" xfId="3608"/>
    <cellStyle name="Note 20 8" xfId="3609"/>
    <cellStyle name="Note 20 9" xfId="3610"/>
    <cellStyle name="Note 21" xfId="3611"/>
    <cellStyle name="Note 21 2" xfId="3612"/>
    <cellStyle name="Note 21 3" xfId="3613"/>
    <cellStyle name="Note 21 4" xfId="3614"/>
    <cellStyle name="Note 21 5" xfId="3615"/>
    <cellStyle name="Note 21 6" xfId="3616"/>
    <cellStyle name="Note 21 7" xfId="3617"/>
    <cellStyle name="Note 21 8" xfId="3618"/>
    <cellStyle name="Note 21 9" xfId="3619"/>
    <cellStyle name="Note 22" xfId="3620"/>
    <cellStyle name="Note 22 2" xfId="3621"/>
    <cellStyle name="Note 22 3" xfId="3622"/>
    <cellStyle name="Note 22 4" xfId="3623"/>
    <cellStyle name="Note 22 5" xfId="3624"/>
    <cellStyle name="Note 22 6" xfId="3625"/>
    <cellStyle name="Note 22 7" xfId="3626"/>
    <cellStyle name="Note 22 8" xfId="3627"/>
    <cellStyle name="Note 23" xfId="3628"/>
    <cellStyle name="Note 23 2" xfId="3629"/>
    <cellStyle name="Note 24" xfId="3630"/>
    <cellStyle name="Note 24 2" xfId="3631"/>
    <cellStyle name="Note 24 2 2" xfId="3632"/>
    <cellStyle name="Note 24 3" xfId="3633"/>
    <cellStyle name="Note 25" xfId="3634"/>
    <cellStyle name="Note 25 2" xfId="3635"/>
    <cellStyle name="Note 25 3" xfId="3636"/>
    <cellStyle name="Note 26" xfId="3637"/>
    <cellStyle name="Note 26 2" xfId="3638"/>
    <cellStyle name="Note 27" xfId="3639"/>
    <cellStyle name="Note 27 2" xfId="3640"/>
    <cellStyle name="Note 28" xfId="3641"/>
    <cellStyle name="Note 28 2" xfId="3642"/>
    <cellStyle name="Note 29" xfId="3643"/>
    <cellStyle name="Note 29 2" xfId="8847"/>
    <cellStyle name="Note 29 3" xfId="9425"/>
    <cellStyle name="Note 3" xfId="3644"/>
    <cellStyle name="Note 3 10" xfId="8880"/>
    <cellStyle name="Note 3 11" xfId="9440"/>
    <cellStyle name="Note 3 2" xfId="3645"/>
    <cellStyle name="Note 3 3" xfId="3646"/>
    <cellStyle name="Note 3 4" xfId="3647"/>
    <cellStyle name="Note 3 5" xfId="3648"/>
    <cellStyle name="Note 3 6" xfId="3649"/>
    <cellStyle name="Note 3 7" xfId="3650"/>
    <cellStyle name="Note 3 8" xfId="3651"/>
    <cellStyle name="Note 3 9" xfId="3652"/>
    <cellStyle name="Note 30" xfId="3653"/>
    <cellStyle name="Note 30 2" xfId="3654"/>
    <cellStyle name="Note 31" xfId="8961"/>
    <cellStyle name="Note 31 2" xfId="9472"/>
    <cellStyle name="Note 4" xfId="3655"/>
    <cellStyle name="Note 4 10" xfId="3656"/>
    <cellStyle name="Note 4 11" xfId="9428"/>
    <cellStyle name="Note 4 2" xfId="3657"/>
    <cellStyle name="Note 4 3" xfId="3658"/>
    <cellStyle name="Note 4 4" xfId="3659"/>
    <cellStyle name="Note 4 5" xfId="3660"/>
    <cellStyle name="Note 4 6" xfId="3661"/>
    <cellStyle name="Note 4 7" xfId="3662"/>
    <cellStyle name="Note 4 8" xfId="3663"/>
    <cellStyle name="Note 4 9" xfId="3664"/>
    <cellStyle name="Note 5" xfId="3665"/>
    <cellStyle name="Note 5 10" xfId="3666"/>
    <cellStyle name="Note 5 11" xfId="9427"/>
    <cellStyle name="Note 5 2" xfId="3667"/>
    <cellStyle name="Note 5 3" xfId="3668"/>
    <cellStyle name="Note 5 4" xfId="3669"/>
    <cellStyle name="Note 5 5" xfId="3670"/>
    <cellStyle name="Note 5 6" xfId="3671"/>
    <cellStyle name="Note 5 7" xfId="3672"/>
    <cellStyle name="Note 5 8" xfId="3673"/>
    <cellStyle name="Note 5 9" xfId="3674"/>
    <cellStyle name="Note 6" xfId="3675"/>
    <cellStyle name="Note 6 10" xfId="3676"/>
    <cellStyle name="Note 6 2" xfId="3677"/>
    <cellStyle name="Note 6 3" xfId="3678"/>
    <cellStyle name="Note 6 4" xfId="3679"/>
    <cellStyle name="Note 6 5" xfId="3680"/>
    <cellStyle name="Note 6 6" xfId="3681"/>
    <cellStyle name="Note 6 7" xfId="3682"/>
    <cellStyle name="Note 6 8" xfId="3683"/>
    <cellStyle name="Note 6 9" xfId="3684"/>
    <cellStyle name="Note 7" xfId="3685"/>
    <cellStyle name="Note 7 10" xfId="3686"/>
    <cellStyle name="Note 7 2" xfId="3687"/>
    <cellStyle name="Note 7 3" xfId="3688"/>
    <cellStyle name="Note 7 4" xfId="3689"/>
    <cellStyle name="Note 7 5" xfId="3690"/>
    <cellStyle name="Note 7 6" xfId="3691"/>
    <cellStyle name="Note 7 7" xfId="3692"/>
    <cellStyle name="Note 7 8" xfId="3693"/>
    <cellStyle name="Note 7 9" xfId="3694"/>
    <cellStyle name="Note 8" xfId="3695"/>
    <cellStyle name="Note 8 2" xfId="3696"/>
    <cellStyle name="Note 8 3" xfId="3697"/>
    <cellStyle name="Note 8 4" xfId="3698"/>
    <cellStyle name="Note 8 5" xfId="3699"/>
    <cellStyle name="Note 8 6" xfId="3700"/>
    <cellStyle name="Note 8 7" xfId="3701"/>
    <cellStyle name="Note 8 8" xfId="3702"/>
    <cellStyle name="Note 8 9" xfId="3703"/>
    <cellStyle name="Note 9" xfId="3704"/>
    <cellStyle name="Note 9 2" xfId="3705"/>
    <cellStyle name="Note 9 3" xfId="3706"/>
    <cellStyle name="Note 9 4" xfId="3707"/>
    <cellStyle name="Note 9 5" xfId="3708"/>
    <cellStyle name="Note 9 6" xfId="3709"/>
    <cellStyle name="Note 9 7" xfId="3710"/>
    <cellStyle name="Note 9 8" xfId="3711"/>
    <cellStyle name="Note 9 9" xfId="3712"/>
    <cellStyle name="Outline" xfId="21"/>
    <cellStyle name="Outline 2" xfId="8298"/>
    <cellStyle name="Outline 3" xfId="8954"/>
    <cellStyle name="Output" xfId="8253" builtinId="21" customBuiltin="1"/>
    <cellStyle name="Output 10" xfId="3713"/>
    <cellStyle name="Output 10 2" xfId="3714"/>
    <cellStyle name="Output 10 3" xfId="3715"/>
    <cellStyle name="Output 10 4" xfId="3716"/>
    <cellStyle name="Output 10 5" xfId="3717"/>
    <cellStyle name="Output 10 6" xfId="3718"/>
    <cellStyle name="Output 10 7" xfId="3719"/>
    <cellStyle name="Output 10 8" xfId="3720"/>
    <cellStyle name="Output 10 9" xfId="3721"/>
    <cellStyle name="Output 11" xfId="3722"/>
    <cellStyle name="Output 11 2" xfId="3723"/>
    <cellStyle name="Output 11 3" xfId="3724"/>
    <cellStyle name="Output 11 4" xfId="3725"/>
    <cellStyle name="Output 11 5" xfId="3726"/>
    <cellStyle name="Output 11 6" xfId="3727"/>
    <cellStyle name="Output 11 7" xfId="3728"/>
    <cellStyle name="Output 11 8" xfId="3729"/>
    <cellStyle name="Output 11 9" xfId="3730"/>
    <cellStyle name="Output 12" xfId="3731"/>
    <cellStyle name="Output 12 2" xfId="3732"/>
    <cellStyle name="Output 13" xfId="3733"/>
    <cellStyle name="Output 14" xfId="3734"/>
    <cellStyle name="Output 15" xfId="3735"/>
    <cellStyle name="Output 16" xfId="3736"/>
    <cellStyle name="Output 17" xfId="3737"/>
    <cellStyle name="Output 18" xfId="3738"/>
    <cellStyle name="Output 19" xfId="3739"/>
    <cellStyle name="Output 2" xfId="3740"/>
    <cellStyle name="Output 2 2" xfId="3741"/>
    <cellStyle name="Output 2 2 2" xfId="3742"/>
    <cellStyle name="Output 2 3" xfId="3743"/>
    <cellStyle name="Output 2 3 2" xfId="3744"/>
    <cellStyle name="Output 2 4" xfId="3745"/>
    <cellStyle name="Output 2 4 2" xfId="3746"/>
    <cellStyle name="Output 2 5" xfId="3747"/>
    <cellStyle name="Output 2 6" xfId="8902"/>
    <cellStyle name="Output 20" xfId="3748"/>
    <cellStyle name="Output 21" xfId="3749"/>
    <cellStyle name="Output 22" xfId="3750"/>
    <cellStyle name="Output 23" xfId="3751"/>
    <cellStyle name="Output 24" xfId="3752"/>
    <cellStyle name="Output 24 2" xfId="3753"/>
    <cellStyle name="Output 25" xfId="3754"/>
    <cellStyle name="Output 26" xfId="8922"/>
    <cellStyle name="Output 3" xfId="3755"/>
    <cellStyle name="Output 3 2" xfId="3756"/>
    <cellStyle name="Output 3 3" xfId="3757"/>
    <cellStyle name="Output 3 4" xfId="3758"/>
    <cellStyle name="Output 3 5" xfId="3759"/>
    <cellStyle name="Output 4" xfId="3760"/>
    <cellStyle name="Output 4 2" xfId="3761"/>
    <cellStyle name="Output 4 3" xfId="3762"/>
    <cellStyle name="Output 4 4" xfId="3763"/>
    <cellStyle name="Output 4 5" xfId="3764"/>
    <cellStyle name="Output 5" xfId="3765"/>
    <cellStyle name="Output 5 2" xfId="3766"/>
    <cellStyle name="Output 5 3" xfId="3767"/>
    <cellStyle name="Output 5 4" xfId="3768"/>
    <cellStyle name="Output 5 5" xfId="3769"/>
    <cellStyle name="Output 6" xfId="3770"/>
    <cellStyle name="Output 6 2" xfId="3771"/>
    <cellStyle name="Output 6 3" xfId="3772"/>
    <cellStyle name="Output 6 4" xfId="3773"/>
    <cellStyle name="Output 6 5" xfId="3774"/>
    <cellStyle name="Output 7" xfId="3775"/>
    <cellStyle name="Output 7 2" xfId="3776"/>
    <cellStyle name="Output 7 3" xfId="3777"/>
    <cellStyle name="Output 7 4" xfId="3778"/>
    <cellStyle name="Output 7 5" xfId="3779"/>
    <cellStyle name="Output 8" xfId="3780"/>
    <cellStyle name="Output 8 2" xfId="3781"/>
    <cellStyle name="Output 8 3" xfId="3782"/>
    <cellStyle name="Output 8 4" xfId="3783"/>
    <cellStyle name="Output 9" xfId="3784"/>
    <cellStyle name="Output 9 2" xfId="3785"/>
    <cellStyle name="Output 9 3" xfId="3786"/>
    <cellStyle name="Output 9 4" xfId="3787"/>
    <cellStyle name="Output 9 5" xfId="3788"/>
    <cellStyle name="Output 9 6" xfId="3789"/>
    <cellStyle name="Output 9 7" xfId="3790"/>
    <cellStyle name="Output 9 8" xfId="3791"/>
    <cellStyle name="Output 9 9" xfId="3792"/>
    <cellStyle name="Percent" xfId="22" builtinId="5"/>
    <cellStyle name="Percent 10" xfId="8716"/>
    <cellStyle name="Percent 11" xfId="9481"/>
    <cellStyle name="Percent 2" xfId="26"/>
    <cellStyle name="Percent 2 2" xfId="3793"/>
    <cellStyle name="Percent 2 2 2" xfId="8765"/>
    <cellStyle name="Percent 2 3" xfId="3794"/>
    <cellStyle name="Percent 2 4" xfId="3795"/>
    <cellStyle name="Percent 2 5" xfId="3796"/>
    <cellStyle name="Percent 2 6" xfId="8304"/>
    <cellStyle name="Percent 2 7" xfId="8757"/>
    <cellStyle name="Percent 2 8" xfId="9007"/>
    <cellStyle name="Percent 3" xfId="3797"/>
    <cellStyle name="Percent 3 2" xfId="8969"/>
    <cellStyle name="Percent 3 3" xfId="8761"/>
    <cellStyle name="Percent 4" xfId="3798"/>
    <cellStyle name="Percent 4 2" xfId="8767"/>
    <cellStyle name="Percent 5" xfId="3799"/>
    <cellStyle name="Percent 5 2" xfId="8848"/>
    <cellStyle name="Percent 5 3" xfId="9426"/>
    <cellStyle name="Percent 6" xfId="3800"/>
    <cellStyle name="Percent 6 2" xfId="3801"/>
    <cellStyle name="Percent 7" xfId="3802"/>
    <cellStyle name="Percent 8" xfId="3803"/>
    <cellStyle name="Percent 8 2" xfId="3804"/>
    <cellStyle name="Percent 8 3" xfId="8947"/>
    <cellStyle name="Percent 8 4" xfId="9450"/>
    <cellStyle name="Percent 9" xfId="8721"/>
    <cellStyle name="Percent2" xfId="23"/>
    <cellStyle name="Percent2 2" xfId="8299"/>
    <cellStyle name="Percent2 3" xfId="8758"/>
    <cellStyle name="percent3" xfId="24"/>
    <cellStyle name="percent3 2" xfId="8300"/>
    <cellStyle name="percent3 3" xfId="8759"/>
    <cellStyle name="RowHeading" xfId="3805"/>
    <cellStyle name="SAPBEXaggData" xfId="3806"/>
    <cellStyle name="SAPBEXaggData 10" xfId="3807"/>
    <cellStyle name="SAPBEXaggData 100" xfId="3808"/>
    <cellStyle name="SAPBEXaggData 101" xfId="3809"/>
    <cellStyle name="SAPBEXaggData 102" xfId="3810"/>
    <cellStyle name="SAPBEXaggData 103" xfId="3811"/>
    <cellStyle name="SAPBEXaggData 104" xfId="3812"/>
    <cellStyle name="SAPBEXaggData 105" xfId="3813"/>
    <cellStyle name="SAPBEXaggData 106" xfId="3814"/>
    <cellStyle name="SAPBEXaggData 107" xfId="3815"/>
    <cellStyle name="SAPBEXaggData 108" xfId="3816"/>
    <cellStyle name="SAPBEXaggData 109" xfId="3817"/>
    <cellStyle name="SAPBEXaggData 11" xfId="3818"/>
    <cellStyle name="SAPBEXaggData 110" xfId="3819"/>
    <cellStyle name="SAPBEXaggData 12" xfId="3820"/>
    <cellStyle name="SAPBEXaggData 13" xfId="3821"/>
    <cellStyle name="SAPBEXaggData 14" xfId="3822"/>
    <cellStyle name="SAPBEXaggData 15" xfId="3823"/>
    <cellStyle name="SAPBEXaggData 16" xfId="3824"/>
    <cellStyle name="SAPBEXaggData 17" xfId="3825"/>
    <cellStyle name="SAPBEXaggData 18" xfId="3826"/>
    <cellStyle name="SAPBEXaggData 19" xfId="3827"/>
    <cellStyle name="SAPBEXaggData 2" xfId="3828"/>
    <cellStyle name="SAPBEXaggData 20" xfId="3829"/>
    <cellStyle name="SAPBEXaggData 21" xfId="3830"/>
    <cellStyle name="SAPBEXaggData 22" xfId="3831"/>
    <cellStyle name="SAPBEXaggData 23" xfId="3832"/>
    <cellStyle name="SAPBEXaggData 24" xfId="3833"/>
    <cellStyle name="SAPBEXaggData 25" xfId="3834"/>
    <cellStyle name="SAPBEXaggData 26" xfId="3835"/>
    <cellStyle name="SAPBEXaggData 27" xfId="3836"/>
    <cellStyle name="SAPBEXaggData 28" xfId="3837"/>
    <cellStyle name="SAPBEXaggData 29" xfId="3838"/>
    <cellStyle name="SAPBEXaggData 3" xfId="3839"/>
    <cellStyle name="SAPBEXaggData 30" xfId="3840"/>
    <cellStyle name="SAPBEXaggData 31" xfId="3841"/>
    <cellStyle name="SAPBEXaggData 32" xfId="3842"/>
    <cellStyle name="SAPBEXaggData 33" xfId="3843"/>
    <cellStyle name="SAPBEXaggData 34" xfId="3844"/>
    <cellStyle name="SAPBEXaggData 35" xfId="3845"/>
    <cellStyle name="SAPBEXaggData 36" xfId="3846"/>
    <cellStyle name="SAPBEXaggData 37" xfId="3847"/>
    <cellStyle name="SAPBEXaggData 38" xfId="3848"/>
    <cellStyle name="SAPBEXaggData 39" xfId="3849"/>
    <cellStyle name="SAPBEXaggData 4" xfId="3850"/>
    <cellStyle name="SAPBEXaggData 40" xfId="3851"/>
    <cellStyle name="SAPBEXaggData 41" xfId="3852"/>
    <cellStyle name="SAPBEXaggData 42" xfId="3853"/>
    <cellStyle name="SAPBEXaggData 43" xfId="3854"/>
    <cellStyle name="SAPBEXaggData 44" xfId="3855"/>
    <cellStyle name="SAPBEXaggData 45" xfId="3856"/>
    <cellStyle name="SAPBEXaggData 46" xfId="3857"/>
    <cellStyle name="SAPBEXaggData 47" xfId="3858"/>
    <cellStyle name="SAPBEXaggData 48" xfId="3859"/>
    <cellStyle name="SAPBEXaggData 49" xfId="3860"/>
    <cellStyle name="SAPBEXaggData 5" xfId="3861"/>
    <cellStyle name="SAPBEXaggData 50" xfId="3862"/>
    <cellStyle name="SAPBEXaggData 51" xfId="3863"/>
    <cellStyle name="SAPBEXaggData 52" xfId="3864"/>
    <cellStyle name="SAPBEXaggData 53" xfId="3865"/>
    <cellStyle name="SAPBEXaggData 54" xfId="3866"/>
    <cellStyle name="SAPBEXaggData 55" xfId="3867"/>
    <cellStyle name="SAPBEXaggData 56" xfId="3868"/>
    <cellStyle name="SAPBEXaggData 57" xfId="3869"/>
    <cellStyle name="SAPBEXaggData 58" xfId="3870"/>
    <cellStyle name="SAPBEXaggData 59" xfId="3871"/>
    <cellStyle name="SAPBEXaggData 6" xfId="3872"/>
    <cellStyle name="SAPBEXaggData 60" xfId="3873"/>
    <cellStyle name="SAPBEXaggData 61" xfId="3874"/>
    <cellStyle name="SAPBEXaggData 62" xfId="3875"/>
    <cellStyle name="SAPBEXaggData 63" xfId="3876"/>
    <cellStyle name="SAPBEXaggData 64" xfId="3877"/>
    <cellStyle name="SAPBEXaggData 65" xfId="3878"/>
    <cellStyle name="SAPBEXaggData 66" xfId="3879"/>
    <cellStyle name="SAPBEXaggData 67" xfId="3880"/>
    <cellStyle name="SAPBEXaggData 68" xfId="3881"/>
    <cellStyle name="SAPBEXaggData 69" xfId="3882"/>
    <cellStyle name="SAPBEXaggData 7" xfId="3883"/>
    <cellStyle name="SAPBEXaggData 70" xfId="3884"/>
    <cellStyle name="SAPBEXaggData 71" xfId="3885"/>
    <cellStyle name="SAPBEXaggData 72" xfId="3886"/>
    <cellStyle name="SAPBEXaggData 73" xfId="3887"/>
    <cellStyle name="SAPBEXaggData 74" xfId="3888"/>
    <cellStyle name="SAPBEXaggData 75" xfId="3889"/>
    <cellStyle name="SAPBEXaggData 76" xfId="3890"/>
    <cellStyle name="SAPBEXaggData 77" xfId="3891"/>
    <cellStyle name="SAPBEXaggData 78" xfId="3892"/>
    <cellStyle name="SAPBEXaggData 79" xfId="3893"/>
    <cellStyle name="SAPBEXaggData 8" xfId="3894"/>
    <cellStyle name="SAPBEXaggData 80" xfId="3895"/>
    <cellStyle name="SAPBEXaggData 81" xfId="3896"/>
    <cellStyle name="SAPBEXaggData 82" xfId="3897"/>
    <cellStyle name="SAPBEXaggData 83" xfId="3898"/>
    <cellStyle name="SAPBEXaggData 84" xfId="3899"/>
    <cellStyle name="SAPBEXaggData 85" xfId="3900"/>
    <cellStyle name="SAPBEXaggData 86" xfId="3901"/>
    <cellStyle name="SAPBEXaggData 87" xfId="3902"/>
    <cellStyle name="SAPBEXaggData 88" xfId="3903"/>
    <cellStyle name="SAPBEXaggData 89" xfId="3904"/>
    <cellStyle name="SAPBEXaggData 9" xfId="3905"/>
    <cellStyle name="SAPBEXaggData 90" xfId="3906"/>
    <cellStyle name="SAPBEXaggData 91" xfId="3907"/>
    <cellStyle name="SAPBEXaggData 92" xfId="3908"/>
    <cellStyle name="SAPBEXaggData 93" xfId="3909"/>
    <cellStyle name="SAPBEXaggData 94" xfId="3910"/>
    <cellStyle name="SAPBEXaggData 95" xfId="3911"/>
    <cellStyle name="SAPBEXaggData 96" xfId="3912"/>
    <cellStyle name="SAPBEXaggData 97" xfId="3913"/>
    <cellStyle name="SAPBEXaggData 98" xfId="3914"/>
    <cellStyle name="SAPBEXaggData 99" xfId="3915"/>
    <cellStyle name="SAPBEXaggData_(A-7) IS-Inputs" xfId="3916"/>
    <cellStyle name="SAPBEXaggDataEmph" xfId="3917"/>
    <cellStyle name="SAPBEXaggDataEmph 10" xfId="3918"/>
    <cellStyle name="SAPBEXaggDataEmph 11" xfId="3919"/>
    <cellStyle name="SAPBEXaggDataEmph 12" xfId="3920"/>
    <cellStyle name="SAPBEXaggDataEmph 13" xfId="3921"/>
    <cellStyle name="SAPBEXaggDataEmph 14" xfId="3922"/>
    <cellStyle name="SAPBEXaggDataEmph 15" xfId="3923"/>
    <cellStyle name="SAPBEXaggDataEmph 16" xfId="3924"/>
    <cellStyle name="SAPBEXaggDataEmph 17" xfId="3925"/>
    <cellStyle name="SAPBEXaggDataEmph 18" xfId="3926"/>
    <cellStyle name="SAPBEXaggDataEmph 19" xfId="3927"/>
    <cellStyle name="SAPBEXaggDataEmph 2" xfId="3928"/>
    <cellStyle name="SAPBEXaggDataEmph 20" xfId="3929"/>
    <cellStyle name="SAPBEXaggDataEmph 21" xfId="3930"/>
    <cellStyle name="SAPBEXaggDataEmph 22" xfId="3931"/>
    <cellStyle name="SAPBEXaggDataEmph 23" xfId="3932"/>
    <cellStyle name="SAPBEXaggDataEmph 24" xfId="3933"/>
    <cellStyle name="SAPBEXaggDataEmph 25" xfId="3934"/>
    <cellStyle name="SAPBEXaggDataEmph 26" xfId="3935"/>
    <cellStyle name="SAPBEXaggDataEmph 27" xfId="3936"/>
    <cellStyle name="SAPBEXaggDataEmph 28" xfId="3937"/>
    <cellStyle name="SAPBEXaggDataEmph 29" xfId="3938"/>
    <cellStyle name="SAPBEXaggDataEmph 3" xfId="3939"/>
    <cellStyle name="SAPBEXaggDataEmph 30" xfId="3940"/>
    <cellStyle name="SAPBEXaggDataEmph 31" xfId="3941"/>
    <cellStyle name="SAPBEXaggDataEmph 32" xfId="3942"/>
    <cellStyle name="SAPBEXaggDataEmph 33" xfId="3943"/>
    <cellStyle name="SAPBEXaggDataEmph 34" xfId="3944"/>
    <cellStyle name="SAPBEXaggDataEmph 35" xfId="3945"/>
    <cellStyle name="SAPBEXaggDataEmph 36" xfId="3946"/>
    <cellStyle name="SAPBEXaggDataEmph 37" xfId="3947"/>
    <cellStyle name="SAPBEXaggDataEmph 38" xfId="3948"/>
    <cellStyle name="SAPBEXaggDataEmph 39" xfId="3949"/>
    <cellStyle name="SAPBEXaggDataEmph 4" xfId="3950"/>
    <cellStyle name="SAPBEXaggDataEmph 40" xfId="3951"/>
    <cellStyle name="SAPBEXaggDataEmph 41" xfId="3952"/>
    <cellStyle name="SAPBEXaggDataEmph 42" xfId="3953"/>
    <cellStyle name="SAPBEXaggDataEmph 43" xfId="3954"/>
    <cellStyle name="SAPBEXaggDataEmph 44" xfId="3955"/>
    <cellStyle name="SAPBEXaggDataEmph 45" xfId="3956"/>
    <cellStyle name="SAPBEXaggDataEmph 46" xfId="3957"/>
    <cellStyle name="SAPBEXaggDataEmph 5" xfId="3958"/>
    <cellStyle name="SAPBEXaggDataEmph 6" xfId="3959"/>
    <cellStyle name="SAPBEXaggDataEmph 7" xfId="3960"/>
    <cellStyle name="SAPBEXaggDataEmph 8" xfId="3961"/>
    <cellStyle name="SAPBEXaggDataEmph 9" xfId="3962"/>
    <cellStyle name="SAPBEXaggItem" xfId="3963"/>
    <cellStyle name="SAPBEXaggItem 10" xfId="3964"/>
    <cellStyle name="SAPBEXaggItem 100" xfId="3965"/>
    <cellStyle name="SAPBEXaggItem 101" xfId="3966"/>
    <cellStyle name="SAPBEXaggItem 102" xfId="3967"/>
    <cellStyle name="SAPBEXaggItem 103" xfId="3968"/>
    <cellStyle name="SAPBEXaggItem 104" xfId="3969"/>
    <cellStyle name="SAPBEXaggItem 105" xfId="3970"/>
    <cellStyle name="SAPBEXaggItem 106" xfId="3971"/>
    <cellStyle name="SAPBEXaggItem 107" xfId="3972"/>
    <cellStyle name="SAPBEXaggItem 108" xfId="3973"/>
    <cellStyle name="SAPBEXaggItem 109" xfId="3974"/>
    <cellStyle name="SAPBEXaggItem 11" xfId="3975"/>
    <cellStyle name="SAPBEXaggItem 110" xfId="3976"/>
    <cellStyle name="SAPBEXaggItem 12" xfId="3977"/>
    <cellStyle name="SAPBEXaggItem 13" xfId="3978"/>
    <cellStyle name="SAPBEXaggItem 14" xfId="3979"/>
    <cellStyle name="SAPBEXaggItem 15" xfId="3980"/>
    <cellStyle name="SAPBEXaggItem 16" xfId="3981"/>
    <cellStyle name="SAPBEXaggItem 17" xfId="3982"/>
    <cellStyle name="SAPBEXaggItem 18" xfId="3983"/>
    <cellStyle name="SAPBEXaggItem 19" xfId="3984"/>
    <cellStyle name="SAPBEXaggItem 2" xfId="3985"/>
    <cellStyle name="SAPBEXaggItem 20" xfId="3986"/>
    <cellStyle name="SAPBEXaggItem 21" xfId="3987"/>
    <cellStyle name="SAPBEXaggItem 22" xfId="3988"/>
    <cellStyle name="SAPBEXaggItem 23" xfId="3989"/>
    <cellStyle name="SAPBEXaggItem 24" xfId="3990"/>
    <cellStyle name="SAPBEXaggItem 25" xfId="3991"/>
    <cellStyle name="SAPBEXaggItem 26" xfId="3992"/>
    <cellStyle name="SAPBEXaggItem 27" xfId="3993"/>
    <cellStyle name="SAPBEXaggItem 28" xfId="3994"/>
    <cellStyle name="SAPBEXaggItem 29" xfId="3995"/>
    <cellStyle name="SAPBEXaggItem 3" xfId="3996"/>
    <cellStyle name="SAPBEXaggItem 30" xfId="3997"/>
    <cellStyle name="SAPBEXaggItem 31" xfId="3998"/>
    <cellStyle name="SAPBEXaggItem 32" xfId="3999"/>
    <cellStyle name="SAPBEXaggItem 33" xfId="4000"/>
    <cellStyle name="SAPBEXaggItem 34" xfId="4001"/>
    <cellStyle name="SAPBEXaggItem 35" xfId="4002"/>
    <cellStyle name="SAPBEXaggItem 36" xfId="4003"/>
    <cellStyle name="SAPBEXaggItem 37" xfId="4004"/>
    <cellStyle name="SAPBEXaggItem 38" xfId="4005"/>
    <cellStyle name="SAPBEXaggItem 39" xfId="4006"/>
    <cellStyle name="SAPBEXaggItem 4" xfId="4007"/>
    <cellStyle name="SAPBEXaggItem 40" xfId="4008"/>
    <cellStyle name="SAPBEXaggItem 41" xfId="4009"/>
    <cellStyle name="SAPBEXaggItem 42" xfId="4010"/>
    <cellStyle name="SAPBEXaggItem 43" xfId="4011"/>
    <cellStyle name="SAPBEXaggItem 44" xfId="4012"/>
    <cellStyle name="SAPBEXaggItem 45" xfId="4013"/>
    <cellStyle name="SAPBEXaggItem 46" xfId="4014"/>
    <cellStyle name="SAPBEXaggItem 47" xfId="4015"/>
    <cellStyle name="SAPBEXaggItem 48" xfId="4016"/>
    <cellStyle name="SAPBEXaggItem 49" xfId="4017"/>
    <cellStyle name="SAPBEXaggItem 5" xfId="4018"/>
    <cellStyle name="SAPBEXaggItem 50" xfId="4019"/>
    <cellStyle name="SAPBEXaggItem 51" xfId="4020"/>
    <cellStyle name="SAPBEXaggItem 52" xfId="4021"/>
    <cellStyle name="SAPBEXaggItem 53" xfId="4022"/>
    <cellStyle name="SAPBEXaggItem 54" xfId="4023"/>
    <cellStyle name="SAPBEXaggItem 55" xfId="4024"/>
    <cellStyle name="SAPBEXaggItem 56" xfId="4025"/>
    <cellStyle name="SAPBEXaggItem 57" xfId="4026"/>
    <cellStyle name="SAPBEXaggItem 58" xfId="4027"/>
    <cellStyle name="SAPBEXaggItem 59" xfId="4028"/>
    <cellStyle name="SAPBEXaggItem 6" xfId="4029"/>
    <cellStyle name="SAPBEXaggItem 60" xfId="4030"/>
    <cellStyle name="SAPBEXaggItem 61" xfId="4031"/>
    <cellStyle name="SAPBEXaggItem 62" xfId="4032"/>
    <cellStyle name="SAPBEXaggItem 63" xfId="4033"/>
    <cellStyle name="SAPBEXaggItem 64" xfId="4034"/>
    <cellStyle name="SAPBEXaggItem 65" xfId="4035"/>
    <cellStyle name="SAPBEXaggItem 66" xfId="4036"/>
    <cellStyle name="SAPBEXaggItem 67" xfId="4037"/>
    <cellStyle name="SAPBEXaggItem 68" xfId="4038"/>
    <cellStyle name="SAPBEXaggItem 69" xfId="4039"/>
    <cellStyle name="SAPBEXaggItem 7" xfId="4040"/>
    <cellStyle name="SAPBEXaggItem 70" xfId="4041"/>
    <cellStyle name="SAPBEXaggItem 71" xfId="4042"/>
    <cellStyle name="SAPBEXaggItem 72" xfId="4043"/>
    <cellStyle name="SAPBEXaggItem 73" xfId="4044"/>
    <cellStyle name="SAPBEXaggItem 74" xfId="4045"/>
    <cellStyle name="SAPBEXaggItem 75" xfId="4046"/>
    <cellStyle name="SAPBEXaggItem 76" xfId="4047"/>
    <cellStyle name="SAPBEXaggItem 77" xfId="4048"/>
    <cellStyle name="SAPBEXaggItem 78" xfId="4049"/>
    <cellStyle name="SAPBEXaggItem 79" xfId="4050"/>
    <cellStyle name="SAPBEXaggItem 8" xfId="4051"/>
    <cellStyle name="SAPBEXaggItem 80" xfId="4052"/>
    <cellStyle name="SAPBEXaggItem 81" xfId="4053"/>
    <cellStyle name="SAPBEXaggItem 82" xfId="4054"/>
    <cellStyle name="SAPBEXaggItem 83" xfId="4055"/>
    <cellStyle name="SAPBEXaggItem 84" xfId="4056"/>
    <cellStyle name="SAPBEXaggItem 85" xfId="4057"/>
    <cellStyle name="SAPBEXaggItem 86" xfId="4058"/>
    <cellStyle name="SAPBEXaggItem 87" xfId="4059"/>
    <cellStyle name="SAPBEXaggItem 88" xfId="4060"/>
    <cellStyle name="SAPBEXaggItem 89" xfId="4061"/>
    <cellStyle name="SAPBEXaggItem 9" xfId="4062"/>
    <cellStyle name="SAPBEXaggItem 90" xfId="4063"/>
    <cellStyle name="SAPBEXaggItem 91" xfId="4064"/>
    <cellStyle name="SAPBEXaggItem 92" xfId="4065"/>
    <cellStyle name="SAPBEXaggItem 93" xfId="4066"/>
    <cellStyle name="SAPBEXaggItem 94" xfId="4067"/>
    <cellStyle name="SAPBEXaggItem 95" xfId="4068"/>
    <cellStyle name="SAPBEXaggItem 96" xfId="4069"/>
    <cellStyle name="SAPBEXaggItem 97" xfId="4070"/>
    <cellStyle name="SAPBEXaggItem 98" xfId="4071"/>
    <cellStyle name="SAPBEXaggItem 99" xfId="4072"/>
    <cellStyle name="SAPBEXaggItem_(A-7) IS-Inputs" xfId="4073"/>
    <cellStyle name="SAPBEXaggItemX" xfId="4074"/>
    <cellStyle name="SAPBEXaggItemX 10" xfId="4075"/>
    <cellStyle name="SAPBEXaggItemX 11" xfId="4076"/>
    <cellStyle name="SAPBEXaggItemX 12" xfId="4077"/>
    <cellStyle name="SAPBEXaggItemX 13" xfId="4078"/>
    <cellStyle name="SAPBEXaggItemX 14" xfId="4079"/>
    <cellStyle name="SAPBEXaggItemX 15" xfId="4080"/>
    <cellStyle name="SAPBEXaggItemX 16" xfId="4081"/>
    <cellStyle name="SAPBEXaggItemX 17" xfId="4082"/>
    <cellStyle name="SAPBEXaggItemX 18" xfId="4083"/>
    <cellStyle name="SAPBEXaggItemX 19" xfId="4084"/>
    <cellStyle name="SAPBEXaggItemX 2" xfId="4085"/>
    <cellStyle name="SAPBEXaggItemX 2 2" xfId="4086"/>
    <cellStyle name="SAPBEXaggItemX 20" xfId="4087"/>
    <cellStyle name="SAPBEXaggItemX 21" xfId="4088"/>
    <cellStyle name="SAPBEXaggItemX 22" xfId="4089"/>
    <cellStyle name="SAPBEXaggItemX 23" xfId="4090"/>
    <cellStyle name="SAPBEXaggItemX 24" xfId="4091"/>
    <cellStyle name="SAPBEXaggItemX 25" xfId="4092"/>
    <cellStyle name="SAPBEXaggItemX 26" xfId="4093"/>
    <cellStyle name="SAPBEXaggItemX 27" xfId="4094"/>
    <cellStyle name="SAPBEXaggItemX 28" xfId="4095"/>
    <cellStyle name="SAPBEXaggItemX 29" xfId="4096"/>
    <cellStyle name="SAPBEXaggItemX 3" xfId="4097"/>
    <cellStyle name="SAPBEXaggItemX 30" xfId="4098"/>
    <cellStyle name="SAPBEXaggItemX 31" xfId="4099"/>
    <cellStyle name="SAPBEXaggItemX 32" xfId="4100"/>
    <cellStyle name="SAPBEXaggItemX 33" xfId="4101"/>
    <cellStyle name="SAPBEXaggItemX 34" xfId="4102"/>
    <cellStyle name="SAPBEXaggItemX 35" xfId="4103"/>
    <cellStyle name="SAPBEXaggItemX 36" xfId="4104"/>
    <cellStyle name="SAPBEXaggItemX 37" xfId="4105"/>
    <cellStyle name="SAPBEXaggItemX 38" xfId="4106"/>
    <cellStyle name="SAPBEXaggItemX 39" xfId="4107"/>
    <cellStyle name="SAPBEXaggItemX 4" xfId="4108"/>
    <cellStyle name="SAPBEXaggItemX 40" xfId="4109"/>
    <cellStyle name="SAPBEXaggItemX 41" xfId="4110"/>
    <cellStyle name="SAPBEXaggItemX 42" xfId="4111"/>
    <cellStyle name="SAPBEXaggItemX 43" xfId="4112"/>
    <cellStyle name="SAPBEXaggItemX 44" xfId="4113"/>
    <cellStyle name="SAPBEXaggItemX 45" xfId="4114"/>
    <cellStyle name="SAPBEXaggItemX 46" xfId="4115"/>
    <cellStyle name="SAPBEXaggItemX 5" xfId="4116"/>
    <cellStyle name="SAPBEXaggItemX 6" xfId="4117"/>
    <cellStyle name="SAPBEXaggItemX 7" xfId="4118"/>
    <cellStyle name="SAPBEXaggItemX 8" xfId="4119"/>
    <cellStyle name="SAPBEXaggItemX 9" xfId="4120"/>
    <cellStyle name="SAPBEXchaText" xfId="4121"/>
    <cellStyle name="SAPBEXchaText 10" xfId="4122"/>
    <cellStyle name="SAPBEXchaText 100" xfId="4123"/>
    <cellStyle name="SAPBEXchaText 101" xfId="4124"/>
    <cellStyle name="SAPBEXchaText 102" xfId="4125"/>
    <cellStyle name="SAPBEXchaText 103" xfId="4126"/>
    <cellStyle name="SAPBEXchaText 104" xfId="4127"/>
    <cellStyle name="SAPBEXchaText 105" xfId="4128"/>
    <cellStyle name="SAPBEXchaText 106" xfId="4129"/>
    <cellStyle name="SAPBEXchaText 107" xfId="4130"/>
    <cellStyle name="SAPBEXchaText 108" xfId="4131"/>
    <cellStyle name="SAPBEXchaText 109" xfId="4132"/>
    <cellStyle name="SAPBEXchaText 11" xfId="4133"/>
    <cellStyle name="SAPBEXchaText 110" xfId="4134"/>
    <cellStyle name="SAPBEXchaText 12" xfId="4135"/>
    <cellStyle name="SAPBEXchaText 13" xfId="4136"/>
    <cellStyle name="SAPBEXchaText 14" xfId="4137"/>
    <cellStyle name="SAPBEXchaText 15" xfId="4138"/>
    <cellStyle name="SAPBEXchaText 16" xfId="4139"/>
    <cellStyle name="SAPBEXchaText 17" xfId="4140"/>
    <cellStyle name="SAPBEXchaText 18" xfId="4141"/>
    <cellStyle name="SAPBEXchaText 19" xfId="4142"/>
    <cellStyle name="SAPBEXchaText 2" xfId="4143"/>
    <cellStyle name="SAPBEXchaText 20" xfId="4144"/>
    <cellStyle name="SAPBEXchaText 21" xfId="4145"/>
    <cellStyle name="SAPBEXchaText 22" xfId="4146"/>
    <cellStyle name="SAPBEXchaText 23" xfId="4147"/>
    <cellStyle name="SAPBEXchaText 24" xfId="4148"/>
    <cellStyle name="SAPBEXchaText 25" xfId="4149"/>
    <cellStyle name="SAPBEXchaText 26" xfId="4150"/>
    <cellStyle name="SAPBEXchaText 27" xfId="4151"/>
    <cellStyle name="SAPBEXchaText 28" xfId="4152"/>
    <cellStyle name="SAPBEXchaText 29" xfId="4153"/>
    <cellStyle name="SAPBEXchaText 3" xfId="4154"/>
    <cellStyle name="SAPBEXchaText 30" xfId="4155"/>
    <cellStyle name="SAPBEXchaText 31" xfId="4156"/>
    <cellStyle name="SAPBEXchaText 32" xfId="4157"/>
    <cellStyle name="SAPBEXchaText 33" xfId="4158"/>
    <cellStyle name="SAPBEXchaText 34" xfId="4159"/>
    <cellStyle name="SAPBEXchaText 35" xfId="4160"/>
    <cellStyle name="SAPBEXchaText 36" xfId="4161"/>
    <cellStyle name="SAPBEXchaText 37" xfId="4162"/>
    <cellStyle name="SAPBEXchaText 38" xfId="4163"/>
    <cellStyle name="SAPBEXchaText 39" xfId="4164"/>
    <cellStyle name="SAPBEXchaText 4" xfId="4165"/>
    <cellStyle name="SAPBEXchaText 40" xfId="4166"/>
    <cellStyle name="SAPBEXchaText 41" xfId="4167"/>
    <cellStyle name="SAPBEXchaText 42" xfId="4168"/>
    <cellStyle name="SAPBEXchaText 43" xfId="4169"/>
    <cellStyle name="SAPBEXchaText 44" xfId="4170"/>
    <cellStyle name="SAPBEXchaText 45" xfId="4171"/>
    <cellStyle name="SAPBEXchaText 46" xfId="4172"/>
    <cellStyle name="SAPBEXchaText 47" xfId="4173"/>
    <cellStyle name="SAPBEXchaText 48" xfId="4174"/>
    <cellStyle name="SAPBEXchaText 49" xfId="4175"/>
    <cellStyle name="SAPBEXchaText 5" xfId="4176"/>
    <cellStyle name="SAPBEXchaText 50" xfId="4177"/>
    <cellStyle name="SAPBEXchaText 51" xfId="4178"/>
    <cellStyle name="SAPBEXchaText 52" xfId="4179"/>
    <cellStyle name="SAPBEXchaText 53" xfId="4180"/>
    <cellStyle name="SAPBEXchaText 54" xfId="4181"/>
    <cellStyle name="SAPBEXchaText 55" xfId="4182"/>
    <cellStyle name="SAPBEXchaText 56" xfId="4183"/>
    <cellStyle name="SAPBEXchaText 57" xfId="4184"/>
    <cellStyle name="SAPBEXchaText 58" xfId="4185"/>
    <cellStyle name="SAPBEXchaText 59" xfId="4186"/>
    <cellStyle name="SAPBEXchaText 6" xfId="4187"/>
    <cellStyle name="SAPBEXchaText 60" xfId="4188"/>
    <cellStyle name="SAPBEXchaText 61" xfId="4189"/>
    <cellStyle name="SAPBEXchaText 62" xfId="4190"/>
    <cellStyle name="SAPBEXchaText 63" xfId="4191"/>
    <cellStyle name="SAPBEXchaText 64" xfId="4192"/>
    <cellStyle name="SAPBEXchaText 65" xfId="4193"/>
    <cellStyle name="SAPBEXchaText 66" xfId="4194"/>
    <cellStyle name="SAPBEXchaText 67" xfId="4195"/>
    <cellStyle name="SAPBEXchaText 68" xfId="4196"/>
    <cellStyle name="SAPBEXchaText 69" xfId="4197"/>
    <cellStyle name="SAPBEXchaText 7" xfId="4198"/>
    <cellStyle name="SAPBEXchaText 70" xfId="4199"/>
    <cellStyle name="SAPBEXchaText 71" xfId="4200"/>
    <cellStyle name="SAPBEXchaText 72" xfId="4201"/>
    <cellStyle name="SAPBEXchaText 73" xfId="4202"/>
    <cellStyle name="SAPBEXchaText 74" xfId="4203"/>
    <cellStyle name="SAPBEXchaText 75" xfId="4204"/>
    <cellStyle name="SAPBEXchaText 76" xfId="4205"/>
    <cellStyle name="SAPBEXchaText 77" xfId="4206"/>
    <cellStyle name="SAPBEXchaText 78" xfId="4207"/>
    <cellStyle name="SAPBEXchaText 79" xfId="4208"/>
    <cellStyle name="SAPBEXchaText 8" xfId="4209"/>
    <cellStyle name="SAPBEXchaText 80" xfId="4210"/>
    <cellStyle name="SAPBEXchaText 81" xfId="4211"/>
    <cellStyle name="SAPBEXchaText 82" xfId="4212"/>
    <cellStyle name="SAPBEXchaText 83" xfId="4213"/>
    <cellStyle name="SAPBEXchaText 84" xfId="4214"/>
    <cellStyle name="SAPBEXchaText 85" xfId="4215"/>
    <cellStyle name="SAPBEXchaText 86" xfId="4216"/>
    <cellStyle name="SAPBEXchaText 87" xfId="4217"/>
    <cellStyle name="SAPBEXchaText 88" xfId="4218"/>
    <cellStyle name="SAPBEXchaText 89" xfId="4219"/>
    <cellStyle name="SAPBEXchaText 9" xfId="4220"/>
    <cellStyle name="SAPBEXchaText 90" xfId="4221"/>
    <cellStyle name="SAPBEXchaText 91" xfId="4222"/>
    <cellStyle name="SAPBEXchaText 92" xfId="4223"/>
    <cellStyle name="SAPBEXchaText 93" xfId="4224"/>
    <cellStyle name="SAPBEXchaText 94" xfId="4225"/>
    <cellStyle name="SAPBEXchaText 95" xfId="4226"/>
    <cellStyle name="SAPBEXchaText 96" xfId="4227"/>
    <cellStyle name="SAPBEXchaText 97" xfId="4228"/>
    <cellStyle name="SAPBEXchaText 98" xfId="4229"/>
    <cellStyle name="SAPBEXchaText 99" xfId="4230"/>
    <cellStyle name="SAPBEXchaText_(A-7) IS-Inputs" xfId="4231"/>
    <cellStyle name="SAPBEXexcBad7" xfId="4232"/>
    <cellStyle name="SAPBEXexcBad7 10" xfId="4233"/>
    <cellStyle name="SAPBEXexcBad7 100" xfId="4234"/>
    <cellStyle name="SAPBEXexcBad7 101" xfId="4235"/>
    <cellStyle name="SAPBEXexcBad7 102" xfId="4236"/>
    <cellStyle name="SAPBEXexcBad7 103" xfId="4237"/>
    <cellStyle name="SAPBEXexcBad7 104" xfId="4238"/>
    <cellStyle name="SAPBEXexcBad7 105" xfId="4239"/>
    <cellStyle name="SAPBEXexcBad7 106" xfId="4240"/>
    <cellStyle name="SAPBEXexcBad7 107" xfId="4241"/>
    <cellStyle name="SAPBEXexcBad7 108" xfId="4242"/>
    <cellStyle name="SAPBEXexcBad7 109" xfId="4243"/>
    <cellStyle name="SAPBEXexcBad7 11" xfId="4244"/>
    <cellStyle name="SAPBEXexcBad7 110" xfId="4245"/>
    <cellStyle name="SAPBEXexcBad7 12" xfId="4246"/>
    <cellStyle name="SAPBEXexcBad7 13" xfId="4247"/>
    <cellStyle name="SAPBEXexcBad7 14" xfId="4248"/>
    <cellStyle name="SAPBEXexcBad7 15" xfId="4249"/>
    <cellStyle name="SAPBEXexcBad7 16" xfId="4250"/>
    <cellStyle name="SAPBEXexcBad7 17" xfId="4251"/>
    <cellStyle name="SAPBEXexcBad7 18" xfId="4252"/>
    <cellStyle name="SAPBEXexcBad7 19" xfId="4253"/>
    <cellStyle name="SAPBEXexcBad7 2" xfId="4254"/>
    <cellStyle name="SAPBEXexcBad7 20" xfId="4255"/>
    <cellStyle name="SAPBEXexcBad7 21" xfId="4256"/>
    <cellStyle name="SAPBEXexcBad7 22" xfId="4257"/>
    <cellStyle name="SAPBEXexcBad7 23" xfId="4258"/>
    <cellStyle name="SAPBEXexcBad7 24" xfId="4259"/>
    <cellStyle name="SAPBEXexcBad7 25" xfId="4260"/>
    <cellStyle name="SAPBEXexcBad7 26" xfId="4261"/>
    <cellStyle name="SAPBEXexcBad7 27" xfId="4262"/>
    <cellStyle name="SAPBEXexcBad7 28" xfId="4263"/>
    <cellStyle name="SAPBEXexcBad7 29" xfId="4264"/>
    <cellStyle name="SAPBEXexcBad7 3" xfId="4265"/>
    <cellStyle name="SAPBEXexcBad7 30" xfId="4266"/>
    <cellStyle name="SAPBEXexcBad7 31" xfId="4267"/>
    <cellStyle name="SAPBEXexcBad7 32" xfId="4268"/>
    <cellStyle name="SAPBEXexcBad7 33" xfId="4269"/>
    <cellStyle name="SAPBEXexcBad7 34" xfId="4270"/>
    <cellStyle name="SAPBEXexcBad7 35" xfId="4271"/>
    <cellStyle name="SAPBEXexcBad7 36" xfId="4272"/>
    <cellStyle name="SAPBEXexcBad7 37" xfId="4273"/>
    <cellStyle name="SAPBEXexcBad7 38" xfId="4274"/>
    <cellStyle name="SAPBEXexcBad7 39" xfId="4275"/>
    <cellStyle name="SAPBEXexcBad7 4" xfId="4276"/>
    <cellStyle name="SAPBEXexcBad7 40" xfId="4277"/>
    <cellStyle name="SAPBEXexcBad7 41" xfId="4278"/>
    <cellStyle name="SAPBEXexcBad7 42" xfId="4279"/>
    <cellStyle name="SAPBEXexcBad7 43" xfId="4280"/>
    <cellStyle name="SAPBEXexcBad7 44" xfId="4281"/>
    <cellStyle name="SAPBEXexcBad7 45" xfId="4282"/>
    <cellStyle name="SAPBEXexcBad7 46" xfId="4283"/>
    <cellStyle name="SAPBEXexcBad7 47" xfId="4284"/>
    <cellStyle name="SAPBEXexcBad7 48" xfId="4285"/>
    <cellStyle name="SAPBEXexcBad7 49" xfId="4286"/>
    <cellStyle name="SAPBEXexcBad7 5" xfId="4287"/>
    <cellStyle name="SAPBEXexcBad7 50" xfId="4288"/>
    <cellStyle name="SAPBEXexcBad7 51" xfId="4289"/>
    <cellStyle name="SAPBEXexcBad7 52" xfId="4290"/>
    <cellStyle name="SAPBEXexcBad7 53" xfId="4291"/>
    <cellStyle name="SAPBEXexcBad7 54" xfId="4292"/>
    <cellStyle name="SAPBEXexcBad7 55" xfId="4293"/>
    <cellStyle name="SAPBEXexcBad7 56" xfId="4294"/>
    <cellStyle name="SAPBEXexcBad7 57" xfId="4295"/>
    <cellStyle name="SAPBEXexcBad7 58" xfId="4296"/>
    <cellStyle name="SAPBEXexcBad7 59" xfId="4297"/>
    <cellStyle name="SAPBEXexcBad7 6" xfId="4298"/>
    <cellStyle name="SAPBEXexcBad7 60" xfId="4299"/>
    <cellStyle name="SAPBEXexcBad7 61" xfId="4300"/>
    <cellStyle name="SAPBEXexcBad7 62" xfId="4301"/>
    <cellStyle name="SAPBEXexcBad7 63" xfId="4302"/>
    <cellStyle name="SAPBEXexcBad7 64" xfId="4303"/>
    <cellStyle name="SAPBEXexcBad7 65" xfId="4304"/>
    <cellStyle name="SAPBEXexcBad7 66" xfId="4305"/>
    <cellStyle name="SAPBEXexcBad7 67" xfId="4306"/>
    <cellStyle name="SAPBEXexcBad7 68" xfId="4307"/>
    <cellStyle name="SAPBEXexcBad7 69" xfId="4308"/>
    <cellStyle name="SAPBEXexcBad7 7" xfId="4309"/>
    <cellStyle name="SAPBEXexcBad7 70" xfId="4310"/>
    <cellStyle name="SAPBEXexcBad7 71" xfId="4311"/>
    <cellStyle name="SAPBEXexcBad7 72" xfId="4312"/>
    <cellStyle name="SAPBEXexcBad7 73" xfId="4313"/>
    <cellStyle name="SAPBEXexcBad7 74" xfId="4314"/>
    <cellStyle name="SAPBEXexcBad7 75" xfId="4315"/>
    <cellStyle name="SAPBEXexcBad7 76" xfId="4316"/>
    <cellStyle name="SAPBEXexcBad7 77" xfId="4317"/>
    <cellStyle name="SAPBEXexcBad7 78" xfId="4318"/>
    <cellStyle name="SAPBEXexcBad7 79" xfId="4319"/>
    <cellStyle name="SAPBEXexcBad7 8" xfId="4320"/>
    <cellStyle name="SAPBEXexcBad7 80" xfId="4321"/>
    <cellStyle name="SAPBEXexcBad7 81" xfId="4322"/>
    <cellStyle name="SAPBEXexcBad7 82" xfId="4323"/>
    <cellStyle name="SAPBEXexcBad7 83" xfId="4324"/>
    <cellStyle name="SAPBEXexcBad7 84" xfId="4325"/>
    <cellStyle name="SAPBEXexcBad7 85" xfId="4326"/>
    <cellStyle name="SAPBEXexcBad7 86" xfId="4327"/>
    <cellStyle name="SAPBEXexcBad7 87" xfId="4328"/>
    <cellStyle name="SAPBEXexcBad7 88" xfId="4329"/>
    <cellStyle name="SAPBEXexcBad7 89" xfId="4330"/>
    <cellStyle name="SAPBEXexcBad7 9" xfId="4331"/>
    <cellStyle name="SAPBEXexcBad7 90" xfId="4332"/>
    <cellStyle name="SAPBEXexcBad7 91" xfId="4333"/>
    <cellStyle name="SAPBEXexcBad7 92" xfId="4334"/>
    <cellStyle name="SAPBEXexcBad7 93" xfId="4335"/>
    <cellStyle name="SAPBEXexcBad7 94" xfId="4336"/>
    <cellStyle name="SAPBEXexcBad7 95" xfId="4337"/>
    <cellStyle name="SAPBEXexcBad7 96" xfId="4338"/>
    <cellStyle name="SAPBEXexcBad7 97" xfId="4339"/>
    <cellStyle name="SAPBEXexcBad7 98" xfId="4340"/>
    <cellStyle name="SAPBEXexcBad7 99" xfId="4341"/>
    <cellStyle name="SAPBEXexcBad7_(A-7) IS-Inputs" xfId="4342"/>
    <cellStyle name="SAPBEXexcBad8" xfId="4343"/>
    <cellStyle name="SAPBEXexcBad8 10" xfId="4344"/>
    <cellStyle name="SAPBEXexcBad8 100" xfId="4345"/>
    <cellStyle name="SAPBEXexcBad8 101" xfId="4346"/>
    <cellStyle name="SAPBEXexcBad8 102" xfId="4347"/>
    <cellStyle name="SAPBEXexcBad8 103" xfId="4348"/>
    <cellStyle name="SAPBEXexcBad8 104" xfId="4349"/>
    <cellStyle name="SAPBEXexcBad8 105" xfId="4350"/>
    <cellStyle name="SAPBEXexcBad8 106" xfId="4351"/>
    <cellStyle name="SAPBEXexcBad8 107" xfId="4352"/>
    <cellStyle name="SAPBEXexcBad8 108" xfId="4353"/>
    <cellStyle name="SAPBEXexcBad8 109" xfId="4354"/>
    <cellStyle name="SAPBEXexcBad8 11" xfId="4355"/>
    <cellStyle name="SAPBEXexcBad8 110" xfId="4356"/>
    <cellStyle name="SAPBEXexcBad8 12" xfId="4357"/>
    <cellStyle name="SAPBEXexcBad8 13" xfId="4358"/>
    <cellStyle name="SAPBEXexcBad8 14" xfId="4359"/>
    <cellStyle name="SAPBEXexcBad8 15" xfId="4360"/>
    <cellStyle name="SAPBEXexcBad8 16" xfId="4361"/>
    <cellStyle name="SAPBEXexcBad8 17" xfId="4362"/>
    <cellStyle name="SAPBEXexcBad8 18" xfId="4363"/>
    <cellStyle name="SAPBEXexcBad8 19" xfId="4364"/>
    <cellStyle name="SAPBEXexcBad8 2" xfId="4365"/>
    <cellStyle name="SAPBEXexcBad8 20" xfId="4366"/>
    <cellStyle name="SAPBEXexcBad8 21" xfId="4367"/>
    <cellStyle name="SAPBEXexcBad8 22" xfId="4368"/>
    <cellStyle name="SAPBEXexcBad8 23" xfId="4369"/>
    <cellStyle name="SAPBEXexcBad8 24" xfId="4370"/>
    <cellStyle name="SAPBEXexcBad8 25" xfId="4371"/>
    <cellStyle name="SAPBEXexcBad8 26" xfId="4372"/>
    <cellStyle name="SAPBEXexcBad8 27" xfId="4373"/>
    <cellStyle name="SAPBEXexcBad8 28" xfId="4374"/>
    <cellStyle name="SAPBEXexcBad8 29" xfId="4375"/>
    <cellStyle name="SAPBEXexcBad8 3" xfId="4376"/>
    <cellStyle name="SAPBEXexcBad8 30" xfId="4377"/>
    <cellStyle name="SAPBEXexcBad8 31" xfId="4378"/>
    <cellStyle name="SAPBEXexcBad8 32" xfId="4379"/>
    <cellStyle name="SAPBEXexcBad8 33" xfId="4380"/>
    <cellStyle name="SAPBEXexcBad8 34" xfId="4381"/>
    <cellStyle name="SAPBEXexcBad8 35" xfId="4382"/>
    <cellStyle name="SAPBEXexcBad8 36" xfId="4383"/>
    <cellStyle name="SAPBEXexcBad8 37" xfId="4384"/>
    <cellStyle name="SAPBEXexcBad8 38" xfId="4385"/>
    <cellStyle name="SAPBEXexcBad8 39" xfId="4386"/>
    <cellStyle name="SAPBEXexcBad8 4" xfId="4387"/>
    <cellStyle name="SAPBEXexcBad8 40" xfId="4388"/>
    <cellStyle name="SAPBEXexcBad8 41" xfId="4389"/>
    <cellStyle name="SAPBEXexcBad8 42" xfId="4390"/>
    <cellStyle name="SAPBEXexcBad8 43" xfId="4391"/>
    <cellStyle name="SAPBEXexcBad8 44" xfId="4392"/>
    <cellStyle name="SAPBEXexcBad8 45" xfId="4393"/>
    <cellStyle name="SAPBEXexcBad8 46" xfId="4394"/>
    <cellStyle name="SAPBEXexcBad8 47" xfId="4395"/>
    <cellStyle name="SAPBEXexcBad8 48" xfId="4396"/>
    <cellStyle name="SAPBEXexcBad8 49" xfId="4397"/>
    <cellStyle name="SAPBEXexcBad8 5" xfId="4398"/>
    <cellStyle name="SAPBEXexcBad8 50" xfId="4399"/>
    <cellStyle name="SAPBEXexcBad8 51" xfId="4400"/>
    <cellStyle name="SAPBEXexcBad8 52" xfId="4401"/>
    <cellStyle name="SAPBEXexcBad8 53" xfId="4402"/>
    <cellStyle name="SAPBEXexcBad8 54" xfId="4403"/>
    <cellStyle name="SAPBEXexcBad8 55" xfId="4404"/>
    <cellStyle name="SAPBEXexcBad8 56" xfId="4405"/>
    <cellStyle name="SAPBEXexcBad8 57" xfId="4406"/>
    <cellStyle name="SAPBEXexcBad8 58" xfId="4407"/>
    <cellStyle name="SAPBEXexcBad8 59" xfId="4408"/>
    <cellStyle name="SAPBEXexcBad8 6" xfId="4409"/>
    <cellStyle name="SAPBEXexcBad8 60" xfId="4410"/>
    <cellStyle name="SAPBEXexcBad8 61" xfId="4411"/>
    <cellStyle name="SAPBEXexcBad8 62" xfId="4412"/>
    <cellStyle name="SAPBEXexcBad8 63" xfId="4413"/>
    <cellStyle name="SAPBEXexcBad8 64" xfId="4414"/>
    <cellStyle name="SAPBEXexcBad8 65" xfId="4415"/>
    <cellStyle name="SAPBEXexcBad8 66" xfId="4416"/>
    <cellStyle name="SAPBEXexcBad8 67" xfId="4417"/>
    <cellStyle name="SAPBEXexcBad8 68" xfId="4418"/>
    <cellStyle name="SAPBEXexcBad8 69" xfId="4419"/>
    <cellStyle name="SAPBEXexcBad8 7" xfId="4420"/>
    <cellStyle name="SAPBEXexcBad8 70" xfId="4421"/>
    <cellStyle name="SAPBEXexcBad8 71" xfId="4422"/>
    <cellStyle name="SAPBEXexcBad8 72" xfId="4423"/>
    <cellStyle name="SAPBEXexcBad8 73" xfId="4424"/>
    <cellStyle name="SAPBEXexcBad8 74" xfId="4425"/>
    <cellStyle name="SAPBEXexcBad8 75" xfId="4426"/>
    <cellStyle name="SAPBEXexcBad8 76" xfId="4427"/>
    <cellStyle name="SAPBEXexcBad8 77" xfId="4428"/>
    <cellStyle name="SAPBEXexcBad8 78" xfId="4429"/>
    <cellStyle name="SAPBEXexcBad8 79" xfId="4430"/>
    <cellStyle name="SAPBEXexcBad8 8" xfId="4431"/>
    <cellStyle name="SAPBEXexcBad8 80" xfId="4432"/>
    <cellStyle name="SAPBEXexcBad8 81" xfId="4433"/>
    <cellStyle name="SAPBEXexcBad8 82" xfId="4434"/>
    <cellStyle name="SAPBEXexcBad8 83" xfId="4435"/>
    <cellStyle name="SAPBEXexcBad8 84" xfId="4436"/>
    <cellStyle name="SAPBEXexcBad8 85" xfId="4437"/>
    <cellStyle name="SAPBEXexcBad8 86" xfId="4438"/>
    <cellStyle name="SAPBEXexcBad8 87" xfId="4439"/>
    <cellStyle name="SAPBEXexcBad8 88" xfId="4440"/>
    <cellStyle name="SAPBEXexcBad8 89" xfId="4441"/>
    <cellStyle name="SAPBEXexcBad8 9" xfId="4442"/>
    <cellStyle name="SAPBEXexcBad8 90" xfId="4443"/>
    <cellStyle name="SAPBEXexcBad8 91" xfId="4444"/>
    <cellStyle name="SAPBEXexcBad8 92" xfId="4445"/>
    <cellStyle name="SAPBEXexcBad8 93" xfId="4446"/>
    <cellStyle name="SAPBEXexcBad8 94" xfId="4447"/>
    <cellStyle name="SAPBEXexcBad8 95" xfId="4448"/>
    <cellStyle name="SAPBEXexcBad8 96" xfId="4449"/>
    <cellStyle name="SAPBEXexcBad8 97" xfId="4450"/>
    <cellStyle name="SAPBEXexcBad8 98" xfId="4451"/>
    <cellStyle name="SAPBEXexcBad8 99" xfId="4452"/>
    <cellStyle name="SAPBEXexcBad8_(A-7) IS-Inputs" xfId="4453"/>
    <cellStyle name="SAPBEXexcBad9" xfId="4454"/>
    <cellStyle name="SAPBEXexcBad9 10" xfId="4455"/>
    <cellStyle name="SAPBEXexcBad9 100" xfId="4456"/>
    <cellStyle name="SAPBEXexcBad9 101" xfId="4457"/>
    <cellStyle name="SAPBEXexcBad9 102" xfId="4458"/>
    <cellStyle name="SAPBEXexcBad9 103" xfId="4459"/>
    <cellStyle name="SAPBEXexcBad9 104" xfId="4460"/>
    <cellStyle name="SAPBEXexcBad9 105" xfId="4461"/>
    <cellStyle name="SAPBEXexcBad9 106" xfId="4462"/>
    <cellStyle name="SAPBEXexcBad9 107" xfId="4463"/>
    <cellStyle name="SAPBEXexcBad9 108" xfId="4464"/>
    <cellStyle name="SAPBEXexcBad9 109" xfId="4465"/>
    <cellStyle name="SAPBEXexcBad9 11" xfId="4466"/>
    <cellStyle name="SAPBEXexcBad9 110" xfId="4467"/>
    <cellStyle name="SAPBEXexcBad9 12" xfId="4468"/>
    <cellStyle name="SAPBEXexcBad9 13" xfId="4469"/>
    <cellStyle name="SAPBEXexcBad9 14" xfId="4470"/>
    <cellStyle name="SAPBEXexcBad9 15" xfId="4471"/>
    <cellStyle name="SAPBEXexcBad9 16" xfId="4472"/>
    <cellStyle name="SAPBEXexcBad9 17" xfId="4473"/>
    <cellStyle name="SAPBEXexcBad9 18" xfId="4474"/>
    <cellStyle name="SAPBEXexcBad9 19" xfId="4475"/>
    <cellStyle name="SAPBEXexcBad9 2" xfId="4476"/>
    <cellStyle name="SAPBEXexcBad9 20" xfId="4477"/>
    <cellStyle name="SAPBEXexcBad9 21" xfId="4478"/>
    <cellStyle name="SAPBEXexcBad9 22" xfId="4479"/>
    <cellStyle name="SAPBEXexcBad9 23" xfId="4480"/>
    <cellStyle name="SAPBEXexcBad9 24" xfId="4481"/>
    <cellStyle name="SAPBEXexcBad9 25" xfId="4482"/>
    <cellStyle name="SAPBEXexcBad9 26" xfId="4483"/>
    <cellStyle name="SAPBEXexcBad9 27" xfId="4484"/>
    <cellStyle name="SAPBEXexcBad9 28" xfId="4485"/>
    <cellStyle name="SAPBEXexcBad9 29" xfId="4486"/>
    <cellStyle name="SAPBEXexcBad9 3" xfId="4487"/>
    <cellStyle name="SAPBEXexcBad9 30" xfId="4488"/>
    <cellStyle name="SAPBEXexcBad9 31" xfId="4489"/>
    <cellStyle name="SAPBEXexcBad9 32" xfId="4490"/>
    <cellStyle name="SAPBEXexcBad9 33" xfId="4491"/>
    <cellStyle name="SAPBEXexcBad9 34" xfId="4492"/>
    <cellStyle name="SAPBEXexcBad9 35" xfId="4493"/>
    <cellStyle name="SAPBEXexcBad9 36" xfId="4494"/>
    <cellStyle name="SAPBEXexcBad9 37" xfId="4495"/>
    <cellStyle name="SAPBEXexcBad9 38" xfId="4496"/>
    <cellStyle name="SAPBEXexcBad9 39" xfId="4497"/>
    <cellStyle name="SAPBEXexcBad9 4" xfId="4498"/>
    <cellStyle name="SAPBEXexcBad9 40" xfId="4499"/>
    <cellStyle name="SAPBEXexcBad9 41" xfId="4500"/>
    <cellStyle name="SAPBEXexcBad9 42" xfId="4501"/>
    <cellStyle name="SAPBEXexcBad9 43" xfId="4502"/>
    <cellStyle name="SAPBEXexcBad9 44" xfId="4503"/>
    <cellStyle name="SAPBEXexcBad9 45" xfId="4504"/>
    <cellStyle name="SAPBEXexcBad9 46" xfId="4505"/>
    <cellStyle name="SAPBEXexcBad9 47" xfId="4506"/>
    <cellStyle name="SAPBEXexcBad9 48" xfId="4507"/>
    <cellStyle name="SAPBEXexcBad9 49" xfId="4508"/>
    <cellStyle name="SAPBEXexcBad9 5" xfId="4509"/>
    <cellStyle name="SAPBEXexcBad9 50" xfId="4510"/>
    <cellStyle name="SAPBEXexcBad9 51" xfId="4511"/>
    <cellStyle name="SAPBEXexcBad9 52" xfId="4512"/>
    <cellStyle name="SAPBEXexcBad9 53" xfId="4513"/>
    <cellStyle name="SAPBEXexcBad9 54" xfId="4514"/>
    <cellStyle name="SAPBEXexcBad9 55" xfId="4515"/>
    <cellStyle name="SAPBEXexcBad9 56" xfId="4516"/>
    <cellStyle name="SAPBEXexcBad9 57" xfId="4517"/>
    <cellStyle name="SAPBEXexcBad9 58" xfId="4518"/>
    <cellStyle name="SAPBEXexcBad9 59" xfId="4519"/>
    <cellStyle name="SAPBEXexcBad9 6" xfId="4520"/>
    <cellStyle name="SAPBEXexcBad9 60" xfId="4521"/>
    <cellStyle name="SAPBEXexcBad9 61" xfId="4522"/>
    <cellStyle name="SAPBEXexcBad9 62" xfId="4523"/>
    <cellStyle name="SAPBEXexcBad9 63" xfId="4524"/>
    <cellStyle name="SAPBEXexcBad9 64" xfId="4525"/>
    <cellStyle name="SAPBEXexcBad9 65" xfId="4526"/>
    <cellStyle name="SAPBEXexcBad9 66" xfId="4527"/>
    <cellStyle name="SAPBEXexcBad9 67" xfId="4528"/>
    <cellStyle name="SAPBEXexcBad9 68" xfId="4529"/>
    <cellStyle name="SAPBEXexcBad9 69" xfId="4530"/>
    <cellStyle name="SAPBEXexcBad9 7" xfId="4531"/>
    <cellStyle name="SAPBEXexcBad9 70" xfId="4532"/>
    <cellStyle name="SAPBEXexcBad9 71" xfId="4533"/>
    <cellStyle name="SAPBEXexcBad9 72" xfId="4534"/>
    <cellStyle name="SAPBEXexcBad9 73" xfId="4535"/>
    <cellStyle name="SAPBEXexcBad9 74" xfId="4536"/>
    <cellStyle name="SAPBEXexcBad9 75" xfId="4537"/>
    <cellStyle name="SAPBEXexcBad9 76" xfId="4538"/>
    <cellStyle name="SAPBEXexcBad9 77" xfId="4539"/>
    <cellStyle name="SAPBEXexcBad9 78" xfId="4540"/>
    <cellStyle name="SAPBEXexcBad9 79" xfId="4541"/>
    <cellStyle name="SAPBEXexcBad9 8" xfId="4542"/>
    <cellStyle name="SAPBEXexcBad9 80" xfId="4543"/>
    <cellStyle name="SAPBEXexcBad9 81" xfId="4544"/>
    <cellStyle name="SAPBEXexcBad9 82" xfId="4545"/>
    <cellStyle name="SAPBEXexcBad9 83" xfId="4546"/>
    <cellStyle name="SAPBEXexcBad9 84" xfId="4547"/>
    <cellStyle name="SAPBEXexcBad9 85" xfId="4548"/>
    <cellStyle name="SAPBEXexcBad9 86" xfId="4549"/>
    <cellStyle name="SAPBEXexcBad9 87" xfId="4550"/>
    <cellStyle name="SAPBEXexcBad9 88" xfId="4551"/>
    <cellStyle name="SAPBEXexcBad9 89" xfId="4552"/>
    <cellStyle name="SAPBEXexcBad9 9" xfId="4553"/>
    <cellStyle name="SAPBEXexcBad9 90" xfId="4554"/>
    <cellStyle name="SAPBEXexcBad9 91" xfId="4555"/>
    <cellStyle name="SAPBEXexcBad9 92" xfId="4556"/>
    <cellStyle name="SAPBEXexcBad9 93" xfId="4557"/>
    <cellStyle name="SAPBEXexcBad9 94" xfId="4558"/>
    <cellStyle name="SAPBEXexcBad9 95" xfId="4559"/>
    <cellStyle name="SAPBEXexcBad9 96" xfId="4560"/>
    <cellStyle name="SAPBEXexcBad9 97" xfId="4561"/>
    <cellStyle name="SAPBEXexcBad9 98" xfId="4562"/>
    <cellStyle name="SAPBEXexcBad9 99" xfId="4563"/>
    <cellStyle name="SAPBEXexcBad9_(A-7) IS-Inputs" xfId="4564"/>
    <cellStyle name="SAPBEXexcCritical4" xfId="4565"/>
    <cellStyle name="SAPBEXexcCritical4 10" xfId="4566"/>
    <cellStyle name="SAPBEXexcCritical4 100" xfId="4567"/>
    <cellStyle name="SAPBEXexcCritical4 101" xfId="4568"/>
    <cellStyle name="SAPBEXexcCritical4 102" xfId="4569"/>
    <cellStyle name="SAPBEXexcCritical4 103" xfId="4570"/>
    <cellStyle name="SAPBEXexcCritical4 104" xfId="4571"/>
    <cellStyle name="SAPBEXexcCritical4 105" xfId="4572"/>
    <cellStyle name="SAPBEXexcCritical4 106" xfId="4573"/>
    <cellStyle name="SAPBEXexcCritical4 107" xfId="4574"/>
    <cellStyle name="SAPBEXexcCritical4 108" xfId="4575"/>
    <cellStyle name="SAPBEXexcCritical4 109" xfId="4576"/>
    <cellStyle name="SAPBEXexcCritical4 11" xfId="4577"/>
    <cellStyle name="SAPBEXexcCritical4 110" xfId="4578"/>
    <cellStyle name="SAPBEXexcCritical4 12" xfId="4579"/>
    <cellStyle name="SAPBEXexcCritical4 13" xfId="4580"/>
    <cellStyle name="SAPBEXexcCritical4 14" xfId="4581"/>
    <cellStyle name="SAPBEXexcCritical4 15" xfId="4582"/>
    <cellStyle name="SAPBEXexcCritical4 16" xfId="4583"/>
    <cellStyle name="SAPBEXexcCritical4 17" xfId="4584"/>
    <cellStyle name="SAPBEXexcCritical4 18" xfId="4585"/>
    <cellStyle name="SAPBEXexcCritical4 19" xfId="4586"/>
    <cellStyle name="SAPBEXexcCritical4 2" xfId="4587"/>
    <cellStyle name="SAPBEXexcCritical4 20" xfId="4588"/>
    <cellStyle name="SAPBEXexcCritical4 21" xfId="4589"/>
    <cellStyle name="SAPBEXexcCritical4 22" xfId="4590"/>
    <cellStyle name="SAPBEXexcCritical4 23" xfId="4591"/>
    <cellStyle name="SAPBEXexcCritical4 24" xfId="4592"/>
    <cellStyle name="SAPBEXexcCritical4 25" xfId="4593"/>
    <cellStyle name="SAPBEXexcCritical4 26" xfId="4594"/>
    <cellStyle name="SAPBEXexcCritical4 27" xfId="4595"/>
    <cellStyle name="SAPBEXexcCritical4 28" xfId="4596"/>
    <cellStyle name="SAPBEXexcCritical4 29" xfId="4597"/>
    <cellStyle name="SAPBEXexcCritical4 3" xfId="4598"/>
    <cellStyle name="SAPBEXexcCritical4 30" xfId="4599"/>
    <cellStyle name="SAPBEXexcCritical4 31" xfId="4600"/>
    <cellStyle name="SAPBEXexcCritical4 32" xfId="4601"/>
    <cellStyle name="SAPBEXexcCritical4 33" xfId="4602"/>
    <cellStyle name="SAPBEXexcCritical4 34" xfId="4603"/>
    <cellStyle name="SAPBEXexcCritical4 35" xfId="4604"/>
    <cellStyle name="SAPBEXexcCritical4 36" xfId="4605"/>
    <cellStyle name="SAPBEXexcCritical4 37" xfId="4606"/>
    <cellStyle name="SAPBEXexcCritical4 38" xfId="4607"/>
    <cellStyle name="SAPBEXexcCritical4 39" xfId="4608"/>
    <cellStyle name="SAPBEXexcCritical4 4" xfId="4609"/>
    <cellStyle name="SAPBEXexcCritical4 40" xfId="4610"/>
    <cellStyle name="SAPBEXexcCritical4 41" xfId="4611"/>
    <cellStyle name="SAPBEXexcCritical4 42" xfId="4612"/>
    <cellStyle name="SAPBEXexcCritical4 43" xfId="4613"/>
    <cellStyle name="SAPBEXexcCritical4 44" xfId="4614"/>
    <cellStyle name="SAPBEXexcCritical4 45" xfId="4615"/>
    <cellStyle name="SAPBEXexcCritical4 46" xfId="4616"/>
    <cellStyle name="SAPBEXexcCritical4 47" xfId="4617"/>
    <cellStyle name="SAPBEXexcCritical4 48" xfId="4618"/>
    <cellStyle name="SAPBEXexcCritical4 49" xfId="4619"/>
    <cellStyle name="SAPBEXexcCritical4 5" xfId="4620"/>
    <cellStyle name="SAPBEXexcCritical4 50" xfId="4621"/>
    <cellStyle name="SAPBEXexcCritical4 51" xfId="4622"/>
    <cellStyle name="SAPBEXexcCritical4 52" xfId="4623"/>
    <cellStyle name="SAPBEXexcCritical4 53" xfId="4624"/>
    <cellStyle name="SAPBEXexcCritical4 54" xfId="4625"/>
    <cellStyle name="SAPBEXexcCritical4 55" xfId="4626"/>
    <cellStyle name="SAPBEXexcCritical4 56" xfId="4627"/>
    <cellStyle name="SAPBEXexcCritical4 57" xfId="4628"/>
    <cellStyle name="SAPBEXexcCritical4 58" xfId="4629"/>
    <cellStyle name="SAPBEXexcCritical4 59" xfId="4630"/>
    <cellStyle name="SAPBEXexcCritical4 6" xfId="4631"/>
    <cellStyle name="SAPBEXexcCritical4 60" xfId="4632"/>
    <cellStyle name="SAPBEXexcCritical4 61" xfId="4633"/>
    <cellStyle name="SAPBEXexcCritical4 62" xfId="4634"/>
    <cellStyle name="SAPBEXexcCritical4 63" xfId="4635"/>
    <cellStyle name="SAPBEXexcCritical4 64" xfId="4636"/>
    <cellStyle name="SAPBEXexcCritical4 65" xfId="4637"/>
    <cellStyle name="SAPBEXexcCritical4 66" xfId="4638"/>
    <cellStyle name="SAPBEXexcCritical4 67" xfId="4639"/>
    <cellStyle name="SAPBEXexcCritical4 68" xfId="4640"/>
    <cellStyle name="SAPBEXexcCritical4 69" xfId="4641"/>
    <cellStyle name="SAPBEXexcCritical4 7" xfId="4642"/>
    <cellStyle name="SAPBEXexcCritical4 70" xfId="4643"/>
    <cellStyle name="SAPBEXexcCritical4 71" xfId="4644"/>
    <cellStyle name="SAPBEXexcCritical4 72" xfId="4645"/>
    <cellStyle name="SAPBEXexcCritical4 73" xfId="4646"/>
    <cellStyle name="SAPBEXexcCritical4 74" xfId="4647"/>
    <cellStyle name="SAPBEXexcCritical4 75" xfId="4648"/>
    <cellStyle name="SAPBEXexcCritical4 76" xfId="4649"/>
    <cellStyle name="SAPBEXexcCritical4 77" xfId="4650"/>
    <cellStyle name="SAPBEXexcCritical4 78" xfId="4651"/>
    <cellStyle name="SAPBEXexcCritical4 79" xfId="4652"/>
    <cellStyle name="SAPBEXexcCritical4 8" xfId="4653"/>
    <cellStyle name="SAPBEXexcCritical4 80" xfId="4654"/>
    <cellStyle name="SAPBEXexcCritical4 81" xfId="4655"/>
    <cellStyle name="SAPBEXexcCritical4 82" xfId="4656"/>
    <cellStyle name="SAPBEXexcCritical4 83" xfId="4657"/>
    <cellStyle name="SAPBEXexcCritical4 84" xfId="4658"/>
    <cellStyle name="SAPBEXexcCritical4 85" xfId="4659"/>
    <cellStyle name="SAPBEXexcCritical4 86" xfId="4660"/>
    <cellStyle name="SAPBEXexcCritical4 87" xfId="4661"/>
    <cellStyle name="SAPBEXexcCritical4 88" xfId="4662"/>
    <cellStyle name="SAPBEXexcCritical4 89" xfId="4663"/>
    <cellStyle name="SAPBEXexcCritical4 9" xfId="4664"/>
    <cellStyle name="SAPBEXexcCritical4 90" xfId="4665"/>
    <cellStyle name="SAPBEXexcCritical4 91" xfId="4666"/>
    <cellStyle name="SAPBEXexcCritical4 92" xfId="4667"/>
    <cellStyle name="SAPBEXexcCritical4 93" xfId="4668"/>
    <cellStyle name="SAPBEXexcCritical4 94" xfId="4669"/>
    <cellStyle name="SAPBEXexcCritical4 95" xfId="4670"/>
    <cellStyle name="SAPBEXexcCritical4 96" xfId="4671"/>
    <cellStyle name="SAPBEXexcCritical4 97" xfId="4672"/>
    <cellStyle name="SAPBEXexcCritical4 98" xfId="4673"/>
    <cellStyle name="SAPBEXexcCritical4 99" xfId="4674"/>
    <cellStyle name="SAPBEXexcCritical4_(A-7) IS-Inputs" xfId="4675"/>
    <cellStyle name="SAPBEXexcCritical5" xfId="4676"/>
    <cellStyle name="SAPBEXexcCritical5 10" xfId="4677"/>
    <cellStyle name="SAPBEXexcCritical5 100" xfId="4678"/>
    <cellStyle name="SAPBEXexcCritical5 101" xfId="4679"/>
    <cellStyle name="SAPBEXexcCritical5 102" xfId="4680"/>
    <cellStyle name="SAPBEXexcCritical5 103" xfId="4681"/>
    <cellStyle name="SAPBEXexcCritical5 104" xfId="4682"/>
    <cellStyle name="SAPBEXexcCritical5 105" xfId="4683"/>
    <cellStyle name="SAPBEXexcCritical5 106" xfId="4684"/>
    <cellStyle name="SAPBEXexcCritical5 107" xfId="4685"/>
    <cellStyle name="SAPBEXexcCritical5 108" xfId="4686"/>
    <cellStyle name="SAPBEXexcCritical5 109" xfId="4687"/>
    <cellStyle name="SAPBEXexcCritical5 11" xfId="4688"/>
    <cellStyle name="SAPBEXexcCritical5 110" xfId="4689"/>
    <cellStyle name="SAPBEXexcCritical5 12" xfId="4690"/>
    <cellStyle name="SAPBEXexcCritical5 13" xfId="4691"/>
    <cellStyle name="SAPBEXexcCritical5 14" xfId="4692"/>
    <cellStyle name="SAPBEXexcCritical5 15" xfId="4693"/>
    <cellStyle name="SAPBEXexcCritical5 16" xfId="4694"/>
    <cellStyle name="SAPBEXexcCritical5 17" xfId="4695"/>
    <cellStyle name="SAPBEXexcCritical5 18" xfId="4696"/>
    <cellStyle name="SAPBEXexcCritical5 19" xfId="4697"/>
    <cellStyle name="SAPBEXexcCritical5 2" xfId="4698"/>
    <cellStyle name="SAPBEXexcCritical5 20" xfId="4699"/>
    <cellStyle name="SAPBEXexcCritical5 21" xfId="4700"/>
    <cellStyle name="SAPBEXexcCritical5 22" xfId="4701"/>
    <cellStyle name="SAPBEXexcCritical5 23" xfId="4702"/>
    <cellStyle name="SAPBEXexcCritical5 24" xfId="4703"/>
    <cellStyle name="SAPBEXexcCritical5 25" xfId="4704"/>
    <cellStyle name="SAPBEXexcCritical5 26" xfId="4705"/>
    <cellStyle name="SAPBEXexcCritical5 27" xfId="4706"/>
    <cellStyle name="SAPBEXexcCritical5 28" xfId="4707"/>
    <cellStyle name="SAPBEXexcCritical5 29" xfId="4708"/>
    <cellStyle name="SAPBEXexcCritical5 3" xfId="4709"/>
    <cellStyle name="SAPBEXexcCritical5 30" xfId="4710"/>
    <cellStyle name="SAPBEXexcCritical5 31" xfId="4711"/>
    <cellStyle name="SAPBEXexcCritical5 32" xfId="4712"/>
    <cellStyle name="SAPBEXexcCritical5 33" xfId="4713"/>
    <cellStyle name="SAPBEXexcCritical5 34" xfId="4714"/>
    <cellStyle name="SAPBEXexcCritical5 35" xfId="4715"/>
    <cellStyle name="SAPBEXexcCritical5 36" xfId="4716"/>
    <cellStyle name="SAPBEXexcCritical5 37" xfId="4717"/>
    <cellStyle name="SAPBEXexcCritical5 38" xfId="4718"/>
    <cellStyle name="SAPBEXexcCritical5 39" xfId="4719"/>
    <cellStyle name="SAPBEXexcCritical5 4" xfId="4720"/>
    <cellStyle name="SAPBEXexcCritical5 40" xfId="4721"/>
    <cellStyle name="SAPBEXexcCritical5 41" xfId="4722"/>
    <cellStyle name="SAPBEXexcCritical5 42" xfId="4723"/>
    <cellStyle name="SAPBEXexcCritical5 43" xfId="4724"/>
    <cellStyle name="SAPBEXexcCritical5 44" xfId="4725"/>
    <cellStyle name="SAPBEXexcCritical5 45" xfId="4726"/>
    <cellStyle name="SAPBEXexcCritical5 46" xfId="4727"/>
    <cellStyle name="SAPBEXexcCritical5 47" xfId="4728"/>
    <cellStyle name="SAPBEXexcCritical5 48" xfId="4729"/>
    <cellStyle name="SAPBEXexcCritical5 49" xfId="4730"/>
    <cellStyle name="SAPBEXexcCritical5 5" xfId="4731"/>
    <cellStyle name="SAPBEXexcCritical5 50" xfId="4732"/>
    <cellStyle name="SAPBEXexcCritical5 51" xfId="4733"/>
    <cellStyle name="SAPBEXexcCritical5 52" xfId="4734"/>
    <cellStyle name="SAPBEXexcCritical5 53" xfId="4735"/>
    <cellStyle name="SAPBEXexcCritical5 54" xfId="4736"/>
    <cellStyle name="SAPBEXexcCritical5 55" xfId="4737"/>
    <cellStyle name="SAPBEXexcCritical5 56" xfId="4738"/>
    <cellStyle name="SAPBEXexcCritical5 57" xfId="4739"/>
    <cellStyle name="SAPBEXexcCritical5 58" xfId="4740"/>
    <cellStyle name="SAPBEXexcCritical5 59" xfId="4741"/>
    <cellStyle name="SAPBEXexcCritical5 6" xfId="4742"/>
    <cellStyle name="SAPBEXexcCritical5 60" xfId="4743"/>
    <cellStyle name="SAPBEXexcCritical5 61" xfId="4744"/>
    <cellStyle name="SAPBEXexcCritical5 62" xfId="4745"/>
    <cellStyle name="SAPBEXexcCritical5 63" xfId="4746"/>
    <cellStyle name="SAPBEXexcCritical5 64" xfId="4747"/>
    <cellStyle name="SAPBEXexcCritical5 65" xfId="4748"/>
    <cellStyle name="SAPBEXexcCritical5 66" xfId="4749"/>
    <cellStyle name="SAPBEXexcCritical5 67" xfId="4750"/>
    <cellStyle name="SAPBEXexcCritical5 68" xfId="4751"/>
    <cellStyle name="SAPBEXexcCritical5 69" xfId="4752"/>
    <cellStyle name="SAPBEXexcCritical5 7" xfId="4753"/>
    <cellStyle name="SAPBEXexcCritical5 70" xfId="4754"/>
    <cellStyle name="SAPBEXexcCritical5 71" xfId="4755"/>
    <cellStyle name="SAPBEXexcCritical5 72" xfId="4756"/>
    <cellStyle name="SAPBEXexcCritical5 73" xfId="4757"/>
    <cellStyle name="SAPBEXexcCritical5 74" xfId="4758"/>
    <cellStyle name="SAPBEXexcCritical5 75" xfId="4759"/>
    <cellStyle name="SAPBEXexcCritical5 76" xfId="4760"/>
    <cellStyle name="SAPBEXexcCritical5 77" xfId="4761"/>
    <cellStyle name="SAPBEXexcCritical5 78" xfId="4762"/>
    <cellStyle name="SAPBEXexcCritical5 79" xfId="4763"/>
    <cellStyle name="SAPBEXexcCritical5 8" xfId="4764"/>
    <cellStyle name="SAPBEXexcCritical5 80" xfId="4765"/>
    <cellStyle name="SAPBEXexcCritical5 81" xfId="4766"/>
    <cellStyle name="SAPBEXexcCritical5 82" xfId="4767"/>
    <cellStyle name="SAPBEXexcCritical5 83" xfId="4768"/>
    <cellStyle name="SAPBEXexcCritical5 84" xfId="4769"/>
    <cellStyle name="SAPBEXexcCritical5 85" xfId="4770"/>
    <cellStyle name="SAPBEXexcCritical5 86" xfId="4771"/>
    <cellStyle name="SAPBEXexcCritical5 87" xfId="4772"/>
    <cellStyle name="SAPBEXexcCritical5 88" xfId="4773"/>
    <cellStyle name="SAPBEXexcCritical5 89" xfId="4774"/>
    <cellStyle name="SAPBEXexcCritical5 9" xfId="4775"/>
    <cellStyle name="SAPBEXexcCritical5 90" xfId="4776"/>
    <cellStyle name="SAPBEXexcCritical5 91" xfId="4777"/>
    <cellStyle name="SAPBEXexcCritical5 92" xfId="4778"/>
    <cellStyle name="SAPBEXexcCritical5 93" xfId="4779"/>
    <cellStyle name="SAPBEXexcCritical5 94" xfId="4780"/>
    <cellStyle name="SAPBEXexcCritical5 95" xfId="4781"/>
    <cellStyle name="SAPBEXexcCritical5 96" xfId="4782"/>
    <cellStyle name="SAPBEXexcCritical5 97" xfId="4783"/>
    <cellStyle name="SAPBEXexcCritical5 98" xfId="4784"/>
    <cellStyle name="SAPBEXexcCritical5 99" xfId="4785"/>
    <cellStyle name="SAPBEXexcCritical5_(A-7) IS-Inputs" xfId="4786"/>
    <cellStyle name="SAPBEXexcCritical6" xfId="4787"/>
    <cellStyle name="SAPBEXexcCritical6 10" xfId="4788"/>
    <cellStyle name="SAPBEXexcCritical6 100" xfId="4789"/>
    <cellStyle name="SAPBEXexcCritical6 101" xfId="4790"/>
    <cellStyle name="SAPBEXexcCritical6 102" xfId="4791"/>
    <cellStyle name="SAPBEXexcCritical6 103" xfId="4792"/>
    <cellStyle name="SAPBEXexcCritical6 104" xfId="4793"/>
    <cellStyle name="SAPBEXexcCritical6 105" xfId="4794"/>
    <cellStyle name="SAPBEXexcCritical6 106" xfId="4795"/>
    <cellStyle name="SAPBEXexcCritical6 107" xfId="4796"/>
    <cellStyle name="SAPBEXexcCritical6 108" xfId="4797"/>
    <cellStyle name="SAPBEXexcCritical6 109" xfId="4798"/>
    <cellStyle name="SAPBEXexcCritical6 11" xfId="4799"/>
    <cellStyle name="SAPBEXexcCritical6 110" xfId="4800"/>
    <cellStyle name="SAPBEXexcCritical6 12" xfId="4801"/>
    <cellStyle name="SAPBEXexcCritical6 13" xfId="4802"/>
    <cellStyle name="SAPBEXexcCritical6 14" xfId="4803"/>
    <cellStyle name="SAPBEXexcCritical6 15" xfId="4804"/>
    <cellStyle name="SAPBEXexcCritical6 16" xfId="4805"/>
    <cellStyle name="SAPBEXexcCritical6 17" xfId="4806"/>
    <cellStyle name="SAPBEXexcCritical6 18" xfId="4807"/>
    <cellStyle name="SAPBEXexcCritical6 19" xfId="4808"/>
    <cellStyle name="SAPBEXexcCritical6 2" xfId="4809"/>
    <cellStyle name="SAPBEXexcCritical6 20" xfId="4810"/>
    <cellStyle name="SAPBEXexcCritical6 21" xfId="4811"/>
    <cellStyle name="SAPBEXexcCritical6 22" xfId="4812"/>
    <cellStyle name="SAPBEXexcCritical6 23" xfId="4813"/>
    <cellStyle name="SAPBEXexcCritical6 24" xfId="4814"/>
    <cellStyle name="SAPBEXexcCritical6 25" xfId="4815"/>
    <cellStyle name="SAPBEXexcCritical6 26" xfId="4816"/>
    <cellStyle name="SAPBEXexcCritical6 27" xfId="4817"/>
    <cellStyle name="SAPBEXexcCritical6 28" xfId="4818"/>
    <cellStyle name="SAPBEXexcCritical6 29" xfId="4819"/>
    <cellStyle name="SAPBEXexcCritical6 3" xfId="4820"/>
    <cellStyle name="SAPBEXexcCritical6 30" xfId="4821"/>
    <cellStyle name="SAPBEXexcCritical6 31" xfId="4822"/>
    <cellStyle name="SAPBEXexcCritical6 32" xfId="4823"/>
    <cellStyle name="SAPBEXexcCritical6 33" xfId="4824"/>
    <cellStyle name="SAPBEXexcCritical6 34" xfId="4825"/>
    <cellStyle name="SAPBEXexcCritical6 35" xfId="4826"/>
    <cellStyle name="SAPBEXexcCritical6 36" xfId="4827"/>
    <cellStyle name="SAPBEXexcCritical6 37" xfId="4828"/>
    <cellStyle name="SAPBEXexcCritical6 38" xfId="4829"/>
    <cellStyle name="SAPBEXexcCritical6 39" xfId="4830"/>
    <cellStyle name="SAPBEXexcCritical6 4" xfId="4831"/>
    <cellStyle name="SAPBEXexcCritical6 40" xfId="4832"/>
    <cellStyle name="SAPBEXexcCritical6 41" xfId="4833"/>
    <cellStyle name="SAPBEXexcCritical6 42" xfId="4834"/>
    <cellStyle name="SAPBEXexcCritical6 43" xfId="4835"/>
    <cellStyle name="SAPBEXexcCritical6 44" xfId="4836"/>
    <cellStyle name="SAPBEXexcCritical6 45" xfId="4837"/>
    <cellStyle name="SAPBEXexcCritical6 46" xfId="4838"/>
    <cellStyle name="SAPBEXexcCritical6 47" xfId="4839"/>
    <cellStyle name="SAPBEXexcCritical6 48" xfId="4840"/>
    <cellStyle name="SAPBEXexcCritical6 49" xfId="4841"/>
    <cellStyle name="SAPBEXexcCritical6 5" xfId="4842"/>
    <cellStyle name="SAPBEXexcCritical6 50" xfId="4843"/>
    <cellStyle name="SAPBEXexcCritical6 51" xfId="4844"/>
    <cellStyle name="SAPBEXexcCritical6 52" xfId="4845"/>
    <cellStyle name="SAPBEXexcCritical6 53" xfId="4846"/>
    <cellStyle name="SAPBEXexcCritical6 54" xfId="4847"/>
    <cellStyle name="SAPBEXexcCritical6 55" xfId="4848"/>
    <cellStyle name="SAPBEXexcCritical6 56" xfId="4849"/>
    <cellStyle name="SAPBEXexcCritical6 57" xfId="4850"/>
    <cellStyle name="SAPBEXexcCritical6 58" xfId="4851"/>
    <cellStyle name="SAPBEXexcCritical6 59" xfId="4852"/>
    <cellStyle name="SAPBEXexcCritical6 6" xfId="4853"/>
    <cellStyle name="SAPBEXexcCritical6 60" xfId="4854"/>
    <cellStyle name="SAPBEXexcCritical6 61" xfId="4855"/>
    <cellStyle name="SAPBEXexcCritical6 62" xfId="4856"/>
    <cellStyle name="SAPBEXexcCritical6 63" xfId="4857"/>
    <cellStyle name="SAPBEXexcCritical6 64" xfId="4858"/>
    <cellStyle name="SAPBEXexcCritical6 65" xfId="4859"/>
    <cellStyle name="SAPBEXexcCritical6 66" xfId="4860"/>
    <cellStyle name="SAPBEXexcCritical6 67" xfId="4861"/>
    <cellStyle name="SAPBEXexcCritical6 68" xfId="4862"/>
    <cellStyle name="SAPBEXexcCritical6 69" xfId="4863"/>
    <cellStyle name="SAPBEXexcCritical6 7" xfId="4864"/>
    <cellStyle name="SAPBEXexcCritical6 70" xfId="4865"/>
    <cellStyle name="SAPBEXexcCritical6 71" xfId="4866"/>
    <cellStyle name="SAPBEXexcCritical6 72" xfId="4867"/>
    <cellStyle name="SAPBEXexcCritical6 73" xfId="4868"/>
    <cellStyle name="SAPBEXexcCritical6 74" xfId="4869"/>
    <cellStyle name="SAPBEXexcCritical6 75" xfId="4870"/>
    <cellStyle name="SAPBEXexcCritical6 76" xfId="4871"/>
    <cellStyle name="SAPBEXexcCritical6 77" xfId="4872"/>
    <cellStyle name="SAPBEXexcCritical6 78" xfId="4873"/>
    <cellStyle name="SAPBEXexcCritical6 79" xfId="4874"/>
    <cellStyle name="SAPBEXexcCritical6 8" xfId="4875"/>
    <cellStyle name="SAPBEXexcCritical6 80" xfId="4876"/>
    <cellStyle name="SAPBEXexcCritical6 81" xfId="4877"/>
    <cellStyle name="SAPBEXexcCritical6 82" xfId="4878"/>
    <cellStyle name="SAPBEXexcCritical6 83" xfId="4879"/>
    <cellStyle name="SAPBEXexcCritical6 84" xfId="4880"/>
    <cellStyle name="SAPBEXexcCritical6 85" xfId="4881"/>
    <cellStyle name="SAPBEXexcCritical6 86" xfId="4882"/>
    <cellStyle name="SAPBEXexcCritical6 87" xfId="4883"/>
    <cellStyle name="SAPBEXexcCritical6 88" xfId="4884"/>
    <cellStyle name="SAPBEXexcCritical6 89" xfId="4885"/>
    <cellStyle name="SAPBEXexcCritical6 9" xfId="4886"/>
    <cellStyle name="SAPBEXexcCritical6 90" xfId="4887"/>
    <cellStyle name="SAPBEXexcCritical6 91" xfId="4888"/>
    <cellStyle name="SAPBEXexcCritical6 92" xfId="4889"/>
    <cellStyle name="SAPBEXexcCritical6 93" xfId="4890"/>
    <cellStyle name="SAPBEXexcCritical6 94" xfId="4891"/>
    <cellStyle name="SAPBEXexcCritical6 95" xfId="4892"/>
    <cellStyle name="SAPBEXexcCritical6 96" xfId="4893"/>
    <cellStyle name="SAPBEXexcCritical6 97" xfId="4894"/>
    <cellStyle name="SAPBEXexcCritical6 98" xfId="4895"/>
    <cellStyle name="SAPBEXexcCritical6 99" xfId="4896"/>
    <cellStyle name="SAPBEXexcCritical6_(A-7) IS-Inputs" xfId="4897"/>
    <cellStyle name="SAPBEXexcGood1" xfId="4898"/>
    <cellStyle name="SAPBEXexcGood1 10" xfId="4899"/>
    <cellStyle name="SAPBEXexcGood1 100" xfId="4900"/>
    <cellStyle name="SAPBEXexcGood1 101" xfId="4901"/>
    <cellStyle name="SAPBEXexcGood1 102" xfId="4902"/>
    <cellStyle name="SAPBEXexcGood1 103" xfId="4903"/>
    <cellStyle name="SAPBEXexcGood1 104" xfId="4904"/>
    <cellStyle name="SAPBEXexcGood1 105" xfId="4905"/>
    <cellStyle name="SAPBEXexcGood1 106" xfId="4906"/>
    <cellStyle name="SAPBEXexcGood1 107" xfId="4907"/>
    <cellStyle name="SAPBEXexcGood1 108" xfId="4908"/>
    <cellStyle name="SAPBEXexcGood1 109" xfId="4909"/>
    <cellStyle name="SAPBEXexcGood1 11" xfId="4910"/>
    <cellStyle name="SAPBEXexcGood1 110" xfId="4911"/>
    <cellStyle name="SAPBEXexcGood1 12" xfId="4912"/>
    <cellStyle name="SAPBEXexcGood1 13" xfId="4913"/>
    <cellStyle name="SAPBEXexcGood1 14" xfId="4914"/>
    <cellStyle name="SAPBEXexcGood1 15" xfId="4915"/>
    <cellStyle name="SAPBEXexcGood1 16" xfId="4916"/>
    <cellStyle name="SAPBEXexcGood1 17" xfId="4917"/>
    <cellStyle name="SAPBEXexcGood1 18" xfId="4918"/>
    <cellStyle name="SAPBEXexcGood1 19" xfId="4919"/>
    <cellStyle name="SAPBEXexcGood1 2" xfId="4920"/>
    <cellStyle name="SAPBEXexcGood1 20" xfId="4921"/>
    <cellStyle name="SAPBEXexcGood1 21" xfId="4922"/>
    <cellStyle name="SAPBEXexcGood1 22" xfId="4923"/>
    <cellStyle name="SAPBEXexcGood1 23" xfId="4924"/>
    <cellStyle name="SAPBEXexcGood1 24" xfId="4925"/>
    <cellStyle name="SAPBEXexcGood1 25" xfId="4926"/>
    <cellStyle name="SAPBEXexcGood1 26" xfId="4927"/>
    <cellStyle name="SAPBEXexcGood1 27" xfId="4928"/>
    <cellStyle name="SAPBEXexcGood1 28" xfId="4929"/>
    <cellStyle name="SAPBEXexcGood1 29" xfId="4930"/>
    <cellStyle name="SAPBEXexcGood1 3" xfId="4931"/>
    <cellStyle name="SAPBEXexcGood1 30" xfId="4932"/>
    <cellStyle name="SAPBEXexcGood1 31" xfId="4933"/>
    <cellStyle name="SAPBEXexcGood1 32" xfId="4934"/>
    <cellStyle name="SAPBEXexcGood1 33" xfId="4935"/>
    <cellStyle name="SAPBEXexcGood1 34" xfId="4936"/>
    <cellStyle name="SAPBEXexcGood1 35" xfId="4937"/>
    <cellStyle name="SAPBEXexcGood1 36" xfId="4938"/>
    <cellStyle name="SAPBEXexcGood1 37" xfId="4939"/>
    <cellStyle name="SAPBEXexcGood1 38" xfId="4940"/>
    <cellStyle name="SAPBEXexcGood1 39" xfId="4941"/>
    <cellStyle name="SAPBEXexcGood1 4" xfId="4942"/>
    <cellStyle name="SAPBEXexcGood1 40" xfId="4943"/>
    <cellStyle name="SAPBEXexcGood1 41" xfId="4944"/>
    <cellStyle name="SAPBEXexcGood1 42" xfId="4945"/>
    <cellStyle name="SAPBEXexcGood1 43" xfId="4946"/>
    <cellStyle name="SAPBEXexcGood1 44" xfId="4947"/>
    <cellStyle name="SAPBEXexcGood1 45" xfId="4948"/>
    <cellStyle name="SAPBEXexcGood1 46" xfId="4949"/>
    <cellStyle name="SAPBEXexcGood1 47" xfId="4950"/>
    <cellStyle name="SAPBEXexcGood1 48" xfId="4951"/>
    <cellStyle name="SAPBEXexcGood1 49" xfId="4952"/>
    <cellStyle name="SAPBEXexcGood1 5" xfId="4953"/>
    <cellStyle name="SAPBEXexcGood1 50" xfId="4954"/>
    <cellStyle name="SAPBEXexcGood1 51" xfId="4955"/>
    <cellStyle name="SAPBEXexcGood1 52" xfId="4956"/>
    <cellStyle name="SAPBEXexcGood1 53" xfId="4957"/>
    <cellStyle name="SAPBEXexcGood1 54" xfId="4958"/>
    <cellStyle name="SAPBEXexcGood1 55" xfId="4959"/>
    <cellStyle name="SAPBEXexcGood1 56" xfId="4960"/>
    <cellStyle name="SAPBEXexcGood1 57" xfId="4961"/>
    <cellStyle name="SAPBEXexcGood1 58" xfId="4962"/>
    <cellStyle name="SAPBEXexcGood1 59" xfId="4963"/>
    <cellStyle name="SAPBEXexcGood1 6" xfId="4964"/>
    <cellStyle name="SAPBEXexcGood1 60" xfId="4965"/>
    <cellStyle name="SAPBEXexcGood1 61" xfId="4966"/>
    <cellStyle name="SAPBEXexcGood1 62" xfId="4967"/>
    <cellStyle name="SAPBEXexcGood1 63" xfId="4968"/>
    <cellStyle name="SAPBEXexcGood1 64" xfId="4969"/>
    <cellStyle name="SAPBEXexcGood1 65" xfId="4970"/>
    <cellStyle name="SAPBEXexcGood1 66" xfId="4971"/>
    <cellStyle name="SAPBEXexcGood1 67" xfId="4972"/>
    <cellStyle name="SAPBEXexcGood1 68" xfId="4973"/>
    <cellStyle name="SAPBEXexcGood1 69" xfId="4974"/>
    <cellStyle name="SAPBEXexcGood1 7" xfId="4975"/>
    <cellStyle name="SAPBEXexcGood1 70" xfId="4976"/>
    <cellStyle name="SAPBEXexcGood1 71" xfId="4977"/>
    <cellStyle name="SAPBEXexcGood1 72" xfId="4978"/>
    <cellStyle name="SAPBEXexcGood1 73" xfId="4979"/>
    <cellStyle name="SAPBEXexcGood1 74" xfId="4980"/>
    <cellStyle name="SAPBEXexcGood1 75" xfId="4981"/>
    <cellStyle name="SAPBEXexcGood1 76" xfId="4982"/>
    <cellStyle name="SAPBEXexcGood1 77" xfId="4983"/>
    <cellStyle name="SAPBEXexcGood1 78" xfId="4984"/>
    <cellStyle name="SAPBEXexcGood1 79" xfId="4985"/>
    <cellStyle name="SAPBEXexcGood1 8" xfId="4986"/>
    <cellStyle name="SAPBEXexcGood1 80" xfId="4987"/>
    <cellStyle name="SAPBEXexcGood1 81" xfId="4988"/>
    <cellStyle name="SAPBEXexcGood1 82" xfId="4989"/>
    <cellStyle name="SAPBEXexcGood1 83" xfId="4990"/>
    <cellStyle name="SAPBEXexcGood1 84" xfId="4991"/>
    <cellStyle name="SAPBEXexcGood1 85" xfId="4992"/>
    <cellStyle name="SAPBEXexcGood1 86" xfId="4993"/>
    <cellStyle name="SAPBEXexcGood1 87" xfId="4994"/>
    <cellStyle name="SAPBEXexcGood1 88" xfId="4995"/>
    <cellStyle name="SAPBEXexcGood1 89" xfId="4996"/>
    <cellStyle name="SAPBEXexcGood1 9" xfId="4997"/>
    <cellStyle name="SAPBEXexcGood1 90" xfId="4998"/>
    <cellStyle name="SAPBEXexcGood1 91" xfId="4999"/>
    <cellStyle name="SAPBEXexcGood1 92" xfId="5000"/>
    <cellStyle name="SAPBEXexcGood1 93" xfId="5001"/>
    <cellStyle name="SAPBEXexcGood1 94" xfId="5002"/>
    <cellStyle name="SAPBEXexcGood1 95" xfId="5003"/>
    <cellStyle name="SAPBEXexcGood1 96" xfId="5004"/>
    <cellStyle name="SAPBEXexcGood1 97" xfId="5005"/>
    <cellStyle name="SAPBEXexcGood1 98" xfId="5006"/>
    <cellStyle name="SAPBEXexcGood1 99" xfId="5007"/>
    <cellStyle name="SAPBEXexcGood1_(A-7) IS-Inputs" xfId="5008"/>
    <cellStyle name="SAPBEXexcGood2" xfId="5009"/>
    <cellStyle name="SAPBEXexcGood2 10" xfId="5010"/>
    <cellStyle name="SAPBEXexcGood2 100" xfId="5011"/>
    <cellStyle name="SAPBEXexcGood2 101" xfId="5012"/>
    <cellStyle name="SAPBEXexcGood2 102" xfId="5013"/>
    <cellStyle name="SAPBEXexcGood2 103" xfId="5014"/>
    <cellStyle name="SAPBEXexcGood2 104" xfId="5015"/>
    <cellStyle name="SAPBEXexcGood2 105" xfId="5016"/>
    <cellStyle name="SAPBEXexcGood2 106" xfId="5017"/>
    <cellStyle name="SAPBEXexcGood2 107" xfId="5018"/>
    <cellStyle name="SAPBEXexcGood2 108" xfId="5019"/>
    <cellStyle name="SAPBEXexcGood2 109" xfId="5020"/>
    <cellStyle name="SAPBEXexcGood2 11" xfId="5021"/>
    <cellStyle name="SAPBEXexcGood2 110" xfId="5022"/>
    <cellStyle name="SAPBEXexcGood2 12" xfId="5023"/>
    <cellStyle name="SAPBEXexcGood2 13" xfId="5024"/>
    <cellStyle name="SAPBEXexcGood2 14" xfId="5025"/>
    <cellStyle name="SAPBEXexcGood2 15" xfId="5026"/>
    <cellStyle name="SAPBEXexcGood2 16" xfId="5027"/>
    <cellStyle name="SAPBEXexcGood2 17" xfId="5028"/>
    <cellStyle name="SAPBEXexcGood2 18" xfId="5029"/>
    <cellStyle name="SAPBEXexcGood2 19" xfId="5030"/>
    <cellStyle name="SAPBEXexcGood2 2" xfId="5031"/>
    <cellStyle name="SAPBEXexcGood2 20" xfId="5032"/>
    <cellStyle name="SAPBEXexcGood2 21" xfId="5033"/>
    <cellStyle name="SAPBEXexcGood2 22" xfId="5034"/>
    <cellStyle name="SAPBEXexcGood2 23" xfId="5035"/>
    <cellStyle name="SAPBEXexcGood2 24" xfId="5036"/>
    <cellStyle name="SAPBEXexcGood2 25" xfId="5037"/>
    <cellStyle name="SAPBEXexcGood2 26" xfId="5038"/>
    <cellStyle name="SAPBEXexcGood2 27" xfId="5039"/>
    <cellStyle name="SAPBEXexcGood2 28" xfId="5040"/>
    <cellStyle name="SAPBEXexcGood2 29" xfId="5041"/>
    <cellStyle name="SAPBEXexcGood2 3" xfId="5042"/>
    <cellStyle name="SAPBEXexcGood2 30" xfId="5043"/>
    <cellStyle name="SAPBEXexcGood2 31" xfId="5044"/>
    <cellStyle name="SAPBEXexcGood2 32" xfId="5045"/>
    <cellStyle name="SAPBEXexcGood2 33" xfId="5046"/>
    <cellStyle name="SAPBEXexcGood2 34" xfId="5047"/>
    <cellStyle name="SAPBEXexcGood2 35" xfId="5048"/>
    <cellStyle name="SAPBEXexcGood2 36" xfId="5049"/>
    <cellStyle name="SAPBEXexcGood2 37" xfId="5050"/>
    <cellStyle name="SAPBEXexcGood2 38" xfId="5051"/>
    <cellStyle name="SAPBEXexcGood2 39" xfId="5052"/>
    <cellStyle name="SAPBEXexcGood2 4" xfId="5053"/>
    <cellStyle name="SAPBEXexcGood2 40" xfId="5054"/>
    <cellStyle name="SAPBEXexcGood2 41" xfId="5055"/>
    <cellStyle name="SAPBEXexcGood2 42" xfId="5056"/>
    <cellStyle name="SAPBEXexcGood2 43" xfId="5057"/>
    <cellStyle name="SAPBEXexcGood2 44" xfId="5058"/>
    <cellStyle name="SAPBEXexcGood2 45" xfId="5059"/>
    <cellStyle name="SAPBEXexcGood2 46" xfId="5060"/>
    <cellStyle name="SAPBEXexcGood2 47" xfId="5061"/>
    <cellStyle name="SAPBEXexcGood2 48" xfId="5062"/>
    <cellStyle name="SAPBEXexcGood2 49" xfId="5063"/>
    <cellStyle name="SAPBEXexcGood2 5" xfId="5064"/>
    <cellStyle name="SAPBEXexcGood2 50" xfId="5065"/>
    <cellStyle name="SAPBEXexcGood2 51" xfId="5066"/>
    <cellStyle name="SAPBEXexcGood2 52" xfId="5067"/>
    <cellStyle name="SAPBEXexcGood2 53" xfId="5068"/>
    <cellStyle name="SAPBEXexcGood2 54" xfId="5069"/>
    <cellStyle name="SAPBEXexcGood2 55" xfId="5070"/>
    <cellStyle name="SAPBEXexcGood2 56" xfId="5071"/>
    <cellStyle name="SAPBEXexcGood2 57" xfId="5072"/>
    <cellStyle name="SAPBEXexcGood2 58" xfId="5073"/>
    <cellStyle name="SAPBEXexcGood2 59" xfId="5074"/>
    <cellStyle name="SAPBEXexcGood2 6" xfId="5075"/>
    <cellStyle name="SAPBEXexcGood2 60" xfId="5076"/>
    <cellStyle name="SAPBEXexcGood2 61" xfId="5077"/>
    <cellStyle name="SAPBEXexcGood2 62" xfId="5078"/>
    <cellStyle name="SAPBEXexcGood2 63" xfId="5079"/>
    <cellStyle name="SAPBEXexcGood2 64" xfId="5080"/>
    <cellStyle name="SAPBEXexcGood2 65" xfId="5081"/>
    <cellStyle name="SAPBEXexcGood2 66" xfId="5082"/>
    <cellStyle name="SAPBEXexcGood2 67" xfId="5083"/>
    <cellStyle name="SAPBEXexcGood2 68" xfId="5084"/>
    <cellStyle name="SAPBEXexcGood2 69" xfId="5085"/>
    <cellStyle name="SAPBEXexcGood2 7" xfId="5086"/>
    <cellStyle name="SAPBEXexcGood2 70" xfId="5087"/>
    <cellStyle name="SAPBEXexcGood2 71" xfId="5088"/>
    <cellStyle name="SAPBEXexcGood2 72" xfId="5089"/>
    <cellStyle name="SAPBEXexcGood2 73" xfId="5090"/>
    <cellStyle name="SAPBEXexcGood2 74" xfId="5091"/>
    <cellStyle name="SAPBEXexcGood2 75" xfId="5092"/>
    <cellStyle name="SAPBEXexcGood2 76" xfId="5093"/>
    <cellStyle name="SAPBEXexcGood2 77" xfId="5094"/>
    <cellStyle name="SAPBEXexcGood2 78" xfId="5095"/>
    <cellStyle name="SAPBEXexcGood2 79" xfId="5096"/>
    <cellStyle name="SAPBEXexcGood2 8" xfId="5097"/>
    <cellStyle name="SAPBEXexcGood2 80" xfId="5098"/>
    <cellStyle name="SAPBEXexcGood2 81" xfId="5099"/>
    <cellStyle name="SAPBEXexcGood2 82" xfId="5100"/>
    <cellStyle name="SAPBEXexcGood2 83" xfId="5101"/>
    <cellStyle name="SAPBEXexcGood2 84" xfId="5102"/>
    <cellStyle name="SAPBEXexcGood2 85" xfId="5103"/>
    <cellStyle name="SAPBEXexcGood2 86" xfId="5104"/>
    <cellStyle name="SAPBEXexcGood2 87" xfId="5105"/>
    <cellStyle name="SAPBEXexcGood2 88" xfId="5106"/>
    <cellStyle name="SAPBEXexcGood2 89" xfId="5107"/>
    <cellStyle name="SAPBEXexcGood2 9" xfId="5108"/>
    <cellStyle name="SAPBEXexcGood2 90" xfId="5109"/>
    <cellStyle name="SAPBEXexcGood2 91" xfId="5110"/>
    <cellStyle name="SAPBEXexcGood2 92" xfId="5111"/>
    <cellStyle name="SAPBEXexcGood2 93" xfId="5112"/>
    <cellStyle name="SAPBEXexcGood2 94" xfId="5113"/>
    <cellStyle name="SAPBEXexcGood2 95" xfId="5114"/>
    <cellStyle name="SAPBEXexcGood2 96" xfId="5115"/>
    <cellStyle name="SAPBEXexcGood2 97" xfId="5116"/>
    <cellStyle name="SAPBEXexcGood2 98" xfId="5117"/>
    <cellStyle name="SAPBEXexcGood2 99" xfId="5118"/>
    <cellStyle name="SAPBEXexcGood2_(A-7) IS-Inputs" xfId="5119"/>
    <cellStyle name="SAPBEXexcGood3" xfId="5120"/>
    <cellStyle name="SAPBEXexcGood3 10" xfId="5121"/>
    <cellStyle name="SAPBEXexcGood3 100" xfId="5122"/>
    <cellStyle name="SAPBEXexcGood3 101" xfId="5123"/>
    <cellStyle name="SAPBEXexcGood3 102" xfId="5124"/>
    <cellStyle name="SAPBEXexcGood3 103" xfId="5125"/>
    <cellStyle name="SAPBEXexcGood3 104" xfId="5126"/>
    <cellStyle name="SAPBEXexcGood3 105" xfId="5127"/>
    <cellStyle name="SAPBEXexcGood3 106" xfId="5128"/>
    <cellStyle name="SAPBEXexcGood3 107" xfId="5129"/>
    <cellStyle name="SAPBEXexcGood3 108" xfId="5130"/>
    <cellStyle name="SAPBEXexcGood3 109" xfId="5131"/>
    <cellStyle name="SAPBEXexcGood3 11" xfId="5132"/>
    <cellStyle name="SAPBEXexcGood3 110" xfId="5133"/>
    <cellStyle name="SAPBEXexcGood3 12" xfId="5134"/>
    <cellStyle name="SAPBEXexcGood3 13" xfId="5135"/>
    <cellStyle name="SAPBEXexcGood3 14" xfId="5136"/>
    <cellStyle name="SAPBEXexcGood3 15" xfId="5137"/>
    <cellStyle name="SAPBEXexcGood3 16" xfId="5138"/>
    <cellStyle name="SAPBEXexcGood3 17" xfId="5139"/>
    <cellStyle name="SAPBEXexcGood3 18" xfId="5140"/>
    <cellStyle name="SAPBEXexcGood3 19" xfId="5141"/>
    <cellStyle name="SAPBEXexcGood3 2" xfId="5142"/>
    <cellStyle name="SAPBEXexcGood3 20" xfId="5143"/>
    <cellStyle name="SAPBEXexcGood3 21" xfId="5144"/>
    <cellStyle name="SAPBEXexcGood3 22" xfId="5145"/>
    <cellStyle name="SAPBEXexcGood3 23" xfId="5146"/>
    <cellStyle name="SAPBEXexcGood3 24" xfId="5147"/>
    <cellStyle name="SAPBEXexcGood3 25" xfId="5148"/>
    <cellStyle name="SAPBEXexcGood3 26" xfId="5149"/>
    <cellStyle name="SAPBEXexcGood3 27" xfId="5150"/>
    <cellStyle name="SAPBEXexcGood3 28" xfId="5151"/>
    <cellStyle name="SAPBEXexcGood3 29" xfId="5152"/>
    <cellStyle name="SAPBEXexcGood3 3" xfId="5153"/>
    <cellStyle name="SAPBEXexcGood3 30" xfId="5154"/>
    <cellStyle name="SAPBEXexcGood3 31" xfId="5155"/>
    <cellStyle name="SAPBEXexcGood3 32" xfId="5156"/>
    <cellStyle name="SAPBEXexcGood3 33" xfId="5157"/>
    <cellStyle name="SAPBEXexcGood3 34" xfId="5158"/>
    <cellStyle name="SAPBEXexcGood3 35" xfId="5159"/>
    <cellStyle name="SAPBEXexcGood3 36" xfId="5160"/>
    <cellStyle name="SAPBEXexcGood3 37" xfId="5161"/>
    <cellStyle name="SAPBEXexcGood3 38" xfId="5162"/>
    <cellStyle name="SAPBEXexcGood3 39" xfId="5163"/>
    <cellStyle name="SAPBEXexcGood3 4" xfId="5164"/>
    <cellStyle name="SAPBEXexcGood3 40" xfId="5165"/>
    <cellStyle name="SAPBEXexcGood3 41" xfId="5166"/>
    <cellStyle name="SAPBEXexcGood3 42" xfId="5167"/>
    <cellStyle name="SAPBEXexcGood3 43" xfId="5168"/>
    <cellStyle name="SAPBEXexcGood3 44" xfId="5169"/>
    <cellStyle name="SAPBEXexcGood3 45" xfId="5170"/>
    <cellStyle name="SAPBEXexcGood3 46" xfId="5171"/>
    <cellStyle name="SAPBEXexcGood3 47" xfId="5172"/>
    <cellStyle name="SAPBEXexcGood3 48" xfId="5173"/>
    <cellStyle name="SAPBEXexcGood3 49" xfId="5174"/>
    <cellStyle name="SAPBEXexcGood3 5" xfId="5175"/>
    <cellStyle name="SAPBEXexcGood3 50" xfId="5176"/>
    <cellStyle name="SAPBEXexcGood3 51" xfId="5177"/>
    <cellStyle name="SAPBEXexcGood3 52" xfId="5178"/>
    <cellStyle name="SAPBEXexcGood3 53" xfId="5179"/>
    <cellStyle name="SAPBEXexcGood3 54" xfId="5180"/>
    <cellStyle name="SAPBEXexcGood3 55" xfId="5181"/>
    <cellStyle name="SAPBEXexcGood3 56" xfId="5182"/>
    <cellStyle name="SAPBEXexcGood3 57" xfId="5183"/>
    <cellStyle name="SAPBEXexcGood3 58" xfId="5184"/>
    <cellStyle name="SAPBEXexcGood3 59" xfId="5185"/>
    <cellStyle name="SAPBEXexcGood3 6" xfId="5186"/>
    <cellStyle name="SAPBEXexcGood3 60" xfId="5187"/>
    <cellStyle name="SAPBEXexcGood3 61" xfId="5188"/>
    <cellStyle name="SAPBEXexcGood3 62" xfId="5189"/>
    <cellStyle name="SAPBEXexcGood3 63" xfId="5190"/>
    <cellStyle name="SAPBEXexcGood3 64" xfId="5191"/>
    <cellStyle name="SAPBEXexcGood3 65" xfId="5192"/>
    <cellStyle name="SAPBEXexcGood3 66" xfId="5193"/>
    <cellStyle name="SAPBEXexcGood3 67" xfId="5194"/>
    <cellStyle name="SAPBEXexcGood3 68" xfId="5195"/>
    <cellStyle name="SAPBEXexcGood3 69" xfId="5196"/>
    <cellStyle name="SAPBEXexcGood3 7" xfId="5197"/>
    <cellStyle name="SAPBEXexcGood3 70" xfId="5198"/>
    <cellStyle name="SAPBEXexcGood3 71" xfId="5199"/>
    <cellStyle name="SAPBEXexcGood3 72" xfId="5200"/>
    <cellStyle name="SAPBEXexcGood3 73" xfId="5201"/>
    <cellStyle name="SAPBEXexcGood3 74" xfId="5202"/>
    <cellStyle name="SAPBEXexcGood3 75" xfId="5203"/>
    <cellStyle name="SAPBEXexcGood3 76" xfId="5204"/>
    <cellStyle name="SAPBEXexcGood3 77" xfId="5205"/>
    <cellStyle name="SAPBEXexcGood3 78" xfId="5206"/>
    <cellStyle name="SAPBEXexcGood3 79" xfId="5207"/>
    <cellStyle name="SAPBEXexcGood3 8" xfId="5208"/>
    <cellStyle name="SAPBEXexcGood3 80" xfId="5209"/>
    <cellStyle name="SAPBEXexcGood3 81" xfId="5210"/>
    <cellStyle name="SAPBEXexcGood3 82" xfId="5211"/>
    <cellStyle name="SAPBEXexcGood3 83" xfId="5212"/>
    <cellStyle name="SAPBEXexcGood3 84" xfId="5213"/>
    <cellStyle name="SAPBEXexcGood3 85" xfId="5214"/>
    <cellStyle name="SAPBEXexcGood3 86" xfId="5215"/>
    <cellStyle name="SAPBEXexcGood3 87" xfId="5216"/>
    <cellStyle name="SAPBEXexcGood3 88" xfId="5217"/>
    <cellStyle name="SAPBEXexcGood3 89" xfId="5218"/>
    <cellStyle name="SAPBEXexcGood3 9" xfId="5219"/>
    <cellStyle name="SAPBEXexcGood3 90" xfId="5220"/>
    <cellStyle name="SAPBEXexcGood3 91" xfId="5221"/>
    <cellStyle name="SAPBEXexcGood3 92" xfId="5222"/>
    <cellStyle name="SAPBEXexcGood3 93" xfId="5223"/>
    <cellStyle name="SAPBEXexcGood3 94" xfId="5224"/>
    <cellStyle name="SAPBEXexcGood3 95" xfId="5225"/>
    <cellStyle name="SAPBEXexcGood3 96" xfId="5226"/>
    <cellStyle name="SAPBEXexcGood3 97" xfId="5227"/>
    <cellStyle name="SAPBEXexcGood3 98" xfId="5228"/>
    <cellStyle name="SAPBEXexcGood3 99" xfId="5229"/>
    <cellStyle name="SAPBEXexcGood3_(A-7) IS-Inputs" xfId="5230"/>
    <cellStyle name="SAPBEXfilterDrill" xfId="5231"/>
    <cellStyle name="SAPBEXfilterDrill 10" xfId="5232"/>
    <cellStyle name="SAPBEXfilterDrill 100" xfId="5233"/>
    <cellStyle name="SAPBEXfilterDrill 101" xfId="5234"/>
    <cellStyle name="SAPBEXfilterDrill 102" xfId="5235"/>
    <cellStyle name="SAPBEXfilterDrill 103" xfId="5236"/>
    <cellStyle name="SAPBEXfilterDrill 104" xfId="5237"/>
    <cellStyle name="SAPBEXfilterDrill 105" xfId="5238"/>
    <cellStyle name="SAPBEXfilterDrill 106" xfId="5239"/>
    <cellStyle name="SAPBEXfilterDrill 107" xfId="5240"/>
    <cellStyle name="SAPBEXfilterDrill 108" xfId="5241"/>
    <cellStyle name="SAPBEXfilterDrill 109" xfId="5242"/>
    <cellStyle name="SAPBEXfilterDrill 11" xfId="5243"/>
    <cellStyle name="SAPBEXfilterDrill 110" xfId="5244"/>
    <cellStyle name="SAPBEXfilterDrill 12" xfId="5245"/>
    <cellStyle name="SAPBEXfilterDrill 13" xfId="5246"/>
    <cellStyle name="SAPBEXfilterDrill 14" xfId="5247"/>
    <cellStyle name="SAPBEXfilterDrill 15" xfId="5248"/>
    <cellStyle name="SAPBEXfilterDrill 16" xfId="5249"/>
    <cellStyle name="SAPBEXfilterDrill 17" xfId="5250"/>
    <cellStyle name="SAPBEXfilterDrill 18" xfId="5251"/>
    <cellStyle name="SAPBEXfilterDrill 19" xfId="5252"/>
    <cellStyle name="SAPBEXfilterDrill 2" xfId="5253"/>
    <cellStyle name="SAPBEXfilterDrill 20" xfId="5254"/>
    <cellStyle name="SAPBEXfilterDrill 21" xfId="5255"/>
    <cellStyle name="SAPBEXfilterDrill 22" xfId="5256"/>
    <cellStyle name="SAPBEXfilterDrill 23" xfId="5257"/>
    <cellStyle name="SAPBEXfilterDrill 24" xfId="5258"/>
    <cellStyle name="SAPBEXfilterDrill 25" xfId="5259"/>
    <cellStyle name="SAPBEXfilterDrill 26" xfId="5260"/>
    <cellStyle name="SAPBEXfilterDrill 27" xfId="5261"/>
    <cellStyle name="SAPBEXfilterDrill 28" xfId="5262"/>
    <cellStyle name="SAPBEXfilterDrill 29" xfId="5263"/>
    <cellStyle name="SAPBEXfilterDrill 3" xfId="5264"/>
    <cellStyle name="SAPBEXfilterDrill 30" xfId="5265"/>
    <cellStyle name="SAPBEXfilterDrill 31" xfId="5266"/>
    <cellStyle name="SAPBEXfilterDrill 32" xfId="5267"/>
    <cellStyle name="SAPBEXfilterDrill 33" xfId="5268"/>
    <cellStyle name="SAPBEXfilterDrill 34" xfId="5269"/>
    <cellStyle name="SAPBEXfilterDrill 35" xfId="5270"/>
    <cellStyle name="SAPBEXfilterDrill 36" xfId="5271"/>
    <cellStyle name="SAPBEXfilterDrill 37" xfId="5272"/>
    <cellStyle name="SAPBEXfilterDrill 38" xfId="5273"/>
    <cellStyle name="SAPBEXfilterDrill 39" xfId="5274"/>
    <cellStyle name="SAPBEXfilterDrill 4" xfId="5275"/>
    <cellStyle name="SAPBEXfilterDrill 40" xfId="5276"/>
    <cellStyle name="SAPBEXfilterDrill 41" xfId="5277"/>
    <cellStyle name="SAPBEXfilterDrill 42" xfId="5278"/>
    <cellStyle name="SAPBEXfilterDrill 43" xfId="5279"/>
    <cellStyle name="SAPBEXfilterDrill 44" xfId="5280"/>
    <cellStyle name="SAPBEXfilterDrill 45" xfId="5281"/>
    <cellStyle name="SAPBEXfilterDrill 46" xfId="5282"/>
    <cellStyle name="SAPBEXfilterDrill 47" xfId="5283"/>
    <cellStyle name="SAPBEXfilterDrill 48" xfId="5284"/>
    <cellStyle name="SAPBEXfilterDrill 49" xfId="5285"/>
    <cellStyle name="SAPBEXfilterDrill 5" xfId="5286"/>
    <cellStyle name="SAPBEXfilterDrill 50" xfId="5287"/>
    <cellStyle name="SAPBEXfilterDrill 51" xfId="5288"/>
    <cellStyle name="SAPBEXfilterDrill 52" xfId="5289"/>
    <cellStyle name="SAPBEXfilterDrill 53" xfId="5290"/>
    <cellStyle name="SAPBEXfilterDrill 54" xfId="5291"/>
    <cellStyle name="SAPBEXfilterDrill 55" xfId="5292"/>
    <cellStyle name="SAPBEXfilterDrill 56" xfId="5293"/>
    <cellStyle name="SAPBEXfilterDrill 57" xfId="5294"/>
    <cellStyle name="SAPBEXfilterDrill 58" xfId="5295"/>
    <cellStyle name="SAPBEXfilterDrill 59" xfId="5296"/>
    <cellStyle name="SAPBEXfilterDrill 6" xfId="5297"/>
    <cellStyle name="SAPBEXfilterDrill 60" xfId="5298"/>
    <cellStyle name="SAPBEXfilterDrill 61" xfId="5299"/>
    <cellStyle name="SAPBEXfilterDrill 62" xfId="5300"/>
    <cellStyle name="SAPBEXfilterDrill 63" xfId="5301"/>
    <cellStyle name="SAPBEXfilterDrill 64" xfId="5302"/>
    <cellStyle name="SAPBEXfilterDrill 65" xfId="5303"/>
    <cellStyle name="SAPBEXfilterDrill 66" xfId="5304"/>
    <cellStyle name="SAPBEXfilterDrill 67" xfId="5305"/>
    <cellStyle name="SAPBEXfilterDrill 68" xfId="5306"/>
    <cellStyle name="SAPBEXfilterDrill 69" xfId="5307"/>
    <cellStyle name="SAPBEXfilterDrill 7" xfId="5308"/>
    <cellStyle name="SAPBEXfilterDrill 70" xfId="5309"/>
    <cellStyle name="SAPBEXfilterDrill 71" xfId="5310"/>
    <cellStyle name="SAPBEXfilterDrill 72" xfId="5311"/>
    <cellStyle name="SAPBEXfilterDrill 73" xfId="5312"/>
    <cellStyle name="SAPBEXfilterDrill 74" xfId="5313"/>
    <cellStyle name="SAPBEXfilterDrill 75" xfId="5314"/>
    <cellStyle name="SAPBEXfilterDrill 76" xfId="5315"/>
    <cellStyle name="SAPBEXfilterDrill 77" xfId="5316"/>
    <cellStyle name="SAPBEXfilterDrill 78" xfId="5317"/>
    <cellStyle name="SAPBEXfilterDrill 79" xfId="5318"/>
    <cellStyle name="SAPBEXfilterDrill 8" xfId="5319"/>
    <cellStyle name="SAPBEXfilterDrill 80" xfId="5320"/>
    <cellStyle name="SAPBEXfilterDrill 81" xfId="5321"/>
    <cellStyle name="SAPBEXfilterDrill 82" xfId="5322"/>
    <cellStyle name="SAPBEXfilterDrill 83" xfId="5323"/>
    <cellStyle name="SAPBEXfilterDrill 84" xfId="5324"/>
    <cellStyle name="SAPBEXfilterDrill 85" xfId="5325"/>
    <cellStyle name="SAPBEXfilterDrill 86" xfId="5326"/>
    <cellStyle name="SAPBEXfilterDrill 87" xfId="5327"/>
    <cellStyle name="SAPBEXfilterDrill 88" xfId="5328"/>
    <cellStyle name="SAPBEXfilterDrill 89" xfId="5329"/>
    <cellStyle name="SAPBEXfilterDrill 9" xfId="5330"/>
    <cellStyle name="SAPBEXfilterDrill 90" xfId="5331"/>
    <cellStyle name="SAPBEXfilterDrill 91" xfId="5332"/>
    <cellStyle name="SAPBEXfilterDrill 92" xfId="5333"/>
    <cellStyle name="SAPBEXfilterDrill 93" xfId="5334"/>
    <cellStyle name="SAPBEXfilterDrill 94" xfId="5335"/>
    <cellStyle name="SAPBEXfilterDrill 95" xfId="5336"/>
    <cellStyle name="SAPBEXfilterDrill 96" xfId="5337"/>
    <cellStyle name="SAPBEXfilterDrill 97" xfId="5338"/>
    <cellStyle name="SAPBEXfilterDrill 98" xfId="5339"/>
    <cellStyle name="SAPBEXfilterDrill 99" xfId="5340"/>
    <cellStyle name="SAPBEXfilterDrill_(A-7) IS-Inputs" xfId="5341"/>
    <cellStyle name="SAPBEXfilterItem" xfId="5342"/>
    <cellStyle name="SAPBEXfilterItem 10" xfId="5343"/>
    <cellStyle name="SAPBEXfilterItem 11" xfId="5344"/>
    <cellStyle name="SAPBEXfilterItem 12" xfId="5345"/>
    <cellStyle name="SAPBEXfilterItem 13" xfId="5346"/>
    <cellStyle name="SAPBEXfilterItem 14" xfId="5347"/>
    <cellStyle name="SAPBEXfilterItem 15" xfId="5348"/>
    <cellStyle name="SAPBEXfilterItem 16" xfId="5349"/>
    <cellStyle name="SAPBEXfilterItem 17" xfId="5350"/>
    <cellStyle name="SAPBEXfilterItem 18" xfId="5351"/>
    <cellStyle name="SAPBEXfilterItem 19" xfId="5352"/>
    <cellStyle name="SAPBEXfilterItem 2" xfId="5353"/>
    <cellStyle name="SAPBEXfilterItem 2 2" xfId="5354"/>
    <cellStyle name="SAPBEXfilterItem 2 2 2" xfId="5355"/>
    <cellStyle name="SAPBEXfilterItem 2 3" xfId="5356"/>
    <cellStyle name="SAPBEXfilterItem 20" xfId="5357"/>
    <cellStyle name="SAPBEXfilterItem 21" xfId="5358"/>
    <cellStyle name="SAPBEXfilterItem 22" xfId="5359"/>
    <cellStyle name="SAPBEXfilterItem 23" xfId="5360"/>
    <cellStyle name="SAPBEXfilterItem 24" xfId="5361"/>
    <cellStyle name="SAPBEXfilterItem 25" xfId="5362"/>
    <cellStyle name="SAPBEXfilterItem 26" xfId="5363"/>
    <cellStyle name="SAPBEXfilterItem 27" xfId="5364"/>
    <cellStyle name="SAPBEXfilterItem 28" xfId="5365"/>
    <cellStyle name="SAPBEXfilterItem 29" xfId="5366"/>
    <cellStyle name="SAPBEXfilterItem 3" xfId="5367"/>
    <cellStyle name="SAPBEXfilterItem 30" xfId="5368"/>
    <cellStyle name="SAPBEXfilterItem 31" xfId="5369"/>
    <cellStyle name="SAPBEXfilterItem 32" xfId="5370"/>
    <cellStyle name="SAPBEXfilterItem 33" xfId="5371"/>
    <cellStyle name="SAPBEXfilterItem 34" xfId="5372"/>
    <cellStyle name="SAPBEXfilterItem 35" xfId="5373"/>
    <cellStyle name="SAPBEXfilterItem 36" xfId="5374"/>
    <cellStyle name="SAPBEXfilterItem 37" xfId="5375"/>
    <cellStyle name="SAPBEXfilterItem 38" xfId="5376"/>
    <cellStyle name="SAPBEXfilterItem 39" xfId="5377"/>
    <cellStyle name="SAPBEXfilterItem 4" xfId="5378"/>
    <cellStyle name="SAPBEXfilterItem 40" xfId="5379"/>
    <cellStyle name="SAPBEXfilterItem 41" xfId="5380"/>
    <cellStyle name="SAPBEXfilterItem 42" xfId="5381"/>
    <cellStyle name="SAPBEXfilterItem 43" xfId="5382"/>
    <cellStyle name="SAPBEXfilterItem 44" xfId="5383"/>
    <cellStyle name="SAPBEXfilterItem 45" xfId="5384"/>
    <cellStyle name="SAPBEXfilterItem 46" xfId="5385"/>
    <cellStyle name="SAPBEXfilterItem 5" xfId="5386"/>
    <cellStyle name="SAPBEXfilterItem 6" xfId="5387"/>
    <cellStyle name="SAPBEXfilterItem 7" xfId="5388"/>
    <cellStyle name="SAPBEXfilterItem 8" xfId="5389"/>
    <cellStyle name="SAPBEXfilterItem 9" xfId="5390"/>
    <cellStyle name="SAPBEXfilterText" xfId="5391"/>
    <cellStyle name="SAPBEXfilterText 10" xfId="5392"/>
    <cellStyle name="SAPBEXfilterText 11" xfId="5393"/>
    <cellStyle name="SAPBEXfilterText 12" xfId="5394"/>
    <cellStyle name="SAPBEXfilterText 13" xfId="5395"/>
    <cellStyle name="SAPBEXfilterText 14" xfId="5396"/>
    <cellStyle name="SAPBEXfilterText 15" xfId="5397"/>
    <cellStyle name="SAPBEXfilterText 16" xfId="5398"/>
    <cellStyle name="SAPBEXfilterText 17" xfId="5399"/>
    <cellStyle name="SAPBEXfilterText 18" xfId="5400"/>
    <cellStyle name="SAPBEXfilterText 19" xfId="5401"/>
    <cellStyle name="SAPBEXfilterText 2" xfId="5402"/>
    <cellStyle name="SAPBEXfilterText 2 2" xfId="5403"/>
    <cellStyle name="SAPBEXfilterText 2 2 2" xfId="5404"/>
    <cellStyle name="SAPBEXfilterText 2 3" xfId="5405"/>
    <cellStyle name="SAPBEXfilterText 20" xfId="5406"/>
    <cellStyle name="SAPBEXfilterText 21" xfId="5407"/>
    <cellStyle name="SAPBEXfilterText 22" xfId="5408"/>
    <cellStyle name="SAPBEXfilterText 23" xfId="5409"/>
    <cellStyle name="SAPBEXfilterText 24" xfId="5410"/>
    <cellStyle name="SAPBEXfilterText 25" xfId="5411"/>
    <cellStyle name="SAPBEXfilterText 26" xfId="5412"/>
    <cellStyle name="SAPBEXfilterText 27" xfId="5413"/>
    <cellStyle name="SAPBEXfilterText 28" xfId="5414"/>
    <cellStyle name="SAPBEXfilterText 29" xfId="5415"/>
    <cellStyle name="SAPBEXfilterText 3" xfId="5416"/>
    <cellStyle name="SAPBEXfilterText 30" xfId="5417"/>
    <cellStyle name="SAPBEXfilterText 31" xfId="5418"/>
    <cellStyle name="SAPBEXfilterText 32" xfId="5419"/>
    <cellStyle name="SAPBEXfilterText 33" xfId="5420"/>
    <cellStyle name="SAPBEXfilterText 34" xfId="5421"/>
    <cellStyle name="SAPBEXfilterText 35" xfId="5422"/>
    <cellStyle name="SAPBEXfilterText 36" xfId="5423"/>
    <cellStyle name="SAPBEXfilterText 37" xfId="5424"/>
    <cellStyle name="SAPBEXfilterText 38" xfId="5425"/>
    <cellStyle name="SAPBEXfilterText 39" xfId="5426"/>
    <cellStyle name="SAPBEXfilterText 4" xfId="5427"/>
    <cellStyle name="SAPBEXfilterText 40" xfId="5428"/>
    <cellStyle name="SAPBEXfilterText 41" xfId="5429"/>
    <cellStyle name="SAPBEXfilterText 42" xfId="5430"/>
    <cellStyle name="SAPBEXfilterText 43" xfId="5431"/>
    <cellStyle name="SAPBEXfilterText 44" xfId="5432"/>
    <cellStyle name="SAPBEXfilterText 45" xfId="5433"/>
    <cellStyle name="SAPBEXfilterText 46" xfId="5434"/>
    <cellStyle name="SAPBEXfilterText 5" xfId="5435"/>
    <cellStyle name="SAPBEXfilterText 6" xfId="5436"/>
    <cellStyle name="SAPBEXfilterText 7" xfId="5437"/>
    <cellStyle name="SAPBEXfilterText 8" xfId="5438"/>
    <cellStyle name="SAPBEXfilterText 9" xfId="5439"/>
    <cellStyle name="SAPBEXformats" xfId="5440"/>
    <cellStyle name="SAPBEXformats 10" xfId="5441"/>
    <cellStyle name="SAPBEXformats 100" xfId="5442"/>
    <cellStyle name="SAPBEXformats 101" xfId="5443"/>
    <cellStyle name="SAPBEXformats 102" xfId="5444"/>
    <cellStyle name="SAPBEXformats 103" xfId="5445"/>
    <cellStyle name="SAPBEXformats 104" xfId="5446"/>
    <cellStyle name="SAPBEXformats 105" xfId="5447"/>
    <cellStyle name="SAPBEXformats 106" xfId="5448"/>
    <cellStyle name="SAPBEXformats 107" xfId="5449"/>
    <cellStyle name="SAPBEXformats 108" xfId="5450"/>
    <cellStyle name="SAPBEXformats 109" xfId="5451"/>
    <cellStyle name="SAPBEXformats 11" xfId="5452"/>
    <cellStyle name="SAPBEXformats 110" xfId="5453"/>
    <cellStyle name="SAPBEXformats 12" xfId="5454"/>
    <cellStyle name="SAPBEXformats 13" xfId="5455"/>
    <cellStyle name="SAPBEXformats 14" xfId="5456"/>
    <cellStyle name="SAPBEXformats 15" xfId="5457"/>
    <cellStyle name="SAPBEXformats 16" xfId="5458"/>
    <cellStyle name="SAPBEXformats 17" xfId="5459"/>
    <cellStyle name="SAPBEXformats 18" xfId="5460"/>
    <cellStyle name="SAPBEXformats 19" xfId="5461"/>
    <cellStyle name="SAPBEXformats 2" xfId="5462"/>
    <cellStyle name="SAPBEXformats 20" xfId="5463"/>
    <cellStyle name="SAPBEXformats 21" xfId="5464"/>
    <cellStyle name="SAPBEXformats 22" xfId="5465"/>
    <cellStyle name="SAPBEXformats 23" xfId="5466"/>
    <cellStyle name="SAPBEXformats 24" xfId="5467"/>
    <cellStyle name="SAPBEXformats 25" xfId="5468"/>
    <cellStyle name="SAPBEXformats 26" xfId="5469"/>
    <cellStyle name="SAPBEXformats 27" xfId="5470"/>
    <cellStyle name="SAPBEXformats 28" xfId="5471"/>
    <cellStyle name="SAPBEXformats 29" xfId="5472"/>
    <cellStyle name="SAPBEXformats 3" xfId="5473"/>
    <cellStyle name="SAPBEXformats 30" xfId="5474"/>
    <cellStyle name="SAPBEXformats 31" xfId="5475"/>
    <cellStyle name="SAPBEXformats 32" xfId="5476"/>
    <cellStyle name="SAPBEXformats 33" xfId="5477"/>
    <cellStyle name="SAPBEXformats 34" xfId="5478"/>
    <cellStyle name="SAPBEXformats 35" xfId="5479"/>
    <cellStyle name="SAPBEXformats 36" xfId="5480"/>
    <cellStyle name="SAPBEXformats 37" xfId="5481"/>
    <cellStyle name="SAPBEXformats 38" xfId="5482"/>
    <cellStyle name="SAPBEXformats 39" xfId="5483"/>
    <cellStyle name="SAPBEXformats 4" xfId="5484"/>
    <cellStyle name="SAPBEXformats 40" xfId="5485"/>
    <cellStyle name="SAPBEXformats 41" xfId="5486"/>
    <cellStyle name="SAPBEXformats 42" xfId="5487"/>
    <cellStyle name="SAPBEXformats 43" xfId="5488"/>
    <cellStyle name="SAPBEXformats 44" xfId="5489"/>
    <cellStyle name="SAPBEXformats 45" xfId="5490"/>
    <cellStyle name="SAPBEXformats 46" xfId="5491"/>
    <cellStyle name="SAPBEXformats 47" xfId="5492"/>
    <cellStyle name="SAPBEXformats 48" xfId="5493"/>
    <cellStyle name="SAPBEXformats 49" xfId="5494"/>
    <cellStyle name="SAPBEXformats 5" xfId="5495"/>
    <cellStyle name="SAPBEXformats 50" xfId="5496"/>
    <cellStyle name="SAPBEXformats 51" xfId="5497"/>
    <cellStyle name="SAPBEXformats 52" xfId="5498"/>
    <cellStyle name="SAPBEXformats 53" xfId="5499"/>
    <cellStyle name="SAPBEXformats 54" xfId="5500"/>
    <cellStyle name="SAPBEXformats 55" xfId="5501"/>
    <cellStyle name="SAPBEXformats 56" xfId="5502"/>
    <cellStyle name="SAPBEXformats 57" xfId="5503"/>
    <cellStyle name="SAPBEXformats 58" xfId="5504"/>
    <cellStyle name="SAPBEXformats 59" xfId="5505"/>
    <cellStyle name="SAPBEXformats 6" xfId="5506"/>
    <cellStyle name="SAPBEXformats 60" xfId="5507"/>
    <cellStyle name="SAPBEXformats 61" xfId="5508"/>
    <cellStyle name="SAPBEXformats 62" xfId="5509"/>
    <cellStyle name="SAPBEXformats 63" xfId="5510"/>
    <cellStyle name="SAPBEXformats 64" xfId="5511"/>
    <cellStyle name="SAPBEXformats 65" xfId="5512"/>
    <cellStyle name="SAPBEXformats 66" xfId="5513"/>
    <cellStyle name="SAPBEXformats 67" xfId="5514"/>
    <cellStyle name="SAPBEXformats 68" xfId="5515"/>
    <cellStyle name="SAPBEXformats 69" xfId="5516"/>
    <cellStyle name="SAPBEXformats 7" xfId="5517"/>
    <cellStyle name="SAPBEXformats 70" xfId="5518"/>
    <cellStyle name="SAPBEXformats 71" xfId="5519"/>
    <cellStyle name="SAPBEXformats 72" xfId="5520"/>
    <cellStyle name="SAPBEXformats 73" xfId="5521"/>
    <cellStyle name="SAPBEXformats 74" xfId="5522"/>
    <cellStyle name="SAPBEXformats 75" xfId="5523"/>
    <cellStyle name="SAPBEXformats 76" xfId="5524"/>
    <cellStyle name="SAPBEXformats 77" xfId="5525"/>
    <cellStyle name="SAPBEXformats 78" xfId="5526"/>
    <cellStyle name="SAPBEXformats 79" xfId="5527"/>
    <cellStyle name="SAPBEXformats 8" xfId="5528"/>
    <cellStyle name="SAPBEXformats 80" xfId="5529"/>
    <cellStyle name="SAPBEXformats 81" xfId="5530"/>
    <cellStyle name="SAPBEXformats 82" xfId="5531"/>
    <cellStyle name="SAPBEXformats 83" xfId="5532"/>
    <cellStyle name="SAPBEXformats 84" xfId="5533"/>
    <cellStyle name="SAPBEXformats 85" xfId="5534"/>
    <cellStyle name="SAPBEXformats 86" xfId="5535"/>
    <cellStyle name="SAPBEXformats 87" xfId="5536"/>
    <cellStyle name="SAPBEXformats 88" xfId="5537"/>
    <cellStyle name="SAPBEXformats 89" xfId="5538"/>
    <cellStyle name="SAPBEXformats 9" xfId="5539"/>
    <cellStyle name="SAPBEXformats 90" xfId="5540"/>
    <cellStyle name="SAPBEXformats 91" xfId="5541"/>
    <cellStyle name="SAPBEXformats 92" xfId="5542"/>
    <cellStyle name="SAPBEXformats 93" xfId="5543"/>
    <cellStyle name="SAPBEXformats 94" xfId="5544"/>
    <cellStyle name="SAPBEXformats 95" xfId="5545"/>
    <cellStyle name="SAPBEXformats 96" xfId="5546"/>
    <cellStyle name="SAPBEXformats 97" xfId="5547"/>
    <cellStyle name="SAPBEXformats 98" xfId="5548"/>
    <cellStyle name="SAPBEXformats 99" xfId="5549"/>
    <cellStyle name="SAPBEXformats_(A-7) IS-Inputs" xfId="5550"/>
    <cellStyle name="SAPBEXheaderItem" xfId="5551"/>
    <cellStyle name="SAPBEXheaderItem 10" xfId="5552"/>
    <cellStyle name="SAPBEXheaderItem 100" xfId="5553"/>
    <cellStyle name="SAPBEXheaderItem 101" xfId="5554"/>
    <cellStyle name="SAPBEXheaderItem 102" xfId="5555"/>
    <cellStyle name="SAPBEXheaderItem 103" xfId="5556"/>
    <cellStyle name="SAPBEXheaderItem 104" xfId="5557"/>
    <cellStyle name="SAPBEXheaderItem 105" xfId="5558"/>
    <cellStyle name="SAPBEXheaderItem 106" xfId="5559"/>
    <cellStyle name="SAPBEXheaderItem 107" xfId="5560"/>
    <cellStyle name="SAPBEXheaderItem 108" xfId="5561"/>
    <cellStyle name="SAPBEXheaderItem 109" xfId="5562"/>
    <cellStyle name="SAPBEXheaderItem 11" xfId="5563"/>
    <cellStyle name="SAPBEXheaderItem 110" xfId="5564"/>
    <cellStyle name="SAPBEXheaderItem 12" xfId="5565"/>
    <cellStyle name="SAPBEXheaderItem 13" xfId="5566"/>
    <cellStyle name="SAPBEXheaderItem 14" xfId="5567"/>
    <cellStyle name="SAPBEXheaderItem 15" xfId="5568"/>
    <cellStyle name="SAPBEXheaderItem 16" xfId="5569"/>
    <cellStyle name="SAPBEXheaderItem 17" xfId="5570"/>
    <cellStyle name="SAPBEXheaderItem 18" xfId="5571"/>
    <cellStyle name="SAPBEXheaderItem 19" xfId="5572"/>
    <cellStyle name="SAPBEXheaderItem 2" xfId="5573"/>
    <cellStyle name="SAPBEXheaderItem 2 2" xfId="5574"/>
    <cellStyle name="SAPBEXheaderItem 2 2 2" xfId="5575"/>
    <cellStyle name="SAPBEXheaderItem 2 2 2 2" xfId="5576"/>
    <cellStyle name="SAPBEXheaderItem 2 2 2 3" xfId="5577"/>
    <cellStyle name="SAPBEXheaderItem 2 2 2 4" xfId="5578"/>
    <cellStyle name="SAPBEXheaderItem 2 2 2 5" xfId="5579"/>
    <cellStyle name="SAPBEXheaderItem 2 2 2 6" xfId="5580"/>
    <cellStyle name="SAPBEXheaderItem 2 2 2 7" xfId="5581"/>
    <cellStyle name="SAPBEXheaderItem 2 2 3" xfId="5582"/>
    <cellStyle name="SAPBEXheaderItem 2 2 4" xfId="5583"/>
    <cellStyle name="SAPBEXheaderItem 2 2 5" xfId="5584"/>
    <cellStyle name="SAPBEXheaderItem 2 2 6" xfId="5585"/>
    <cellStyle name="SAPBEXheaderItem 2 2 7" xfId="5586"/>
    <cellStyle name="SAPBEXheaderItem 2 3" xfId="5587"/>
    <cellStyle name="SAPBEXheaderItem 2 4" xfId="5588"/>
    <cellStyle name="SAPBEXheaderItem 2 5" xfId="5589"/>
    <cellStyle name="SAPBEXheaderItem 2 6" xfId="5590"/>
    <cellStyle name="SAPBEXheaderItem 2 7" xfId="5591"/>
    <cellStyle name="SAPBEXheaderItem 2 8" xfId="5592"/>
    <cellStyle name="SAPBEXheaderItem 2 9" xfId="5593"/>
    <cellStyle name="SAPBEXheaderItem 20" xfId="5594"/>
    <cellStyle name="SAPBEXheaderItem 21" xfId="5595"/>
    <cellStyle name="SAPBEXheaderItem 22" xfId="5596"/>
    <cellStyle name="SAPBEXheaderItem 23" xfId="5597"/>
    <cellStyle name="SAPBEXheaderItem 24" xfId="5598"/>
    <cellStyle name="SAPBEXheaderItem 25" xfId="5599"/>
    <cellStyle name="SAPBEXheaderItem 26" xfId="5600"/>
    <cellStyle name="SAPBEXheaderItem 27" xfId="5601"/>
    <cellStyle name="SAPBEXheaderItem 28" xfId="5602"/>
    <cellStyle name="SAPBEXheaderItem 29" xfId="5603"/>
    <cellStyle name="SAPBEXheaderItem 3" xfId="5604"/>
    <cellStyle name="SAPBEXheaderItem 30" xfId="5605"/>
    <cellStyle name="SAPBEXheaderItem 31" xfId="5606"/>
    <cellStyle name="SAPBEXheaderItem 32" xfId="5607"/>
    <cellStyle name="SAPBEXheaderItem 33" xfId="5608"/>
    <cellStyle name="SAPBEXheaderItem 34" xfId="5609"/>
    <cellStyle name="SAPBEXheaderItem 35" xfId="5610"/>
    <cellStyle name="SAPBEXheaderItem 36" xfId="5611"/>
    <cellStyle name="SAPBEXheaderItem 37" xfId="5612"/>
    <cellStyle name="SAPBEXheaderItem 38" xfId="5613"/>
    <cellStyle name="SAPBEXheaderItem 39" xfId="5614"/>
    <cellStyle name="SAPBEXheaderItem 4" xfId="5615"/>
    <cellStyle name="SAPBEXheaderItem 40" xfId="5616"/>
    <cellStyle name="SAPBEXheaderItem 41" xfId="5617"/>
    <cellStyle name="SAPBEXheaderItem 42" xfId="5618"/>
    <cellStyle name="SAPBEXheaderItem 43" xfId="5619"/>
    <cellStyle name="SAPBEXheaderItem 44" xfId="5620"/>
    <cellStyle name="SAPBEXheaderItem 45" xfId="5621"/>
    <cellStyle name="SAPBEXheaderItem 46" xfId="5622"/>
    <cellStyle name="SAPBEXheaderItem 46 2" xfId="5623"/>
    <cellStyle name="SAPBEXheaderItem 47" xfId="5624"/>
    <cellStyle name="SAPBEXheaderItem 47 2" xfId="5625"/>
    <cellStyle name="SAPBEXheaderItem 48" xfId="5626"/>
    <cellStyle name="SAPBEXheaderItem 48 2" xfId="5627"/>
    <cellStyle name="SAPBEXheaderItem 49" xfId="5628"/>
    <cellStyle name="SAPBEXheaderItem 49 2" xfId="5629"/>
    <cellStyle name="SAPBEXheaderItem 5" xfId="5630"/>
    <cellStyle name="SAPBEXheaderItem 50" xfId="5631"/>
    <cellStyle name="SAPBEXheaderItem 50 2" xfId="5632"/>
    <cellStyle name="SAPBEXheaderItem 51" xfId="5633"/>
    <cellStyle name="SAPBEXheaderItem 51 2" xfId="5634"/>
    <cellStyle name="SAPBEXheaderItem 52" xfId="5635"/>
    <cellStyle name="SAPBEXheaderItem 52 2" xfId="5636"/>
    <cellStyle name="SAPBEXheaderItem 53" xfId="5637"/>
    <cellStyle name="SAPBEXheaderItem 54" xfId="5638"/>
    <cellStyle name="SAPBEXheaderItem 55" xfId="5639"/>
    <cellStyle name="SAPBEXheaderItem 56" xfId="5640"/>
    <cellStyle name="SAPBEXheaderItem 57" xfId="5641"/>
    <cellStyle name="SAPBEXheaderItem 58" xfId="5642"/>
    <cellStyle name="SAPBEXheaderItem 59" xfId="5643"/>
    <cellStyle name="SAPBEXheaderItem 6" xfId="5644"/>
    <cellStyle name="SAPBEXheaderItem 60" xfId="5645"/>
    <cellStyle name="SAPBEXheaderItem 61" xfId="5646"/>
    <cellStyle name="SAPBEXheaderItem 62" xfId="5647"/>
    <cellStyle name="SAPBEXheaderItem 63" xfId="5648"/>
    <cellStyle name="SAPBEXheaderItem 64" xfId="5649"/>
    <cellStyle name="SAPBEXheaderItem 65" xfId="5650"/>
    <cellStyle name="SAPBEXheaderItem 66" xfId="5651"/>
    <cellStyle name="SAPBEXheaderItem 67" xfId="5652"/>
    <cellStyle name="SAPBEXheaderItem 68" xfId="5653"/>
    <cellStyle name="SAPBEXheaderItem 69" xfId="5654"/>
    <cellStyle name="SAPBEXheaderItem 7" xfId="5655"/>
    <cellStyle name="SAPBEXheaderItem 70" xfId="5656"/>
    <cellStyle name="SAPBEXheaderItem 71" xfId="5657"/>
    <cellStyle name="SAPBEXheaderItem 72" xfId="5658"/>
    <cellStyle name="SAPBEXheaderItem 73" xfId="5659"/>
    <cellStyle name="SAPBEXheaderItem 74" xfId="5660"/>
    <cellStyle name="SAPBEXheaderItem 75" xfId="5661"/>
    <cellStyle name="SAPBEXheaderItem 76" xfId="5662"/>
    <cellStyle name="SAPBEXheaderItem 77" xfId="5663"/>
    <cellStyle name="SAPBEXheaderItem 78" xfId="5664"/>
    <cellStyle name="SAPBEXheaderItem 79" xfId="5665"/>
    <cellStyle name="SAPBEXheaderItem 8" xfId="5666"/>
    <cellStyle name="SAPBEXheaderItem 80" xfId="5667"/>
    <cellStyle name="SAPBEXheaderItem 81" xfId="5668"/>
    <cellStyle name="SAPBEXheaderItem 82" xfId="5669"/>
    <cellStyle name="SAPBEXheaderItem 83" xfId="5670"/>
    <cellStyle name="SAPBEXheaderItem 84" xfId="5671"/>
    <cellStyle name="SAPBEXheaderItem 85" xfId="5672"/>
    <cellStyle name="SAPBEXheaderItem 86" xfId="5673"/>
    <cellStyle name="SAPBEXheaderItem 87" xfId="5674"/>
    <cellStyle name="SAPBEXheaderItem 88" xfId="5675"/>
    <cellStyle name="SAPBEXheaderItem 89" xfId="5676"/>
    <cellStyle name="SAPBEXheaderItem 9" xfId="5677"/>
    <cellStyle name="SAPBEXheaderItem 90" xfId="5678"/>
    <cellStyle name="SAPBEXheaderItem 91" xfId="5679"/>
    <cellStyle name="SAPBEXheaderItem 92" xfId="5680"/>
    <cellStyle name="SAPBEXheaderItem 93" xfId="5681"/>
    <cellStyle name="SAPBEXheaderItem 94" xfId="5682"/>
    <cellStyle name="SAPBEXheaderItem 95" xfId="5683"/>
    <cellStyle name="SAPBEXheaderItem 96" xfId="5684"/>
    <cellStyle name="SAPBEXheaderItem 97" xfId="5685"/>
    <cellStyle name="SAPBEXheaderItem 98" xfId="5686"/>
    <cellStyle name="SAPBEXheaderItem 99" xfId="5687"/>
    <cellStyle name="SAPBEXheaderItem_(A-7) IS-Inputs" xfId="5688"/>
    <cellStyle name="SAPBEXheaderText" xfId="5689"/>
    <cellStyle name="SAPBEXheaderText 10" xfId="5690"/>
    <cellStyle name="SAPBEXheaderText 100" xfId="5691"/>
    <cellStyle name="SAPBEXheaderText 101" xfId="5692"/>
    <cellStyle name="SAPBEXheaderText 102" xfId="5693"/>
    <cellStyle name="SAPBEXheaderText 103" xfId="5694"/>
    <cellStyle name="SAPBEXheaderText 104" xfId="5695"/>
    <cellStyle name="SAPBEXheaderText 105" xfId="5696"/>
    <cellStyle name="SAPBEXheaderText 106" xfId="5697"/>
    <cellStyle name="SAPBEXheaderText 107" xfId="5698"/>
    <cellStyle name="SAPBEXheaderText 108" xfId="5699"/>
    <cellStyle name="SAPBEXheaderText 109" xfId="5700"/>
    <cellStyle name="SAPBEXheaderText 11" xfId="5701"/>
    <cellStyle name="SAPBEXheaderText 110" xfId="5702"/>
    <cellStyle name="SAPBEXheaderText 12" xfId="5703"/>
    <cellStyle name="SAPBEXheaderText 13" xfId="5704"/>
    <cellStyle name="SAPBEXheaderText 14" xfId="5705"/>
    <cellStyle name="SAPBEXheaderText 15" xfId="5706"/>
    <cellStyle name="SAPBEXheaderText 16" xfId="5707"/>
    <cellStyle name="SAPBEXheaderText 17" xfId="5708"/>
    <cellStyle name="SAPBEXheaderText 18" xfId="5709"/>
    <cellStyle name="SAPBEXheaderText 19" xfId="5710"/>
    <cellStyle name="SAPBEXheaderText 2" xfId="5711"/>
    <cellStyle name="SAPBEXheaderText 2 2" xfId="5712"/>
    <cellStyle name="SAPBEXheaderText 2 2 2" xfId="5713"/>
    <cellStyle name="SAPBEXheaderText 2 2 2 2" xfId="5714"/>
    <cellStyle name="SAPBEXheaderText 2 2 2 3" xfId="5715"/>
    <cellStyle name="SAPBEXheaderText 2 2 2 4" xfId="5716"/>
    <cellStyle name="SAPBEXheaderText 2 2 2 5" xfId="5717"/>
    <cellStyle name="SAPBEXheaderText 2 2 2 6" xfId="5718"/>
    <cellStyle name="SAPBEXheaderText 2 2 2 7" xfId="5719"/>
    <cellStyle name="SAPBEXheaderText 2 2 3" xfId="5720"/>
    <cellStyle name="SAPBEXheaderText 2 2 4" xfId="5721"/>
    <cellStyle name="SAPBEXheaderText 2 2 5" xfId="5722"/>
    <cellStyle name="SAPBEXheaderText 2 2 6" xfId="5723"/>
    <cellStyle name="SAPBEXheaderText 2 2 7" xfId="5724"/>
    <cellStyle name="SAPBEXheaderText 2 3" xfId="5725"/>
    <cellStyle name="SAPBEXheaderText 2 4" xfId="5726"/>
    <cellStyle name="SAPBEXheaderText 2 5" xfId="5727"/>
    <cellStyle name="SAPBEXheaderText 2 6" xfId="5728"/>
    <cellStyle name="SAPBEXheaderText 2 7" xfId="5729"/>
    <cellStyle name="SAPBEXheaderText 2 8" xfId="5730"/>
    <cellStyle name="SAPBEXheaderText 2 9" xfId="5731"/>
    <cellStyle name="SAPBEXheaderText 20" xfId="5732"/>
    <cellStyle name="SAPBEXheaderText 21" xfId="5733"/>
    <cellStyle name="SAPBEXheaderText 22" xfId="5734"/>
    <cellStyle name="SAPBEXheaderText 23" xfId="5735"/>
    <cellStyle name="SAPBEXheaderText 24" xfId="5736"/>
    <cellStyle name="SAPBEXheaderText 25" xfId="5737"/>
    <cellStyle name="SAPBEXheaderText 26" xfId="5738"/>
    <cellStyle name="SAPBEXheaderText 27" xfId="5739"/>
    <cellStyle name="SAPBEXheaderText 28" xfId="5740"/>
    <cellStyle name="SAPBEXheaderText 29" xfId="5741"/>
    <cellStyle name="SAPBEXheaderText 3" xfId="5742"/>
    <cellStyle name="SAPBEXheaderText 30" xfId="5743"/>
    <cellStyle name="SAPBEXheaderText 31" xfId="5744"/>
    <cellStyle name="SAPBEXheaderText 32" xfId="5745"/>
    <cellStyle name="SAPBEXheaderText 33" xfId="5746"/>
    <cellStyle name="SAPBEXheaderText 34" xfId="5747"/>
    <cellStyle name="SAPBEXheaderText 35" xfId="5748"/>
    <cellStyle name="SAPBEXheaderText 36" xfId="5749"/>
    <cellStyle name="SAPBEXheaderText 37" xfId="5750"/>
    <cellStyle name="SAPBEXheaderText 38" xfId="5751"/>
    <cellStyle name="SAPBEXheaderText 39" xfId="5752"/>
    <cellStyle name="SAPBEXheaderText 4" xfId="5753"/>
    <cellStyle name="SAPBEXheaderText 40" xfId="5754"/>
    <cellStyle name="SAPBEXheaderText 41" xfId="5755"/>
    <cellStyle name="SAPBEXheaderText 42" xfId="5756"/>
    <cellStyle name="SAPBEXheaderText 43" xfId="5757"/>
    <cellStyle name="SAPBEXheaderText 44" xfId="5758"/>
    <cellStyle name="SAPBEXheaderText 45" xfId="5759"/>
    <cellStyle name="SAPBEXheaderText 46" xfId="5760"/>
    <cellStyle name="SAPBEXheaderText 46 2" xfId="5761"/>
    <cellStyle name="SAPBEXheaderText 47" xfId="5762"/>
    <cellStyle name="SAPBEXheaderText 47 2" xfId="5763"/>
    <cellStyle name="SAPBEXheaderText 48" xfId="5764"/>
    <cellStyle name="SAPBEXheaderText 48 2" xfId="5765"/>
    <cellStyle name="SAPBEXheaderText 49" xfId="5766"/>
    <cellStyle name="SAPBEXheaderText 49 2" xfId="5767"/>
    <cellStyle name="SAPBEXheaderText 5" xfId="5768"/>
    <cellStyle name="SAPBEXheaderText 50" xfId="5769"/>
    <cellStyle name="SAPBEXheaderText 50 2" xfId="5770"/>
    <cellStyle name="SAPBEXheaderText 51" xfId="5771"/>
    <cellStyle name="SAPBEXheaderText 51 2" xfId="5772"/>
    <cellStyle name="SAPBEXheaderText 52" xfId="5773"/>
    <cellStyle name="SAPBEXheaderText 52 2" xfId="5774"/>
    <cellStyle name="SAPBEXheaderText 53" xfId="5775"/>
    <cellStyle name="SAPBEXheaderText 54" xfId="5776"/>
    <cellStyle name="SAPBEXheaderText 55" xfId="5777"/>
    <cellStyle name="SAPBEXheaderText 56" xfId="5778"/>
    <cellStyle name="SAPBEXheaderText 57" xfId="5779"/>
    <cellStyle name="SAPBEXheaderText 58" xfId="5780"/>
    <cellStyle name="SAPBEXheaderText 59" xfId="5781"/>
    <cellStyle name="SAPBEXheaderText 6" xfId="5782"/>
    <cellStyle name="SAPBEXheaderText 60" xfId="5783"/>
    <cellStyle name="SAPBEXheaderText 61" xfId="5784"/>
    <cellStyle name="SAPBEXheaderText 62" xfId="5785"/>
    <cellStyle name="SAPBEXheaderText 63" xfId="5786"/>
    <cellStyle name="SAPBEXheaderText 64" xfId="5787"/>
    <cellStyle name="SAPBEXheaderText 65" xfId="5788"/>
    <cellStyle name="SAPBEXheaderText 66" xfId="5789"/>
    <cellStyle name="SAPBEXheaderText 67" xfId="5790"/>
    <cellStyle name="SAPBEXheaderText 68" xfId="5791"/>
    <cellStyle name="SAPBEXheaderText 69" xfId="5792"/>
    <cellStyle name="SAPBEXheaderText 7" xfId="5793"/>
    <cellStyle name="SAPBEXheaderText 70" xfId="5794"/>
    <cellStyle name="SAPBEXheaderText 71" xfId="5795"/>
    <cellStyle name="SAPBEXheaderText 72" xfId="5796"/>
    <cellStyle name="SAPBEXheaderText 73" xfId="5797"/>
    <cellStyle name="SAPBEXheaderText 74" xfId="5798"/>
    <cellStyle name="SAPBEXheaderText 75" xfId="5799"/>
    <cellStyle name="SAPBEXheaderText 76" xfId="5800"/>
    <cellStyle name="SAPBEXheaderText 77" xfId="5801"/>
    <cellStyle name="SAPBEXheaderText 78" xfId="5802"/>
    <cellStyle name="SAPBEXheaderText 79" xfId="5803"/>
    <cellStyle name="SAPBEXheaderText 8" xfId="5804"/>
    <cellStyle name="SAPBEXheaderText 80" xfId="5805"/>
    <cellStyle name="SAPBEXheaderText 81" xfId="5806"/>
    <cellStyle name="SAPBEXheaderText 82" xfId="5807"/>
    <cellStyle name="SAPBEXheaderText 83" xfId="5808"/>
    <cellStyle name="SAPBEXheaderText 84" xfId="5809"/>
    <cellStyle name="SAPBEXheaderText 85" xfId="5810"/>
    <cellStyle name="SAPBEXheaderText 86" xfId="5811"/>
    <cellStyle name="SAPBEXheaderText 87" xfId="5812"/>
    <cellStyle name="SAPBEXheaderText 88" xfId="5813"/>
    <cellStyle name="SAPBEXheaderText 89" xfId="5814"/>
    <cellStyle name="SAPBEXheaderText 9" xfId="5815"/>
    <cellStyle name="SAPBEXheaderText 90" xfId="5816"/>
    <cellStyle name="SAPBEXheaderText 91" xfId="5817"/>
    <cellStyle name="SAPBEXheaderText 92" xfId="5818"/>
    <cellStyle name="SAPBEXheaderText 93" xfId="5819"/>
    <cellStyle name="SAPBEXheaderText 94" xfId="5820"/>
    <cellStyle name="SAPBEXheaderText 95" xfId="5821"/>
    <cellStyle name="SAPBEXheaderText 96" xfId="5822"/>
    <cellStyle name="SAPBEXheaderText 97" xfId="5823"/>
    <cellStyle name="SAPBEXheaderText 98" xfId="5824"/>
    <cellStyle name="SAPBEXheaderText 99" xfId="5825"/>
    <cellStyle name="SAPBEXheaderText_(A-7) IS-Inputs" xfId="5826"/>
    <cellStyle name="SAPBEXHLevel0" xfId="5827"/>
    <cellStyle name="SAPBEXHLevel0 10" xfId="5828"/>
    <cellStyle name="SAPBEXHLevel0 100" xfId="5829"/>
    <cellStyle name="SAPBEXHLevel0 101" xfId="5830"/>
    <cellStyle name="SAPBEXHLevel0 102" xfId="5831"/>
    <cellStyle name="SAPBEXHLevel0 103" xfId="5832"/>
    <cellStyle name="SAPBEXHLevel0 104" xfId="5833"/>
    <cellStyle name="SAPBEXHLevel0 105" xfId="5834"/>
    <cellStyle name="SAPBEXHLevel0 106" xfId="5835"/>
    <cellStyle name="SAPBEXHLevel0 107" xfId="5836"/>
    <cellStyle name="SAPBEXHLevel0 108" xfId="5837"/>
    <cellStyle name="SAPBEXHLevel0 109" xfId="5838"/>
    <cellStyle name="SAPBEXHLevel0 11" xfId="5839"/>
    <cellStyle name="SAPBEXHLevel0 110" xfId="5840"/>
    <cellStyle name="SAPBEXHLevel0 12" xfId="5841"/>
    <cellStyle name="SAPBEXHLevel0 13" xfId="5842"/>
    <cellStyle name="SAPBEXHLevel0 14" xfId="5843"/>
    <cellStyle name="SAPBEXHLevel0 15" xfId="5844"/>
    <cellStyle name="SAPBEXHLevel0 16" xfId="5845"/>
    <cellStyle name="SAPBEXHLevel0 17" xfId="5846"/>
    <cellStyle name="SAPBEXHLevel0 18" xfId="5847"/>
    <cellStyle name="SAPBEXHLevel0 19" xfId="5848"/>
    <cellStyle name="SAPBEXHLevel0 2" xfId="5849"/>
    <cellStyle name="SAPBEXHLevel0 20" xfId="5850"/>
    <cellStyle name="SAPBEXHLevel0 21" xfId="5851"/>
    <cellStyle name="SAPBEXHLevel0 22" xfId="5852"/>
    <cellStyle name="SAPBEXHLevel0 23" xfId="5853"/>
    <cellStyle name="SAPBEXHLevel0 24" xfId="5854"/>
    <cellStyle name="SAPBEXHLevel0 25" xfId="5855"/>
    <cellStyle name="SAPBEXHLevel0 26" xfId="5856"/>
    <cellStyle name="SAPBEXHLevel0 27" xfId="5857"/>
    <cellStyle name="SAPBEXHLevel0 28" xfId="5858"/>
    <cellStyle name="SAPBEXHLevel0 29" xfId="5859"/>
    <cellStyle name="SAPBEXHLevel0 3" xfId="5860"/>
    <cellStyle name="SAPBEXHLevel0 30" xfId="5861"/>
    <cellStyle name="SAPBEXHLevel0 31" xfId="5862"/>
    <cellStyle name="SAPBEXHLevel0 32" xfId="5863"/>
    <cellStyle name="SAPBEXHLevel0 33" xfId="5864"/>
    <cellStyle name="SAPBEXHLevel0 34" xfId="5865"/>
    <cellStyle name="SAPBEXHLevel0 35" xfId="5866"/>
    <cellStyle name="SAPBEXHLevel0 36" xfId="5867"/>
    <cellStyle name="SAPBEXHLevel0 37" xfId="5868"/>
    <cellStyle name="SAPBEXHLevel0 38" xfId="5869"/>
    <cellStyle name="SAPBEXHLevel0 39" xfId="5870"/>
    <cellStyle name="SAPBEXHLevel0 4" xfId="5871"/>
    <cellStyle name="SAPBEXHLevel0 40" xfId="5872"/>
    <cellStyle name="SAPBEXHLevel0 41" xfId="5873"/>
    <cellStyle name="SAPBEXHLevel0 42" xfId="5874"/>
    <cellStyle name="SAPBEXHLevel0 43" xfId="5875"/>
    <cellStyle name="SAPBEXHLevel0 44" xfId="5876"/>
    <cellStyle name="SAPBEXHLevel0 45" xfId="5877"/>
    <cellStyle name="SAPBEXHLevel0 46" xfId="5878"/>
    <cellStyle name="SAPBEXHLevel0 47" xfId="5879"/>
    <cellStyle name="SAPBEXHLevel0 48" xfId="5880"/>
    <cellStyle name="SAPBEXHLevel0 49" xfId="5881"/>
    <cellStyle name="SAPBEXHLevel0 5" xfId="5882"/>
    <cellStyle name="SAPBEXHLevel0 50" xfId="5883"/>
    <cellStyle name="SAPBEXHLevel0 51" xfId="5884"/>
    <cellStyle name="SAPBEXHLevel0 52" xfId="5885"/>
    <cellStyle name="SAPBEXHLevel0 53" xfId="5886"/>
    <cellStyle name="SAPBEXHLevel0 54" xfId="5887"/>
    <cellStyle name="SAPBEXHLevel0 55" xfId="5888"/>
    <cellStyle name="SAPBEXHLevel0 56" xfId="5889"/>
    <cellStyle name="SAPBEXHLevel0 57" xfId="5890"/>
    <cellStyle name="SAPBEXHLevel0 58" xfId="5891"/>
    <cellStyle name="SAPBEXHLevel0 59" xfId="5892"/>
    <cellStyle name="SAPBEXHLevel0 6" xfId="5893"/>
    <cellStyle name="SAPBEXHLevel0 60" xfId="5894"/>
    <cellStyle name="SAPBEXHLevel0 61" xfId="5895"/>
    <cellStyle name="SAPBEXHLevel0 62" xfId="5896"/>
    <cellStyle name="SAPBEXHLevel0 63" xfId="5897"/>
    <cellStyle name="SAPBEXHLevel0 64" xfId="5898"/>
    <cellStyle name="SAPBEXHLevel0 65" xfId="5899"/>
    <cellStyle name="SAPBEXHLevel0 66" xfId="5900"/>
    <cellStyle name="SAPBEXHLevel0 67" xfId="5901"/>
    <cellStyle name="SAPBEXHLevel0 68" xfId="5902"/>
    <cellStyle name="SAPBEXHLevel0 69" xfId="5903"/>
    <cellStyle name="SAPBEXHLevel0 7" xfId="5904"/>
    <cellStyle name="SAPBEXHLevel0 70" xfId="5905"/>
    <cellStyle name="SAPBEXHLevel0 71" xfId="5906"/>
    <cellStyle name="SAPBEXHLevel0 72" xfId="5907"/>
    <cellStyle name="SAPBEXHLevel0 73" xfId="5908"/>
    <cellStyle name="SAPBEXHLevel0 74" xfId="5909"/>
    <cellStyle name="SAPBEXHLevel0 75" xfId="5910"/>
    <cellStyle name="SAPBEXHLevel0 76" xfId="5911"/>
    <cellStyle name="SAPBEXHLevel0 77" xfId="5912"/>
    <cellStyle name="SAPBEXHLevel0 78" xfId="5913"/>
    <cellStyle name="SAPBEXHLevel0 79" xfId="5914"/>
    <cellStyle name="SAPBEXHLevel0 8" xfId="5915"/>
    <cellStyle name="SAPBEXHLevel0 80" xfId="5916"/>
    <cellStyle name="SAPBEXHLevel0 81" xfId="5917"/>
    <cellStyle name="SAPBEXHLevel0 82" xfId="5918"/>
    <cellStyle name="SAPBEXHLevel0 83" xfId="5919"/>
    <cellStyle name="SAPBEXHLevel0 84" xfId="5920"/>
    <cellStyle name="SAPBEXHLevel0 85" xfId="5921"/>
    <cellStyle name="SAPBEXHLevel0 86" xfId="5922"/>
    <cellStyle name="SAPBEXHLevel0 87" xfId="5923"/>
    <cellStyle name="SAPBEXHLevel0 88" xfId="5924"/>
    <cellStyle name="SAPBEXHLevel0 89" xfId="5925"/>
    <cellStyle name="SAPBEXHLevel0 9" xfId="5926"/>
    <cellStyle name="SAPBEXHLevel0 90" xfId="5927"/>
    <cellStyle name="SAPBEXHLevel0 91" xfId="5928"/>
    <cellStyle name="SAPBEXHLevel0 92" xfId="5929"/>
    <cellStyle name="SAPBEXHLevel0 93" xfId="5930"/>
    <cellStyle name="SAPBEXHLevel0 94" xfId="5931"/>
    <cellStyle name="SAPBEXHLevel0 95" xfId="5932"/>
    <cellStyle name="SAPBEXHLevel0 96" xfId="5933"/>
    <cellStyle name="SAPBEXHLevel0 97" xfId="5934"/>
    <cellStyle name="SAPBEXHLevel0 98" xfId="5935"/>
    <cellStyle name="SAPBEXHLevel0 99" xfId="5936"/>
    <cellStyle name="SAPBEXHLevel0_(A-7) IS-Inputs" xfId="5937"/>
    <cellStyle name="SAPBEXHLevel0X" xfId="5938"/>
    <cellStyle name="SAPBEXHLevel0X 10" xfId="5939"/>
    <cellStyle name="SAPBEXHLevel0X 10 2" xfId="5940"/>
    <cellStyle name="SAPBEXHLevel0X 10 3" xfId="5941"/>
    <cellStyle name="SAPBEXHLevel0X 10 4" xfId="5942"/>
    <cellStyle name="SAPBEXHLevel0X 10 5" xfId="5943"/>
    <cellStyle name="SAPBEXHLevel0X 10 6" xfId="5944"/>
    <cellStyle name="SAPBEXHLevel0X 10 7" xfId="5945"/>
    <cellStyle name="SAPBEXHLevel0X 10 8" xfId="5946"/>
    <cellStyle name="SAPBEXHLevel0X 10 9" xfId="5947"/>
    <cellStyle name="SAPBEXHLevel0X 11" xfId="5948"/>
    <cellStyle name="SAPBEXHLevel0X 11 2" xfId="5949"/>
    <cellStyle name="SAPBEXHLevel0X 12" xfId="5950"/>
    <cellStyle name="SAPBEXHLevel0X 12 2" xfId="5951"/>
    <cellStyle name="SAPBEXHLevel0X 12 3" xfId="5952"/>
    <cellStyle name="SAPBEXHLevel0X 12 4" xfId="5953"/>
    <cellStyle name="SAPBEXHLevel0X 12 5" xfId="5954"/>
    <cellStyle name="SAPBEXHLevel0X 12 6" xfId="5955"/>
    <cellStyle name="SAPBEXHLevel0X 12 7" xfId="5956"/>
    <cellStyle name="SAPBEXHLevel0X 12 8" xfId="5957"/>
    <cellStyle name="SAPBEXHLevel0X 13" xfId="5958"/>
    <cellStyle name="SAPBEXHLevel0X 13 2" xfId="5959"/>
    <cellStyle name="SAPBEXHLevel0X 13 3" xfId="5960"/>
    <cellStyle name="SAPBEXHLevel0X 13 4" xfId="5961"/>
    <cellStyle name="SAPBEXHLevel0X 13 5" xfId="5962"/>
    <cellStyle name="SAPBEXHLevel0X 13 6" xfId="5963"/>
    <cellStyle name="SAPBEXHLevel0X 13 7" xfId="5964"/>
    <cellStyle name="SAPBEXHLevel0X 13 8" xfId="5965"/>
    <cellStyle name="SAPBEXHLevel0X 14" xfId="5966"/>
    <cellStyle name="SAPBEXHLevel0X 14 2" xfId="5967"/>
    <cellStyle name="SAPBEXHLevel0X 15" xfId="5968"/>
    <cellStyle name="SAPBEXHLevel0X 15 2" xfId="5969"/>
    <cellStyle name="SAPBEXHLevel0X 16" xfId="5970"/>
    <cellStyle name="SAPBEXHLevel0X 16 2" xfId="5971"/>
    <cellStyle name="SAPBEXHLevel0X 17" xfId="5972"/>
    <cellStyle name="SAPBEXHLevel0X 17 2" xfId="5973"/>
    <cellStyle name="SAPBEXHLevel0X 18" xfId="5974"/>
    <cellStyle name="SAPBEXHLevel0X 18 2" xfId="5975"/>
    <cellStyle name="SAPBEXHLevel0X 19" xfId="5976"/>
    <cellStyle name="SAPBEXHLevel0X 19 2" xfId="5977"/>
    <cellStyle name="SAPBEXHLevel0X 2" xfId="5978"/>
    <cellStyle name="SAPBEXHLevel0X 2 2" xfId="5979"/>
    <cellStyle name="SAPBEXHLevel0X 2 3" xfId="5980"/>
    <cellStyle name="SAPBEXHLevel0X 2 4" xfId="5981"/>
    <cellStyle name="SAPBEXHLevel0X 2 5" xfId="5982"/>
    <cellStyle name="SAPBEXHLevel0X 2 6" xfId="5983"/>
    <cellStyle name="SAPBEXHLevel0X 2 7" xfId="5984"/>
    <cellStyle name="SAPBEXHLevel0X 2 8" xfId="5985"/>
    <cellStyle name="SAPBEXHLevel0X 2 9" xfId="5986"/>
    <cellStyle name="SAPBEXHLevel0X 20" xfId="5987"/>
    <cellStyle name="SAPBEXHLevel0X 20 2" xfId="5988"/>
    <cellStyle name="SAPBEXHLevel0X 21" xfId="5989"/>
    <cellStyle name="SAPBEXHLevel0X 22" xfId="5990"/>
    <cellStyle name="SAPBEXHLevel0X 23" xfId="5991"/>
    <cellStyle name="SAPBEXHLevel0X 24" xfId="5992"/>
    <cellStyle name="SAPBEXHLevel0X 25" xfId="5993"/>
    <cellStyle name="SAPBEXHLevel0X 26" xfId="5994"/>
    <cellStyle name="SAPBEXHLevel0X 27" xfId="5995"/>
    <cellStyle name="SAPBEXHLevel0X 28" xfId="5996"/>
    <cellStyle name="SAPBEXHLevel0X 29" xfId="5997"/>
    <cellStyle name="SAPBEXHLevel0X 3" xfId="5998"/>
    <cellStyle name="SAPBEXHLevel0X 3 2" xfId="5999"/>
    <cellStyle name="SAPBEXHLevel0X 3 3" xfId="6000"/>
    <cellStyle name="SAPBEXHLevel0X 3 4" xfId="6001"/>
    <cellStyle name="SAPBEXHLevel0X 3 5" xfId="6002"/>
    <cellStyle name="SAPBEXHLevel0X 3 6" xfId="6003"/>
    <cellStyle name="SAPBEXHLevel0X 3 7" xfId="6004"/>
    <cellStyle name="SAPBEXHLevel0X 3 8" xfId="6005"/>
    <cellStyle name="SAPBEXHLevel0X 3 9" xfId="6006"/>
    <cellStyle name="SAPBEXHLevel0X 30" xfId="6007"/>
    <cellStyle name="SAPBEXHLevel0X 31" xfId="6008"/>
    <cellStyle name="SAPBEXHLevel0X 32" xfId="6009"/>
    <cellStyle name="SAPBEXHLevel0X 33" xfId="6010"/>
    <cellStyle name="SAPBEXHLevel0X 34" xfId="6011"/>
    <cellStyle name="SAPBEXHLevel0X 35" xfId="6012"/>
    <cellStyle name="SAPBEXHLevel0X 36" xfId="6013"/>
    <cellStyle name="SAPBEXHLevel0X 37" xfId="6014"/>
    <cellStyle name="SAPBEXHLevel0X 38" xfId="6015"/>
    <cellStyle name="SAPBEXHLevel0X 39" xfId="6016"/>
    <cellStyle name="SAPBEXHLevel0X 4" xfId="6017"/>
    <cellStyle name="SAPBEXHLevel0X 4 2" xfId="6018"/>
    <cellStyle name="SAPBEXHLevel0X 4 3" xfId="6019"/>
    <cellStyle name="SAPBEXHLevel0X 4 4" xfId="6020"/>
    <cellStyle name="SAPBEXHLevel0X 4 5" xfId="6021"/>
    <cellStyle name="SAPBEXHLevel0X 4 6" xfId="6022"/>
    <cellStyle name="SAPBEXHLevel0X 4 7" xfId="6023"/>
    <cellStyle name="SAPBEXHLevel0X 4 8" xfId="6024"/>
    <cellStyle name="SAPBEXHLevel0X 4 9" xfId="6025"/>
    <cellStyle name="SAPBEXHLevel0X 40" xfId="6026"/>
    <cellStyle name="SAPBEXHLevel0X 41" xfId="6027"/>
    <cellStyle name="SAPBEXHLevel0X 42" xfId="6028"/>
    <cellStyle name="SAPBEXHLevel0X 43" xfId="6029"/>
    <cellStyle name="SAPBEXHLevel0X 44" xfId="6030"/>
    <cellStyle name="SAPBEXHLevel0X 45" xfId="6031"/>
    <cellStyle name="SAPBEXHLevel0X 46" xfId="6032"/>
    <cellStyle name="SAPBEXHLevel0X 5" xfId="6033"/>
    <cellStyle name="SAPBEXHLevel0X 5 2" xfId="6034"/>
    <cellStyle name="SAPBEXHLevel0X 5 3" xfId="6035"/>
    <cellStyle name="SAPBEXHLevel0X 5 4" xfId="6036"/>
    <cellStyle name="SAPBEXHLevel0X 5 5" xfId="6037"/>
    <cellStyle name="SAPBEXHLevel0X 5 6" xfId="6038"/>
    <cellStyle name="SAPBEXHLevel0X 5 7" xfId="6039"/>
    <cellStyle name="SAPBEXHLevel0X 5 8" xfId="6040"/>
    <cellStyle name="SAPBEXHLevel0X 5 9" xfId="6041"/>
    <cellStyle name="SAPBEXHLevel0X 6" xfId="6042"/>
    <cellStyle name="SAPBEXHLevel0X 6 2" xfId="6043"/>
    <cellStyle name="SAPBEXHLevel0X 6 3" xfId="6044"/>
    <cellStyle name="SAPBEXHLevel0X 6 4" xfId="6045"/>
    <cellStyle name="SAPBEXHLevel0X 6 5" xfId="6046"/>
    <cellStyle name="SAPBEXHLevel0X 6 6" xfId="6047"/>
    <cellStyle name="SAPBEXHLevel0X 6 7" xfId="6048"/>
    <cellStyle name="SAPBEXHLevel0X 6 8" xfId="6049"/>
    <cellStyle name="SAPBEXHLevel0X 6 9" xfId="6050"/>
    <cellStyle name="SAPBEXHLevel0X 7" xfId="6051"/>
    <cellStyle name="SAPBEXHLevel0X 7 2" xfId="6052"/>
    <cellStyle name="SAPBEXHLevel0X 7 3" xfId="6053"/>
    <cellStyle name="SAPBEXHLevel0X 7 4" xfId="6054"/>
    <cellStyle name="SAPBEXHLevel0X 7 5" xfId="6055"/>
    <cellStyle name="SAPBEXHLevel0X 7 6" xfId="6056"/>
    <cellStyle name="SAPBEXHLevel0X 7 7" xfId="6057"/>
    <cellStyle name="SAPBEXHLevel0X 7 8" xfId="6058"/>
    <cellStyle name="SAPBEXHLevel0X 7 9" xfId="6059"/>
    <cellStyle name="SAPBEXHLevel0X 8" xfId="6060"/>
    <cellStyle name="SAPBEXHLevel0X 8 2" xfId="6061"/>
    <cellStyle name="SAPBEXHLevel0X 8 3" xfId="6062"/>
    <cellStyle name="SAPBEXHLevel0X 8 4" xfId="6063"/>
    <cellStyle name="SAPBEXHLevel0X 8 5" xfId="6064"/>
    <cellStyle name="SAPBEXHLevel0X 8 6" xfId="6065"/>
    <cellStyle name="SAPBEXHLevel0X 8 7" xfId="6066"/>
    <cellStyle name="SAPBEXHLevel0X 8 8" xfId="6067"/>
    <cellStyle name="SAPBEXHLevel0X 8 9" xfId="6068"/>
    <cellStyle name="SAPBEXHLevel0X 9" xfId="6069"/>
    <cellStyle name="SAPBEXHLevel0X 9 2" xfId="6070"/>
    <cellStyle name="SAPBEXHLevel0X 9 3" xfId="6071"/>
    <cellStyle name="SAPBEXHLevel0X 9 4" xfId="6072"/>
    <cellStyle name="SAPBEXHLevel0X 9 5" xfId="6073"/>
    <cellStyle name="SAPBEXHLevel0X 9 6" xfId="6074"/>
    <cellStyle name="SAPBEXHLevel0X 9 7" xfId="6075"/>
    <cellStyle name="SAPBEXHLevel0X 9 8" xfId="6076"/>
    <cellStyle name="SAPBEXHLevel0X 9 9" xfId="6077"/>
    <cellStyle name="SAPBEXHLevel0X_(A-7) IS-Inputs" xfId="6078"/>
    <cellStyle name="SAPBEXHLevel1" xfId="6079"/>
    <cellStyle name="SAPBEXHLevel1 10" xfId="6080"/>
    <cellStyle name="SAPBEXHLevel1 100" xfId="6081"/>
    <cellStyle name="SAPBEXHLevel1 101" xfId="6082"/>
    <cellStyle name="SAPBEXHLevel1 102" xfId="6083"/>
    <cellStyle name="SAPBEXHLevel1 103" xfId="6084"/>
    <cellStyle name="SAPBEXHLevel1 104" xfId="6085"/>
    <cellStyle name="SAPBEXHLevel1 105" xfId="6086"/>
    <cellStyle name="SAPBEXHLevel1 106" xfId="6087"/>
    <cellStyle name="SAPBEXHLevel1 107" xfId="6088"/>
    <cellStyle name="SAPBEXHLevel1 108" xfId="6089"/>
    <cellStyle name="SAPBEXHLevel1 109" xfId="6090"/>
    <cellStyle name="SAPBEXHLevel1 11" xfId="6091"/>
    <cellStyle name="SAPBEXHLevel1 110" xfId="6092"/>
    <cellStyle name="SAPBEXHLevel1 12" xfId="6093"/>
    <cellStyle name="SAPBEXHLevel1 13" xfId="6094"/>
    <cellStyle name="SAPBEXHLevel1 14" xfId="6095"/>
    <cellStyle name="SAPBEXHLevel1 15" xfId="6096"/>
    <cellStyle name="SAPBEXHLevel1 16" xfId="6097"/>
    <cellStyle name="SAPBEXHLevel1 17" xfId="6098"/>
    <cellStyle name="SAPBEXHLevel1 18" xfId="6099"/>
    <cellStyle name="SAPBEXHLevel1 19" xfId="6100"/>
    <cellStyle name="SAPBEXHLevel1 2" xfId="6101"/>
    <cellStyle name="SAPBEXHLevel1 20" xfId="6102"/>
    <cellStyle name="SAPBEXHLevel1 21" xfId="6103"/>
    <cellStyle name="SAPBEXHLevel1 22" xfId="6104"/>
    <cellStyle name="SAPBEXHLevel1 23" xfId="6105"/>
    <cellStyle name="SAPBEXHLevel1 24" xfId="6106"/>
    <cellStyle name="SAPBEXHLevel1 25" xfId="6107"/>
    <cellStyle name="SAPBEXHLevel1 26" xfId="6108"/>
    <cellStyle name="SAPBEXHLevel1 27" xfId="6109"/>
    <cellStyle name="SAPBEXHLevel1 28" xfId="6110"/>
    <cellStyle name="SAPBEXHLevel1 29" xfId="6111"/>
    <cellStyle name="SAPBEXHLevel1 3" xfId="6112"/>
    <cellStyle name="SAPBEXHLevel1 30" xfId="6113"/>
    <cellStyle name="SAPBEXHLevel1 31" xfId="6114"/>
    <cellStyle name="SAPBEXHLevel1 32" xfId="6115"/>
    <cellStyle name="SAPBEXHLevel1 33" xfId="6116"/>
    <cellStyle name="SAPBEXHLevel1 34" xfId="6117"/>
    <cellStyle name="SAPBEXHLevel1 35" xfId="6118"/>
    <cellStyle name="SAPBEXHLevel1 36" xfId="6119"/>
    <cellStyle name="SAPBEXHLevel1 37" xfId="6120"/>
    <cellStyle name="SAPBEXHLevel1 38" xfId="6121"/>
    <cellStyle name="SAPBEXHLevel1 39" xfId="6122"/>
    <cellStyle name="SAPBEXHLevel1 4" xfId="6123"/>
    <cellStyle name="SAPBEXHLevel1 40" xfId="6124"/>
    <cellStyle name="SAPBEXHLevel1 41" xfId="6125"/>
    <cellStyle name="SAPBEXHLevel1 42" xfId="6126"/>
    <cellStyle name="SAPBEXHLevel1 43" xfId="6127"/>
    <cellStyle name="SAPBEXHLevel1 44" xfId="6128"/>
    <cellStyle name="SAPBEXHLevel1 45" xfId="6129"/>
    <cellStyle name="SAPBEXHLevel1 46" xfId="6130"/>
    <cellStyle name="SAPBEXHLevel1 47" xfId="6131"/>
    <cellStyle name="SAPBEXHLevel1 48" xfId="6132"/>
    <cellStyle name="SAPBEXHLevel1 49" xfId="6133"/>
    <cellStyle name="SAPBEXHLevel1 5" xfId="6134"/>
    <cellStyle name="SAPBEXHLevel1 50" xfId="6135"/>
    <cellStyle name="SAPBEXHLevel1 51" xfId="6136"/>
    <cellStyle name="SAPBEXHLevel1 52" xfId="6137"/>
    <cellStyle name="SAPBEXHLevel1 53" xfId="6138"/>
    <cellStyle name="SAPBEXHLevel1 54" xfId="6139"/>
    <cellStyle name="SAPBEXHLevel1 55" xfId="6140"/>
    <cellStyle name="SAPBEXHLevel1 56" xfId="6141"/>
    <cellStyle name="SAPBEXHLevel1 57" xfId="6142"/>
    <cellStyle name="SAPBEXHLevel1 58" xfId="6143"/>
    <cellStyle name="SAPBEXHLevel1 59" xfId="6144"/>
    <cellStyle name="SAPBEXHLevel1 6" xfId="6145"/>
    <cellStyle name="SAPBEXHLevel1 60" xfId="6146"/>
    <cellStyle name="SAPBEXHLevel1 61" xfId="6147"/>
    <cellStyle name="SAPBEXHLevel1 62" xfId="6148"/>
    <cellStyle name="SAPBEXHLevel1 63" xfId="6149"/>
    <cellStyle name="SAPBEXHLevel1 64" xfId="6150"/>
    <cellStyle name="SAPBEXHLevel1 65" xfId="6151"/>
    <cellStyle name="SAPBEXHLevel1 66" xfId="6152"/>
    <cellStyle name="SAPBEXHLevel1 67" xfId="6153"/>
    <cellStyle name="SAPBEXHLevel1 68" xfId="6154"/>
    <cellStyle name="SAPBEXHLevel1 69" xfId="6155"/>
    <cellStyle name="SAPBEXHLevel1 7" xfId="6156"/>
    <cellStyle name="SAPBEXHLevel1 70" xfId="6157"/>
    <cellStyle name="SAPBEXHLevel1 71" xfId="6158"/>
    <cellStyle name="SAPBEXHLevel1 72" xfId="6159"/>
    <cellStyle name="SAPBEXHLevel1 73" xfId="6160"/>
    <cellStyle name="SAPBEXHLevel1 74" xfId="6161"/>
    <cellStyle name="SAPBEXHLevel1 75" xfId="6162"/>
    <cellStyle name="SAPBEXHLevel1 76" xfId="6163"/>
    <cellStyle name="SAPBEXHLevel1 77" xfId="6164"/>
    <cellStyle name="SAPBEXHLevel1 78" xfId="6165"/>
    <cellStyle name="SAPBEXHLevel1 79" xfId="6166"/>
    <cellStyle name="SAPBEXHLevel1 8" xfId="6167"/>
    <cellStyle name="SAPBEXHLevel1 80" xfId="6168"/>
    <cellStyle name="SAPBEXHLevel1 81" xfId="6169"/>
    <cellStyle name="SAPBEXHLevel1 82" xfId="6170"/>
    <cellStyle name="SAPBEXHLevel1 83" xfId="6171"/>
    <cellStyle name="SAPBEXHLevel1 84" xfId="6172"/>
    <cellStyle name="SAPBEXHLevel1 85" xfId="6173"/>
    <cellStyle name="SAPBEXHLevel1 86" xfId="6174"/>
    <cellStyle name="SAPBEXHLevel1 87" xfId="6175"/>
    <cellStyle name="SAPBEXHLevel1 88" xfId="6176"/>
    <cellStyle name="SAPBEXHLevel1 89" xfId="6177"/>
    <cellStyle name="SAPBEXHLevel1 9" xfId="6178"/>
    <cellStyle name="SAPBEXHLevel1 90" xfId="6179"/>
    <cellStyle name="SAPBEXHLevel1 91" xfId="6180"/>
    <cellStyle name="SAPBEXHLevel1 92" xfId="6181"/>
    <cellStyle name="SAPBEXHLevel1 93" xfId="6182"/>
    <cellStyle name="SAPBEXHLevel1 94" xfId="6183"/>
    <cellStyle name="SAPBEXHLevel1 95" xfId="6184"/>
    <cellStyle name="SAPBEXHLevel1 96" xfId="6185"/>
    <cellStyle name="SAPBEXHLevel1 97" xfId="6186"/>
    <cellStyle name="SAPBEXHLevel1 98" xfId="6187"/>
    <cellStyle name="SAPBEXHLevel1 99" xfId="6188"/>
    <cellStyle name="SAPBEXHLevel1_(A-7) IS-Inputs" xfId="6189"/>
    <cellStyle name="SAPBEXHLevel1X" xfId="6190"/>
    <cellStyle name="SAPBEXHLevel1X 10" xfId="6191"/>
    <cellStyle name="SAPBEXHLevel1X 10 2" xfId="6192"/>
    <cellStyle name="SAPBEXHLevel1X 10 3" xfId="6193"/>
    <cellStyle name="SAPBEXHLevel1X 10 4" xfId="6194"/>
    <cellStyle name="SAPBEXHLevel1X 10 5" xfId="6195"/>
    <cellStyle name="SAPBEXHLevel1X 10 6" xfId="6196"/>
    <cellStyle name="SAPBEXHLevel1X 10 7" xfId="6197"/>
    <cellStyle name="SAPBEXHLevel1X 10 8" xfId="6198"/>
    <cellStyle name="SAPBEXHLevel1X 10 9" xfId="6199"/>
    <cellStyle name="SAPBEXHLevel1X 11" xfId="6200"/>
    <cellStyle name="SAPBEXHLevel1X 11 2" xfId="6201"/>
    <cellStyle name="SAPBEXHLevel1X 12" xfId="6202"/>
    <cellStyle name="SAPBEXHLevel1X 12 2" xfId="6203"/>
    <cellStyle name="SAPBEXHLevel1X 12 3" xfId="6204"/>
    <cellStyle name="SAPBEXHLevel1X 12 4" xfId="6205"/>
    <cellStyle name="SAPBEXHLevel1X 12 5" xfId="6206"/>
    <cellStyle name="SAPBEXHLevel1X 12 6" xfId="6207"/>
    <cellStyle name="SAPBEXHLevel1X 12 7" xfId="6208"/>
    <cellStyle name="SAPBEXHLevel1X 12 8" xfId="6209"/>
    <cellStyle name="SAPBEXHLevel1X 13" xfId="6210"/>
    <cellStyle name="SAPBEXHLevel1X 13 2" xfId="6211"/>
    <cellStyle name="SAPBEXHLevel1X 13 3" xfId="6212"/>
    <cellStyle name="SAPBEXHLevel1X 13 4" xfId="6213"/>
    <cellStyle name="SAPBEXHLevel1X 13 5" xfId="6214"/>
    <cellStyle name="SAPBEXHLevel1X 13 6" xfId="6215"/>
    <cellStyle name="SAPBEXHLevel1X 13 7" xfId="6216"/>
    <cellStyle name="SAPBEXHLevel1X 13 8" xfId="6217"/>
    <cellStyle name="SAPBEXHLevel1X 14" xfId="6218"/>
    <cellStyle name="SAPBEXHLevel1X 14 2" xfId="6219"/>
    <cellStyle name="SAPBEXHLevel1X 15" xfId="6220"/>
    <cellStyle name="SAPBEXHLevel1X 15 2" xfId="6221"/>
    <cellStyle name="SAPBEXHLevel1X 16" xfId="6222"/>
    <cellStyle name="SAPBEXHLevel1X 16 2" xfId="6223"/>
    <cellStyle name="SAPBEXHLevel1X 17" xfId="6224"/>
    <cellStyle name="SAPBEXHLevel1X 17 2" xfId="6225"/>
    <cellStyle name="SAPBEXHLevel1X 18" xfId="6226"/>
    <cellStyle name="SAPBEXHLevel1X 18 2" xfId="6227"/>
    <cellStyle name="SAPBEXHLevel1X 19" xfId="6228"/>
    <cellStyle name="SAPBEXHLevel1X 19 2" xfId="6229"/>
    <cellStyle name="SAPBEXHLevel1X 2" xfId="6230"/>
    <cellStyle name="SAPBEXHLevel1X 2 2" xfId="6231"/>
    <cellStyle name="SAPBEXHLevel1X 2 3" xfId="6232"/>
    <cellStyle name="SAPBEXHLevel1X 2 4" xfId="6233"/>
    <cellStyle name="SAPBEXHLevel1X 2 5" xfId="6234"/>
    <cellStyle name="SAPBEXHLevel1X 2 6" xfId="6235"/>
    <cellStyle name="SAPBEXHLevel1X 2 7" xfId="6236"/>
    <cellStyle name="SAPBEXHLevel1X 2 8" xfId="6237"/>
    <cellStyle name="SAPBEXHLevel1X 2 9" xfId="6238"/>
    <cellStyle name="SAPBEXHLevel1X 20" xfId="6239"/>
    <cellStyle name="SAPBEXHLevel1X 20 2" xfId="6240"/>
    <cellStyle name="SAPBEXHLevel1X 21" xfId="6241"/>
    <cellStyle name="SAPBEXHLevel1X 22" xfId="6242"/>
    <cellStyle name="SAPBEXHLevel1X 23" xfId="6243"/>
    <cellStyle name="SAPBEXHLevel1X 24" xfId="6244"/>
    <cellStyle name="SAPBEXHLevel1X 25" xfId="6245"/>
    <cellStyle name="SAPBEXHLevel1X 26" xfId="6246"/>
    <cellStyle name="SAPBEXHLevel1X 27" xfId="6247"/>
    <cellStyle name="SAPBEXHLevel1X 28" xfId="6248"/>
    <cellStyle name="SAPBEXHLevel1X 29" xfId="6249"/>
    <cellStyle name="SAPBEXHLevel1X 3" xfId="6250"/>
    <cellStyle name="SAPBEXHLevel1X 3 2" xfId="6251"/>
    <cellStyle name="SAPBEXHLevel1X 3 3" xfId="6252"/>
    <cellStyle name="SAPBEXHLevel1X 3 4" xfId="6253"/>
    <cellStyle name="SAPBEXHLevel1X 3 5" xfId="6254"/>
    <cellStyle name="SAPBEXHLevel1X 3 6" xfId="6255"/>
    <cellStyle name="SAPBEXHLevel1X 3 7" xfId="6256"/>
    <cellStyle name="SAPBEXHLevel1X 3 8" xfId="6257"/>
    <cellStyle name="SAPBEXHLevel1X 3 9" xfId="6258"/>
    <cellStyle name="SAPBEXHLevel1X 30" xfId="6259"/>
    <cellStyle name="SAPBEXHLevel1X 31" xfId="6260"/>
    <cellStyle name="SAPBEXHLevel1X 32" xfId="6261"/>
    <cellStyle name="SAPBEXHLevel1X 33" xfId="6262"/>
    <cellStyle name="SAPBEXHLevel1X 34" xfId="6263"/>
    <cellStyle name="SAPBEXHLevel1X 35" xfId="6264"/>
    <cellStyle name="SAPBEXHLevel1X 36" xfId="6265"/>
    <cellStyle name="SAPBEXHLevel1X 37" xfId="6266"/>
    <cellStyle name="SAPBEXHLevel1X 38" xfId="6267"/>
    <cellStyle name="SAPBEXHLevel1X 39" xfId="6268"/>
    <cellStyle name="SAPBEXHLevel1X 4" xfId="6269"/>
    <cellStyle name="SAPBEXHLevel1X 4 2" xfId="6270"/>
    <cellStyle name="SAPBEXHLevel1X 4 3" xfId="6271"/>
    <cellStyle name="SAPBEXHLevel1X 4 4" xfId="6272"/>
    <cellStyle name="SAPBEXHLevel1X 4 5" xfId="6273"/>
    <cellStyle name="SAPBEXHLevel1X 4 6" xfId="6274"/>
    <cellStyle name="SAPBEXHLevel1X 4 7" xfId="6275"/>
    <cellStyle name="SAPBEXHLevel1X 4 8" xfId="6276"/>
    <cellStyle name="SAPBEXHLevel1X 4 9" xfId="6277"/>
    <cellStyle name="SAPBEXHLevel1X 40" xfId="6278"/>
    <cellStyle name="SAPBEXHLevel1X 41" xfId="6279"/>
    <cellStyle name="SAPBEXHLevel1X 42" xfId="6280"/>
    <cellStyle name="SAPBEXHLevel1X 43" xfId="6281"/>
    <cellStyle name="SAPBEXHLevel1X 44" xfId="6282"/>
    <cellStyle name="SAPBEXHLevel1X 45" xfId="6283"/>
    <cellStyle name="SAPBEXHLevel1X 46" xfId="6284"/>
    <cellStyle name="SAPBEXHLevel1X 5" xfId="6285"/>
    <cellStyle name="SAPBEXHLevel1X 5 2" xfId="6286"/>
    <cellStyle name="SAPBEXHLevel1X 5 3" xfId="6287"/>
    <cellStyle name="SAPBEXHLevel1X 5 4" xfId="6288"/>
    <cellStyle name="SAPBEXHLevel1X 5 5" xfId="6289"/>
    <cellStyle name="SAPBEXHLevel1X 5 6" xfId="6290"/>
    <cellStyle name="SAPBEXHLevel1X 5 7" xfId="6291"/>
    <cellStyle name="SAPBEXHLevel1X 5 8" xfId="6292"/>
    <cellStyle name="SAPBEXHLevel1X 5 9" xfId="6293"/>
    <cellStyle name="SAPBEXHLevel1X 6" xfId="6294"/>
    <cellStyle name="SAPBEXHLevel1X 6 2" xfId="6295"/>
    <cellStyle name="SAPBEXHLevel1X 6 3" xfId="6296"/>
    <cellStyle name="SAPBEXHLevel1X 6 4" xfId="6297"/>
    <cellStyle name="SAPBEXHLevel1X 6 5" xfId="6298"/>
    <cellStyle name="SAPBEXHLevel1X 6 6" xfId="6299"/>
    <cellStyle name="SAPBEXHLevel1X 6 7" xfId="6300"/>
    <cellStyle name="SAPBEXHLevel1X 6 8" xfId="6301"/>
    <cellStyle name="SAPBEXHLevel1X 6 9" xfId="6302"/>
    <cellStyle name="SAPBEXHLevel1X 7" xfId="6303"/>
    <cellStyle name="SAPBEXHLevel1X 7 2" xfId="6304"/>
    <cellStyle name="SAPBEXHLevel1X 7 3" xfId="6305"/>
    <cellStyle name="SAPBEXHLevel1X 7 4" xfId="6306"/>
    <cellStyle name="SAPBEXHLevel1X 7 5" xfId="6307"/>
    <cellStyle name="SAPBEXHLevel1X 7 6" xfId="6308"/>
    <cellStyle name="SAPBEXHLevel1X 7 7" xfId="6309"/>
    <cellStyle name="SAPBEXHLevel1X 7 8" xfId="6310"/>
    <cellStyle name="SAPBEXHLevel1X 7 9" xfId="6311"/>
    <cellStyle name="SAPBEXHLevel1X 8" xfId="6312"/>
    <cellStyle name="SAPBEXHLevel1X 8 2" xfId="6313"/>
    <cellStyle name="SAPBEXHLevel1X 8 3" xfId="6314"/>
    <cellStyle name="SAPBEXHLevel1X 8 4" xfId="6315"/>
    <cellStyle name="SAPBEXHLevel1X 8 5" xfId="6316"/>
    <cellStyle name="SAPBEXHLevel1X 8 6" xfId="6317"/>
    <cellStyle name="SAPBEXHLevel1X 8 7" xfId="6318"/>
    <cellStyle name="SAPBEXHLevel1X 8 8" xfId="6319"/>
    <cellStyle name="SAPBEXHLevel1X 8 9" xfId="6320"/>
    <cellStyle name="SAPBEXHLevel1X 9" xfId="6321"/>
    <cellStyle name="SAPBEXHLevel1X 9 2" xfId="6322"/>
    <cellStyle name="SAPBEXHLevel1X 9 3" xfId="6323"/>
    <cellStyle name="SAPBEXHLevel1X 9 4" xfId="6324"/>
    <cellStyle name="SAPBEXHLevel1X 9 5" xfId="6325"/>
    <cellStyle name="SAPBEXHLevel1X 9 6" xfId="6326"/>
    <cellStyle name="SAPBEXHLevel1X 9 7" xfId="6327"/>
    <cellStyle name="SAPBEXHLevel1X 9 8" xfId="6328"/>
    <cellStyle name="SAPBEXHLevel1X 9 9" xfId="6329"/>
    <cellStyle name="SAPBEXHLevel1X_(A-7) IS-Inputs" xfId="6330"/>
    <cellStyle name="SAPBEXHLevel2" xfId="6331"/>
    <cellStyle name="SAPBEXHLevel2 10" xfId="6332"/>
    <cellStyle name="SAPBEXHLevel2 100" xfId="6333"/>
    <cellStyle name="SAPBEXHLevel2 101" xfId="6334"/>
    <cellStyle name="SAPBEXHLevel2 102" xfId="6335"/>
    <cellStyle name="SAPBEXHLevel2 103" xfId="6336"/>
    <cellStyle name="SAPBEXHLevel2 104" xfId="6337"/>
    <cellStyle name="SAPBEXHLevel2 105" xfId="6338"/>
    <cellStyle name="SAPBEXHLevel2 106" xfId="6339"/>
    <cellStyle name="SAPBEXHLevel2 107" xfId="6340"/>
    <cellStyle name="SAPBEXHLevel2 108" xfId="6341"/>
    <cellStyle name="SAPBEXHLevel2 109" xfId="6342"/>
    <cellStyle name="SAPBEXHLevel2 11" xfId="6343"/>
    <cellStyle name="SAPBEXHLevel2 110" xfId="6344"/>
    <cellStyle name="SAPBEXHLevel2 12" xfId="6345"/>
    <cellStyle name="SAPBEXHLevel2 13" xfId="6346"/>
    <cellStyle name="SAPBEXHLevel2 14" xfId="6347"/>
    <cellStyle name="SAPBEXHLevel2 15" xfId="6348"/>
    <cellStyle name="SAPBEXHLevel2 16" xfId="6349"/>
    <cellStyle name="SAPBEXHLevel2 17" xfId="6350"/>
    <cellStyle name="SAPBEXHLevel2 18" xfId="6351"/>
    <cellStyle name="SAPBEXHLevel2 19" xfId="6352"/>
    <cellStyle name="SAPBEXHLevel2 2" xfId="6353"/>
    <cellStyle name="SAPBEXHLevel2 20" xfId="6354"/>
    <cellStyle name="SAPBEXHLevel2 21" xfId="6355"/>
    <cellStyle name="SAPBEXHLevel2 22" xfId="6356"/>
    <cellStyle name="SAPBEXHLevel2 23" xfId="6357"/>
    <cellStyle name="SAPBEXHLevel2 24" xfId="6358"/>
    <cellStyle name="SAPBEXHLevel2 25" xfId="6359"/>
    <cellStyle name="SAPBEXHLevel2 26" xfId="6360"/>
    <cellStyle name="SAPBEXHLevel2 27" xfId="6361"/>
    <cellStyle name="SAPBEXHLevel2 28" xfId="6362"/>
    <cellStyle name="SAPBEXHLevel2 29" xfId="6363"/>
    <cellStyle name="SAPBEXHLevel2 3" xfId="6364"/>
    <cellStyle name="SAPBEXHLevel2 30" xfId="6365"/>
    <cellStyle name="SAPBEXHLevel2 31" xfId="6366"/>
    <cellStyle name="SAPBEXHLevel2 32" xfId="6367"/>
    <cellStyle name="SAPBEXHLevel2 33" xfId="6368"/>
    <cellStyle name="SAPBEXHLevel2 34" xfId="6369"/>
    <cellStyle name="SAPBEXHLevel2 35" xfId="6370"/>
    <cellStyle name="SAPBEXHLevel2 36" xfId="6371"/>
    <cellStyle name="SAPBEXHLevel2 37" xfId="6372"/>
    <cellStyle name="SAPBEXHLevel2 38" xfId="6373"/>
    <cellStyle name="SAPBEXHLevel2 39" xfId="6374"/>
    <cellStyle name="SAPBEXHLevel2 4" xfId="6375"/>
    <cellStyle name="SAPBEXHLevel2 40" xfId="6376"/>
    <cellStyle name="SAPBEXHLevel2 41" xfId="6377"/>
    <cellStyle name="SAPBEXHLevel2 42" xfId="6378"/>
    <cellStyle name="SAPBEXHLevel2 43" xfId="6379"/>
    <cellStyle name="SAPBEXHLevel2 44" xfId="6380"/>
    <cellStyle name="SAPBEXHLevel2 45" xfId="6381"/>
    <cellStyle name="SAPBEXHLevel2 46" xfId="6382"/>
    <cellStyle name="SAPBEXHLevel2 47" xfId="6383"/>
    <cellStyle name="SAPBEXHLevel2 48" xfId="6384"/>
    <cellStyle name="SAPBEXHLevel2 49" xfId="6385"/>
    <cellStyle name="SAPBEXHLevel2 5" xfId="6386"/>
    <cellStyle name="SAPBEXHLevel2 50" xfId="6387"/>
    <cellStyle name="SAPBEXHLevel2 51" xfId="6388"/>
    <cellStyle name="SAPBEXHLevel2 52" xfId="6389"/>
    <cellStyle name="SAPBEXHLevel2 53" xfId="6390"/>
    <cellStyle name="SAPBEXHLevel2 54" xfId="6391"/>
    <cellStyle name="SAPBEXHLevel2 55" xfId="6392"/>
    <cellStyle name="SAPBEXHLevel2 56" xfId="6393"/>
    <cellStyle name="SAPBEXHLevel2 57" xfId="6394"/>
    <cellStyle name="SAPBEXHLevel2 58" xfId="6395"/>
    <cellStyle name="SAPBEXHLevel2 59" xfId="6396"/>
    <cellStyle name="SAPBEXHLevel2 6" xfId="6397"/>
    <cellStyle name="SAPBEXHLevel2 60" xfId="6398"/>
    <cellStyle name="SAPBEXHLevel2 61" xfId="6399"/>
    <cellStyle name="SAPBEXHLevel2 62" xfId="6400"/>
    <cellStyle name="SAPBEXHLevel2 63" xfId="6401"/>
    <cellStyle name="SAPBEXHLevel2 64" xfId="6402"/>
    <cellStyle name="SAPBEXHLevel2 65" xfId="6403"/>
    <cellStyle name="SAPBEXHLevel2 66" xfId="6404"/>
    <cellStyle name="SAPBEXHLevel2 67" xfId="6405"/>
    <cellStyle name="SAPBEXHLevel2 68" xfId="6406"/>
    <cellStyle name="SAPBEXHLevel2 69" xfId="6407"/>
    <cellStyle name="SAPBEXHLevel2 7" xfId="6408"/>
    <cellStyle name="SAPBEXHLevel2 70" xfId="6409"/>
    <cellStyle name="SAPBEXHLevel2 71" xfId="6410"/>
    <cellStyle name="SAPBEXHLevel2 72" xfId="6411"/>
    <cellStyle name="SAPBEXHLevel2 73" xfId="6412"/>
    <cellStyle name="SAPBEXHLevel2 74" xfId="6413"/>
    <cellStyle name="SAPBEXHLevel2 75" xfId="6414"/>
    <cellStyle name="SAPBEXHLevel2 76" xfId="6415"/>
    <cellStyle name="SAPBEXHLevel2 77" xfId="6416"/>
    <cellStyle name="SAPBEXHLevel2 78" xfId="6417"/>
    <cellStyle name="SAPBEXHLevel2 79" xfId="6418"/>
    <cellStyle name="SAPBEXHLevel2 8" xfId="6419"/>
    <cellStyle name="SAPBEXHLevel2 80" xfId="6420"/>
    <cellStyle name="SAPBEXHLevel2 81" xfId="6421"/>
    <cellStyle name="SAPBEXHLevel2 82" xfId="6422"/>
    <cellStyle name="SAPBEXHLevel2 83" xfId="6423"/>
    <cellStyle name="SAPBEXHLevel2 84" xfId="6424"/>
    <cellStyle name="SAPBEXHLevel2 85" xfId="6425"/>
    <cellStyle name="SAPBEXHLevel2 86" xfId="6426"/>
    <cellStyle name="SAPBEXHLevel2 87" xfId="6427"/>
    <cellStyle name="SAPBEXHLevel2 88" xfId="6428"/>
    <cellStyle name="SAPBEXHLevel2 89" xfId="6429"/>
    <cellStyle name="SAPBEXHLevel2 9" xfId="6430"/>
    <cellStyle name="SAPBEXHLevel2 90" xfId="6431"/>
    <cellStyle name="SAPBEXHLevel2 91" xfId="6432"/>
    <cellStyle name="SAPBEXHLevel2 92" xfId="6433"/>
    <cellStyle name="SAPBEXHLevel2 93" xfId="6434"/>
    <cellStyle name="SAPBEXHLevel2 94" xfId="6435"/>
    <cellStyle name="SAPBEXHLevel2 95" xfId="6436"/>
    <cellStyle name="SAPBEXHLevel2 96" xfId="6437"/>
    <cellStyle name="SAPBEXHLevel2 97" xfId="6438"/>
    <cellStyle name="SAPBEXHLevel2 98" xfId="6439"/>
    <cellStyle name="SAPBEXHLevel2 99" xfId="6440"/>
    <cellStyle name="SAPBEXHLevel2_(A-7) IS-Inputs" xfId="6441"/>
    <cellStyle name="SAPBEXHLevel2X" xfId="6442"/>
    <cellStyle name="SAPBEXHLevel2X 10" xfId="6443"/>
    <cellStyle name="SAPBEXHLevel2X 10 2" xfId="6444"/>
    <cellStyle name="SAPBEXHLevel2X 10 3" xfId="6445"/>
    <cellStyle name="SAPBEXHLevel2X 10 4" xfId="6446"/>
    <cellStyle name="SAPBEXHLevel2X 10 5" xfId="6447"/>
    <cellStyle name="SAPBEXHLevel2X 10 6" xfId="6448"/>
    <cellStyle name="SAPBEXHLevel2X 10 7" xfId="6449"/>
    <cellStyle name="SAPBEXHLevel2X 10 8" xfId="6450"/>
    <cellStyle name="SAPBEXHLevel2X 10 9" xfId="6451"/>
    <cellStyle name="SAPBEXHLevel2X 11" xfId="6452"/>
    <cellStyle name="SAPBEXHLevel2X 11 2" xfId="6453"/>
    <cellStyle name="SAPBEXHLevel2X 12" xfId="6454"/>
    <cellStyle name="SAPBEXHLevel2X 12 2" xfId="6455"/>
    <cellStyle name="SAPBEXHLevel2X 12 3" xfId="6456"/>
    <cellStyle name="SAPBEXHLevel2X 12 4" xfId="6457"/>
    <cellStyle name="SAPBEXHLevel2X 12 5" xfId="6458"/>
    <cellStyle name="SAPBEXHLevel2X 12 6" xfId="6459"/>
    <cellStyle name="SAPBEXHLevel2X 12 7" xfId="6460"/>
    <cellStyle name="SAPBEXHLevel2X 12 8" xfId="6461"/>
    <cellStyle name="SAPBEXHLevel2X 13" xfId="6462"/>
    <cellStyle name="SAPBEXHLevel2X 13 2" xfId="6463"/>
    <cellStyle name="SAPBEXHLevel2X 13 3" xfId="6464"/>
    <cellStyle name="SAPBEXHLevel2X 13 4" xfId="6465"/>
    <cellStyle name="SAPBEXHLevel2X 13 5" xfId="6466"/>
    <cellStyle name="SAPBEXHLevel2X 13 6" xfId="6467"/>
    <cellStyle name="SAPBEXHLevel2X 13 7" xfId="6468"/>
    <cellStyle name="SAPBEXHLevel2X 13 8" xfId="6469"/>
    <cellStyle name="SAPBEXHLevel2X 14" xfId="6470"/>
    <cellStyle name="SAPBEXHLevel2X 14 2" xfId="6471"/>
    <cellStyle name="SAPBEXHLevel2X 15" xfId="6472"/>
    <cellStyle name="SAPBEXHLevel2X 15 2" xfId="6473"/>
    <cellStyle name="SAPBEXHLevel2X 16" xfId="6474"/>
    <cellStyle name="SAPBEXHLevel2X 16 2" xfId="6475"/>
    <cellStyle name="SAPBEXHLevel2X 17" xfId="6476"/>
    <cellStyle name="SAPBEXHLevel2X 17 2" xfId="6477"/>
    <cellStyle name="SAPBEXHLevel2X 18" xfId="6478"/>
    <cellStyle name="SAPBEXHLevel2X 18 2" xfId="6479"/>
    <cellStyle name="SAPBEXHLevel2X 19" xfId="6480"/>
    <cellStyle name="SAPBEXHLevel2X 19 2" xfId="6481"/>
    <cellStyle name="SAPBEXHLevel2X 2" xfId="6482"/>
    <cellStyle name="SAPBEXHLevel2X 2 2" xfId="6483"/>
    <cellStyle name="SAPBEXHLevel2X 2 3" xfId="6484"/>
    <cellStyle name="SAPBEXHLevel2X 2 4" xfId="6485"/>
    <cellStyle name="SAPBEXHLevel2X 2 5" xfId="6486"/>
    <cellStyle name="SAPBEXHLevel2X 2 6" xfId="6487"/>
    <cellStyle name="SAPBEXHLevel2X 2 7" xfId="6488"/>
    <cellStyle name="SAPBEXHLevel2X 2 8" xfId="6489"/>
    <cellStyle name="SAPBEXHLevel2X 2 9" xfId="6490"/>
    <cellStyle name="SAPBEXHLevel2X 20" xfId="6491"/>
    <cellStyle name="SAPBEXHLevel2X 20 2" xfId="6492"/>
    <cellStyle name="SAPBEXHLevel2X 21" xfId="6493"/>
    <cellStyle name="SAPBEXHLevel2X 22" xfId="6494"/>
    <cellStyle name="SAPBEXHLevel2X 23" xfId="6495"/>
    <cellStyle name="SAPBEXHLevel2X 24" xfId="6496"/>
    <cellStyle name="SAPBEXHLevel2X 25" xfId="6497"/>
    <cellStyle name="SAPBEXHLevel2X 26" xfId="6498"/>
    <cellStyle name="SAPBEXHLevel2X 27" xfId="6499"/>
    <cellStyle name="SAPBEXHLevel2X 28" xfId="6500"/>
    <cellStyle name="SAPBEXHLevel2X 29" xfId="6501"/>
    <cellStyle name="SAPBEXHLevel2X 3" xfId="6502"/>
    <cellStyle name="SAPBEXHLevel2X 3 2" xfId="6503"/>
    <cellStyle name="SAPBEXHLevel2X 3 3" xfId="6504"/>
    <cellStyle name="SAPBEXHLevel2X 3 4" xfId="6505"/>
    <cellStyle name="SAPBEXHLevel2X 3 5" xfId="6506"/>
    <cellStyle name="SAPBEXHLevel2X 3 6" xfId="6507"/>
    <cellStyle name="SAPBEXHLevel2X 3 7" xfId="6508"/>
    <cellStyle name="SAPBEXHLevel2X 3 8" xfId="6509"/>
    <cellStyle name="SAPBEXHLevel2X 3 9" xfId="6510"/>
    <cellStyle name="SAPBEXHLevel2X 30" xfId="6511"/>
    <cellStyle name="SAPBEXHLevel2X 31" xfId="6512"/>
    <cellStyle name="SAPBEXHLevel2X 32" xfId="6513"/>
    <cellStyle name="SAPBEXHLevel2X 33" xfId="6514"/>
    <cellStyle name="SAPBEXHLevel2X 34" xfId="6515"/>
    <cellStyle name="SAPBEXHLevel2X 35" xfId="6516"/>
    <cellStyle name="SAPBEXHLevel2X 36" xfId="6517"/>
    <cellStyle name="SAPBEXHLevel2X 37" xfId="6518"/>
    <cellStyle name="SAPBEXHLevel2X 38" xfId="6519"/>
    <cellStyle name="SAPBEXHLevel2X 39" xfId="6520"/>
    <cellStyle name="SAPBEXHLevel2X 4" xfId="6521"/>
    <cellStyle name="SAPBEXHLevel2X 4 2" xfId="6522"/>
    <cellStyle name="SAPBEXHLevel2X 4 3" xfId="6523"/>
    <cellStyle name="SAPBEXHLevel2X 4 4" xfId="6524"/>
    <cellStyle name="SAPBEXHLevel2X 4 5" xfId="6525"/>
    <cellStyle name="SAPBEXHLevel2X 4 6" xfId="6526"/>
    <cellStyle name="SAPBEXHLevel2X 4 7" xfId="6527"/>
    <cellStyle name="SAPBEXHLevel2X 4 8" xfId="6528"/>
    <cellStyle name="SAPBEXHLevel2X 4 9" xfId="6529"/>
    <cellStyle name="SAPBEXHLevel2X 40" xfId="6530"/>
    <cellStyle name="SAPBEXHLevel2X 41" xfId="6531"/>
    <cellStyle name="SAPBEXHLevel2X 42" xfId="6532"/>
    <cellStyle name="SAPBEXHLevel2X 43" xfId="6533"/>
    <cellStyle name="SAPBEXHLevel2X 44" xfId="6534"/>
    <cellStyle name="SAPBEXHLevel2X 45" xfId="6535"/>
    <cellStyle name="SAPBEXHLevel2X 46" xfId="6536"/>
    <cellStyle name="SAPBEXHLevel2X 5" xfId="6537"/>
    <cellStyle name="SAPBEXHLevel2X 5 2" xfId="6538"/>
    <cellStyle name="SAPBEXHLevel2X 5 3" xfId="6539"/>
    <cellStyle name="SAPBEXHLevel2X 5 4" xfId="6540"/>
    <cellStyle name="SAPBEXHLevel2X 5 5" xfId="6541"/>
    <cellStyle name="SAPBEXHLevel2X 5 6" xfId="6542"/>
    <cellStyle name="SAPBEXHLevel2X 5 7" xfId="6543"/>
    <cellStyle name="SAPBEXHLevel2X 5 8" xfId="6544"/>
    <cellStyle name="SAPBEXHLevel2X 5 9" xfId="6545"/>
    <cellStyle name="SAPBEXHLevel2X 6" xfId="6546"/>
    <cellStyle name="SAPBEXHLevel2X 6 2" xfId="6547"/>
    <cellStyle name="SAPBEXHLevel2X 6 3" xfId="6548"/>
    <cellStyle name="SAPBEXHLevel2X 6 4" xfId="6549"/>
    <cellStyle name="SAPBEXHLevel2X 6 5" xfId="6550"/>
    <cellStyle name="SAPBEXHLevel2X 6 6" xfId="6551"/>
    <cellStyle name="SAPBEXHLevel2X 6 7" xfId="6552"/>
    <cellStyle name="SAPBEXHLevel2X 6 8" xfId="6553"/>
    <cellStyle name="SAPBEXHLevel2X 6 9" xfId="6554"/>
    <cellStyle name="SAPBEXHLevel2X 7" xfId="6555"/>
    <cellStyle name="SAPBEXHLevel2X 7 2" xfId="6556"/>
    <cellStyle name="SAPBEXHLevel2X 7 3" xfId="6557"/>
    <cellStyle name="SAPBEXHLevel2X 7 4" xfId="6558"/>
    <cellStyle name="SAPBEXHLevel2X 7 5" xfId="6559"/>
    <cellStyle name="SAPBEXHLevel2X 7 6" xfId="6560"/>
    <cellStyle name="SAPBEXHLevel2X 7 7" xfId="6561"/>
    <cellStyle name="SAPBEXHLevel2X 7 8" xfId="6562"/>
    <cellStyle name="SAPBEXHLevel2X 7 9" xfId="6563"/>
    <cellStyle name="SAPBEXHLevel2X 8" xfId="6564"/>
    <cellStyle name="SAPBEXHLevel2X 8 2" xfId="6565"/>
    <cellStyle name="SAPBEXHLevel2X 8 3" xfId="6566"/>
    <cellStyle name="SAPBEXHLevel2X 8 4" xfId="6567"/>
    <cellStyle name="SAPBEXHLevel2X 8 5" xfId="6568"/>
    <cellStyle name="SAPBEXHLevel2X 8 6" xfId="6569"/>
    <cellStyle name="SAPBEXHLevel2X 8 7" xfId="6570"/>
    <cellStyle name="SAPBEXHLevel2X 8 8" xfId="6571"/>
    <cellStyle name="SAPBEXHLevel2X 8 9" xfId="6572"/>
    <cellStyle name="SAPBEXHLevel2X 9" xfId="6573"/>
    <cellStyle name="SAPBEXHLevel2X 9 2" xfId="6574"/>
    <cellStyle name="SAPBEXHLevel2X 9 3" xfId="6575"/>
    <cellStyle name="SAPBEXHLevel2X 9 4" xfId="6576"/>
    <cellStyle name="SAPBEXHLevel2X 9 5" xfId="6577"/>
    <cellStyle name="SAPBEXHLevel2X 9 6" xfId="6578"/>
    <cellStyle name="SAPBEXHLevel2X 9 7" xfId="6579"/>
    <cellStyle name="SAPBEXHLevel2X 9 8" xfId="6580"/>
    <cellStyle name="SAPBEXHLevel2X 9 9" xfId="6581"/>
    <cellStyle name="SAPBEXHLevel2X_(A-7) IS-Inputs" xfId="6582"/>
    <cellStyle name="SAPBEXHLevel3" xfId="6583"/>
    <cellStyle name="SAPBEXHLevel3 10" xfId="6584"/>
    <cellStyle name="SAPBEXHLevel3 100" xfId="6585"/>
    <cellStyle name="SAPBEXHLevel3 101" xfId="6586"/>
    <cellStyle name="SAPBEXHLevel3 102" xfId="6587"/>
    <cellStyle name="SAPBEXHLevel3 103" xfId="6588"/>
    <cellStyle name="SAPBEXHLevel3 104" xfId="6589"/>
    <cellStyle name="SAPBEXHLevel3 105" xfId="6590"/>
    <cellStyle name="SAPBEXHLevel3 106" xfId="6591"/>
    <cellStyle name="SAPBEXHLevel3 107" xfId="6592"/>
    <cellStyle name="SAPBEXHLevel3 108" xfId="6593"/>
    <cellStyle name="SAPBEXHLevel3 109" xfId="6594"/>
    <cellStyle name="SAPBEXHLevel3 11" xfId="6595"/>
    <cellStyle name="SAPBEXHLevel3 110" xfId="6596"/>
    <cellStyle name="SAPBEXHLevel3 12" xfId="6597"/>
    <cellStyle name="SAPBEXHLevel3 13" xfId="6598"/>
    <cellStyle name="SAPBEXHLevel3 14" xfId="6599"/>
    <cellStyle name="SAPBEXHLevel3 15" xfId="6600"/>
    <cellStyle name="SAPBEXHLevel3 16" xfId="6601"/>
    <cellStyle name="SAPBEXHLevel3 17" xfId="6602"/>
    <cellStyle name="SAPBEXHLevel3 18" xfId="6603"/>
    <cellStyle name="SAPBEXHLevel3 19" xfId="6604"/>
    <cellStyle name="SAPBEXHLevel3 2" xfId="6605"/>
    <cellStyle name="SAPBEXHLevel3 20" xfId="6606"/>
    <cellStyle name="SAPBEXHLevel3 21" xfId="6607"/>
    <cellStyle name="SAPBEXHLevel3 22" xfId="6608"/>
    <cellStyle name="SAPBEXHLevel3 23" xfId="6609"/>
    <cellStyle name="SAPBEXHLevel3 24" xfId="6610"/>
    <cellStyle name="SAPBEXHLevel3 25" xfId="6611"/>
    <cellStyle name="SAPBEXHLevel3 26" xfId="6612"/>
    <cellStyle name="SAPBEXHLevel3 27" xfId="6613"/>
    <cellStyle name="SAPBEXHLevel3 28" xfId="6614"/>
    <cellStyle name="SAPBEXHLevel3 29" xfId="6615"/>
    <cellStyle name="SAPBEXHLevel3 3" xfId="6616"/>
    <cellStyle name="SAPBEXHLevel3 30" xfId="6617"/>
    <cellStyle name="SAPBEXHLevel3 31" xfId="6618"/>
    <cellStyle name="SAPBEXHLevel3 32" xfId="6619"/>
    <cellStyle name="SAPBEXHLevel3 33" xfId="6620"/>
    <cellStyle name="SAPBEXHLevel3 34" xfId="6621"/>
    <cellStyle name="SAPBEXHLevel3 35" xfId="6622"/>
    <cellStyle name="SAPBEXHLevel3 36" xfId="6623"/>
    <cellStyle name="SAPBEXHLevel3 37" xfId="6624"/>
    <cellStyle name="SAPBEXHLevel3 38" xfId="6625"/>
    <cellStyle name="SAPBEXHLevel3 39" xfId="6626"/>
    <cellStyle name="SAPBEXHLevel3 4" xfId="6627"/>
    <cellStyle name="SAPBEXHLevel3 40" xfId="6628"/>
    <cellStyle name="SAPBEXHLevel3 41" xfId="6629"/>
    <cellStyle name="SAPBEXHLevel3 42" xfId="6630"/>
    <cellStyle name="SAPBEXHLevel3 43" xfId="6631"/>
    <cellStyle name="SAPBEXHLevel3 44" xfId="6632"/>
    <cellStyle name="SAPBEXHLevel3 45" xfId="6633"/>
    <cellStyle name="SAPBEXHLevel3 46" xfId="6634"/>
    <cellStyle name="SAPBEXHLevel3 47" xfId="6635"/>
    <cellStyle name="SAPBEXHLevel3 48" xfId="6636"/>
    <cellStyle name="SAPBEXHLevel3 49" xfId="6637"/>
    <cellStyle name="SAPBEXHLevel3 5" xfId="6638"/>
    <cellStyle name="SAPBEXHLevel3 50" xfId="6639"/>
    <cellStyle name="SAPBEXHLevel3 51" xfId="6640"/>
    <cellStyle name="SAPBEXHLevel3 52" xfId="6641"/>
    <cellStyle name="SAPBEXHLevel3 53" xfId="6642"/>
    <cellStyle name="SAPBEXHLevel3 54" xfId="6643"/>
    <cellStyle name="SAPBEXHLevel3 55" xfId="6644"/>
    <cellStyle name="SAPBEXHLevel3 56" xfId="6645"/>
    <cellStyle name="SAPBEXHLevel3 57" xfId="6646"/>
    <cellStyle name="SAPBEXHLevel3 58" xfId="6647"/>
    <cellStyle name="SAPBEXHLevel3 59" xfId="6648"/>
    <cellStyle name="SAPBEXHLevel3 6" xfId="6649"/>
    <cellStyle name="SAPBEXHLevel3 60" xfId="6650"/>
    <cellStyle name="SAPBEXHLevel3 61" xfId="6651"/>
    <cellStyle name="SAPBEXHLevel3 62" xfId="6652"/>
    <cellStyle name="SAPBEXHLevel3 63" xfId="6653"/>
    <cellStyle name="SAPBEXHLevel3 64" xfId="6654"/>
    <cellStyle name="SAPBEXHLevel3 65" xfId="6655"/>
    <cellStyle name="SAPBEXHLevel3 66" xfId="6656"/>
    <cellStyle name="SAPBEXHLevel3 67" xfId="6657"/>
    <cellStyle name="SAPBEXHLevel3 68" xfId="6658"/>
    <cellStyle name="SAPBEXHLevel3 69" xfId="6659"/>
    <cellStyle name="SAPBEXHLevel3 7" xfId="6660"/>
    <cellStyle name="SAPBEXHLevel3 70" xfId="6661"/>
    <cellStyle name="SAPBEXHLevel3 71" xfId="6662"/>
    <cellStyle name="SAPBEXHLevel3 72" xfId="6663"/>
    <cellStyle name="SAPBEXHLevel3 73" xfId="6664"/>
    <cellStyle name="SAPBEXHLevel3 74" xfId="6665"/>
    <cellStyle name="SAPBEXHLevel3 75" xfId="6666"/>
    <cellStyle name="SAPBEXHLevel3 76" xfId="6667"/>
    <cellStyle name="SAPBEXHLevel3 77" xfId="6668"/>
    <cellStyle name="SAPBEXHLevel3 78" xfId="6669"/>
    <cellStyle name="SAPBEXHLevel3 79" xfId="6670"/>
    <cellStyle name="SAPBEXHLevel3 8" xfId="6671"/>
    <cellStyle name="SAPBEXHLevel3 80" xfId="6672"/>
    <cellStyle name="SAPBEXHLevel3 81" xfId="6673"/>
    <cellStyle name="SAPBEXHLevel3 82" xfId="6674"/>
    <cellStyle name="SAPBEXHLevel3 83" xfId="6675"/>
    <cellStyle name="SAPBEXHLevel3 84" xfId="6676"/>
    <cellStyle name="SAPBEXHLevel3 85" xfId="6677"/>
    <cellStyle name="SAPBEXHLevel3 86" xfId="6678"/>
    <cellStyle name="SAPBEXHLevel3 87" xfId="6679"/>
    <cellStyle name="SAPBEXHLevel3 88" xfId="6680"/>
    <cellStyle name="SAPBEXHLevel3 89" xfId="6681"/>
    <cellStyle name="SAPBEXHLevel3 9" xfId="6682"/>
    <cellStyle name="SAPBEXHLevel3 90" xfId="6683"/>
    <cellStyle name="SAPBEXHLevel3 91" xfId="6684"/>
    <cellStyle name="SAPBEXHLevel3 92" xfId="6685"/>
    <cellStyle name="SAPBEXHLevel3 93" xfId="6686"/>
    <cellStyle name="SAPBEXHLevel3 94" xfId="6687"/>
    <cellStyle name="SAPBEXHLevel3 95" xfId="6688"/>
    <cellStyle name="SAPBEXHLevel3 96" xfId="6689"/>
    <cellStyle name="SAPBEXHLevel3 97" xfId="6690"/>
    <cellStyle name="SAPBEXHLevel3 98" xfId="6691"/>
    <cellStyle name="SAPBEXHLevel3 99" xfId="6692"/>
    <cellStyle name="SAPBEXHLevel3_(A-7) IS-Inputs" xfId="6693"/>
    <cellStyle name="SAPBEXHLevel3X" xfId="6694"/>
    <cellStyle name="SAPBEXHLevel3X 10" xfId="6695"/>
    <cellStyle name="SAPBEXHLevel3X 10 2" xfId="6696"/>
    <cellStyle name="SAPBEXHLevel3X 10 3" xfId="6697"/>
    <cellStyle name="SAPBEXHLevel3X 10 4" xfId="6698"/>
    <cellStyle name="SAPBEXHLevel3X 10 5" xfId="6699"/>
    <cellStyle name="SAPBEXHLevel3X 10 6" xfId="6700"/>
    <cellStyle name="SAPBEXHLevel3X 10 7" xfId="6701"/>
    <cellStyle name="SAPBEXHLevel3X 10 8" xfId="6702"/>
    <cellStyle name="SAPBEXHLevel3X 10 9" xfId="6703"/>
    <cellStyle name="SAPBEXHLevel3X 11" xfId="6704"/>
    <cellStyle name="SAPBEXHLevel3X 11 2" xfId="6705"/>
    <cellStyle name="SAPBEXHLevel3X 12" xfId="6706"/>
    <cellStyle name="SAPBEXHLevel3X 12 2" xfId="6707"/>
    <cellStyle name="SAPBEXHLevel3X 12 3" xfId="6708"/>
    <cellStyle name="SAPBEXHLevel3X 12 4" xfId="6709"/>
    <cellStyle name="SAPBEXHLevel3X 12 5" xfId="6710"/>
    <cellStyle name="SAPBEXHLevel3X 12 6" xfId="6711"/>
    <cellStyle name="SAPBEXHLevel3X 12 7" xfId="6712"/>
    <cellStyle name="SAPBEXHLevel3X 12 8" xfId="6713"/>
    <cellStyle name="SAPBEXHLevel3X 13" xfId="6714"/>
    <cellStyle name="SAPBEXHLevel3X 13 2" xfId="6715"/>
    <cellStyle name="SAPBEXHLevel3X 13 3" xfId="6716"/>
    <cellStyle name="SAPBEXHLevel3X 13 4" xfId="6717"/>
    <cellStyle name="SAPBEXHLevel3X 13 5" xfId="6718"/>
    <cellStyle name="SAPBEXHLevel3X 13 6" xfId="6719"/>
    <cellStyle name="SAPBEXHLevel3X 13 7" xfId="6720"/>
    <cellStyle name="SAPBEXHLevel3X 13 8" xfId="6721"/>
    <cellStyle name="SAPBEXHLevel3X 14" xfId="6722"/>
    <cellStyle name="SAPBEXHLevel3X 14 2" xfId="6723"/>
    <cellStyle name="SAPBEXHLevel3X 15" xfId="6724"/>
    <cellStyle name="SAPBEXHLevel3X 15 2" xfId="6725"/>
    <cellStyle name="SAPBEXHLevel3X 16" xfId="6726"/>
    <cellStyle name="SAPBEXHLevel3X 16 2" xfId="6727"/>
    <cellStyle name="SAPBEXHLevel3X 17" xfId="6728"/>
    <cellStyle name="SAPBEXHLevel3X 17 2" xfId="6729"/>
    <cellStyle name="SAPBEXHLevel3X 18" xfId="6730"/>
    <cellStyle name="SAPBEXHLevel3X 18 2" xfId="6731"/>
    <cellStyle name="SAPBEXHLevel3X 19" xfId="6732"/>
    <cellStyle name="SAPBEXHLevel3X 19 2" xfId="6733"/>
    <cellStyle name="SAPBEXHLevel3X 2" xfId="6734"/>
    <cellStyle name="SAPBEXHLevel3X 2 2" xfId="6735"/>
    <cellStyle name="SAPBEXHLevel3X 2 3" xfId="6736"/>
    <cellStyle name="SAPBEXHLevel3X 2 4" xfId="6737"/>
    <cellStyle name="SAPBEXHLevel3X 2 5" xfId="6738"/>
    <cellStyle name="SAPBEXHLevel3X 2 6" xfId="6739"/>
    <cellStyle name="SAPBEXHLevel3X 2 7" xfId="6740"/>
    <cellStyle name="SAPBEXHLevel3X 2 8" xfId="6741"/>
    <cellStyle name="SAPBEXHLevel3X 2 9" xfId="6742"/>
    <cellStyle name="SAPBEXHLevel3X 20" xfId="6743"/>
    <cellStyle name="SAPBEXHLevel3X 20 2" xfId="6744"/>
    <cellStyle name="SAPBEXHLevel3X 21" xfId="6745"/>
    <cellStyle name="SAPBEXHLevel3X 22" xfId="6746"/>
    <cellStyle name="SAPBEXHLevel3X 23" xfId="6747"/>
    <cellStyle name="SAPBEXHLevel3X 24" xfId="6748"/>
    <cellStyle name="SAPBEXHLevel3X 25" xfId="6749"/>
    <cellStyle name="SAPBEXHLevel3X 26" xfId="6750"/>
    <cellStyle name="SAPBEXHLevel3X 27" xfId="6751"/>
    <cellStyle name="SAPBEXHLevel3X 28" xfId="6752"/>
    <cellStyle name="SAPBEXHLevel3X 29" xfId="6753"/>
    <cellStyle name="SAPBEXHLevel3X 3" xfId="6754"/>
    <cellStyle name="SAPBEXHLevel3X 3 2" xfId="6755"/>
    <cellStyle name="SAPBEXHLevel3X 3 3" xfId="6756"/>
    <cellStyle name="SAPBEXHLevel3X 3 4" xfId="6757"/>
    <cellStyle name="SAPBEXHLevel3X 3 5" xfId="6758"/>
    <cellStyle name="SAPBEXHLevel3X 3 6" xfId="6759"/>
    <cellStyle name="SAPBEXHLevel3X 3 7" xfId="6760"/>
    <cellStyle name="SAPBEXHLevel3X 3 8" xfId="6761"/>
    <cellStyle name="SAPBEXHLevel3X 3 9" xfId="6762"/>
    <cellStyle name="SAPBEXHLevel3X 30" xfId="6763"/>
    <cellStyle name="SAPBEXHLevel3X 31" xfId="6764"/>
    <cellStyle name="SAPBEXHLevel3X 32" xfId="6765"/>
    <cellStyle name="SAPBEXHLevel3X 33" xfId="6766"/>
    <cellStyle name="SAPBEXHLevel3X 34" xfId="6767"/>
    <cellStyle name="SAPBEXHLevel3X 35" xfId="6768"/>
    <cellStyle name="SAPBEXHLevel3X 36" xfId="6769"/>
    <cellStyle name="SAPBEXHLevel3X 37" xfId="6770"/>
    <cellStyle name="SAPBEXHLevel3X 38" xfId="6771"/>
    <cellStyle name="SAPBEXHLevel3X 39" xfId="6772"/>
    <cellStyle name="SAPBEXHLevel3X 4" xfId="6773"/>
    <cellStyle name="SAPBEXHLevel3X 4 2" xfId="6774"/>
    <cellStyle name="SAPBEXHLevel3X 4 3" xfId="6775"/>
    <cellStyle name="SAPBEXHLevel3X 4 4" xfId="6776"/>
    <cellStyle name="SAPBEXHLevel3X 4 5" xfId="6777"/>
    <cellStyle name="SAPBEXHLevel3X 4 6" xfId="6778"/>
    <cellStyle name="SAPBEXHLevel3X 4 7" xfId="6779"/>
    <cellStyle name="SAPBEXHLevel3X 4 8" xfId="6780"/>
    <cellStyle name="SAPBEXHLevel3X 4 9" xfId="6781"/>
    <cellStyle name="SAPBEXHLevel3X 40" xfId="6782"/>
    <cellStyle name="SAPBEXHLevel3X 41" xfId="6783"/>
    <cellStyle name="SAPBEXHLevel3X 42" xfId="6784"/>
    <cellStyle name="SAPBEXHLevel3X 43" xfId="6785"/>
    <cellStyle name="SAPBEXHLevel3X 44" xfId="6786"/>
    <cellStyle name="SAPBEXHLevel3X 45" xfId="6787"/>
    <cellStyle name="SAPBEXHLevel3X 46" xfId="6788"/>
    <cellStyle name="SAPBEXHLevel3X 5" xfId="6789"/>
    <cellStyle name="SAPBEXHLevel3X 5 2" xfId="6790"/>
    <cellStyle name="SAPBEXHLevel3X 5 3" xfId="6791"/>
    <cellStyle name="SAPBEXHLevel3X 5 4" xfId="6792"/>
    <cellStyle name="SAPBEXHLevel3X 5 5" xfId="6793"/>
    <cellStyle name="SAPBEXHLevel3X 5 6" xfId="6794"/>
    <cellStyle name="SAPBEXHLevel3X 5 7" xfId="6795"/>
    <cellStyle name="SAPBEXHLevel3X 5 8" xfId="6796"/>
    <cellStyle name="SAPBEXHLevel3X 5 9" xfId="6797"/>
    <cellStyle name="SAPBEXHLevel3X 6" xfId="6798"/>
    <cellStyle name="SAPBEXHLevel3X 6 2" xfId="6799"/>
    <cellStyle name="SAPBEXHLevel3X 6 3" xfId="6800"/>
    <cellStyle name="SAPBEXHLevel3X 6 4" xfId="6801"/>
    <cellStyle name="SAPBEXHLevel3X 6 5" xfId="6802"/>
    <cellStyle name="SAPBEXHLevel3X 6 6" xfId="6803"/>
    <cellStyle name="SAPBEXHLevel3X 6 7" xfId="6804"/>
    <cellStyle name="SAPBEXHLevel3X 6 8" xfId="6805"/>
    <cellStyle name="SAPBEXHLevel3X 6 9" xfId="6806"/>
    <cellStyle name="SAPBEXHLevel3X 7" xfId="6807"/>
    <cellStyle name="SAPBEXHLevel3X 7 2" xfId="6808"/>
    <cellStyle name="SAPBEXHLevel3X 7 3" xfId="6809"/>
    <cellStyle name="SAPBEXHLevel3X 7 4" xfId="6810"/>
    <cellStyle name="SAPBEXHLevel3X 7 5" xfId="6811"/>
    <cellStyle name="SAPBEXHLevel3X 7 6" xfId="6812"/>
    <cellStyle name="SAPBEXHLevel3X 7 7" xfId="6813"/>
    <cellStyle name="SAPBEXHLevel3X 7 8" xfId="6814"/>
    <cellStyle name="SAPBEXHLevel3X 7 9" xfId="6815"/>
    <cellStyle name="SAPBEXHLevel3X 8" xfId="6816"/>
    <cellStyle name="SAPBEXHLevel3X 8 2" xfId="6817"/>
    <cellStyle name="SAPBEXHLevel3X 8 3" xfId="6818"/>
    <cellStyle name="SAPBEXHLevel3X 8 4" xfId="6819"/>
    <cellStyle name="SAPBEXHLevel3X 8 5" xfId="6820"/>
    <cellStyle name="SAPBEXHLevel3X 8 6" xfId="6821"/>
    <cellStyle name="SAPBEXHLevel3X 8 7" xfId="6822"/>
    <cellStyle name="SAPBEXHLevel3X 8 8" xfId="6823"/>
    <cellStyle name="SAPBEXHLevel3X 8 9" xfId="6824"/>
    <cellStyle name="SAPBEXHLevel3X 9" xfId="6825"/>
    <cellStyle name="SAPBEXHLevel3X 9 2" xfId="6826"/>
    <cellStyle name="SAPBEXHLevel3X 9 3" xfId="6827"/>
    <cellStyle name="SAPBEXHLevel3X 9 4" xfId="6828"/>
    <cellStyle name="SAPBEXHLevel3X 9 5" xfId="6829"/>
    <cellStyle name="SAPBEXHLevel3X 9 6" xfId="6830"/>
    <cellStyle name="SAPBEXHLevel3X 9 7" xfId="6831"/>
    <cellStyle name="SAPBEXHLevel3X 9 8" xfId="6832"/>
    <cellStyle name="SAPBEXHLevel3X 9 9" xfId="6833"/>
    <cellStyle name="SAPBEXHLevel3X_(A-7) IS-Inputs" xfId="6834"/>
    <cellStyle name="SAPBEXinputData" xfId="6835"/>
    <cellStyle name="SAPBEXinputData 10" xfId="6836"/>
    <cellStyle name="SAPBEXinputData 10 2" xfId="6837"/>
    <cellStyle name="SAPBEXinputData 10 3" xfId="6838"/>
    <cellStyle name="SAPBEXinputData 10 4" xfId="6839"/>
    <cellStyle name="SAPBEXinputData 10 5" xfId="6840"/>
    <cellStyle name="SAPBEXinputData 10 6" xfId="6841"/>
    <cellStyle name="SAPBEXinputData 10 7" xfId="6842"/>
    <cellStyle name="SAPBEXinputData 10 8" xfId="6843"/>
    <cellStyle name="SAPBEXinputData 10 9" xfId="6844"/>
    <cellStyle name="SAPBEXinputData 11" xfId="6845"/>
    <cellStyle name="SAPBEXinputData 11 2" xfId="6846"/>
    <cellStyle name="SAPBEXinputData 12" xfId="6847"/>
    <cellStyle name="SAPBEXinputData 12 2" xfId="6848"/>
    <cellStyle name="SAPBEXinputData 12 3" xfId="6849"/>
    <cellStyle name="SAPBEXinputData 12 4" xfId="6850"/>
    <cellStyle name="SAPBEXinputData 12 5" xfId="6851"/>
    <cellStyle name="SAPBEXinputData 12 6" xfId="6852"/>
    <cellStyle name="SAPBEXinputData 12 7" xfId="6853"/>
    <cellStyle name="SAPBEXinputData 12 8" xfId="6854"/>
    <cellStyle name="SAPBEXinputData 13" xfId="6855"/>
    <cellStyle name="SAPBEXinputData 13 2" xfId="6856"/>
    <cellStyle name="SAPBEXinputData 13 3" xfId="6857"/>
    <cellStyle name="SAPBEXinputData 13 4" xfId="6858"/>
    <cellStyle name="SAPBEXinputData 13 5" xfId="6859"/>
    <cellStyle name="SAPBEXinputData 13 6" xfId="6860"/>
    <cellStyle name="SAPBEXinputData 13 7" xfId="6861"/>
    <cellStyle name="SAPBEXinputData 13 8" xfId="6862"/>
    <cellStyle name="SAPBEXinputData 14" xfId="6863"/>
    <cellStyle name="SAPBEXinputData 14 2" xfId="6864"/>
    <cellStyle name="SAPBEXinputData 15" xfId="6865"/>
    <cellStyle name="SAPBEXinputData 15 2" xfId="6866"/>
    <cellStyle name="SAPBEXinputData 16" xfId="6867"/>
    <cellStyle name="SAPBEXinputData 16 2" xfId="6868"/>
    <cellStyle name="SAPBEXinputData 17" xfId="6869"/>
    <cellStyle name="SAPBEXinputData 17 2" xfId="6870"/>
    <cellStyle name="SAPBEXinputData 18" xfId="6871"/>
    <cellStyle name="SAPBEXinputData 18 2" xfId="6872"/>
    <cellStyle name="SAPBEXinputData 19" xfId="6873"/>
    <cellStyle name="SAPBEXinputData 19 2" xfId="6874"/>
    <cellStyle name="SAPBEXinputData 2" xfId="6875"/>
    <cellStyle name="SAPBEXinputData 2 10" xfId="6876"/>
    <cellStyle name="SAPBEXinputData 2 2" xfId="6877"/>
    <cellStyle name="SAPBEXinputData 2 3" xfId="6878"/>
    <cellStyle name="SAPBEXinputData 2 4" xfId="6879"/>
    <cellStyle name="SAPBEXinputData 2 5" xfId="6880"/>
    <cellStyle name="SAPBEXinputData 2 6" xfId="6881"/>
    <cellStyle name="SAPBEXinputData 2 7" xfId="6882"/>
    <cellStyle name="SAPBEXinputData 2 8" xfId="6883"/>
    <cellStyle name="SAPBEXinputData 2 9" xfId="6884"/>
    <cellStyle name="SAPBEXinputData 20" xfId="6885"/>
    <cellStyle name="SAPBEXinputData 20 2" xfId="6886"/>
    <cellStyle name="SAPBEXinputData 21" xfId="6887"/>
    <cellStyle name="SAPBEXinputData 22" xfId="6888"/>
    <cellStyle name="SAPBEXinputData 23" xfId="6889"/>
    <cellStyle name="SAPBEXinputData 24" xfId="6890"/>
    <cellStyle name="SAPBEXinputData 25" xfId="6891"/>
    <cellStyle name="SAPBEXinputData 26" xfId="6892"/>
    <cellStyle name="SAPBEXinputData 27" xfId="6893"/>
    <cellStyle name="SAPBEXinputData 28" xfId="6894"/>
    <cellStyle name="SAPBEXinputData 29" xfId="6895"/>
    <cellStyle name="SAPBEXinputData 3" xfId="6896"/>
    <cellStyle name="SAPBEXinputData 3 2" xfId="6897"/>
    <cellStyle name="SAPBEXinputData 3 3" xfId="6898"/>
    <cellStyle name="SAPBEXinputData 3 4" xfId="6899"/>
    <cellStyle name="SAPBEXinputData 3 5" xfId="6900"/>
    <cellStyle name="SAPBEXinputData 3 6" xfId="6901"/>
    <cellStyle name="SAPBEXinputData 3 7" xfId="6902"/>
    <cellStyle name="SAPBEXinputData 3 8" xfId="6903"/>
    <cellStyle name="SAPBEXinputData 3 9" xfId="6904"/>
    <cellStyle name="SAPBEXinputData 30" xfId="6905"/>
    <cellStyle name="SAPBEXinputData 31" xfId="6906"/>
    <cellStyle name="SAPBEXinputData 32" xfId="6907"/>
    <cellStyle name="SAPBEXinputData 33" xfId="6908"/>
    <cellStyle name="SAPBEXinputData 34" xfId="6909"/>
    <cellStyle name="SAPBEXinputData 35" xfId="6910"/>
    <cellStyle name="SAPBEXinputData 36" xfId="6911"/>
    <cellStyle name="SAPBEXinputData 37" xfId="6912"/>
    <cellStyle name="SAPBEXinputData 38" xfId="6913"/>
    <cellStyle name="SAPBEXinputData 39" xfId="6914"/>
    <cellStyle name="SAPBEXinputData 4" xfId="6915"/>
    <cellStyle name="SAPBEXinputData 4 2" xfId="6916"/>
    <cellStyle name="SAPBEXinputData 4 3" xfId="6917"/>
    <cellStyle name="SAPBEXinputData 4 4" xfId="6918"/>
    <cellStyle name="SAPBEXinputData 4 5" xfId="6919"/>
    <cellStyle name="SAPBEXinputData 4 6" xfId="6920"/>
    <cellStyle name="SAPBEXinputData 4 7" xfId="6921"/>
    <cellStyle name="SAPBEXinputData 4 8" xfId="6922"/>
    <cellStyle name="SAPBEXinputData 4 9" xfId="6923"/>
    <cellStyle name="SAPBEXinputData 40" xfId="6924"/>
    <cellStyle name="SAPBEXinputData 41" xfId="6925"/>
    <cellStyle name="SAPBEXinputData 42" xfId="6926"/>
    <cellStyle name="SAPBEXinputData 43" xfId="6927"/>
    <cellStyle name="SAPBEXinputData 44" xfId="6928"/>
    <cellStyle name="SAPBEXinputData 45" xfId="6929"/>
    <cellStyle name="SAPBEXinputData 46" xfId="6930"/>
    <cellStyle name="SAPBEXinputData 47" xfId="6931"/>
    <cellStyle name="SAPBEXinputData 5" xfId="6932"/>
    <cellStyle name="SAPBEXinputData 5 2" xfId="6933"/>
    <cellStyle name="SAPBEXinputData 5 3" xfId="6934"/>
    <cellStyle name="SAPBEXinputData 5 4" xfId="6935"/>
    <cellStyle name="SAPBEXinputData 5 5" xfId="6936"/>
    <cellStyle name="SAPBEXinputData 5 6" xfId="6937"/>
    <cellStyle name="SAPBEXinputData 5 7" xfId="6938"/>
    <cellStyle name="SAPBEXinputData 5 8" xfId="6939"/>
    <cellStyle name="SAPBEXinputData 5 9" xfId="6940"/>
    <cellStyle name="SAPBEXinputData 6" xfId="6941"/>
    <cellStyle name="SAPBEXinputData 6 2" xfId="6942"/>
    <cellStyle name="SAPBEXinputData 6 3" xfId="6943"/>
    <cellStyle name="SAPBEXinputData 6 4" xfId="6944"/>
    <cellStyle name="SAPBEXinputData 6 5" xfId="6945"/>
    <cellStyle name="SAPBEXinputData 6 6" xfId="6946"/>
    <cellStyle name="SAPBEXinputData 6 7" xfId="6947"/>
    <cellStyle name="SAPBEXinputData 6 8" xfId="6948"/>
    <cellStyle name="SAPBEXinputData 6 9" xfId="6949"/>
    <cellStyle name="SAPBEXinputData 7" xfId="6950"/>
    <cellStyle name="SAPBEXinputData 7 2" xfId="6951"/>
    <cellStyle name="SAPBEXinputData 7 3" xfId="6952"/>
    <cellStyle name="SAPBEXinputData 7 4" xfId="6953"/>
    <cellStyle name="SAPBEXinputData 7 5" xfId="6954"/>
    <cellStyle name="SAPBEXinputData 7 6" xfId="6955"/>
    <cellStyle name="SAPBEXinputData 7 7" xfId="6956"/>
    <cellStyle name="SAPBEXinputData 7 8" xfId="6957"/>
    <cellStyle name="SAPBEXinputData 7 9" xfId="6958"/>
    <cellStyle name="SAPBEXinputData 8" xfId="6959"/>
    <cellStyle name="SAPBEXinputData 8 2" xfId="6960"/>
    <cellStyle name="SAPBEXinputData 8 3" xfId="6961"/>
    <cellStyle name="SAPBEXinputData 8 4" xfId="6962"/>
    <cellStyle name="SAPBEXinputData 8 5" xfId="6963"/>
    <cellStyle name="SAPBEXinputData 8 6" xfId="6964"/>
    <cellStyle name="SAPBEXinputData 8 7" xfId="6965"/>
    <cellStyle name="SAPBEXinputData 8 8" xfId="6966"/>
    <cellStyle name="SAPBEXinputData 8 9" xfId="6967"/>
    <cellStyle name="SAPBEXinputData 9" xfId="6968"/>
    <cellStyle name="SAPBEXinputData 9 2" xfId="6969"/>
    <cellStyle name="SAPBEXinputData 9 3" xfId="6970"/>
    <cellStyle name="SAPBEXinputData 9 4" xfId="6971"/>
    <cellStyle name="SAPBEXinputData 9 5" xfId="6972"/>
    <cellStyle name="SAPBEXinputData 9 6" xfId="6973"/>
    <cellStyle name="SAPBEXinputData 9 7" xfId="6974"/>
    <cellStyle name="SAPBEXinputData 9 8" xfId="6975"/>
    <cellStyle name="SAPBEXinputData 9 9" xfId="6976"/>
    <cellStyle name="SAPBEXinputData_(A-7) IS-Inputs" xfId="6977"/>
    <cellStyle name="SAPBEXItemHeader" xfId="6978"/>
    <cellStyle name="SAPBEXItemHeader 2" xfId="6979"/>
    <cellStyle name="SAPBEXItemHeader 2 2" xfId="6980"/>
    <cellStyle name="SAPBEXresData" xfId="6981"/>
    <cellStyle name="SAPBEXresData 10" xfId="6982"/>
    <cellStyle name="SAPBEXresData 11" xfId="6983"/>
    <cellStyle name="SAPBEXresData 12" xfId="6984"/>
    <cellStyle name="SAPBEXresData 13" xfId="6985"/>
    <cellStyle name="SAPBEXresData 14" xfId="6986"/>
    <cellStyle name="SAPBEXresData 15" xfId="6987"/>
    <cellStyle name="SAPBEXresData 16" xfId="6988"/>
    <cellStyle name="SAPBEXresData 17" xfId="6989"/>
    <cellStyle name="SAPBEXresData 18" xfId="6990"/>
    <cellStyle name="SAPBEXresData 19" xfId="6991"/>
    <cellStyle name="SAPBEXresData 2" xfId="6992"/>
    <cellStyle name="SAPBEXresData 2 2" xfId="6993"/>
    <cellStyle name="SAPBEXresData 20" xfId="6994"/>
    <cellStyle name="SAPBEXresData 21" xfId="6995"/>
    <cellStyle name="SAPBEXresData 22" xfId="6996"/>
    <cellStyle name="SAPBEXresData 23" xfId="6997"/>
    <cellStyle name="SAPBEXresData 24" xfId="6998"/>
    <cellStyle name="SAPBEXresData 25" xfId="6999"/>
    <cellStyle name="SAPBEXresData 26" xfId="7000"/>
    <cellStyle name="SAPBEXresData 27" xfId="7001"/>
    <cellStyle name="SAPBEXresData 28" xfId="7002"/>
    <cellStyle name="SAPBEXresData 29" xfId="7003"/>
    <cellStyle name="SAPBEXresData 3" xfId="7004"/>
    <cellStyle name="SAPBEXresData 30" xfId="7005"/>
    <cellStyle name="SAPBEXresData 31" xfId="7006"/>
    <cellStyle name="SAPBEXresData 32" xfId="7007"/>
    <cellStyle name="SAPBEXresData 33" xfId="7008"/>
    <cellStyle name="SAPBEXresData 34" xfId="7009"/>
    <cellStyle name="SAPBEXresData 35" xfId="7010"/>
    <cellStyle name="SAPBEXresData 36" xfId="7011"/>
    <cellStyle name="SAPBEXresData 37" xfId="7012"/>
    <cellStyle name="SAPBEXresData 38" xfId="7013"/>
    <cellStyle name="SAPBEXresData 39" xfId="7014"/>
    <cellStyle name="SAPBEXresData 4" xfId="7015"/>
    <cellStyle name="SAPBEXresData 40" xfId="7016"/>
    <cellStyle name="SAPBEXresData 41" xfId="7017"/>
    <cellStyle name="SAPBEXresData 42" xfId="7018"/>
    <cellStyle name="SAPBEXresData 43" xfId="7019"/>
    <cellStyle name="SAPBEXresData 44" xfId="7020"/>
    <cellStyle name="SAPBEXresData 45" xfId="7021"/>
    <cellStyle name="SAPBEXresData 46" xfId="7022"/>
    <cellStyle name="SAPBEXresData 5" xfId="7023"/>
    <cellStyle name="SAPBEXresData 6" xfId="7024"/>
    <cellStyle name="SAPBEXresData 7" xfId="7025"/>
    <cellStyle name="SAPBEXresData 8" xfId="7026"/>
    <cellStyle name="SAPBEXresData 9" xfId="7027"/>
    <cellStyle name="SAPBEXresDataEmph" xfId="7028"/>
    <cellStyle name="SAPBEXresDataEmph 10" xfId="7029"/>
    <cellStyle name="SAPBEXresDataEmph 11" xfId="7030"/>
    <cellStyle name="SAPBEXresDataEmph 12" xfId="7031"/>
    <cellStyle name="SAPBEXresDataEmph 13" xfId="7032"/>
    <cellStyle name="SAPBEXresDataEmph 14" xfId="7033"/>
    <cellStyle name="SAPBEXresDataEmph 15" xfId="7034"/>
    <cellStyle name="SAPBEXresDataEmph 16" xfId="7035"/>
    <cellStyle name="SAPBEXresDataEmph 17" xfId="7036"/>
    <cellStyle name="SAPBEXresDataEmph 18" xfId="7037"/>
    <cellStyle name="SAPBEXresDataEmph 19" xfId="7038"/>
    <cellStyle name="SAPBEXresDataEmph 2" xfId="7039"/>
    <cellStyle name="SAPBEXresDataEmph 20" xfId="7040"/>
    <cellStyle name="SAPBEXresDataEmph 21" xfId="7041"/>
    <cellStyle name="SAPBEXresDataEmph 22" xfId="7042"/>
    <cellStyle name="SAPBEXresDataEmph 23" xfId="7043"/>
    <cellStyle name="SAPBEXresDataEmph 24" xfId="7044"/>
    <cellStyle name="SAPBEXresDataEmph 25" xfId="7045"/>
    <cellStyle name="SAPBEXresDataEmph 26" xfId="7046"/>
    <cellStyle name="SAPBEXresDataEmph 27" xfId="7047"/>
    <cellStyle name="SAPBEXresDataEmph 28" xfId="7048"/>
    <cellStyle name="SAPBEXresDataEmph 29" xfId="7049"/>
    <cellStyle name="SAPBEXresDataEmph 3" xfId="7050"/>
    <cellStyle name="SAPBEXresDataEmph 30" xfId="7051"/>
    <cellStyle name="SAPBEXresDataEmph 31" xfId="7052"/>
    <cellStyle name="SAPBEXresDataEmph 32" xfId="7053"/>
    <cellStyle name="SAPBEXresDataEmph 33" xfId="7054"/>
    <cellStyle name="SAPBEXresDataEmph 34" xfId="7055"/>
    <cellStyle name="SAPBEXresDataEmph 35" xfId="7056"/>
    <cellStyle name="SAPBEXresDataEmph 36" xfId="7057"/>
    <cellStyle name="SAPBEXresDataEmph 37" xfId="7058"/>
    <cellStyle name="SAPBEXresDataEmph 38" xfId="7059"/>
    <cellStyle name="SAPBEXresDataEmph 39" xfId="7060"/>
    <cellStyle name="SAPBEXresDataEmph 4" xfId="7061"/>
    <cellStyle name="SAPBEXresDataEmph 40" xfId="7062"/>
    <cellStyle name="SAPBEXresDataEmph 41" xfId="7063"/>
    <cellStyle name="SAPBEXresDataEmph 42" xfId="7064"/>
    <cellStyle name="SAPBEXresDataEmph 43" xfId="7065"/>
    <cellStyle name="SAPBEXresDataEmph 44" xfId="7066"/>
    <cellStyle name="SAPBEXresDataEmph 45" xfId="7067"/>
    <cellStyle name="SAPBEXresDataEmph 46" xfId="7068"/>
    <cellStyle name="SAPBEXresDataEmph 5" xfId="7069"/>
    <cellStyle name="SAPBEXresDataEmph 6" xfId="7070"/>
    <cellStyle name="SAPBEXresDataEmph 7" xfId="7071"/>
    <cellStyle name="SAPBEXresDataEmph 8" xfId="7072"/>
    <cellStyle name="SAPBEXresDataEmph 9" xfId="7073"/>
    <cellStyle name="SAPBEXresItem" xfId="7074"/>
    <cellStyle name="SAPBEXresItem 10" xfId="7075"/>
    <cellStyle name="SAPBEXresItem 11" xfId="7076"/>
    <cellStyle name="SAPBEXresItem 12" xfId="7077"/>
    <cellStyle name="SAPBEXresItem 13" xfId="7078"/>
    <cellStyle name="SAPBEXresItem 14" xfId="7079"/>
    <cellStyle name="SAPBEXresItem 15" xfId="7080"/>
    <cellStyle name="SAPBEXresItem 16" xfId="7081"/>
    <cellStyle name="SAPBEXresItem 17" xfId="7082"/>
    <cellStyle name="SAPBEXresItem 18" xfId="7083"/>
    <cellStyle name="SAPBEXresItem 19" xfId="7084"/>
    <cellStyle name="SAPBEXresItem 2" xfId="7085"/>
    <cellStyle name="SAPBEXresItem 2 2" xfId="7086"/>
    <cellStyle name="SAPBEXresItem 20" xfId="7087"/>
    <cellStyle name="SAPBEXresItem 21" xfId="7088"/>
    <cellStyle name="SAPBEXresItem 22" xfId="7089"/>
    <cellStyle name="SAPBEXresItem 23" xfId="7090"/>
    <cellStyle name="SAPBEXresItem 24" xfId="7091"/>
    <cellStyle name="SAPBEXresItem 25" xfId="7092"/>
    <cellStyle name="SAPBEXresItem 26" xfId="7093"/>
    <cellStyle name="SAPBEXresItem 27" xfId="7094"/>
    <cellStyle name="SAPBEXresItem 28" xfId="7095"/>
    <cellStyle name="SAPBEXresItem 29" xfId="7096"/>
    <cellStyle name="SAPBEXresItem 3" xfId="7097"/>
    <cellStyle name="SAPBEXresItem 30" xfId="7098"/>
    <cellStyle name="SAPBEXresItem 31" xfId="7099"/>
    <cellStyle name="SAPBEXresItem 32" xfId="7100"/>
    <cellStyle name="SAPBEXresItem 33" xfId="7101"/>
    <cellStyle name="SAPBEXresItem 34" xfId="7102"/>
    <cellStyle name="SAPBEXresItem 35" xfId="7103"/>
    <cellStyle name="SAPBEXresItem 36" xfId="7104"/>
    <cellStyle name="SAPBEXresItem 37" xfId="7105"/>
    <cellStyle name="SAPBEXresItem 38" xfId="7106"/>
    <cellStyle name="SAPBEXresItem 39" xfId="7107"/>
    <cellStyle name="SAPBEXresItem 4" xfId="7108"/>
    <cellStyle name="SAPBEXresItem 40" xfId="7109"/>
    <cellStyle name="SAPBEXresItem 41" xfId="7110"/>
    <cellStyle name="SAPBEXresItem 42" xfId="7111"/>
    <cellStyle name="SAPBEXresItem 43" xfId="7112"/>
    <cellStyle name="SAPBEXresItem 44" xfId="7113"/>
    <cellStyle name="SAPBEXresItem 45" xfId="7114"/>
    <cellStyle name="SAPBEXresItem 46" xfId="7115"/>
    <cellStyle name="SAPBEXresItem 5" xfId="7116"/>
    <cellStyle name="SAPBEXresItem 6" xfId="7117"/>
    <cellStyle name="SAPBEXresItem 7" xfId="7118"/>
    <cellStyle name="SAPBEXresItem 8" xfId="7119"/>
    <cellStyle name="SAPBEXresItem 9" xfId="7120"/>
    <cellStyle name="SAPBEXresItemX" xfId="7121"/>
    <cellStyle name="SAPBEXresItemX 10" xfId="7122"/>
    <cellStyle name="SAPBEXresItemX 11" xfId="7123"/>
    <cellStyle name="SAPBEXresItemX 12" xfId="7124"/>
    <cellStyle name="SAPBEXresItemX 13" xfId="7125"/>
    <cellStyle name="SAPBEXresItemX 14" xfId="7126"/>
    <cellStyle name="SAPBEXresItemX 15" xfId="7127"/>
    <cellStyle name="SAPBEXresItemX 16" xfId="7128"/>
    <cellStyle name="SAPBEXresItemX 17" xfId="7129"/>
    <cellStyle name="SAPBEXresItemX 18" xfId="7130"/>
    <cellStyle name="SAPBEXresItemX 19" xfId="7131"/>
    <cellStyle name="SAPBEXresItemX 2" xfId="7132"/>
    <cellStyle name="SAPBEXresItemX 2 2" xfId="7133"/>
    <cellStyle name="SAPBEXresItemX 20" xfId="7134"/>
    <cellStyle name="SAPBEXresItemX 21" xfId="7135"/>
    <cellStyle name="SAPBEXresItemX 22" xfId="7136"/>
    <cellStyle name="SAPBEXresItemX 23" xfId="7137"/>
    <cellStyle name="SAPBEXresItemX 24" xfId="7138"/>
    <cellStyle name="SAPBEXresItemX 25" xfId="7139"/>
    <cellStyle name="SAPBEXresItemX 26" xfId="7140"/>
    <cellStyle name="SAPBEXresItemX 27" xfId="7141"/>
    <cellStyle name="SAPBEXresItemX 28" xfId="7142"/>
    <cellStyle name="SAPBEXresItemX 29" xfId="7143"/>
    <cellStyle name="SAPBEXresItemX 3" xfId="7144"/>
    <cellStyle name="SAPBEXresItemX 30" xfId="7145"/>
    <cellStyle name="SAPBEXresItemX 31" xfId="7146"/>
    <cellStyle name="SAPBEXresItemX 32" xfId="7147"/>
    <cellStyle name="SAPBEXresItemX 33" xfId="7148"/>
    <cellStyle name="SAPBEXresItemX 34" xfId="7149"/>
    <cellStyle name="SAPBEXresItemX 35" xfId="7150"/>
    <cellStyle name="SAPBEXresItemX 36" xfId="7151"/>
    <cellStyle name="SAPBEXresItemX 37" xfId="7152"/>
    <cellStyle name="SAPBEXresItemX 38" xfId="7153"/>
    <cellStyle name="SAPBEXresItemX 39" xfId="7154"/>
    <cellStyle name="SAPBEXresItemX 4" xfId="7155"/>
    <cellStyle name="SAPBEXresItemX 40" xfId="7156"/>
    <cellStyle name="SAPBEXresItemX 41" xfId="7157"/>
    <cellStyle name="SAPBEXresItemX 42" xfId="7158"/>
    <cellStyle name="SAPBEXresItemX 43" xfId="7159"/>
    <cellStyle name="SAPBEXresItemX 44" xfId="7160"/>
    <cellStyle name="SAPBEXresItemX 45" xfId="7161"/>
    <cellStyle name="SAPBEXresItemX 46" xfId="7162"/>
    <cellStyle name="SAPBEXresItemX 5" xfId="7163"/>
    <cellStyle name="SAPBEXresItemX 6" xfId="7164"/>
    <cellStyle name="SAPBEXresItemX 7" xfId="7165"/>
    <cellStyle name="SAPBEXresItemX 8" xfId="7166"/>
    <cellStyle name="SAPBEXresItemX 9" xfId="7167"/>
    <cellStyle name="SAPBEXstdData" xfId="7168"/>
    <cellStyle name="SAPBEXstdData 10" xfId="7169"/>
    <cellStyle name="SAPBEXstdData 100" xfId="7170"/>
    <cellStyle name="SAPBEXstdData 101" xfId="7171"/>
    <cellStyle name="SAPBEXstdData 102" xfId="7172"/>
    <cellStyle name="SAPBEXstdData 103" xfId="7173"/>
    <cellStyle name="SAPBEXstdData 104" xfId="7174"/>
    <cellStyle name="SAPBEXstdData 105" xfId="7175"/>
    <cellStyle name="SAPBEXstdData 106" xfId="7176"/>
    <cellStyle name="SAPBEXstdData 107" xfId="7177"/>
    <cellStyle name="SAPBEXstdData 108" xfId="7178"/>
    <cellStyle name="SAPBEXstdData 109" xfId="7179"/>
    <cellStyle name="SAPBEXstdData 11" xfId="7180"/>
    <cellStyle name="SAPBEXstdData 110" xfId="7181"/>
    <cellStyle name="SAPBEXstdData 12" xfId="7182"/>
    <cellStyle name="SAPBEXstdData 13" xfId="7183"/>
    <cellStyle name="SAPBEXstdData 14" xfId="7184"/>
    <cellStyle name="SAPBEXstdData 15" xfId="7185"/>
    <cellStyle name="SAPBEXstdData 16" xfId="7186"/>
    <cellStyle name="SAPBEXstdData 17" xfId="7187"/>
    <cellStyle name="SAPBEXstdData 18" xfId="7188"/>
    <cellStyle name="SAPBEXstdData 19" xfId="7189"/>
    <cellStyle name="SAPBEXstdData 2" xfId="7190"/>
    <cellStyle name="SAPBEXstdData 20" xfId="7191"/>
    <cellStyle name="SAPBEXstdData 21" xfId="7192"/>
    <cellStyle name="SAPBEXstdData 22" xfId="7193"/>
    <cellStyle name="SAPBEXstdData 23" xfId="7194"/>
    <cellStyle name="SAPBEXstdData 24" xfId="7195"/>
    <cellStyle name="SAPBEXstdData 25" xfId="7196"/>
    <cellStyle name="SAPBEXstdData 26" xfId="7197"/>
    <cellStyle name="SAPBEXstdData 27" xfId="7198"/>
    <cellStyle name="SAPBEXstdData 28" xfId="7199"/>
    <cellStyle name="SAPBEXstdData 29" xfId="7200"/>
    <cellStyle name="SAPBEXstdData 3" xfId="7201"/>
    <cellStyle name="SAPBEXstdData 30" xfId="7202"/>
    <cellStyle name="SAPBEXstdData 31" xfId="7203"/>
    <cellStyle name="SAPBEXstdData 32" xfId="7204"/>
    <cellStyle name="SAPBEXstdData 33" xfId="7205"/>
    <cellStyle name="SAPBEXstdData 34" xfId="7206"/>
    <cellStyle name="SAPBEXstdData 35" xfId="7207"/>
    <cellStyle name="SAPBEXstdData 36" xfId="7208"/>
    <cellStyle name="SAPBEXstdData 37" xfId="7209"/>
    <cellStyle name="SAPBEXstdData 38" xfId="7210"/>
    <cellStyle name="SAPBEXstdData 39" xfId="7211"/>
    <cellStyle name="SAPBEXstdData 4" xfId="7212"/>
    <cellStyle name="SAPBEXstdData 40" xfId="7213"/>
    <cellStyle name="SAPBEXstdData 41" xfId="7214"/>
    <cellStyle name="SAPBEXstdData 42" xfId="7215"/>
    <cellStyle name="SAPBEXstdData 43" xfId="7216"/>
    <cellStyle name="SAPBEXstdData 44" xfId="7217"/>
    <cellStyle name="SAPBEXstdData 45" xfId="7218"/>
    <cellStyle name="SAPBEXstdData 46" xfId="7219"/>
    <cellStyle name="SAPBEXstdData 47" xfId="7220"/>
    <cellStyle name="SAPBEXstdData 48" xfId="7221"/>
    <cellStyle name="SAPBEXstdData 49" xfId="7222"/>
    <cellStyle name="SAPBEXstdData 5" xfId="7223"/>
    <cellStyle name="SAPBEXstdData 50" xfId="7224"/>
    <cellStyle name="SAPBEXstdData 51" xfId="7225"/>
    <cellStyle name="SAPBEXstdData 52" xfId="7226"/>
    <cellStyle name="SAPBEXstdData 53" xfId="7227"/>
    <cellStyle name="SAPBEXstdData 54" xfId="7228"/>
    <cellStyle name="SAPBEXstdData 55" xfId="7229"/>
    <cellStyle name="SAPBEXstdData 56" xfId="7230"/>
    <cellStyle name="SAPBEXstdData 57" xfId="7231"/>
    <cellStyle name="SAPBEXstdData 58" xfId="7232"/>
    <cellStyle name="SAPBEXstdData 59" xfId="7233"/>
    <cellStyle name="SAPBEXstdData 6" xfId="7234"/>
    <cellStyle name="SAPBEXstdData 60" xfId="7235"/>
    <cellStyle name="SAPBEXstdData 61" xfId="7236"/>
    <cellStyle name="SAPBEXstdData 62" xfId="7237"/>
    <cellStyle name="SAPBEXstdData 63" xfId="7238"/>
    <cellStyle name="SAPBEXstdData 64" xfId="7239"/>
    <cellStyle name="SAPBEXstdData 65" xfId="7240"/>
    <cellStyle name="SAPBEXstdData 66" xfId="7241"/>
    <cellStyle name="SAPBEXstdData 67" xfId="7242"/>
    <cellStyle name="SAPBEXstdData 68" xfId="7243"/>
    <cellStyle name="SAPBEXstdData 69" xfId="7244"/>
    <cellStyle name="SAPBEXstdData 7" xfId="7245"/>
    <cellStyle name="SAPBEXstdData 70" xfId="7246"/>
    <cellStyle name="SAPBEXstdData 71" xfId="7247"/>
    <cellStyle name="SAPBEXstdData 72" xfId="7248"/>
    <cellStyle name="SAPBEXstdData 73" xfId="7249"/>
    <cellStyle name="SAPBEXstdData 74" xfId="7250"/>
    <cellStyle name="SAPBEXstdData 75" xfId="7251"/>
    <cellStyle name="SAPBEXstdData 76" xfId="7252"/>
    <cellStyle name="SAPBEXstdData 77" xfId="7253"/>
    <cellStyle name="SAPBEXstdData 78" xfId="7254"/>
    <cellStyle name="SAPBEXstdData 79" xfId="7255"/>
    <cellStyle name="SAPBEXstdData 8" xfId="7256"/>
    <cellStyle name="SAPBEXstdData 80" xfId="7257"/>
    <cellStyle name="SAPBEXstdData 81" xfId="7258"/>
    <cellStyle name="SAPBEXstdData 82" xfId="7259"/>
    <cellStyle name="SAPBEXstdData 83" xfId="7260"/>
    <cellStyle name="SAPBEXstdData 84" xfId="7261"/>
    <cellStyle name="SAPBEXstdData 85" xfId="7262"/>
    <cellStyle name="SAPBEXstdData 86" xfId="7263"/>
    <cellStyle name="SAPBEXstdData 87" xfId="7264"/>
    <cellStyle name="SAPBEXstdData 88" xfId="7265"/>
    <cellStyle name="SAPBEXstdData 89" xfId="7266"/>
    <cellStyle name="SAPBEXstdData 9" xfId="7267"/>
    <cellStyle name="SAPBEXstdData 90" xfId="7268"/>
    <cellStyle name="SAPBEXstdData 91" xfId="7269"/>
    <cellStyle name="SAPBEXstdData 92" xfId="7270"/>
    <cellStyle name="SAPBEXstdData 93" xfId="7271"/>
    <cellStyle name="SAPBEXstdData 94" xfId="7272"/>
    <cellStyle name="SAPBEXstdData 95" xfId="7273"/>
    <cellStyle name="SAPBEXstdData 96" xfId="7274"/>
    <cellStyle name="SAPBEXstdData 97" xfId="7275"/>
    <cellStyle name="SAPBEXstdData 98" xfId="7276"/>
    <cellStyle name="SAPBEXstdData 99" xfId="7277"/>
    <cellStyle name="SAPBEXstdData_(A-7) IS-Inputs" xfId="7278"/>
    <cellStyle name="SAPBEXstdDataEmph" xfId="7279"/>
    <cellStyle name="SAPBEXstdDataEmph 10" xfId="7280"/>
    <cellStyle name="SAPBEXstdDataEmph 11" xfId="7281"/>
    <cellStyle name="SAPBEXstdDataEmph 12" xfId="7282"/>
    <cellStyle name="SAPBEXstdDataEmph 13" xfId="7283"/>
    <cellStyle name="SAPBEXstdDataEmph 14" xfId="7284"/>
    <cellStyle name="SAPBEXstdDataEmph 15" xfId="7285"/>
    <cellStyle name="SAPBEXstdDataEmph 16" xfId="7286"/>
    <cellStyle name="SAPBEXstdDataEmph 17" xfId="7287"/>
    <cellStyle name="SAPBEXstdDataEmph 18" xfId="7288"/>
    <cellStyle name="SAPBEXstdDataEmph 19" xfId="7289"/>
    <cellStyle name="SAPBEXstdDataEmph 2" xfId="7290"/>
    <cellStyle name="SAPBEXstdDataEmph 20" xfId="7291"/>
    <cellStyle name="SAPBEXstdDataEmph 21" xfId="7292"/>
    <cellStyle name="SAPBEXstdDataEmph 22" xfId="7293"/>
    <cellStyle name="SAPBEXstdDataEmph 23" xfId="7294"/>
    <cellStyle name="SAPBEXstdDataEmph 24" xfId="7295"/>
    <cellStyle name="SAPBEXstdDataEmph 25" xfId="7296"/>
    <cellStyle name="SAPBEXstdDataEmph 26" xfId="7297"/>
    <cellStyle name="SAPBEXstdDataEmph 27" xfId="7298"/>
    <cellStyle name="SAPBEXstdDataEmph 28" xfId="7299"/>
    <cellStyle name="SAPBEXstdDataEmph 29" xfId="7300"/>
    <cellStyle name="SAPBEXstdDataEmph 3" xfId="7301"/>
    <cellStyle name="SAPBEXstdDataEmph 30" xfId="7302"/>
    <cellStyle name="SAPBEXstdDataEmph 31" xfId="7303"/>
    <cellStyle name="SAPBEXstdDataEmph 32" xfId="7304"/>
    <cellStyle name="SAPBEXstdDataEmph 33" xfId="7305"/>
    <cellStyle name="SAPBEXstdDataEmph 34" xfId="7306"/>
    <cellStyle name="SAPBEXstdDataEmph 35" xfId="7307"/>
    <cellStyle name="SAPBEXstdDataEmph 36" xfId="7308"/>
    <cellStyle name="SAPBEXstdDataEmph 37" xfId="7309"/>
    <cellStyle name="SAPBEXstdDataEmph 38" xfId="7310"/>
    <cellStyle name="SAPBEXstdDataEmph 39" xfId="7311"/>
    <cellStyle name="SAPBEXstdDataEmph 4" xfId="7312"/>
    <cellStyle name="SAPBEXstdDataEmph 40" xfId="7313"/>
    <cellStyle name="SAPBEXstdDataEmph 41" xfId="7314"/>
    <cellStyle name="SAPBEXstdDataEmph 42" xfId="7315"/>
    <cellStyle name="SAPBEXstdDataEmph 43" xfId="7316"/>
    <cellStyle name="SAPBEXstdDataEmph 44" xfId="7317"/>
    <cellStyle name="SAPBEXstdDataEmph 45" xfId="7318"/>
    <cellStyle name="SAPBEXstdDataEmph 46" xfId="7319"/>
    <cellStyle name="SAPBEXstdDataEmph 5" xfId="7320"/>
    <cellStyle name="SAPBEXstdDataEmph 6" xfId="7321"/>
    <cellStyle name="SAPBEXstdDataEmph 7" xfId="7322"/>
    <cellStyle name="SAPBEXstdDataEmph 8" xfId="7323"/>
    <cellStyle name="SAPBEXstdDataEmph 9" xfId="7324"/>
    <cellStyle name="SAPBEXstdItem" xfId="7325"/>
    <cellStyle name="SAPBEXstdItem 10" xfId="7326"/>
    <cellStyle name="SAPBEXstdItem 100" xfId="7327"/>
    <cellStyle name="SAPBEXstdItem 101" xfId="7328"/>
    <cellStyle name="SAPBEXstdItem 102" xfId="7329"/>
    <cellStyle name="SAPBEXstdItem 103" xfId="7330"/>
    <cellStyle name="SAPBEXstdItem 104" xfId="7331"/>
    <cellStyle name="SAPBEXstdItem 105" xfId="7332"/>
    <cellStyle name="SAPBEXstdItem 106" xfId="7333"/>
    <cellStyle name="SAPBEXstdItem 107" xfId="7334"/>
    <cellStyle name="SAPBEXstdItem 108" xfId="7335"/>
    <cellStyle name="SAPBEXstdItem 109" xfId="7336"/>
    <cellStyle name="SAPBEXstdItem 11" xfId="7337"/>
    <cellStyle name="SAPBEXstdItem 110" xfId="7338"/>
    <cellStyle name="SAPBEXstdItem 12" xfId="7339"/>
    <cellStyle name="SAPBEXstdItem 13" xfId="7340"/>
    <cellStyle name="SAPBEXstdItem 14" xfId="7341"/>
    <cellStyle name="SAPBEXstdItem 15" xfId="7342"/>
    <cellStyle name="SAPBEXstdItem 16" xfId="7343"/>
    <cellStyle name="SAPBEXstdItem 17" xfId="7344"/>
    <cellStyle name="SAPBEXstdItem 18" xfId="7345"/>
    <cellStyle name="SAPBEXstdItem 19" xfId="7346"/>
    <cellStyle name="SAPBEXstdItem 2" xfId="7347"/>
    <cellStyle name="SAPBEXstdItem 20" xfId="7348"/>
    <cellStyle name="SAPBEXstdItem 21" xfId="7349"/>
    <cellStyle name="SAPBEXstdItem 22" xfId="7350"/>
    <cellStyle name="SAPBEXstdItem 23" xfId="7351"/>
    <cellStyle name="SAPBEXstdItem 24" xfId="7352"/>
    <cellStyle name="SAPBEXstdItem 25" xfId="7353"/>
    <cellStyle name="SAPBEXstdItem 26" xfId="7354"/>
    <cellStyle name="SAPBEXstdItem 27" xfId="7355"/>
    <cellStyle name="SAPBEXstdItem 28" xfId="7356"/>
    <cellStyle name="SAPBEXstdItem 29" xfId="7357"/>
    <cellStyle name="SAPBEXstdItem 3" xfId="7358"/>
    <cellStyle name="SAPBEXstdItem 30" xfId="7359"/>
    <cellStyle name="SAPBEXstdItem 31" xfId="7360"/>
    <cellStyle name="SAPBEXstdItem 32" xfId="7361"/>
    <cellStyle name="SAPBEXstdItem 33" xfId="7362"/>
    <cellStyle name="SAPBEXstdItem 34" xfId="7363"/>
    <cellStyle name="SAPBEXstdItem 35" xfId="7364"/>
    <cellStyle name="SAPBEXstdItem 36" xfId="7365"/>
    <cellStyle name="SAPBEXstdItem 37" xfId="7366"/>
    <cellStyle name="SAPBEXstdItem 38" xfId="7367"/>
    <cellStyle name="SAPBEXstdItem 39" xfId="7368"/>
    <cellStyle name="SAPBEXstdItem 4" xfId="7369"/>
    <cellStyle name="SAPBEXstdItem 40" xfId="7370"/>
    <cellStyle name="SAPBEXstdItem 41" xfId="7371"/>
    <cellStyle name="SAPBEXstdItem 42" xfId="7372"/>
    <cellStyle name="SAPBEXstdItem 43" xfId="7373"/>
    <cellStyle name="SAPBEXstdItem 44" xfId="7374"/>
    <cellStyle name="SAPBEXstdItem 45" xfId="7375"/>
    <cellStyle name="SAPBEXstdItem 46" xfId="7376"/>
    <cellStyle name="SAPBEXstdItem 47" xfId="7377"/>
    <cellStyle name="SAPBEXstdItem 48" xfId="7378"/>
    <cellStyle name="SAPBEXstdItem 49" xfId="7379"/>
    <cellStyle name="SAPBEXstdItem 5" xfId="7380"/>
    <cellStyle name="SAPBEXstdItem 50" xfId="7381"/>
    <cellStyle name="SAPBEXstdItem 51" xfId="7382"/>
    <cellStyle name="SAPBEXstdItem 52" xfId="7383"/>
    <cellStyle name="SAPBEXstdItem 53" xfId="7384"/>
    <cellStyle name="SAPBEXstdItem 54" xfId="7385"/>
    <cellStyle name="SAPBEXstdItem 55" xfId="7386"/>
    <cellStyle name="SAPBEXstdItem 56" xfId="7387"/>
    <cellStyle name="SAPBEXstdItem 57" xfId="7388"/>
    <cellStyle name="SAPBEXstdItem 58" xfId="7389"/>
    <cellStyle name="SAPBEXstdItem 59" xfId="7390"/>
    <cellStyle name="SAPBEXstdItem 6" xfId="7391"/>
    <cellStyle name="SAPBEXstdItem 60" xfId="7392"/>
    <cellStyle name="SAPBEXstdItem 61" xfId="7393"/>
    <cellStyle name="SAPBEXstdItem 62" xfId="7394"/>
    <cellStyle name="SAPBEXstdItem 63" xfId="7395"/>
    <cellStyle name="SAPBEXstdItem 64" xfId="7396"/>
    <cellStyle name="SAPBEXstdItem 65" xfId="7397"/>
    <cellStyle name="SAPBEXstdItem 66" xfId="7398"/>
    <cellStyle name="SAPBEXstdItem 67" xfId="7399"/>
    <cellStyle name="SAPBEXstdItem 68" xfId="7400"/>
    <cellStyle name="SAPBEXstdItem 69" xfId="7401"/>
    <cellStyle name="SAPBEXstdItem 7" xfId="7402"/>
    <cellStyle name="SAPBEXstdItem 70" xfId="7403"/>
    <cellStyle name="SAPBEXstdItem 71" xfId="7404"/>
    <cellStyle name="SAPBEXstdItem 72" xfId="7405"/>
    <cellStyle name="SAPBEXstdItem 73" xfId="7406"/>
    <cellStyle name="SAPBEXstdItem 74" xfId="7407"/>
    <cellStyle name="SAPBEXstdItem 75" xfId="7408"/>
    <cellStyle name="SAPBEXstdItem 76" xfId="7409"/>
    <cellStyle name="SAPBEXstdItem 77" xfId="7410"/>
    <cellStyle name="SAPBEXstdItem 78" xfId="7411"/>
    <cellStyle name="SAPBEXstdItem 79" xfId="7412"/>
    <cellStyle name="SAPBEXstdItem 8" xfId="7413"/>
    <cellStyle name="SAPBEXstdItem 80" xfId="7414"/>
    <cellStyle name="SAPBEXstdItem 81" xfId="7415"/>
    <cellStyle name="SAPBEXstdItem 82" xfId="7416"/>
    <cellStyle name="SAPBEXstdItem 83" xfId="7417"/>
    <cellStyle name="SAPBEXstdItem 84" xfId="7418"/>
    <cellStyle name="SAPBEXstdItem 85" xfId="7419"/>
    <cellStyle name="SAPBEXstdItem 86" xfId="7420"/>
    <cellStyle name="SAPBEXstdItem 87" xfId="7421"/>
    <cellStyle name="SAPBEXstdItem 88" xfId="7422"/>
    <cellStyle name="SAPBEXstdItem 89" xfId="7423"/>
    <cellStyle name="SAPBEXstdItem 9" xfId="7424"/>
    <cellStyle name="SAPBEXstdItem 90" xfId="7425"/>
    <cellStyle name="SAPBEXstdItem 91" xfId="7426"/>
    <cellStyle name="SAPBEXstdItem 92" xfId="7427"/>
    <cellStyle name="SAPBEXstdItem 93" xfId="7428"/>
    <cellStyle name="SAPBEXstdItem 94" xfId="7429"/>
    <cellStyle name="SAPBEXstdItem 95" xfId="7430"/>
    <cellStyle name="SAPBEXstdItem 96" xfId="7431"/>
    <cellStyle name="SAPBEXstdItem 97" xfId="7432"/>
    <cellStyle name="SAPBEXstdItem 98" xfId="7433"/>
    <cellStyle name="SAPBEXstdItem 99" xfId="7434"/>
    <cellStyle name="SAPBEXstdItem_(A-7) IS-Inputs" xfId="7435"/>
    <cellStyle name="SAPBEXstdItemX" xfId="7436"/>
    <cellStyle name="SAPBEXstdItemX 10" xfId="7437"/>
    <cellStyle name="SAPBEXstdItemX 11" xfId="7438"/>
    <cellStyle name="SAPBEXstdItemX 12" xfId="7439"/>
    <cellStyle name="SAPBEXstdItemX 13" xfId="7440"/>
    <cellStyle name="SAPBEXstdItemX 14" xfId="7441"/>
    <cellStyle name="SAPBEXstdItemX 15" xfId="7442"/>
    <cellStyle name="SAPBEXstdItemX 16" xfId="7443"/>
    <cellStyle name="SAPBEXstdItemX 17" xfId="7444"/>
    <cellStyle name="SAPBEXstdItemX 18" xfId="7445"/>
    <cellStyle name="SAPBEXstdItemX 19" xfId="7446"/>
    <cellStyle name="SAPBEXstdItemX 2" xfId="7447"/>
    <cellStyle name="SAPBEXstdItemX 2 2" xfId="7448"/>
    <cellStyle name="SAPBEXstdItemX 20" xfId="7449"/>
    <cellStyle name="SAPBEXstdItemX 21" xfId="7450"/>
    <cellStyle name="SAPBEXstdItemX 22" xfId="7451"/>
    <cellStyle name="SAPBEXstdItemX 23" xfId="7452"/>
    <cellStyle name="SAPBEXstdItemX 24" xfId="7453"/>
    <cellStyle name="SAPBEXstdItemX 25" xfId="7454"/>
    <cellStyle name="SAPBEXstdItemX 26" xfId="7455"/>
    <cellStyle name="SAPBEXstdItemX 27" xfId="7456"/>
    <cellStyle name="SAPBEXstdItemX 28" xfId="7457"/>
    <cellStyle name="SAPBEXstdItemX 29" xfId="7458"/>
    <cellStyle name="SAPBEXstdItemX 3" xfId="7459"/>
    <cellStyle name="SAPBEXstdItemX 30" xfId="7460"/>
    <cellStyle name="SAPBEXstdItemX 31" xfId="7461"/>
    <cellStyle name="SAPBEXstdItemX 32" xfId="7462"/>
    <cellStyle name="SAPBEXstdItemX 33" xfId="7463"/>
    <cellStyle name="SAPBEXstdItemX 34" xfId="7464"/>
    <cellStyle name="SAPBEXstdItemX 35" xfId="7465"/>
    <cellStyle name="SAPBEXstdItemX 36" xfId="7466"/>
    <cellStyle name="SAPBEXstdItemX 37" xfId="7467"/>
    <cellStyle name="SAPBEXstdItemX 38" xfId="7468"/>
    <cellStyle name="SAPBEXstdItemX 39" xfId="7469"/>
    <cellStyle name="SAPBEXstdItemX 4" xfId="7470"/>
    <cellStyle name="SAPBEXstdItemX 40" xfId="7471"/>
    <cellStyle name="SAPBEXstdItemX 41" xfId="7472"/>
    <cellStyle name="SAPBEXstdItemX 42" xfId="7473"/>
    <cellStyle name="SAPBEXstdItemX 43" xfId="7474"/>
    <cellStyle name="SAPBEXstdItemX 44" xfId="7475"/>
    <cellStyle name="SAPBEXstdItemX 45" xfId="7476"/>
    <cellStyle name="SAPBEXstdItemX 46" xfId="7477"/>
    <cellStyle name="SAPBEXstdItemX 5" xfId="7478"/>
    <cellStyle name="SAPBEXstdItemX 6" xfId="7479"/>
    <cellStyle name="SAPBEXstdItemX 7" xfId="7480"/>
    <cellStyle name="SAPBEXstdItemX 8" xfId="7481"/>
    <cellStyle name="SAPBEXstdItemX 9" xfId="7482"/>
    <cellStyle name="SAPBEXtitle" xfId="7483"/>
    <cellStyle name="SAPBEXtitle 10" xfId="7484"/>
    <cellStyle name="SAPBEXtitle 11" xfId="7485"/>
    <cellStyle name="SAPBEXtitle 12" xfId="7486"/>
    <cellStyle name="SAPBEXtitle 13" xfId="7487"/>
    <cellStyle name="SAPBEXtitle 14" xfId="7488"/>
    <cellStyle name="SAPBEXtitle 15" xfId="7489"/>
    <cellStyle name="SAPBEXtitle 16" xfId="7490"/>
    <cellStyle name="SAPBEXtitle 17" xfId="7491"/>
    <cellStyle name="SAPBEXtitle 18" xfId="7492"/>
    <cellStyle name="SAPBEXtitle 19" xfId="7493"/>
    <cellStyle name="SAPBEXtitle 2" xfId="7494"/>
    <cellStyle name="SAPBEXtitle 2 2" xfId="7495"/>
    <cellStyle name="SAPBEXtitle 20" xfId="7496"/>
    <cellStyle name="SAPBEXtitle 21" xfId="7497"/>
    <cellStyle name="SAPBEXtitle 22" xfId="7498"/>
    <cellStyle name="SAPBEXtitle 23" xfId="7499"/>
    <cellStyle name="SAPBEXtitle 24" xfId="7500"/>
    <cellStyle name="SAPBEXtitle 25" xfId="7501"/>
    <cellStyle name="SAPBEXtitle 26" xfId="7502"/>
    <cellStyle name="SAPBEXtitle 27" xfId="7503"/>
    <cellStyle name="SAPBEXtitle 28" xfId="7504"/>
    <cellStyle name="SAPBEXtitle 29" xfId="7505"/>
    <cellStyle name="SAPBEXtitle 3" xfId="7506"/>
    <cellStyle name="SAPBEXtitle 30" xfId="7507"/>
    <cellStyle name="SAPBEXtitle 31" xfId="7508"/>
    <cellStyle name="SAPBEXtitle 32" xfId="7509"/>
    <cellStyle name="SAPBEXtitle 33" xfId="7510"/>
    <cellStyle name="SAPBEXtitle 34" xfId="7511"/>
    <cellStyle name="SAPBEXtitle 35" xfId="7512"/>
    <cellStyle name="SAPBEXtitle 36" xfId="7513"/>
    <cellStyle name="SAPBEXtitle 37" xfId="7514"/>
    <cellStyle name="SAPBEXtitle 38" xfId="7515"/>
    <cellStyle name="SAPBEXtitle 39" xfId="7516"/>
    <cellStyle name="SAPBEXtitle 4" xfId="7517"/>
    <cellStyle name="SAPBEXtitle 40" xfId="7518"/>
    <cellStyle name="SAPBEXtitle 41" xfId="7519"/>
    <cellStyle name="SAPBEXtitle 42" xfId="7520"/>
    <cellStyle name="SAPBEXtitle 43" xfId="7521"/>
    <cellStyle name="SAPBEXtitle 44" xfId="7522"/>
    <cellStyle name="SAPBEXtitle 45" xfId="7523"/>
    <cellStyle name="SAPBEXtitle 46" xfId="7524"/>
    <cellStyle name="SAPBEXtitle 5" xfId="7525"/>
    <cellStyle name="SAPBEXtitle 6" xfId="7526"/>
    <cellStyle name="SAPBEXtitle 7" xfId="7527"/>
    <cellStyle name="SAPBEXtitle 8" xfId="7528"/>
    <cellStyle name="SAPBEXtitle 9" xfId="7529"/>
    <cellStyle name="SAPBEXunassignedItem" xfId="7530"/>
    <cellStyle name="SAPBEXunassignedItem 10" xfId="7531"/>
    <cellStyle name="SAPBEXunassignedItem 10 2" xfId="7532"/>
    <cellStyle name="SAPBEXunassignedItem 10 3" xfId="7533"/>
    <cellStyle name="SAPBEXunassignedItem 10 4" xfId="7534"/>
    <cellStyle name="SAPBEXunassignedItem 10 5" xfId="7535"/>
    <cellStyle name="SAPBEXunassignedItem 10 6" xfId="7536"/>
    <cellStyle name="SAPBEXunassignedItem 100" xfId="7537"/>
    <cellStyle name="SAPBEXunassignedItem 101" xfId="7538"/>
    <cellStyle name="SAPBEXunassignedItem 102" xfId="7539"/>
    <cellStyle name="SAPBEXunassignedItem 103" xfId="7540"/>
    <cellStyle name="SAPBEXunassignedItem 104" xfId="7541"/>
    <cellStyle name="SAPBEXunassignedItem 105" xfId="7542"/>
    <cellStyle name="SAPBEXunassignedItem 106" xfId="7543"/>
    <cellStyle name="SAPBEXunassignedItem 107" xfId="7544"/>
    <cellStyle name="SAPBEXunassignedItem 108" xfId="7545"/>
    <cellStyle name="SAPBEXunassignedItem 109" xfId="7546"/>
    <cellStyle name="SAPBEXunassignedItem 11" xfId="7547"/>
    <cellStyle name="SAPBEXunassignedItem 11 2" xfId="7548"/>
    <cellStyle name="SAPBEXunassignedItem 11 3" xfId="7549"/>
    <cellStyle name="SAPBEXunassignedItem 11 4" xfId="7550"/>
    <cellStyle name="SAPBEXunassignedItem 11 5" xfId="7551"/>
    <cellStyle name="SAPBEXunassignedItem 11 6" xfId="7552"/>
    <cellStyle name="SAPBEXunassignedItem 12" xfId="7553"/>
    <cellStyle name="SAPBEXunassignedItem 12 2" xfId="7554"/>
    <cellStyle name="SAPBEXunassignedItem 12 3" xfId="7555"/>
    <cellStyle name="SAPBEXunassignedItem 12 4" xfId="7556"/>
    <cellStyle name="SAPBEXunassignedItem 12 5" xfId="7557"/>
    <cellStyle name="SAPBEXunassignedItem 12 6" xfId="7558"/>
    <cellStyle name="SAPBEXunassignedItem 13" xfId="7559"/>
    <cellStyle name="SAPBEXunassignedItem 13 2" xfId="7560"/>
    <cellStyle name="SAPBEXunassignedItem 13 3" xfId="7561"/>
    <cellStyle name="SAPBEXunassignedItem 13 4" xfId="7562"/>
    <cellStyle name="SAPBEXunassignedItem 13 5" xfId="7563"/>
    <cellStyle name="SAPBEXunassignedItem 13 6" xfId="7564"/>
    <cellStyle name="SAPBEXunassignedItem 14" xfId="7565"/>
    <cellStyle name="SAPBEXunassignedItem 14 2" xfId="7566"/>
    <cellStyle name="SAPBEXunassignedItem 14 3" xfId="7567"/>
    <cellStyle name="SAPBEXunassignedItem 14 4" xfId="7568"/>
    <cellStyle name="SAPBEXunassignedItem 14 5" xfId="7569"/>
    <cellStyle name="SAPBEXunassignedItem 14 6" xfId="7570"/>
    <cellStyle name="SAPBEXunassignedItem 15" xfId="7571"/>
    <cellStyle name="SAPBEXunassignedItem 15 2" xfId="7572"/>
    <cellStyle name="SAPBEXunassignedItem 15 3" xfId="7573"/>
    <cellStyle name="SAPBEXunassignedItem 15 4" xfId="7574"/>
    <cellStyle name="SAPBEXunassignedItem 15 5" xfId="7575"/>
    <cellStyle name="SAPBEXunassignedItem 15 6" xfId="7576"/>
    <cellStyle name="SAPBEXunassignedItem 16" xfId="7577"/>
    <cellStyle name="SAPBEXunassignedItem 16 2" xfId="7578"/>
    <cellStyle name="SAPBEXunassignedItem 16 3" xfId="7579"/>
    <cellStyle name="SAPBEXunassignedItem 16 4" xfId="7580"/>
    <cellStyle name="SAPBEXunassignedItem 16 5" xfId="7581"/>
    <cellStyle name="SAPBEXunassignedItem 16 6" xfId="7582"/>
    <cellStyle name="SAPBEXunassignedItem 17" xfId="7583"/>
    <cellStyle name="SAPBEXunassignedItem 17 2" xfId="7584"/>
    <cellStyle name="SAPBEXunassignedItem 17 3" xfId="7585"/>
    <cellStyle name="SAPBEXunassignedItem 17 4" xfId="7586"/>
    <cellStyle name="SAPBEXunassignedItem 17 5" xfId="7587"/>
    <cellStyle name="SAPBEXunassignedItem 17 6" xfId="7588"/>
    <cellStyle name="SAPBEXunassignedItem 18" xfId="7589"/>
    <cellStyle name="SAPBEXunassignedItem 18 2" xfId="7590"/>
    <cellStyle name="SAPBEXunassignedItem 18 3" xfId="7591"/>
    <cellStyle name="SAPBEXunassignedItem 18 4" xfId="7592"/>
    <cellStyle name="SAPBEXunassignedItem 18 5" xfId="7593"/>
    <cellStyle name="SAPBEXunassignedItem 18 6" xfId="7594"/>
    <cellStyle name="SAPBEXunassignedItem 19" xfId="7595"/>
    <cellStyle name="SAPBEXunassignedItem 19 2" xfId="7596"/>
    <cellStyle name="SAPBEXunassignedItem 19 3" xfId="7597"/>
    <cellStyle name="SAPBEXunassignedItem 19 4" xfId="7598"/>
    <cellStyle name="SAPBEXunassignedItem 19 5" xfId="7599"/>
    <cellStyle name="SAPBEXunassignedItem 19 6" xfId="7600"/>
    <cellStyle name="SAPBEXunassignedItem 2" xfId="7601"/>
    <cellStyle name="SAPBEXunassignedItem 2 2" xfId="7602"/>
    <cellStyle name="SAPBEXunassignedItem 2 3" xfId="7603"/>
    <cellStyle name="SAPBEXunassignedItem 2 4" xfId="7604"/>
    <cellStyle name="SAPBEXunassignedItem 2 5" xfId="7605"/>
    <cellStyle name="SAPBEXunassignedItem 2 6" xfId="7606"/>
    <cellStyle name="SAPBEXunassignedItem 20" xfId="7607"/>
    <cellStyle name="SAPBEXunassignedItem 20 2" xfId="7608"/>
    <cellStyle name="SAPBEXunassignedItem 20 3" xfId="7609"/>
    <cellStyle name="SAPBEXunassignedItem 20 4" xfId="7610"/>
    <cellStyle name="SAPBEXunassignedItem 20 5" xfId="7611"/>
    <cellStyle name="SAPBEXunassignedItem 20 6" xfId="7612"/>
    <cellStyle name="SAPBEXunassignedItem 21" xfId="7613"/>
    <cellStyle name="SAPBEXunassignedItem 21 2" xfId="7614"/>
    <cellStyle name="SAPBEXunassignedItem 21 3" xfId="7615"/>
    <cellStyle name="SAPBEXunassignedItem 21 4" xfId="7616"/>
    <cellStyle name="SAPBEXunassignedItem 21 5" xfId="7617"/>
    <cellStyle name="SAPBEXunassignedItem 21 6" xfId="7618"/>
    <cellStyle name="SAPBEXunassignedItem 22" xfId="7619"/>
    <cellStyle name="SAPBEXunassignedItem 22 2" xfId="7620"/>
    <cellStyle name="SAPBEXunassignedItem 22 3" xfId="7621"/>
    <cellStyle name="SAPBEXunassignedItem 22 4" xfId="7622"/>
    <cellStyle name="SAPBEXunassignedItem 22 5" xfId="7623"/>
    <cellStyle name="SAPBEXunassignedItem 22 6" xfId="7624"/>
    <cellStyle name="SAPBEXunassignedItem 23" xfId="7625"/>
    <cellStyle name="SAPBEXunassignedItem 23 2" xfId="7626"/>
    <cellStyle name="SAPBEXunassignedItem 23 3" xfId="7627"/>
    <cellStyle name="SAPBEXunassignedItem 23 4" xfId="7628"/>
    <cellStyle name="SAPBEXunassignedItem 23 5" xfId="7629"/>
    <cellStyle name="SAPBEXunassignedItem 23 6" xfId="7630"/>
    <cellStyle name="SAPBEXunassignedItem 24" xfId="7631"/>
    <cellStyle name="SAPBEXunassignedItem 24 2" xfId="7632"/>
    <cellStyle name="SAPBEXunassignedItem 24 3" xfId="7633"/>
    <cellStyle name="SAPBEXunassignedItem 24 4" xfId="7634"/>
    <cellStyle name="SAPBEXunassignedItem 24 5" xfId="7635"/>
    <cellStyle name="SAPBEXunassignedItem 24 6" xfId="7636"/>
    <cellStyle name="SAPBEXunassignedItem 25" xfId="7637"/>
    <cellStyle name="SAPBEXunassignedItem 25 2" xfId="7638"/>
    <cellStyle name="SAPBEXunassignedItem 25 3" xfId="7639"/>
    <cellStyle name="SAPBEXunassignedItem 25 4" xfId="7640"/>
    <cellStyle name="SAPBEXunassignedItem 25 5" xfId="7641"/>
    <cellStyle name="SAPBEXunassignedItem 25 6" xfId="7642"/>
    <cellStyle name="SAPBEXunassignedItem 26" xfId="7643"/>
    <cellStyle name="SAPBEXunassignedItem 26 2" xfId="7644"/>
    <cellStyle name="SAPBEXunassignedItem 26 3" xfId="7645"/>
    <cellStyle name="SAPBEXunassignedItem 26 4" xfId="7646"/>
    <cellStyle name="SAPBEXunassignedItem 26 5" xfId="7647"/>
    <cellStyle name="SAPBEXunassignedItem 26 6" xfId="7648"/>
    <cellStyle name="SAPBEXunassignedItem 27" xfId="7649"/>
    <cellStyle name="SAPBEXunassignedItem 27 2" xfId="7650"/>
    <cellStyle name="SAPBEXunassignedItem 27 3" xfId="7651"/>
    <cellStyle name="SAPBEXunassignedItem 27 4" xfId="7652"/>
    <cellStyle name="SAPBEXunassignedItem 27 5" xfId="7653"/>
    <cellStyle name="SAPBEXunassignedItem 27 6" xfId="7654"/>
    <cellStyle name="SAPBEXunassignedItem 28" xfId="7655"/>
    <cellStyle name="SAPBEXunassignedItem 28 2" xfId="7656"/>
    <cellStyle name="SAPBEXunassignedItem 28 3" xfId="7657"/>
    <cellStyle name="SAPBEXunassignedItem 28 4" xfId="7658"/>
    <cellStyle name="SAPBEXunassignedItem 28 5" xfId="7659"/>
    <cellStyle name="SAPBEXunassignedItem 28 6" xfId="7660"/>
    <cellStyle name="SAPBEXunassignedItem 29" xfId="7661"/>
    <cellStyle name="SAPBEXunassignedItem 29 2" xfId="7662"/>
    <cellStyle name="SAPBEXunassignedItem 29 3" xfId="7663"/>
    <cellStyle name="SAPBEXunassignedItem 29 4" xfId="7664"/>
    <cellStyle name="SAPBEXunassignedItem 29 5" xfId="7665"/>
    <cellStyle name="SAPBEXunassignedItem 29 6" xfId="7666"/>
    <cellStyle name="SAPBEXunassignedItem 3" xfId="7667"/>
    <cellStyle name="SAPBEXunassignedItem 3 2" xfId="7668"/>
    <cellStyle name="SAPBEXunassignedItem 3 3" xfId="7669"/>
    <cellStyle name="SAPBEXunassignedItem 3 4" xfId="7670"/>
    <cellStyle name="SAPBEXunassignedItem 3 5" xfId="7671"/>
    <cellStyle name="SAPBEXunassignedItem 3 6" xfId="7672"/>
    <cellStyle name="SAPBEXunassignedItem 30" xfId="7673"/>
    <cellStyle name="SAPBEXunassignedItem 30 2" xfId="7674"/>
    <cellStyle name="SAPBEXunassignedItem 30 3" xfId="7675"/>
    <cellStyle name="SAPBEXunassignedItem 30 4" xfId="7676"/>
    <cellStyle name="SAPBEXunassignedItem 30 5" xfId="7677"/>
    <cellStyle name="SAPBEXunassignedItem 30 6" xfId="7678"/>
    <cellStyle name="SAPBEXunassignedItem 31" xfId="7679"/>
    <cellStyle name="SAPBEXunassignedItem 31 2" xfId="7680"/>
    <cellStyle name="SAPBEXunassignedItem 31 3" xfId="7681"/>
    <cellStyle name="SAPBEXunassignedItem 31 4" xfId="7682"/>
    <cellStyle name="SAPBEXunassignedItem 31 5" xfId="7683"/>
    <cellStyle name="SAPBEXunassignedItem 31 6" xfId="7684"/>
    <cellStyle name="SAPBEXunassignedItem 32" xfId="7685"/>
    <cellStyle name="SAPBEXunassignedItem 32 2" xfId="7686"/>
    <cellStyle name="SAPBEXunassignedItem 32 3" xfId="7687"/>
    <cellStyle name="SAPBEXunassignedItem 32 4" xfId="7688"/>
    <cellStyle name="SAPBEXunassignedItem 32 5" xfId="7689"/>
    <cellStyle name="SAPBEXunassignedItem 32 6" xfId="7690"/>
    <cellStyle name="SAPBEXunassignedItem 33" xfId="7691"/>
    <cellStyle name="SAPBEXunassignedItem 33 2" xfId="7692"/>
    <cellStyle name="SAPBEXunassignedItem 33 3" xfId="7693"/>
    <cellStyle name="SAPBEXunassignedItem 33 4" xfId="7694"/>
    <cellStyle name="SAPBEXunassignedItem 33 5" xfId="7695"/>
    <cellStyle name="SAPBEXunassignedItem 33 6" xfId="7696"/>
    <cellStyle name="SAPBEXunassignedItem 34" xfId="7697"/>
    <cellStyle name="SAPBEXunassignedItem 34 2" xfId="7698"/>
    <cellStyle name="SAPBEXunassignedItem 34 3" xfId="7699"/>
    <cellStyle name="SAPBEXunassignedItem 34 4" xfId="7700"/>
    <cellStyle name="SAPBEXunassignedItem 34 5" xfId="7701"/>
    <cellStyle name="SAPBEXunassignedItem 34 6" xfId="7702"/>
    <cellStyle name="SAPBEXunassignedItem 35" xfId="7703"/>
    <cellStyle name="SAPBEXunassignedItem 35 2" xfId="7704"/>
    <cellStyle name="SAPBEXunassignedItem 35 3" xfId="7705"/>
    <cellStyle name="SAPBEXunassignedItem 35 4" xfId="7706"/>
    <cellStyle name="SAPBEXunassignedItem 35 5" xfId="7707"/>
    <cellStyle name="SAPBEXunassignedItem 35 6" xfId="7708"/>
    <cellStyle name="SAPBEXunassignedItem 36" xfId="7709"/>
    <cellStyle name="SAPBEXunassignedItem 36 2" xfId="7710"/>
    <cellStyle name="SAPBEXunassignedItem 36 3" xfId="7711"/>
    <cellStyle name="SAPBEXunassignedItem 36 4" xfId="7712"/>
    <cellStyle name="SAPBEXunassignedItem 36 5" xfId="7713"/>
    <cellStyle name="SAPBEXunassignedItem 36 6" xfId="7714"/>
    <cellStyle name="SAPBEXunassignedItem 37" xfId="7715"/>
    <cellStyle name="SAPBEXunassignedItem 37 2" xfId="7716"/>
    <cellStyle name="SAPBEXunassignedItem 37 3" xfId="7717"/>
    <cellStyle name="SAPBEXunassignedItem 37 4" xfId="7718"/>
    <cellStyle name="SAPBEXunassignedItem 37 5" xfId="7719"/>
    <cellStyle name="SAPBEXunassignedItem 37 6" xfId="7720"/>
    <cellStyle name="SAPBEXunassignedItem 38" xfId="7721"/>
    <cellStyle name="SAPBEXunassignedItem 38 2" xfId="7722"/>
    <cellStyle name="SAPBEXunassignedItem 38 3" xfId="7723"/>
    <cellStyle name="SAPBEXunassignedItem 38 4" xfId="7724"/>
    <cellStyle name="SAPBEXunassignedItem 38 5" xfId="7725"/>
    <cellStyle name="SAPBEXunassignedItem 38 6" xfId="7726"/>
    <cellStyle name="SAPBEXunassignedItem 39" xfId="7727"/>
    <cellStyle name="SAPBEXunassignedItem 39 2" xfId="7728"/>
    <cellStyle name="SAPBEXunassignedItem 39 3" xfId="7729"/>
    <cellStyle name="SAPBEXunassignedItem 39 4" xfId="7730"/>
    <cellStyle name="SAPBEXunassignedItem 39 5" xfId="7731"/>
    <cellStyle name="SAPBEXunassignedItem 39 6" xfId="7732"/>
    <cellStyle name="SAPBEXunassignedItem 4" xfId="7733"/>
    <cellStyle name="SAPBEXunassignedItem 4 2" xfId="7734"/>
    <cellStyle name="SAPBEXunassignedItem 4 3" xfId="7735"/>
    <cellStyle name="SAPBEXunassignedItem 4 4" xfId="7736"/>
    <cellStyle name="SAPBEXunassignedItem 4 5" xfId="7737"/>
    <cellStyle name="SAPBEXunassignedItem 4 6" xfId="7738"/>
    <cellStyle name="SAPBEXunassignedItem 40" xfId="7739"/>
    <cellStyle name="SAPBEXunassignedItem 40 2" xfId="7740"/>
    <cellStyle name="SAPBEXunassignedItem 40 3" xfId="7741"/>
    <cellStyle name="SAPBEXunassignedItem 40 4" xfId="7742"/>
    <cellStyle name="SAPBEXunassignedItem 40 5" xfId="7743"/>
    <cellStyle name="SAPBEXunassignedItem 40 6" xfId="7744"/>
    <cellStyle name="SAPBEXunassignedItem 41" xfId="7745"/>
    <cellStyle name="SAPBEXunassignedItem 41 2" xfId="7746"/>
    <cellStyle name="SAPBEXunassignedItem 41 3" xfId="7747"/>
    <cellStyle name="SAPBEXunassignedItem 41 4" xfId="7748"/>
    <cellStyle name="SAPBEXunassignedItem 41 5" xfId="7749"/>
    <cellStyle name="SAPBEXunassignedItem 41 6" xfId="7750"/>
    <cellStyle name="SAPBEXunassignedItem 42" xfId="7751"/>
    <cellStyle name="SAPBEXunassignedItem 42 2" xfId="7752"/>
    <cellStyle name="SAPBEXunassignedItem 42 3" xfId="7753"/>
    <cellStyle name="SAPBEXunassignedItem 42 4" xfId="7754"/>
    <cellStyle name="SAPBEXunassignedItem 42 5" xfId="7755"/>
    <cellStyle name="SAPBEXunassignedItem 42 6" xfId="7756"/>
    <cellStyle name="SAPBEXunassignedItem 43" xfId="7757"/>
    <cellStyle name="SAPBEXunassignedItem 43 2" xfId="7758"/>
    <cellStyle name="SAPBEXunassignedItem 43 3" xfId="7759"/>
    <cellStyle name="SAPBEXunassignedItem 43 4" xfId="7760"/>
    <cellStyle name="SAPBEXunassignedItem 43 5" xfId="7761"/>
    <cellStyle name="SAPBEXunassignedItem 43 6" xfId="7762"/>
    <cellStyle name="SAPBEXunassignedItem 44" xfId="7763"/>
    <cellStyle name="SAPBEXunassignedItem 44 2" xfId="7764"/>
    <cellStyle name="SAPBEXunassignedItem 44 3" xfId="7765"/>
    <cellStyle name="SAPBEXunassignedItem 44 4" xfId="7766"/>
    <cellStyle name="SAPBEXunassignedItem 44 5" xfId="7767"/>
    <cellStyle name="SAPBEXunassignedItem 44 6" xfId="7768"/>
    <cellStyle name="SAPBEXunassignedItem 45" xfId="7769"/>
    <cellStyle name="SAPBEXunassignedItem 45 2" xfId="7770"/>
    <cellStyle name="SAPBEXunassignedItem 45 3" xfId="7771"/>
    <cellStyle name="SAPBEXunassignedItem 45 4" xfId="7772"/>
    <cellStyle name="SAPBEXunassignedItem 45 5" xfId="7773"/>
    <cellStyle name="SAPBEXunassignedItem 45 6" xfId="7774"/>
    <cellStyle name="SAPBEXunassignedItem 46" xfId="7775"/>
    <cellStyle name="SAPBEXunassignedItem 46 2" xfId="7776"/>
    <cellStyle name="SAPBEXunassignedItem 46 3" xfId="7777"/>
    <cellStyle name="SAPBEXunassignedItem 46 4" xfId="7778"/>
    <cellStyle name="SAPBEXunassignedItem 46 5" xfId="7779"/>
    <cellStyle name="SAPBEXunassignedItem 46 6" xfId="7780"/>
    <cellStyle name="SAPBEXunassignedItem 47" xfId="7781"/>
    <cellStyle name="SAPBEXunassignedItem 47 2" xfId="7782"/>
    <cellStyle name="SAPBEXunassignedItem 47 3" xfId="7783"/>
    <cellStyle name="SAPBEXunassignedItem 47 4" xfId="7784"/>
    <cellStyle name="SAPBEXunassignedItem 47 5" xfId="7785"/>
    <cellStyle name="SAPBEXunassignedItem 47 6" xfId="7786"/>
    <cellStyle name="SAPBEXunassignedItem 48" xfId="7787"/>
    <cellStyle name="SAPBEXunassignedItem 48 2" xfId="7788"/>
    <cellStyle name="SAPBEXunassignedItem 48 3" xfId="7789"/>
    <cellStyle name="SAPBEXunassignedItem 48 4" xfId="7790"/>
    <cellStyle name="SAPBEXunassignedItem 48 5" xfId="7791"/>
    <cellStyle name="SAPBEXunassignedItem 48 6" xfId="7792"/>
    <cellStyle name="SAPBEXunassignedItem 49" xfId="7793"/>
    <cellStyle name="SAPBEXunassignedItem 49 2" xfId="7794"/>
    <cellStyle name="SAPBEXunassignedItem 49 3" xfId="7795"/>
    <cellStyle name="SAPBEXunassignedItem 49 4" xfId="7796"/>
    <cellStyle name="SAPBEXunassignedItem 49 5" xfId="7797"/>
    <cellStyle name="SAPBEXunassignedItem 49 6" xfId="7798"/>
    <cellStyle name="SAPBEXunassignedItem 5" xfId="7799"/>
    <cellStyle name="SAPBEXunassignedItem 5 2" xfId="7800"/>
    <cellStyle name="SAPBEXunassignedItem 5 3" xfId="7801"/>
    <cellStyle name="SAPBEXunassignedItem 5 4" xfId="7802"/>
    <cellStyle name="SAPBEXunassignedItem 5 5" xfId="7803"/>
    <cellStyle name="SAPBEXunassignedItem 5 6" xfId="7804"/>
    <cellStyle name="SAPBEXunassignedItem 50" xfId="7805"/>
    <cellStyle name="SAPBEXunassignedItem 50 2" xfId="7806"/>
    <cellStyle name="SAPBEXunassignedItem 50 3" xfId="7807"/>
    <cellStyle name="SAPBEXunassignedItem 50 4" xfId="7808"/>
    <cellStyle name="SAPBEXunassignedItem 50 5" xfId="7809"/>
    <cellStyle name="SAPBEXunassignedItem 50 6" xfId="7810"/>
    <cellStyle name="SAPBEXunassignedItem 51" xfId="7811"/>
    <cellStyle name="SAPBEXunassignedItem 51 2" xfId="7812"/>
    <cellStyle name="SAPBEXunassignedItem 51 3" xfId="7813"/>
    <cellStyle name="SAPBEXunassignedItem 51 4" xfId="7814"/>
    <cellStyle name="SAPBEXunassignedItem 51 5" xfId="7815"/>
    <cellStyle name="SAPBEXunassignedItem 51 6" xfId="7816"/>
    <cellStyle name="SAPBEXunassignedItem 52" xfId="7817"/>
    <cellStyle name="SAPBEXunassignedItem 52 2" xfId="7818"/>
    <cellStyle name="SAPBEXunassignedItem 52 3" xfId="7819"/>
    <cellStyle name="SAPBEXunassignedItem 52 4" xfId="7820"/>
    <cellStyle name="SAPBEXunassignedItem 52 5" xfId="7821"/>
    <cellStyle name="SAPBEXunassignedItem 52 6" xfId="7822"/>
    <cellStyle name="SAPBEXunassignedItem 53" xfId="7823"/>
    <cellStyle name="SAPBEXunassignedItem 53 2" xfId="7824"/>
    <cellStyle name="SAPBEXunassignedItem 53 3" xfId="7825"/>
    <cellStyle name="SAPBEXunassignedItem 53 4" xfId="7826"/>
    <cellStyle name="SAPBEXunassignedItem 53 5" xfId="7827"/>
    <cellStyle name="SAPBEXunassignedItem 53 6" xfId="7828"/>
    <cellStyle name="SAPBEXunassignedItem 54" xfId="7829"/>
    <cellStyle name="SAPBEXunassignedItem 54 2" xfId="7830"/>
    <cellStyle name="SAPBEXunassignedItem 54 3" xfId="7831"/>
    <cellStyle name="SAPBEXunassignedItem 54 4" xfId="7832"/>
    <cellStyle name="SAPBEXunassignedItem 54 5" xfId="7833"/>
    <cellStyle name="SAPBEXunassignedItem 54 6" xfId="7834"/>
    <cellStyle name="SAPBEXunassignedItem 55" xfId="7835"/>
    <cellStyle name="SAPBEXunassignedItem 55 2" xfId="7836"/>
    <cellStyle name="SAPBEXunassignedItem 55 3" xfId="7837"/>
    <cellStyle name="SAPBEXunassignedItem 55 4" xfId="7838"/>
    <cellStyle name="SAPBEXunassignedItem 55 5" xfId="7839"/>
    <cellStyle name="SAPBEXunassignedItem 55 6" xfId="7840"/>
    <cellStyle name="SAPBEXunassignedItem 56" xfId="7841"/>
    <cellStyle name="SAPBEXunassignedItem 56 2" xfId="7842"/>
    <cellStyle name="SAPBEXunassignedItem 56 3" xfId="7843"/>
    <cellStyle name="SAPBEXunassignedItem 56 4" xfId="7844"/>
    <cellStyle name="SAPBEXunassignedItem 56 5" xfId="7845"/>
    <cellStyle name="SAPBEXunassignedItem 56 6" xfId="7846"/>
    <cellStyle name="SAPBEXunassignedItem 57" xfId="7847"/>
    <cellStyle name="SAPBEXunassignedItem 57 2" xfId="7848"/>
    <cellStyle name="SAPBEXunassignedItem 57 3" xfId="7849"/>
    <cellStyle name="SAPBEXunassignedItem 57 4" xfId="7850"/>
    <cellStyle name="SAPBEXunassignedItem 57 5" xfId="7851"/>
    <cellStyle name="SAPBEXunassignedItem 57 6" xfId="7852"/>
    <cellStyle name="SAPBEXunassignedItem 58" xfId="7853"/>
    <cellStyle name="SAPBEXunassignedItem 58 2" xfId="7854"/>
    <cellStyle name="SAPBEXunassignedItem 58 3" xfId="7855"/>
    <cellStyle name="SAPBEXunassignedItem 58 4" xfId="7856"/>
    <cellStyle name="SAPBEXunassignedItem 58 5" xfId="7857"/>
    <cellStyle name="SAPBEXunassignedItem 58 6" xfId="7858"/>
    <cellStyle name="SAPBEXunassignedItem 59" xfId="7859"/>
    <cellStyle name="SAPBEXunassignedItem 59 2" xfId="7860"/>
    <cellStyle name="SAPBEXunassignedItem 59 3" xfId="7861"/>
    <cellStyle name="SAPBEXunassignedItem 59 4" xfId="7862"/>
    <cellStyle name="SAPBEXunassignedItem 59 5" xfId="7863"/>
    <cellStyle name="SAPBEXunassignedItem 59 6" xfId="7864"/>
    <cellStyle name="SAPBEXunassignedItem 6" xfId="7865"/>
    <cellStyle name="SAPBEXunassignedItem 6 2" xfId="7866"/>
    <cellStyle name="SAPBEXunassignedItem 6 3" xfId="7867"/>
    <cellStyle name="SAPBEXunassignedItem 6 4" xfId="7868"/>
    <cellStyle name="SAPBEXunassignedItem 6 5" xfId="7869"/>
    <cellStyle name="SAPBEXunassignedItem 6 6" xfId="7870"/>
    <cellStyle name="SAPBEXunassignedItem 60" xfId="7871"/>
    <cellStyle name="SAPBEXunassignedItem 60 2" xfId="7872"/>
    <cellStyle name="SAPBEXunassignedItem 60 3" xfId="7873"/>
    <cellStyle name="SAPBEXunassignedItem 60 4" xfId="7874"/>
    <cellStyle name="SAPBEXunassignedItem 60 5" xfId="7875"/>
    <cellStyle name="SAPBEXunassignedItem 60 6" xfId="7876"/>
    <cellStyle name="SAPBEXunassignedItem 61" xfId="7877"/>
    <cellStyle name="SAPBEXunassignedItem 61 2" xfId="7878"/>
    <cellStyle name="SAPBEXunassignedItem 61 3" xfId="7879"/>
    <cellStyle name="SAPBEXunassignedItem 61 4" xfId="7880"/>
    <cellStyle name="SAPBEXunassignedItem 61 5" xfId="7881"/>
    <cellStyle name="SAPBEXunassignedItem 61 6" xfId="7882"/>
    <cellStyle name="SAPBEXunassignedItem 62" xfId="7883"/>
    <cellStyle name="SAPBEXunassignedItem 62 2" xfId="7884"/>
    <cellStyle name="SAPBEXunassignedItem 62 3" xfId="7885"/>
    <cellStyle name="SAPBEXunassignedItem 62 4" xfId="7886"/>
    <cellStyle name="SAPBEXunassignedItem 62 5" xfId="7887"/>
    <cellStyle name="SAPBEXunassignedItem 62 6" xfId="7888"/>
    <cellStyle name="SAPBEXunassignedItem 63" xfId="7889"/>
    <cellStyle name="SAPBEXunassignedItem 63 2" xfId="7890"/>
    <cellStyle name="SAPBEXunassignedItem 63 3" xfId="7891"/>
    <cellStyle name="SAPBEXunassignedItem 63 4" xfId="7892"/>
    <cellStyle name="SAPBEXunassignedItem 63 5" xfId="7893"/>
    <cellStyle name="SAPBEXunassignedItem 63 6" xfId="7894"/>
    <cellStyle name="SAPBEXunassignedItem 64" xfId="7895"/>
    <cellStyle name="SAPBEXunassignedItem 64 2" xfId="7896"/>
    <cellStyle name="SAPBEXunassignedItem 64 3" xfId="7897"/>
    <cellStyle name="SAPBEXunassignedItem 64 4" xfId="7898"/>
    <cellStyle name="SAPBEXunassignedItem 64 5" xfId="7899"/>
    <cellStyle name="SAPBEXunassignedItem 64 6" xfId="7900"/>
    <cellStyle name="SAPBEXunassignedItem 65" xfId="7901"/>
    <cellStyle name="SAPBEXunassignedItem 65 2" xfId="7902"/>
    <cellStyle name="SAPBEXunassignedItem 65 3" xfId="7903"/>
    <cellStyle name="SAPBEXunassignedItem 65 4" xfId="7904"/>
    <cellStyle name="SAPBEXunassignedItem 65 5" xfId="7905"/>
    <cellStyle name="SAPBEXunassignedItem 65 6" xfId="7906"/>
    <cellStyle name="SAPBEXunassignedItem 66" xfId="7907"/>
    <cellStyle name="SAPBEXunassignedItem 66 2" xfId="7908"/>
    <cellStyle name="SAPBEXunassignedItem 66 3" xfId="7909"/>
    <cellStyle name="SAPBEXunassignedItem 66 4" xfId="7910"/>
    <cellStyle name="SAPBEXunassignedItem 66 5" xfId="7911"/>
    <cellStyle name="SAPBEXunassignedItem 66 6" xfId="7912"/>
    <cellStyle name="SAPBEXunassignedItem 67" xfId="7913"/>
    <cellStyle name="SAPBEXunassignedItem 68" xfId="7914"/>
    <cellStyle name="SAPBEXunassignedItem 69" xfId="7915"/>
    <cellStyle name="SAPBEXunassignedItem 7" xfId="7916"/>
    <cellStyle name="SAPBEXunassignedItem 7 2" xfId="7917"/>
    <cellStyle name="SAPBEXunassignedItem 7 3" xfId="7918"/>
    <cellStyle name="SAPBEXunassignedItem 7 4" xfId="7919"/>
    <cellStyle name="SAPBEXunassignedItem 7 5" xfId="7920"/>
    <cellStyle name="SAPBEXunassignedItem 7 6" xfId="7921"/>
    <cellStyle name="SAPBEXunassignedItem 70" xfId="7922"/>
    <cellStyle name="SAPBEXunassignedItem 71" xfId="7923"/>
    <cellStyle name="SAPBEXunassignedItem 72" xfId="7924"/>
    <cellStyle name="SAPBEXunassignedItem 73" xfId="7925"/>
    <cellStyle name="SAPBEXunassignedItem 74" xfId="7926"/>
    <cellStyle name="SAPBEXunassignedItem 75" xfId="7927"/>
    <cellStyle name="SAPBEXunassignedItem 76" xfId="7928"/>
    <cellStyle name="SAPBEXunassignedItem 77" xfId="7929"/>
    <cellStyle name="SAPBEXunassignedItem 78" xfId="7930"/>
    <cellStyle name="SAPBEXunassignedItem 79" xfId="7931"/>
    <cellStyle name="SAPBEXunassignedItem 8" xfId="7932"/>
    <cellStyle name="SAPBEXunassignedItem 8 2" xfId="7933"/>
    <cellStyle name="SAPBEXunassignedItem 8 3" xfId="7934"/>
    <cellStyle name="SAPBEXunassignedItem 8 4" xfId="7935"/>
    <cellStyle name="SAPBEXunassignedItem 8 5" xfId="7936"/>
    <cellStyle name="SAPBEXunassignedItem 8 6" xfId="7937"/>
    <cellStyle name="SAPBEXunassignedItem 80" xfId="7938"/>
    <cellStyle name="SAPBEXunassignedItem 81" xfId="7939"/>
    <cellStyle name="SAPBEXunassignedItem 82" xfId="7940"/>
    <cellStyle name="SAPBEXunassignedItem 83" xfId="7941"/>
    <cellStyle name="SAPBEXunassignedItem 84" xfId="7942"/>
    <cellStyle name="SAPBEXunassignedItem 85" xfId="7943"/>
    <cellStyle name="SAPBEXunassignedItem 86" xfId="7944"/>
    <cellStyle name="SAPBEXunassignedItem 87" xfId="7945"/>
    <cellStyle name="SAPBEXunassignedItem 88" xfId="7946"/>
    <cellStyle name="SAPBEXunassignedItem 89" xfId="7947"/>
    <cellStyle name="SAPBEXunassignedItem 9" xfId="7948"/>
    <cellStyle name="SAPBEXunassignedItem 9 2" xfId="7949"/>
    <cellStyle name="SAPBEXunassignedItem 9 3" xfId="7950"/>
    <cellStyle name="SAPBEXunassignedItem 9 4" xfId="7951"/>
    <cellStyle name="SAPBEXunassignedItem 9 5" xfId="7952"/>
    <cellStyle name="SAPBEXunassignedItem 9 6" xfId="7953"/>
    <cellStyle name="SAPBEXunassignedItem 90" xfId="7954"/>
    <cellStyle name="SAPBEXunassignedItem 91" xfId="7955"/>
    <cellStyle name="SAPBEXunassignedItem 92" xfId="7956"/>
    <cellStyle name="SAPBEXunassignedItem 93" xfId="7957"/>
    <cellStyle name="SAPBEXunassignedItem 94" xfId="7958"/>
    <cellStyle name="SAPBEXunassignedItem 95" xfId="7959"/>
    <cellStyle name="SAPBEXunassignedItem 96" xfId="7960"/>
    <cellStyle name="SAPBEXunassignedItem 97" xfId="7961"/>
    <cellStyle name="SAPBEXunassignedItem 98" xfId="7962"/>
    <cellStyle name="SAPBEXunassignedItem 99" xfId="7963"/>
    <cellStyle name="SAPBEXunassignedItem_(A-7) IS-Inputs" xfId="7964"/>
    <cellStyle name="SAPBEXundefined" xfId="7965"/>
    <cellStyle name="SAPBEXundefined 10" xfId="7966"/>
    <cellStyle name="SAPBEXundefined 11" xfId="7967"/>
    <cellStyle name="SAPBEXundefined 12" xfId="7968"/>
    <cellStyle name="SAPBEXundefined 13" xfId="7969"/>
    <cellStyle name="SAPBEXundefined 14" xfId="7970"/>
    <cellStyle name="SAPBEXundefined 15" xfId="7971"/>
    <cellStyle name="SAPBEXundefined 16" xfId="7972"/>
    <cellStyle name="SAPBEXundefined 17" xfId="7973"/>
    <cellStyle name="SAPBEXundefined 18" xfId="7974"/>
    <cellStyle name="SAPBEXundefined 19" xfId="7975"/>
    <cellStyle name="SAPBEXundefined 2" xfId="7976"/>
    <cellStyle name="SAPBEXundefined 2 2" xfId="7977"/>
    <cellStyle name="SAPBEXundefined 20" xfId="7978"/>
    <cellStyle name="SAPBEXundefined 21" xfId="7979"/>
    <cellStyle name="SAPBEXundefined 22" xfId="7980"/>
    <cellStyle name="SAPBEXundefined 23" xfId="7981"/>
    <cellStyle name="SAPBEXundefined 24" xfId="7982"/>
    <cellStyle name="SAPBEXundefined 25" xfId="7983"/>
    <cellStyle name="SAPBEXundefined 26" xfId="7984"/>
    <cellStyle name="SAPBEXundefined 27" xfId="7985"/>
    <cellStyle name="SAPBEXundefined 28" xfId="7986"/>
    <cellStyle name="SAPBEXundefined 29" xfId="7987"/>
    <cellStyle name="SAPBEXundefined 3" xfId="7988"/>
    <cellStyle name="SAPBEXundefined 30" xfId="7989"/>
    <cellStyle name="SAPBEXundefined 31" xfId="7990"/>
    <cellStyle name="SAPBEXundefined 32" xfId="7991"/>
    <cellStyle name="SAPBEXundefined 33" xfId="7992"/>
    <cellStyle name="SAPBEXundefined 34" xfId="7993"/>
    <cellStyle name="SAPBEXundefined 35" xfId="7994"/>
    <cellStyle name="SAPBEXundefined 36" xfId="7995"/>
    <cellStyle name="SAPBEXundefined 37" xfId="7996"/>
    <cellStyle name="SAPBEXundefined 38" xfId="7997"/>
    <cellStyle name="SAPBEXundefined 39" xfId="7998"/>
    <cellStyle name="SAPBEXundefined 4" xfId="7999"/>
    <cellStyle name="SAPBEXundefined 40" xfId="8000"/>
    <cellStyle name="SAPBEXundefined 41" xfId="8001"/>
    <cellStyle name="SAPBEXundefined 42" xfId="8002"/>
    <cellStyle name="SAPBEXundefined 43" xfId="8003"/>
    <cellStyle name="SAPBEXundefined 44" xfId="8004"/>
    <cellStyle name="SAPBEXundefined 45" xfId="8005"/>
    <cellStyle name="SAPBEXundefined 46" xfId="8006"/>
    <cellStyle name="SAPBEXundefined 47" xfId="8007"/>
    <cellStyle name="SAPBEXundefined 5" xfId="8008"/>
    <cellStyle name="SAPBEXundefined 6" xfId="8009"/>
    <cellStyle name="SAPBEXundefined 7" xfId="8010"/>
    <cellStyle name="SAPBEXundefined 8" xfId="8011"/>
    <cellStyle name="SAPBEXundefined 9" xfId="8012"/>
    <cellStyle name="Sheet Title" xfId="8013"/>
    <cellStyle name="SubHeading" xfId="8014"/>
    <cellStyle name="SubsidTitle" xfId="8015"/>
    <cellStyle name="Table Data" xfId="8016"/>
    <cellStyle name="Table Headings Bold" xfId="8017"/>
    <cellStyle name="Title" xfId="8246" builtinId="15" customBuiltin="1"/>
    <cellStyle name="Title 10" xfId="8018"/>
    <cellStyle name="Title 11" xfId="8019"/>
    <cellStyle name="Title 12" xfId="8020"/>
    <cellStyle name="Title 13" xfId="8021"/>
    <cellStyle name="Title 2" xfId="8022"/>
    <cellStyle name="Title 2 2" xfId="8023"/>
    <cellStyle name="Title 2 2 2" xfId="8024"/>
    <cellStyle name="Title 2 2 3" xfId="8025"/>
    <cellStyle name="Title 2 2 4" xfId="8026"/>
    <cellStyle name="Title 2 2 5" xfId="8027"/>
    <cellStyle name="Title 2 2 6" xfId="8028"/>
    <cellStyle name="Title 2 2 7" xfId="8029"/>
    <cellStyle name="Title 2 2 8" xfId="8030"/>
    <cellStyle name="Title 2 3" xfId="8031"/>
    <cellStyle name="Title 2 4" xfId="8032"/>
    <cellStyle name="Title 2 5" xfId="8033"/>
    <cellStyle name="Title 3" xfId="8034"/>
    <cellStyle name="Title 3 2" xfId="8035"/>
    <cellStyle name="Title 3 3" xfId="8036"/>
    <cellStyle name="Title 3 4" xfId="8037"/>
    <cellStyle name="Title 3 5" xfId="8038"/>
    <cellStyle name="Title 3 6" xfId="8039"/>
    <cellStyle name="Title 3 7" xfId="8040"/>
    <cellStyle name="Title 3 8" xfId="8041"/>
    <cellStyle name="Title 4" xfId="8042"/>
    <cellStyle name="Title 4 2" xfId="8043"/>
    <cellStyle name="Title 4 3" xfId="8044"/>
    <cellStyle name="Title 4 4" xfId="8045"/>
    <cellStyle name="Title 4 5" xfId="8046"/>
    <cellStyle name="Title 4 6" xfId="8047"/>
    <cellStyle name="Title 4 7" xfId="8048"/>
    <cellStyle name="Title 4 8" xfId="8049"/>
    <cellStyle name="Title 5" xfId="8050"/>
    <cellStyle name="Title 5 2" xfId="8051"/>
    <cellStyle name="Title 5 3" xfId="8052"/>
    <cellStyle name="Title 5 4" xfId="8053"/>
    <cellStyle name="Title 5 5" xfId="8054"/>
    <cellStyle name="Title 5 6" xfId="8055"/>
    <cellStyle name="Title 5 7" xfId="8056"/>
    <cellStyle name="Title 5 8" xfId="8057"/>
    <cellStyle name="Title 6" xfId="8058"/>
    <cellStyle name="Title 7" xfId="8059"/>
    <cellStyle name="Title 8" xfId="8060"/>
    <cellStyle name="Title 9" xfId="8061"/>
    <cellStyle name="Total" xfId="25" builtinId="25" customBuiltin="1"/>
    <cellStyle name="Total 10" xfId="8062"/>
    <cellStyle name="Total 10 2" xfId="8063"/>
    <cellStyle name="Total 10 3" xfId="8064"/>
    <cellStyle name="Total 11" xfId="8065"/>
    <cellStyle name="Total 12" xfId="8301"/>
    <cellStyle name="Total 13" xfId="8932"/>
    <cellStyle name="Total 2" xfId="8066"/>
    <cellStyle name="Total 2 2" xfId="8067"/>
    <cellStyle name="Total 2 2 2" xfId="8068"/>
    <cellStyle name="Total 2 3" xfId="8069"/>
    <cellStyle name="Total 2 3 2" xfId="8070"/>
    <cellStyle name="Total 2 4" xfId="8071"/>
    <cellStyle name="Total 2 4 2" xfId="8072"/>
    <cellStyle name="Total 2 5" xfId="8073"/>
    <cellStyle name="Total 3" xfId="8074"/>
    <cellStyle name="Total 3 2" xfId="8075"/>
    <cellStyle name="Total 3 2 2" xfId="8076"/>
    <cellStyle name="Total 3 3" xfId="8077"/>
    <cellStyle name="Total 3 4" xfId="8078"/>
    <cellStyle name="Total 3 5" xfId="8079"/>
    <cellStyle name="Total 4" xfId="8080"/>
    <cellStyle name="Total 4 2" xfId="8081"/>
    <cellStyle name="Total 4 3" xfId="8082"/>
    <cellStyle name="Total 4 4" xfId="8083"/>
    <cellStyle name="Total 4 5" xfId="8084"/>
    <cellStyle name="Total 5" xfId="8085"/>
    <cellStyle name="Total 5 2" xfId="8086"/>
    <cellStyle name="Total 5 3" xfId="8087"/>
    <cellStyle name="Total 5 4" xfId="8088"/>
    <cellStyle name="Total 6" xfId="8089"/>
    <cellStyle name="Total 6 2" xfId="8090"/>
    <cellStyle name="Total 6 3" xfId="8091"/>
    <cellStyle name="Total 6 4" xfId="8092"/>
    <cellStyle name="Total 7" xfId="8093"/>
    <cellStyle name="Total 7 2" xfId="8094"/>
    <cellStyle name="Total 7 3" xfId="8095"/>
    <cellStyle name="Total 7 4" xfId="8096"/>
    <cellStyle name="Total 8" xfId="8097"/>
    <cellStyle name="Total 8 2" xfId="8098"/>
    <cellStyle name="Total 8 3" xfId="8099"/>
    <cellStyle name="Total 9" xfId="8100"/>
    <cellStyle name="Total 9 2" xfId="8101"/>
    <cellStyle name="Total 9 3" xfId="8102"/>
    <cellStyle name="Totals" xfId="8103"/>
    <cellStyle name="Totals [0]" xfId="8104"/>
    <cellStyle name="Totals [2]" xfId="8105"/>
    <cellStyle name="Warning Text" xfId="8257" builtinId="11" customBuiltin="1"/>
    <cellStyle name="Warning Text 10" xfId="8106"/>
    <cellStyle name="Warning Text 10 2" xfId="8107"/>
    <cellStyle name="Warning Text 10 3" xfId="8108"/>
    <cellStyle name="Warning Text 10 4" xfId="8109"/>
    <cellStyle name="Warning Text 10 5" xfId="8110"/>
    <cellStyle name="Warning Text 10 6" xfId="8111"/>
    <cellStyle name="Warning Text 10 7" xfId="8112"/>
    <cellStyle name="Warning Text 10 8" xfId="8113"/>
    <cellStyle name="Warning Text 11" xfId="8114"/>
    <cellStyle name="Warning Text 11 2" xfId="8115"/>
    <cellStyle name="Warning Text 12" xfId="8116"/>
    <cellStyle name="Warning Text 13" xfId="8117"/>
    <cellStyle name="Warning Text 14" xfId="8118"/>
    <cellStyle name="Warning Text 15" xfId="8119"/>
    <cellStyle name="Warning Text 16" xfId="8120"/>
    <cellStyle name="Warning Text 17" xfId="8121"/>
    <cellStyle name="Warning Text 18" xfId="8122"/>
    <cellStyle name="Warning Text 19" xfId="8123"/>
    <cellStyle name="Warning Text 2" xfId="8124"/>
    <cellStyle name="Warning Text 2 10" xfId="8125"/>
    <cellStyle name="Warning Text 2 11" xfId="8905"/>
    <cellStyle name="Warning Text 2 2" xfId="8126"/>
    <cellStyle name="Warning Text 2 2 2" xfId="8127"/>
    <cellStyle name="Warning Text 2 2 3" xfId="8128"/>
    <cellStyle name="Warning Text 2 2 4" xfId="8129"/>
    <cellStyle name="Warning Text 2 2 5" xfId="8130"/>
    <cellStyle name="Warning Text 2 2 6" xfId="8131"/>
    <cellStyle name="Warning Text 2 2 7" xfId="8132"/>
    <cellStyle name="Warning Text 2 2 8" xfId="8133"/>
    <cellStyle name="Warning Text 2 3" xfId="8134"/>
    <cellStyle name="Warning Text 2 4" xfId="8135"/>
    <cellStyle name="Warning Text 2 4 2" xfId="8136"/>
    <cellStyle name="Warning Text 2 5" xfId="8137"/>
    <cellStyle name="Warning Text 2 6" xfId="8138"/>
    <cellStyle name="Warning Text 2 7" xfId="8139"/>
    <cellStyle name="Warning Text 2 8" xfId="8140"/>
    <cellStyle name="Warning Text 2 9" xfId="8141"/>
    <cellStyle name="Warning Text 20" xfId="8142"/>
    <cellStyle name="Warning Text 21" xfId="8143"/>
    <cellStyle name="Warning Text 22" xfId="8144"/>
    <cellStyle name="Warning Text 23" xfId="8145"/>
    <cellStyle name="Warning Text 24" xfId="8146"/>
    <cellStyle name="Warning Text 24 2" xfId="8147"/>
    <cellStyle name="Warning Text 25" xfId="8148"/>
    <cellStyle name="Warning Text 26" xfId="8925"/>
    <cellStyle name="Warning Text 3" xfId="8149"/>
    <cellStyle name="Warning Text 3 2" xfId="8150"/>
    <cellStyle name="Warning Text 3 2 2" xfId="8151"/>
    <cellStyle name="Warning Text 3 2 3" xfId="8152"/>
    <cellStyle name="Warning Text 3 2 4" xfId="8153"/>
    <cellStyle name="Warning Text 3 2 5" xfId="8154"/>
    <cellStyle name="Warning Text 3 2 6" xfId="8155"/>
    <cellStyle name="Warning Text 3 2 7" xfId="8156"/>
    <cellStyle name="Warning Text 3 2 8" xfId="8157"/>
    <cellStyle name="Warning Text 3 3" xfId="8158"/>
    <cellStyle name="Warning Text 3 4" xfId="8159"/>
    <cellStyle name="Warning Text 3 5" xfId="8160"/>
    <cellStyle name="Warning Text 3 6" xfId="8161"/>
    <cellStyle name="Warning Text 3 7" xfId="8162"/>
    <cellStyle name="Warning Text 3 8" xfId="8163"/>
    <cellStyle name="Warning Text 3 9" xfId="8164"/>
    <cellStyle name="Warning Text 4" xfId="8165"/>
    <cellStyle name="Warning Text 4 2" xfId="8166"/>
    <cellStyle name="Warning Text 4 2 2" xfId="8167"/>
    <cellStyle name="Warning Text 4 2 3" xfId="8168"/>
    <cellStyle name="Warning Text 4 2 4" xfId="8169"/>
    <cellStyle name="Warning Text 4 2 5" xfId="8170"/>
    <cellStyle name="Warning Text 4 2 6" xfId="8171"/>
    <cellStyle name="Warning Text 4 2 7" xfId="8172"/>
    <cellStyle name="Warning Text 4 2 8" xfId="8173"/>
    <cellStyle name="Warning Text 4 3" xfId="8174"/>
    <cellStyle name="Warning Text 4 4" xfId="8175"/>
    <cellStyle name="Warning Text 4 5" xfId="8176"/>
    <cellStyle name="Warning Text 4 6" xfId="8177"/>
    <cellStyle name="Warning Text 4 7" xfId="8178"/>
    <cellStyle name="Warning Text 4 8" xfId="8179"/>
    <cellStyle name="Warning Text 4 9" xfId="8180"/>
    <cellStyle name="Warning Text 5" xfId="8181"/>
    <cellStyle name="Warning Text 5 2" xfId="8182"/>
    <cellStyle name="Warning Text 5 2 2" xfId="8183"/>
    <cellStyle name="Warning Text 5 2 3" xfId="8184"/>
    <cellStyle name="Warning Text 5 2 4" xfId="8185"/>
    <cellStyle name="Warning Text 5 2 5" xfId="8186"/>
    <cellStyle name="Warning Text 5 2 6" xfId="8187"/>
    <cellStyle name="Warning Text 5 2 7" xfId="8188"/>
    <cellStyle name="Warning Text 5 2 8" xfId="8189"/>
    <cellStyle name="Warning Text 5 3" xfId="8190"/>
    <cellStyle name="Warning Text 5 4" xfId="8191"/>
    <cellStyle name="Warning Text 5 5" xfId="8192"/>
    <cellStyle name="Warning Text 5 6" xfId="8193"/>
    <cellStyle name="Warning Text 5 7" xfId="8194"/>
    <cellStyle name="Warning Text 5 8" xfId="8195"/>
    <cellStyle name="Warning Text 5 9" xfId="8196"/>
    <cellStyle name="Warning Text 6" xfId="8197"/>
    <cellStyle name="Warning Text 6 2" xfId="8198"/>
    <cellStyle name="Warning Text 6 2 2" xfId="8199"/>
    <cellStyle name="Warning Text 6 2 3" xfId="8200"/>
    <cellStyle name="Warning Text 6 2 4" xfId="8201"/>
    <cellStyle name="Warning Text 6 2 5" xfId="8202"/>
    <cellStyle name="Warning Text 6 2 6" xfId="8203"/>
    <cellStyle name="Warning Text 6 2 7" xfId="8204"/>
    <cellStyle name="Warning Text 6 2 8" xfId="8205"/>
    <cellStyle name="Warning Text 6 3" xfId="8206"/>
    <cellStyle name="Warning Text 6 4" xfId="8207"/>
    <cellStyle name="Warning Text 6 5" xfId="8208"/>
    <cellStyle name="Warning Text 6 6" xfId="8209"/>
    <cellStyle name="Warning Text 6 7" xfId="8210"/>
    <cellStyle name="Warning Text 6 8" xfId="8211"/>
    <cellStyle name="Warning Text 6 9" xfId="8212"/>
    <cellStyle name="Warning Text 7" xfId="8213"/>
    <cellStyle name="Warning Text 7 2" xfId="8214"/>
    <cellStyle name="Warning Text 7 2 2" xfId="8215"/>
    <cellStyle name="Warning Text 7 2 3" xfId="8216"/>
    <cellStyle name="Warning Text 7 2 4" xfId="8217"/>
    <cellStyle name="Warning Text 7 2 5" xfId="8218"/>
    <cellStyle name="Warning Text 7 2 6" xfId="8219"/>
    <cellStyle name="Warning Text 7 2 7" xfId="8220"/>
    <cellStyle name="Warning Text 7 2 8" xfId="8221"/>
    <cellStyle name="Warning Text 7 3" xfId="8222"/>
    <cellStyle name="Warning Text 7 4" xfId="8223"/>
    <cellStyle name="Warning Text 7 5" xfId="8224"/>
    <cellStyle name="Warning Text 7 6" xfId="8225"/>
    <cellStyle name="Warning Text 7 7" xfId="8226"/>
    <cellStyle name="Warning Text 7 8" xfId="8227"/>
    <cellStyle name="Warning Text 7 9" xfId="8228"/>
    <cellStyle name="Warning Text 8" xfId="8229"/>
    <cellStyle name="Warning Text 8 2" xfId="8230"/>
    <cellStyle name="Warning Text 8 3" xfId="8231"/>
    <cellStyle name="Warning Text 8 4" xfId="8232"/>
    <cellStyle name="Warning Text 8 5" xfId="8233"/>
    <cellStyle name="Warning Text 8 6" xfId="8234"/>
    <cellStyle name="Warning Text 8 7" xfId="8235"/>
    <cellStyle name="Warning Text 8 8" xfId="8236"/>
    <cellStyle name="Warning Text 9" xfId="8237"/>
    <cellStyle name="Warning Text 9 2" xfId="8238"/>
    <cellStyle name="Warning Text 9 3" xfId="8239"/>
    <cellStyle name="Warning Text 9 4" xfId="8240"/>
    <cellStyle name="Warning Text 9 5" xfId="8241"/>
    <cellStyle name="Warning Text 9 6" xfId="8242"/>
    <cellStyle name="Warning Text 9 7" xfId="8243"/>
    <cellStyle name="Warning Text 9 8" xfId="8244"/>
    <cellStyle name="Year" xfId="824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B1F0A6"/>
      <color rgb="FF6ED749"/>
      <color rgb="FFFFFF99"/>
      <color rgb="FF36EA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GL%20Replacement\Essbase\Essbase%20Reports\2006-06\Prelim%20Income%20Statements%20-%20June%202006_0713_11%20A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GLMonthlyFiles/2007-09/Balance%20Sheet%20-%20Sept%20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ac\Local%20Settings\Temporary%20Internet%20Files\OLK12\SEC%20Balance%20Sheet%20-%20Final%20Year%202004%20(022105_lsd)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 vs Budget"/>
      <sheetName val="2006 vs 2005"/>
      <sheetName val="Summary vs Budget"/>
      <sheetName val="Summary vs 2005"/>
      <sheetName val="2nd Qtr vs Budget"/>
      <sheetName val="2nd Qtr vs 2005"/>
      <sheetName val="2nd Qtr vs 1st Qtr"/>
      <sheetName val="Diluted EPS"/>
      <sheetName val="Quarter Recon"/>
      <sheetName val="EPS Recon"/>
      <sheetName val="Diluted Sh March 2005"/>
      <sheetName val="Essbase Recon"/>
      <sheetName val="Raven"/>
      <sheetName val="Data"/>
      <sheetName val="Recon Essbase"/>
      <sheetName val="June 2005"/>
      <sheetName val="1st Qtr 2006"/>
      <sheetName val="3rd Qtr 2004"/>
      <sheetName val="2nd Qtr 2005"/>
      <sheetName val="3rd Qtr 2005"/>
      <sheetName val="4th Qtr 2005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>
        <row r="4">
          <cell r="G4" t="str">
            <v>Jun</v>
          </cell>
          <cell r="H4" t="str">
            <v>Jun</v>
          </cell>
          <cell r="I4" t="str">
            <v>Y-T-D(Jun)</v>
          </cell>
          <cell r="J4" t="str">
            <v>Y-T-D(Jun)</v>
          </cell>
          <cell r="Q4" t="str">
            <v>Y-T-D(Jun)</v>
          </cell>
          <cell r="R4" t="str">
            <v>Jun</v>
          </cell>
        </row>
      </sheetData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t 2007 Balance Sheet"/>
      <sheetName val="123104 vs 93004"/>
      <sheetName val="Sept07vsJune07"/>
      <sheetName val="Essbase"/>
      <sheetName val="Def'd Debits"/>
      <sheetName val="Recon to Lawson"/>
      <sheetName val="Recon to 2006"/>
      <sheetName val="ALL ACCOUNTS"/>
      <sheetName val="Util Plant"/>
      <sheetName val="Accum Depr"/>
      <sheetName val="Gas Stored"/>
      <sheetName val="Non Util Prop"/>
      <sheetName val="Inv in Subs"/>
      <sheetName val="Other Inv"/>
      <sheetName val="Cash"/>
      <sheetName val="Acct Rec"/>
      <sheetName val="Allow Uncoll Acct"/>
      <sheetName val="Accrued Rev"/>
      <sheetName val="Inv of Gas"/>
      <sheetName val="Prepaid Prop"/>
      <sheetName val="Unamt Debt Disc"/>
      <sheetName val="Def Reg and Other"/>
      <sheetName val="Comm Stock"/>
      <sheetName val="Prem on Stock"/>
      <sheetName val="Retain Earn"/>
      <sheetName val="Pref Stock"/>
      <sheetName val="Long Term Debt"/>
      <sheetName val="Acct Pay"/>
      <sheetName val="Note Pay"/>
      <sheetName val="Curr Por LT Debt"/>
      <sheetName val="Cust Depos"/>
      <sheetName val="Taxes Accrued"/>
      <sheetName val="Interest Accrued"/>
      <sheetName val="Oth Current Liab"/>
      <sheetName val="Def Taxes Inv Credit"/>
      <sheetName val="Other Liabilities"/>
    </sheetNames>
    <sheetDataSet>
      <sheetData sheetId="0" refreshError="1"/>
      <sheetData sheetId="1" refreshError="1"/>
      <sheetData sheetId="2" refreshError="1"/>
      <sheetData sheetId="3">
        <row r="6">
          <cell r="D6" t="str">
            <v>Y-T-D(Sep)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BS WORKPAPERS"/>
      <sheetName val="SEC UTILITY PLANT"/>
      <sheetName val="SEC ACCUM DEPR"/>
      <sheetName val="SEC NON-UTIL PROP"/>
      <sheetName val="SEC NON-UT DEPR &amp; AMORT"/>
      <sheetName val="SEC AIRCRAFT"/>
      <sheetName val="SEC OTHER INV"/>
      <sheetName val="SEC NW ENERGY"/>
      <sheetName val="SEC NNGFC"/>
      <sheetName val="SEC INT REC - NW ENERGY"/>
      <sheetName val="SEC INT REC - NNGFC"/>
      <sheetName val="SEC CASH"/>
      <sheetName val="SEC AR - TRADE"/>
      <sheetName val="SEC ALLOW UNCOLL ACCTS"/>
      <sheetName val="SEC ACCRUED REV"/>
      <sheetName val="SEC INVENTORIES"/>
      <sheetName val="SEC PREPAIDS"/>
      <sheetName val="SEC INC TAX ASSET"/>
      <sheetName val="SEC LOSS DERIVATIVES"/>
      <sheetName val="SEC UNAMORT LOSS DEBT RED"/>
      <sheetName val="SEC OTHER REG ASSETS"/>
      <sheetName val="SEC INVEST LIFE INS"/>
      <sheetName val="SEC OTHER ASSETS"/>
      <sheetName val="SEC COMMON STOCK"/>
      <sheetName val="SEC PREM ON COM STK"/>
      <sheetName val="SEC UNEARNED COMP"/>
      <sheetName val="SEC ACCUM COMPR INCOME"/>
      <sheetName val="SEC EARNINGS INV IN BUSINESS"/>
      <sheetName val="SEC PREFERENCE STOCK"/>
      <sheetName val="SEC PREFERRED STOCK"/>
      <sheetName val="SEC LONG-TERM DEBT"/>
      <sheetName val="SEC NOTES PAYABLE"/>
      <sheetName val="SEC ACCOUNTS PAYABLE"/>
      <sheetName val="SEC CURRENT DEBT"/>
      <sheetName val="SEC TAXES ACCRUED"/>
      <sheetName val="SEC INTEREST ACCRUED - OTHER"/>
      <sheetName val="SEC OTH CURR LIAB"/>
      <sheetName val="SEC CUSTOMER ADV"/>
      <sheetName val="SEC DEF INCOME TAX LIAB"/>
      <sheetName val="SEC DEF INVEST TAX CREDITS"/>
      <sheetName val="SEC OTHER LIAB"/>
      <sheetName val="SEC BEG RET EARN"/>
      <sheetName val="SEC NET INCOME"/>
      <sheetName val="SEC COMMON STK DIVIDENDS"/>
      <sheetName val="SEC CAPITAL STOCK EXPENSE"/>
      <sheetName val="LAW UTIL PLANT"/>
      <sheetName val="LAW ACCUM DEPR"/>
      <sheetName val="LAW GAS STORED"/>
      <sheetName val="LAW NON UTIL PROP"/>
      <sheetName val="LAW INV IN SUBS"/>
      <sheetName val="LAW OTHER INV"/>
      <sheetName val="LAW CASH"/>
      <sheetName val="LAW ACCT REC"/>
      <sheetName val="LAW ALLOW UNCOLL ACCT"/>
      <sheetName val="LAW ACCRUED REV"/>
      <sheetName val="LAW INV OF GAS"/>
      <sheetName val="LAW PREPAID PROP"/>
      <sheetName val="LAW UNAMT DEBT DISC"/>
      <sheetName val="LAW DEF REG AND OTHER"/>
      <sheetName val="FARLEY"/>
      <sheetName val="LAW COMM STOCK"/>
      <sheetName val="LAW PREM ON STOCK"/>
      <sheetName val="LAW RETAIN EARN"/>
      <sheetName val="LAW PREF STOCK"/>
      <sheetName val="LAW LONG TERM DEBT"/>
      <sheetName val="LAW ACCT PAY"/>
      <sheetName val="LAW NOTE PAY"/>
      <sheetName val="LAW CURR POR LT DEBT"/>
      <sheetName val="LAW CUST DEPOS"/>
      <sheetName val="LAW TAXES ACCRUED"/>
      <sheetName val="LAW INTEREST ACCRUED"/>
      <sheetName val="LAW DIVIDENDS DECLARED"/>
      <sheetName val="LAW OTH CURRENT LIAB"/>
      <sheetName val="LAW DEF TAXES INV CREDIT"/>
      <sheetName val="LAW OTHER LIABILITIES"/>
    </sheetNames>
    <sheetDataSet>
      <sheetData sheetId="0" refreshError="1">
        <row r="7">
          <cell r="F7">
            <v>2004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23">
          <cell r="B23">
            <v>13433580.029999999</v>
          </cell>
        </row>
      </sheetData>
      <sheetData sheetId="49" refreshError="1">
        <row r="42">
          <cell r="B42">
            <v>33963480.640000001</v>
          </cell>
        </row>
        <row r="44">
          <cell r="B44">
            <v>-5244349.6099999994</v>
          </cell>
        </row>
      </sheetData>
      <sheetData sheetId="50" refreshError="1">
        <row r="20">
          <cell r="B20">
            <v>-8517804.8300000001</v>
          </cell>
        </row>
        <row r="22">
          <cell r="B22">
            <v>5725355.6499999994</v>
          </cell>
        </row>
        <row r="24">
          <cell r="B24">
            <v>8518430.1699999999</v>
          </cell>
        </row>
        <row r="26">
          <cell r="B26">
            <v>-56356.429999999978</v>
          </cell>
        </row>
      </sheetData>
      <sheetData sheetId="51" refreshError="1">
        <row r="45">
          <cell r="B45">
            <v>6620882.8100000005</v>
          </cell>
        </row>
        <row r="47">
          <cell r="B47">
            <v>2752714.13</v>
          </cell>
        </row>
      </sheetData>
      <sheetData sheetId="52" refreshError="1">
        <row r="96">
          <cell r="B96">
            <v>2475325.4900000002</v>
          </cell>
        </row>
      </sheetData>
      <sheetData sheetId="53" refreshError="1">
        <row r="42">
          <cell r="B42">
            <v>69122705.230000019</v>
          </cell>
        </row>
      </sheetData>
      <sheetData sheetId="54" refreshError="1"/>
      <sheetData sheetId="55" refreshError="1"/>
      <sheetData sheetId="56" refreshError="1"/>
      <sheetData sheetId="57" refreshError="1"/>
      <sheetData sheetId="58" refreshError="1">
        <row r="46">
          <cell r="B46">
            <v>3299115</v>
          </cell>
        </row>
      </sheetData>
      <sheetData sheetId="59" refreshError="1">
        <row r="159">
          <cell r="B159">
            <v>64734000</v>
          </cell>
        </row>
        <row r="161">
          <cell r="B161">
            <v>-10911988.169999987</v>
          </cell>
        </row>
        <row r="163">
          <cell r="B163">
            <v>7332394</v>
          </cell>
        </row>
        <row r="165">
          <cell r="B165">
            <v>45011073.32</v>
          </cell>
        </row>
        <row r="167">
          <cell r="B167">
            <v>91755639.98999998</v>
          </cell>
        </row>
      </sheetData>
      <sheetData sheetId="60" refreshError="1"/>
      <sheetData sheetId="61" refreshError="1"/>
      <sheetData sheetId="62" refreshError="1"/>
      <sheetData sheetId="63" refreshError="1">
        <row r="23">
          <cell r="B23">
            <v>-1817780.5</v>
          </cell>
        </row>
        <row r="25">
          <cell r="B25">
            <v>-862208.77</v>
          </cell>
        </row>
      </sheetData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>
        <row r="17">
          <cell r="B17">
            <v>3058749.56</v>
          </cell>
        </row>
      </sheetData>
      <sheetData sheetId="70" refreshError="1"/>
      <sheetData sheetId="71" refreshError="1"/>
      <sheetData sheetId="72" refreshError="1">
        <row r="15">
          <cell r="B15">
            <v>5.8207660913467407E-10</v>
          </cell>
        </row>
      </sheetData>
      <sheetData sheetId="73" refreshError="1"/>
      <sheetData sheetId="74" refreshError="1">
        <row r="34">
          <cell r="B34">
            <v>210359956.91999999</v>
          </cell>
        </row>
      </sheetData>
      <sheetData sheetId="75" refreshError="1">
        <row r="76">
          <cell r="B76">
            <v>1529272.67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44"/>
  <sheetViews>
    <sheetView workbookViewId="0">
      <selection activeCell="E36" sqref="E36"/>
    </sheetView>
  </sheetViews>
  <sheetFormatPr defaultColWidth="10.28515625" defaultRowHeight="12.75" x14ac:dyDescent="0.2"/>
  <cols>
    <col min="1" max="1" width="4.7109375" style="1" customWidth="1"/>
    <col min="2" max="2" width="61.7109375" style="1" customWidth="1"/>
    <col min="3" max="3" width="13.7109375" style="2" customWidth="1"/>
    <col min="4" max="4" width="5.7109375" style="2" customWidth="1"/>
    <col min="5" max="5" width="13.7109375" style="2" customWidth="1"/>
    <col min="6" max="6" width="16.7109375" style="2" customWidth="1"/>
    <col min="7" max="11" width="10.28515625" style="2" customWidth="1"/>
    <col min="12" max="12" width="18.5703125" style="2" customWidth="1"/>
    <col min="13" max="16384" width="10.28515625" style="2"/>
  </cols>
  <sheetData>
    <row r="1" spans="1:5" x14ac:dyDescent="0.2">
      <c r="A1" s="1" t="s">
        <v>0</v>
      </c>
      <c r="E1" s="1" t="s">
        <v>1</v>
      </c>
    </row>
    <row r="2" spans="1:5" x14ac:dyDescent="0.2">
      <c r="A2" s="4" t="s">
        <v>328</v>
      </c>
    </row>
    <row r="3" spans="1:5" x14ac:dyDescent="0.2">
      <c r="A3" s="4" t="str">
        <f>+'Page 1'!A3</f>
        <v>Twelve Months Ended December 31, 2018</v>
      </c>
    </row>
    <row r="6" spans="1:5" x14ac:dyDescent="0.2">
      <c r="C6" s="7" t="s">
        <v>10</v>
      </c>
      <c r="D6" s="7"/>
      <c r="E6" s="7" t="s">
        <v>11</v>
      </c>
    </row>
    <row r="7" spans="1:5" x14ac:dyDescent="0.2">
      <c r="A7" s="1" t="s">
        <v>17</v>
      </c>
      <c r="C7" s="7" t="s">
        <v>14</v>
      </c>
      <c r="D7" s="7"/>
      <c r="E7" s="7" t="s">
        <v>14</v>
      </c>
    </row>
    <row r="8" spans="1:5" x14ac:dyDescent="0.2">
      <c r="A8" s="13" t="s">
        <v>46</v>
      </c>
      <c r="C8" s="9" t="s">
        <v>18</v>
      </c>
      <c r="D8" s="7"/>
      <c r="E8" s="9" t="s">
        <v>18</v>
      </c>
    </row>
    <row r="9" spans="1:5" x14ac:dyDescent="0.2">
      <c r="C9" s="7" t="s">
        <v>76</v>
      </c>
      <c r="D9" s="7"/>
      <c r="E9" s="7" t="s">
        <v>77</v>
      </c>
    </row>
    <row r="11" spans="1:5" x14ac:dyDescent="0.2">
      <c r="B11" s="1" t="s">
        <v>101</v>
      </c>
      <c r="C11" s="21"/>
      <c r="E11" s="21"/>
    </row>
    <row r="12" spans="1:5" x14ac:dyDescent="0.2">
      <c r="A12" s="1">
        <v>1</v>
      </c>
      <c r="B12" s="1" t="s">
        <v>104</v>
      </c>
      <c r="C12" s="20"/>
      <c r="D12" s="8"/>
      <c r="E12" s="8">
        <f>'Page 1'!C10</f>
        <v>64503220.928817198</v>
      </c>
    </row>
    <row r="13" spans="1:5" x14ac:dyDescent="0.2">
      <c r="A13" s="1">
        <v>2</v>
      </c>
      <c r="B13" s="1" t="s">
        <v>111</v>
      </c>
      <c r="C13" s="11"/>
      <c r="D13" s="5"/>
      <c r="E13" s="6">
        <f>'Page 1'!C11</f>
        <v>2428042.5099999998</v>
      </c>
    </row>
    <row r="14" spans="1:5" x14ac:dyDescent="0.2">
      <c r="A14" s="1">
        <v>3</v>
      </c>
      <c r="B14" s="1" t="s">
        <v>115</v>
      </c>
      <c r="C14" s="12"/>
      <c r="D14" s="5"/>
      <c r="E14" s="15">
        <f>'Page 1'!C12</f>
        <v>-3092584.0013829977</v>
      </c>
    </row>
    <row r="15" spans="1:5" x14ac:dyDescent="0.2">
      <c r="C15" s="6"/>
      <c r="D15" s="19"/>
      <c r="E15" s="6"/>
    </row>
    <row r="16" spans="1:5" x14ac:dyDescent="0.2">
      <c r="A16" s="1">
        <v>4</v>
      </c>
      <c r="B16" s="1" t="s">
        <v>129</v>
      </c>
      <c r="C16" s="6">
        <f>SUM(C12:C15)</f>
        <v>0</v>
      </c>
      <c r="D16" s="19"/>
      <c r="E16" s="6">
        <f>SUM(E12:E15)</f>
        <v>63838679.437434196</v>
      </c>
    </row>
    <row r="17" spans="1:5" x14ac:dyDescent="0.2">
      <c r="B17" s="14"/>
      <c r="C17" s="6"/>
      <c r="D17" s="19"/>
      <c r="E17" s="6"/>
    </row>
    <row r="18" spans="1:5" x14ac:dyDescent="0.2">
      <c r="B18" s="1" t="s">
        <v>138</v>
      </c>
      <c r="C18" s="6"/>
      <c r="D18" s="19"/>
      <c r="E18" s="6"/>
    </row>
    <row r="19" spans="1:5" x14ac:dyDescent="0.2">
      <c r="A19" s="1">
        <v>5</v>
      </c>
      <c r="B19" s="1" t="s">
        <v>143</v>
      </c>
      <c r="C19" s="11"/>
      <c r="D19" s="19"/>
      <c r="E19" s="6">
        <f>'Page 1'!C16</f>
        <v>23742025.525473412</v>
      </c>
    </row>
    <row r="20" spans="1:5" x14ac:dyDescent="0.2">
      <c r="A20" s="1">
        <v>6</v>
      </c>
      <c r="B20" s="1" t="s">
        <v>148</v>
      </c>
      <c r="C20" s="11"/>
      <c r="D20" s="19"/>
      <c r="E20" s="6">
        <f>'Page 1'!C17</f>
        <v>74083</v>
      </c>
    </row>
    <row r="21" spans="1:5" x14ac:dyDescent="0.2">
      <c r="A21" s="1">
        <v>7</v>
      </c>
      <c r="B21" s="1" t="s">
        <v>151</v>
      </c>
      <c r="C21" s="12"/>
      <c r="D21" s="19"/>
      <c r="E21" s="15">
        <f>'Page 1'!C18</f>
        <v>18224986</v>
      </c>
    </row>
    <row r="22" spans="1:5" x14ac:dyDescent="0.2">
      <c r="C22" s="6"/>
      <c r="D22" s="19"/>
      <c r="E22" s="6"/>
    </row>
    <row r="23" spans="1:5" x14ac:dyDescent="0.2">
      <c r="A23" s="1">
        <v>8</v>
      </c>
      <c r="B23" s="1" t="s">
        <v>159</v>
      </c>
      <c r="C23" s="6">
        <f>SUM(C19:C22)</f>
        <v>0</v>
      </c>
      <c r="D23" s="19"/>
      <c r="E23" s="6">
        <f>SUM(E19:E22)</f>
        <v>42041094.525473416</v>
      </c>
    </row>
    <row r="24" spans="1:5" x14ac:dyDescent="0.2">
      <c r="B24" s="3"/>
      <c r="C24" s="6"/>
      <c r="D24" s="19"/>
      <c r="E24" s="6"/>
    </row>
    <row r="25" spans="1:5" x14ac:dyDescent="0.2">
      <c r="C25" s="6"/>
      <c r="D25" s="19"/>
      <c r="E25" s="6"/>
    </row>
    <row r="26" spans="1:5" x14ac:dyDescent="0.2">
      <c r="A26" s="1">
        <v>9</v>
      </c>
      <c r="B26" s="1" t="s">
        <v>165</v>
      </c>
      <c r="C26" s="11"/>
      <c r="D26" s="19"/>
      <c r="E26" s="6">
        <f>'Page 1'!C21</f>
        <v>721647.37073933752</v>
      </c>
    </row>
    <row r="27" spans="1:5" x14ac:dyDescent="0.2">
      <c r="A27" s="1">
        <v>10</v>
      </c>
      <c r="B27" s="1" t="s">
        <v>170</v>
      </c>
      <c r="C27" s="11"/>
      <c r="D27" s="19"/>
      <c r="E27" s="6">
        <v>0</v>
      </c>
    </row>
    <row r="28" spans="1:5" x14ac:dyDescent="0.2">
      <c r="A28" s="1">
        <v>11</v>
      </c>
      <c r="B28" s="1" t="s">
        <v>167</v>
      </c>
      <c r="C28" s="11"/>
      <c r="D28" s="19"/>
      <c r="E28" s="6">
        <f>+'Page 1'!C22</f>
        <v>1752161</v>
      </c>
    </row>
    <row r="29" spans="1:5" x14ac:dyDescent="0.2">
      <c r="A29" s="1">
        <v>12</v>
      </c>
      <c r="B29" s="1" t="s">
        <v>171</v>
      </c>
      <c r="C29" s="11"/>
      <c r="D29" s="19"/>
      <c r="E29" s="6">
        <f>'Page 1'!C23</f>
        <v>3619385.9180308226</v>
      </c>
    </row>
    <row r="30" spans="1:5" x14ac:dyDescent="0.2">
      <c r="A30" s="1">
        <v>13</v>
      </c>
      <c r="B30" s="1" t="s">
        <v>174</v>
      </c>
      <c r="C30" s="12"/>
      <c r="D30" s="19"/>
      <c r="E30" s="15">
        <f>'Page 1'!C24</f>
        <v>9476819.7878487557</v>
      </c>
    </row>
    <row r="31" spans="1:5" x14ac:dyDescent="0.2">
      <c r="C31" s="6"/>
      <c r="D31" s="19"/>
      <c r="E31" s="6"/>
    </row>
    <row r="32" spans="1:5" x14ac:dyDescent="0.2">
      <c r="A32" s="1">
        <v>14</v>
      </c>
      <c r="B32" s="1" t="s">
        <v>178</v>
      </c>
      <c r="C32" s="15">
        <f>SUM(C23:C31)</f>
        <v>0</v>
      </c>
      <c r="D32" s="19"/>
      <c r="E32" s="15">
        <f>SUM(E23:E31)</f>
        <v>57611108.602092333</v>
      </c>
    </row>
    <row r="33" spans="1:5" x14ac:dyDescent="0.2">
      <c r="C33" s="5"/>
      <c r="D33" s="19"/>
      <c r="E33" s="5"/>
    </row>
    <row r="34" spans="1:5" ht="13.5" thickBot="1" x14ac:dyDescent="0.25">
      <c r="A34" s="1">
        <v>15</v>
      </c>
      <c r="B34" s="1" t="s">
        <v>184</v>
      </c>
      <c r="C34" s="16">
        <f>C16-C32</f>
        <v>0</v>
      </c>
      <c r="D34" s="22"/>
      <c r="E34" s="16">
        <f>E16-E32</f>
        <v>6227570.8353418633</v>
      </c>
    </row>
    <row r="35" spans="1:5" ht="13.5" thickTop="1" x14ac:dyDescent="0.2">
      <c r="C35" s="17"/>
      <c r="D35" s="22"/>
      <c r="E35" s="17"/>
    </row>
    <row r="36" spans="1:5" ht="13.5" thickBot="1" x14ac:dyDescent="0.25">
      <c r="A36" s="1">
        <v>16</v>
      </c>
      <c r="B36" s="1" t="s">
        <v>187</v>
      </c>
      <c r="C36" s="16" t="e">
        <f>#REF!*1000</f>
        <v>#REF!</v>
      </c>
      <c r="D36" s="22"/>
      <c r="E36" s="16">
        <f>'Page 1'!C41</f>
        <v>167428935.65949914</v>
      </c>
    </row>
    <row r="37" spans="1:5" ht="13.5" thickTop="1" x14ac:dyDescent="0.2">
      <c r="C37" s="8"/>
      <c r="D37" s="23"/>
      <c r="E37" s="8"/>
    </row>
    <row r="38" spans="1:5" x14ac:dyDescent="0.2">
      <c r="D38" s="23"/>
    </row>
    <row r="39" spans="1:5" ht="13.5" thickBot="1" x14ac:dyDescent="0.25">
      <c r="A39" s="1">
        <v>17</v>
      </c>
      <c r="B39" s="1" t="s">
        <v>192</v>
      </c>
      <c r="C39" s="18" t="e">
        <f>ROUND(+C34/C36,5)</f>
        <v>#REF!</v>
      </c>
      <c r="D39" s="23"/>
      <c r="E39" s="18">
        <f>ROUND(+E34/E36,5)</f>
        <v>3.7199999999999997E-2</v>
      </c>
    </row>
    <row r="40" spans="1:5" ht="13.5" thickTop="1" x14ac:dyDescent="0.2">
      <c r="C40" s="10"/>
      <c r="D40" s="23"/>
      <c r="E40" s="10"/>
    </row>
    <row r="41" spans="1:5" ht="13.5" thickBot="1" x14ac:dyDescent="0.25">
      <c r="A41" s="1">
        <v>18</v>
      </c>
      <c r="B41" s="1" t="s">
        <v>198</v>
      </c>
      <c r="C41" s="18" t="e">
        <f>((+C39-'Cost of Cap'!$E$12-'Cost of Cap'!$E$13-'Cost of Cap'!$E$14)/'Cost of Cap'!$C$15)</f>
        <v>#REF!</v>
      </c>
      <c r="D41" s="23"/>
      <c r="E41" s="18">
        <f>((+E39-'Cost of Cap'!$E$12-'Cost of Cap'!$E$13-'Cost of Cap'!$E$14)/'Cost of Cap'!$C$15)</f>
        <v>2.3946399293090181E-2</v>
      </c>
    </row>
    <row r="42" spans="1:5" ht="13.5" thickTop="1" x14ac:dyDescent="0.2">
      <c r="D42" s="23"/>
    </row>
    <row r="43" spans="1:5" x14ac:dyDescent="0.2">
      <c r="D43" s="23"/>
    </row>
    <row r="44" spans="1:5" x14ac:dyDescent="0.2">
      <c r="D44" s="23"/>
    </row>
  </sheetData>
  <phoneticPr fontId="0" type="noConversion"/>
  <pageMargins left="0.75" right="0.75" top="1" bottom="1" header="0.5" footer="0.5"/>
  <pageSetup scale="90" orientation="portrait" r:id="rId1"/>
  <headerFooter alignWithMargins="0">
    <oddFooter>&amp;C&amp;"Times New Roman,Regular"&amp;8&amp;F 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42"/>
  </sheetPr>
  <dimension ref="A1:H52"/>
  <sheetViews>
    <sheetView showGridLines="0" topLeftCell="A31" zoomScaleNormal="100" workbookViewId="0">
      <selection activeCell="G29" sqref="G29"/>
    </sheetView>
  </sheetViews>
  <sheetFormatPr defaultColWidth="9.140625" defaultRowHeight="12.75" x14ac:dyDescent="0.2"/>
  <cols>
    <col min="1" max="1" width="4.7109375" style="297" customWidth="1"/>
    <col min="2" max="2" width="30.7109375" style="297" customWidth="1"/>
    <col min="3" max="5" width="14.7109375" style="298" customWidth="1"/>
    <col min="6" max="6" width="12.7109375" style="298" bestFit="1" customWidth="1"/>
    <col min="7" max="7" width="16" style="301" bestFit="1" customWidth="1"/>
    <col min="8" max="16384" width="9.140625" style="298"/>
  </cols>
  <sheetData>
    <row r="1" spans="1:8" s="297" customFormat="1" x14ac:dyDescent="0.2">
      <c r="A1" s="297" t="str">
        <f>'Page 1'!A1</f>
        <v>NW Natural</v>
      </c>
      <c r="G1" s="115"/>
    </row>
    <row r="2" spans="1:8" s="297" customFormat="1" x14ac:dyDescent="0.2">
      <c r="A2" s="297" t="str">
        <f>+'Page 1'!A2</f>
        <v>Washington Annual Commission Basis Report</v>
      </c>
      <c r="G2" s="115"/>
    </row>
    <row r="3" spans="1:8" s="297" customFormat="1" x14ac:dyDescent="0.2">
      <c r="A3" s="297" t="str">
        <f>Adjustments!A4</f>
        <v>Twelve Months Ended December 31, 2018</v>
      </c>
    </row>
    <row r="4" spans="1:8" s="297" customFormat="1" x14ac:dyDescent="0.2">
      <c r="A4" s="297" t="s">
        <v>6</v>
      </c>
      <c r="D4" s="25"/>
      <c r="G4" s="115"/>
    </row>
    <row r="5" spans="1:8" s="297" customFormat="1" x14ac:dyDescent="0.2">
      <c r="G5" s="115"/>
    </row>
    <row r="6" spans="1:8" s="297" customFormat="1" x14ac:dyDescent="0.2">
      <c r="C6" s="165" t="s">
        <v>418</v>
      </c>
      <c r="D6" s="165"/>
      <c r="E6" s="165"/>
      <c r="G6" s="115"/>
    </row>
    <row r="7" spans="1:8" s="297" customFormat="1" x14ac:dyDescent="0.2">
      <c r="A7" s="297" t="s">
        <v>32</v>
      </c>
      <c r="C7" s="26" t="s">
        <v>33</v>
      </c>
      <c r="D7" s="26"/>
      <c r="E7" s="26" t="s">
        <v>34</v>
      </c>
      <c r="G7" s="115"/>
    </row>
    <row r="8" spans="1:8" s="297" customFormat="1" x14ac:dyDescent="0.2">
      <c r="A8" s="27" t="s">
        <v>54</v>
      </c>
      <c r="C8" s="28" t="s">
        <v>55</v>
      </c>
      <c r="D8" s="28" t="s">
        <v>56</v>
      </c>
      <c r="E8" s="28" t="s">
        <v>57</v>
      </c>
      <c r="G8" s="115"/>
    </row>
    <row r="9" spans="1:8" s="297" customFormat="1" x14ac:dyDescent="0.2">
      <c r="C9" s="26" t="s">
        <v>76</v>
      </c>
      <c r="D9" s="26" t="s">
        <v>77</v>
      </c>
      <c r="E9" s="26" t="s">
        <v>78</v>
      </c>
      <c r="G9" s="301"/>
    </row>
    <row r="10" spans="1:8" x14ac:dyDescent="0.2">
      <c r="B10" s="27" t="s">
        <v>88</v>
      </c>
      <c r="C10" s="29"/>
      <c r="D10" s="29"/>
      <c r="E10" s="29"/>
      <c r="G10" s="496" t="s">
        <v>418</v>
      </c>
      <c r="H10" s="225"/>
    </row>
    <row r="11" spans="1:8" x14ac:dyDescent="0.2">
      <c r="C11" s="31"/>
      <c r="D11" s="301"/>
      <c r="E11" s="301"/>
      <c r="F11" s="301"/>
      <c r="G11" s="497"/>
      <c r="H11" s="225"/>
    </row>
    <row r="12" spans="1:8" x14ac:dyDescent="0.2">
      <c r="A12" s="297">
        <v>1</v>
      </c>
      <c r="B12" s="297" t="s">
        <v>107</v>
      </c>
      <c r="C12" s="132">
        <f>G12/$G$17</f>
        <v>0.4890520702861032</v>
      </c>
      <c r="D12" s="274">
        <v>5.1299999999999998E-2</v>
      </c>
      <c r="E12" s="274">
        <f>ROUND((+C12*D12),4)</f>
        <v>2.5100000000000001E-2</v>
      </c>
      <c r="F12" s="225"/>
      <c r="G12" s="498">
        <v>776575000</v>
      </c>
      <c r="H12" s="225"/>
    </row>
    <row r="13" spans="1:8" x14ac:dyDescent="0.2">
      <c r="A13" s="297">
        <f>A12+1</f>
        <v>2</v>
      </c>
      <c r="B13" s="297" t="s">
        <v>112</v>
      </c>
      <c r="C13" s="132">
        <f t="shared" ref="C13:C15" si="0">G13/$G$17</f>
        <v>4.7412687352723214E-2</v>
      </c>
      <c r="D13" s="274">
        <v>2.1100000000000001E-2</v>
      </c>
      <c r="E13" s="274">
        <f>ROUND((+C13*D13),4)</f>
        <v>1E-3</v>
      </c>
      <c r="F13" s="225"/>
      <c r="G13" s="498">
        <v>75287499.875833333</v>
      </c>
      <c r="H13" s="225"/>
    </row>
    <row r="14" spans="1:8" x14ac:dyDescent="0.2">
      <c r="A14" s="297">
        <f>A13+1</f>
        <v>3</v>
      </c>
      <c r="B14" s="297" t="s">
        <v>118</v>
      </c>
      <c r="C14" s="132">
        <f t="shared" si="0"/>
        <v>0</v>
      </c>
      <c r="D14" s="274">
        <v>0</v>
      </c>
      <c r="E14" s="274">
        <f>ROUND((+C14*D14),4)</f>
        <v>0</v>
      </c>
      <c r="F14" s="225"/>
      <c r="H14" s="225"/>
    </row>
    <row r="15" spans="1:8" x14ac:dyDescent="0.2">
      <c r="A15" s="297">
        <f>A14+1</f>
        <v>4</v>
      </c>
      <c r="B15" s="297" t="s">
        <v>124</v>
      </c>
      <c r="C15" s="132">
        <f t="shared" si="0"/>
        <v>0.46353524236117366</v>
      </c>
      <c r="D15" s="274">
        <v>0.10099999999999999</v>
      </c>
      <c r="E15" s="274">
        <f>ROUND((+C15*D15),4)</f>
        <v>4.6800000000000001E-2</v>
      </c>
      <c r="F15" s="225"/>
      <c r="G15" s="499">
        <v>736056348</v>
      </c>
      <c r="H15" s="225"/>
    </row>
    <row r="16" spans="1:8" x14ac:dyDescent="0.2">
      <c r="C16" s="132"/>
      <c r="D16" s="275"/>
      <c r="E16" s="312"/>
      <c r="F16" s="301"/>
      <c r="H16" s="301"/>
    </row>
    <row r="17" spans="1:8" ht="13.5" thickBot="1" x14ac:dyDescent="0.25">
      <c r="A17" s="297">
        <f>A15+1</f>
        <v>5</v>
      </c>
      <c r="B17" s="297" t="s">
        <v>134</v>
      </c>
      <c r="C17" s="276">
        <f>SUM(C12:C16)</f>
        <v>1</v>
      </c>
      <c r="D17" s="275"/>
      <c r="E17" s="276">
        <f>SUM(E12:E16)</f>
        <v>7.2900000000000006E-2</v>
      </c>
      <c r="F17" s="301"/>
      <c r="G17" s="310">
        <f>SUM(G12:G15)</f>
        <v>1587918847.8758333</v>
      </c>
      <c r="H17" s="301"/>
    </row>
    <row r="18" spans="1:8" ht="13.5" thickTop="1" x14ac:dyDescent="0.2">
      <c r="D18" s="223"/>
      <c r="E18" s="162"/>
      <c r="F18" s="301"/>
      <c r="H18" s="301"/>
    </row>
    <row r="19" spans="1:8" x14ac:dyDescent="0.2">
      <c r="B19" s="27" t="s">
        <v>146</v>
      </c>
      <c r="D19" s="31"/>
      <c r="E19" s="31"/>
    </row>
    <row r="20" spans="1:8" x14ac:dyDescent="0.2">
      <c r="D20" s="31"/>
      <c r="E20" s="31"/>
      <c r="F20" s="32"/>
    </row>
    <row r="21" spans="1:8" x14ac:dyDescent="0.2">
      <c r="A21" s="297">
        <f>A17+1</f>
        <v>6</v>
      </c>
      <c r="B21" s="297" t="s">
        <v>152</v>
      </c>
      <c r="C21" s="31">
        <f>'Page 1'!E10/'Page 1'!E$13</f>
        <v>1.0207377606059271</v>
      </c>
      <c r="D21" s="39"/>
      <c r="E21" s="32"/>
    </row>
    <row r="22" spans="1:8" x14ac:dyDescent="0.2">
      <c r="A22" s="297">
        <f>A21+1</f>
        <v>7</v>
      </c>
      <c r="B22" s="297" t="s">
        <v>119</v>
      </c>
      <c r="C22" s="31">
        <f>'Page 1'!E11/'Page 1'!E$13</f>
        <v>3.6687065369762677E-2</v>
      </c>
      <c r="D22" s="39"/>
      <c r="E22" s="32"/>
    </row>
    <row r="23" spans="1:8" x14ac:dyDescent="0.2">
      <c r="A23" s="297">
        <f>A22+1</f>
        <v>8</v>
      </c>
      <c r="B23" s="297" t="s">
        <v>161</v>
      </c>
      <c r="C23" s="40">
        <f>'Page 1'!E12/'Page 1'!E$13</f>
        <v>-5.7424825975689833E-2</v>
      </c>
      <c r="E23" s="32"/>
      <c r="F23" s="32"/>
      <c r="G23" s="311"/>
    </row>
    <row r="24" spans="1:8" x14ac:dyDescent="0.2">
      <c r="C24" s="41"/>
    </row>
    <row r="25" spans="1:8" x14ac:dyDescent="0.2">
      <c r="A25" s="297">
        <f>A23+1</f>
        <v>9</v>
      </c>
      <c r="B25" s="297" t="s">
        <v>137</v>
      </c>
      <c r="C25" s="31">
        <f>C23+C22+C21</f>
        <v>1</v>
      </c>
      <c r="F25" s="299"/>
      <c r="G25" s="275"/>
    </row>
    <row r="26" spans="1:8" x14ac:dyDescent="0.2">
      <c r="C26" s="31"/>
      <c r="F26" s="299"/>
      <c r="G26" s="275"/>
    </row>
    <row r="27" spans="1:8" x14ac:dyDescent="0.2">
      <c r="A27" s="297">
        <f>A25+1</f>
        <v>10</v>
      </c>
      <c r="B27" s="297" t="s">
        <v>168</v>
      </c>
      <c r="C27" s="33">
        <f>C52</f>
        <v>1.09E-3</v>
      </c>
      <c r="F27" s="299"/>
      <c r="G27" s="162"/>
    </row>
    <row r="28" spans="1:8" x14ac:dyDescent="0.2">
      <c r="A28" s="297">
        <f>A27+1</f>
        <v>11</v>
      </c>
      <c r="B28" s="297" t="s">
        <v>173</v>
      </c>
      <c r="C28" s="119">
        <v>0</v>
      </c>
      <c r="D28" s="297"/>
    </row>
    <row r="29" spans="1:8" x14ac:dyDescent="0.2">
      <c r="A29" s="297">
        <f>A28+1</f>
        <v>12</v>
      </c>
      <c r="B29" s="297" t="s">
        <v>175</v>
      </c>
      <c r="C29" s="119">
        <v>3.8519999999999999E-2</v>
      </c>
      <c r="D29" s="297"/>
    </row>
    <row r="30" spans="1:8" x14ac:dyDescent="0.2">
      <c r="A30" s="297">
        <f>A29+1</f>
        <v>13</v>
      </c>
      <c r="B30" s="297" t="s">
        <v>176</v>
      </c>
      <c r="C30" s="247">
        <v>2E-3</v>
      </c>
      <c r="D30" s="61"/>
    </row>
    <row r="31" spans="1:8" x14ac:dyDescent="0.2">
      <c r="C31" s="41"/>
      <c r="D31" s="39"/>
    </row>
    <row r="32" spans="1:8" x14ac:dyDescent="0.2">
      <c r="A32" s="297">
        <f>A30+1</f>
        <v>14</v>
      </c>
      <c r="B32" s="297" t="s">
        <v>182</v>
      </c>
      <c r="C32" s="31">
        <f>C25-C27-C28-C30-C29</f>
        <v>0.95838999999999996</v>
      </c>
    </row>
    <row r="33" spans="1:3" x14ac:dyDescent="0.2">
      <c r="A33" s="297">
        <f>A32+1</f>
        <v>15</v>
      </c>
      <c r="B33" s="297" t="s">
        <v>185</v>
      </c>
      <c r="C33" s="40">
        <f>C51*C32</f>
        <v>0</v>
      </c>
    </row>
    <row r="35" spans="1:3" x14ac:dyDescent="0.2">
      <c r="A35" s="297">
        <f>A33+1</f>
        <v>16</v>
      </c>
      <c r="B35" s="297" t="s">
        <v>188</v>
      </c>
      <c r="C35" s="31">
        <f>C32-C33</f>
        <v>0.95838999999999996</v>
      </c>
    </row>
    <row r="36" spans="1:3" x14ac:dyDescent="0.2">
      <c r="A36" s="297">
        <f>A35+1</f>
        <v>17</v>
      </c>
      <c r="B36" s="297" t="s">
        <v>165</v>
      </c>
      <c r="C36" s="40">
        <f>C50*C35</f>
        <v>0.20126189999999999</v>
      </c>
    </row>
    <row r="37" spans="1:3" x14ac:dyDescent="0.2">
      <c r="C37" s="41"/>
    </row>
    <row r="38" spans="1:3" x14ac:dyDescent="0.2">
      <c r="A38" s="297">
        <f>A36+1</f>
        <v>18</v>
      </c>
      <c r="B38" s="297" t="s">
        <v>194</v>
      </c>
      <c r="C38" s="31">
        <f>C36+C33</f>
        <v>0.20126189999999999</v>
      </c>
    </row>
    <row r="40" spans="1:3" x14ac:dyDescent="0.2">
      <c r="A40" s="297">
        <f>A38+1</f>
        <v>19</v>
      </c>
      <c r="B40" s="297" t="s">
        <v>199</v>
      </c>
      <c r="C40" s="40">
        <f>C38+C28+C30+C27+C29</f>
        <v>0.2428719</v>
      </c>
    </row>
    <row r="41" spans="1:3" x14ac:dyDescent="0.2">
      <c r="C41" s="41"/>
    </row>
    <row r="42" spans="1:3" ht="13.5" thickBot="1" x14ac:dyDescent="0.25">
      <c r="A42" s="297">
        <f>A40+1</f>
        <v>20</v>
      </c>
      <c r="B42" s="297" t="s">
        <v>203</v>
      </c>
      <c r="C42" s="43">
        <f>C35-C36</f>
        <v>0.75712809999999997</v>
      </c>
    </row>
    <row r="43" spans="1:3" ht="13.5" thickTop="1" x14ac:dyDescent="0.2"/>
    <row r="44" spans="1:3" x14ac:dyDescent="0.2">
      <c r="C44" s="31"/>
    </row>
    <row r="45" spans="1:3" x14ac:dyDescent="0.2">
      <c r="A45" s="297">
        <f>A42+1</f>
        <v>21</v>
      </c>
      <c r="B45" s="297" t="s">
        <v>208</v>
      </c>
      <c r="C45" s="39">
        <f>ROUND(1/C42,5)</f>
        <v>1.3207800000000001</v>
      </c>
    </row>
    <row r="46" spans="1:3" x14ac:dyDescent="0.2">
      <c r="C46" s="31"/>
    </row>
    <row r="47" spans="1:3" x14ac:dyDescent="0.2">
      <c r="A47" s="297">
        <f>A45+1</f>
        <v>22</v>
      </c>
      <c r="B47" s="297" t="s">
        <v>213</v>
      </c>
      <c r="C47" s="39">
        <f>E12+E13</f>
        <v>2.6100000000000002E-2</v>
      </c>
    </row>
    <row r="49" spans="1:3" x14ac:dyDescent="0.2">
      <c r="C49" s="31"/>
    </row>
    <row r="50" spans="1:3" x14ac:dyDescent="0.2">
      <c r="A50" s="297">
        <f>A47+1</f>
        <v>23</v>
      </c>
      <c r="B50" s="25" t="s">
        <v>217</v>
      </c>
      <c r="C50" s="31">
        <v>0.21</v>
      </c>
    </row>
    <row r="51" spans="1:3" x14ac:dyDescent="0.2">
      <c r="A51" s="297">
        <f>A50+1</f>
        <v>24</v>
      </c>
      <c r="B51" s="25" t="s">
        <v>219</v>
      </c>
      <c r="C51" s="31">
        <v>0</v>
      </c>
    </row>
    <row r="52" spans="1:3" x14ac:dyDescent="0.2">
      <c r="A52" s="297">
        <f>A51+1</f>
        <v>25</v>
      </c>
      <c r="B52" s="25" t="s">
        <v>221</v>
      </c>
      <c r="C52" s="31">
        <f>'d Uncollectibles'!C49</f>
        <v>1.09E-3</v>
      </c>
    </row>
  </sheetData>
  <phoneticPr fontId="0" type="noConversion"/>
  <printOptions horizontalCentered="1"/>
  <pageMargins left="0.5" right="0.5" top="0.5" bottom="0.5" header="0.25" footer="0.25"/>
  <pageSetup scale="9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2"/>
    <pageSetUpPr fitToPage="1"/>
  </sheetPr>
  <dimension ref="A1:M125"/>
  <sheetViews>
    <sheetView showGridLines="0" zoomScale="85" zoomScaleNormal="85" workbookViewId="0">
      <selection activeCell="G29" sqref="G29"/>
    </sheetView>
  </sheetViews>
  <sheetFormatPr defaultColWidth="9.140625" defaultRowHeight="12.75" x14ac:dyDescent="0.2"/>
  <cols>
    <col min="1" max="1" width="4.7109375" style="24" customWidth="1"/>
    <col min="2" max="2" width="37.7109375" style="24" customWidth="1"/>
    <col min="3" max="13" width="15.7109375" style="30" customWidth="1"/>
    <col min="14" max="16384" width="9.140625" style="30"/>
  </cols>
  <sheetData>
    <row r="1" spans="1:13" s="24" customFormat="1" x14ac:dyDescent="0.2">
      <c r="A1" s="24" t="s">
        <v>0</v>
      </c>
      <c r="C1" s="26"/>
      <c r="D1" s="26"/>
      <c r="E1" s="26"/>
      <c r="F1" s="26"/>
      <c r="I1" s="83"/>
      <c r="L1" s="26"/>
      <c r="M1" s="26"/>
    </row>
    <row r="2" spans="1:13" s="24" customFormat="1" x14ac:dyDescent="0.2">
      <c r="A2" s="24" t="str">
        <f>+'Page 1'!A2</f>
        <v>Washington Annual Commission Basis Report</v>
      </c>
      <c r="C2" s="26"/>
      <c r="D2" s="26"/>
      <c r="E2" s="26"/>
      <c r="F2" s="26"/>
      <c r="L2" s="26"/>
      <c r="M2" s="26"/>
    </row>
    <row r="3" spans="1:13" s="24" customFormat="1" x14ac:dyDescent="0.2">
      <c r="A3" s="24" t="str">
        <f>+A53</f>
        <v>Adjustments to Test Period</v>
      </c>
    </row>
    <row r="4" spans="1:13" s="24" customFormat="1" x14ac:dyDescent="0.2">
      <c r="A4" s="24" t="str">
        <f>+'Page 1'!A3</f>
        <v>Twelve Months Ended December 31, 2018</v>
      </c>
      <c r="C4" s="26"/>
      <c r="D4" s="26"/>
      <c r="E4" s="26"/>
      <c r="F4" s="26"/>
      <c r="G4" s="26"/>
      <c r="H4" s="26"/>
      <c r="I4" s="26"/>
      <c r="J4" s="26"/>
      <c r="K4" s="26"/>
    </row>
    <row r="5" spans="1:13" s="24" customFormat="1" x14ac:dyDescent="0.2"/>
    <row r="6" spans="1:13" s="83" customFormat="1" x14ac:dyDescent="0.2">
      <c r="A6" s="24"/>
      <c r="B6" s="24"/>
      <c r="C6" s="84"/>
      <c r="D6" s="84" t="s">
        <v>16</v>
      </c>
      <c r="E6" s="84"/>
      <c r="F6" s="84"/>
      <c r="G6" s="84"/>
      <c r="H6" s="84"/>
      <c r="I6" s="84" t="s">
        <v>427</v>
      </c>
      <c r="J6" s="84"/>
      <c r="K6" s="84"/>
      <c r="L6" s="84"/>
      <c r="M6" s="84"/>
    </row>
    <row r="7" spans="1:13" s="83" customFormat="1" x14ac:dyDescent="0.2">
      <c r="A7" s="24"/>
      <c r="B7" s="24"/>
      <c r="C7" s="84"/>
      <c r="D7" s="84" t="s">
        <v>35</v>
      </c>
      <c r="E7" s="84" t="s">
        <v>340</v>
      </c>
      <c r="F7" s="84"/>
      <c r="G7" s="84" t="s">
        <v>37</v>
      </c>
      <c r="H7" s="84" t="s">
        <v>38</v>
      </c>
      <c r="I7" s="84" t="s">
        <v>428</v>
      </c>
      <c r="J7" s="84"/>
      <c r="K7" s="84"/>
      <c r="L7" s="84"/>
      <c r="M7" s="84"/>
    </row>
    <row r="8" spans="1:13" s="83" customFormat="1" x14ac:dyDescent="0.2">
      <c r="A8" s="24" t="s">
        <v>17</v>
      </c>
      <c r="B8" s="24"/>
      <c r="C8" s="84" t="s">
        <v>384</v>
      </c>
      <c r="D8" s="84" t="s">
        <v>58</v>
      </c>
      <c r="E8" s="84" t="s">
        <v>84</v>
      </c>
      <c r="F8" s="84" t="s">
        <v>59</v>
      </c>
      <c r="G8" s="84" t="s">
        <v>60</v>
      </c>
      <c r="H8" s="84" t="s">
        <v>61</v>
      </c>
      <c r="I8" s="84" t="s">
        <v>429</v>
      </c>
      <c r="J8" s="84" t="s">
        <v>63</v>
      </c>
      <c r="K8" s="84" t="s">
        <v>293</v>
      </c>
      <c r="L8" s="84" t="s">
        <v>64</v>
      </c>
      <c r="M8" s="84" t="s">
        <v>385</v>
      </c>
    </row>
    <row r="9" spans="1:13" s="83" customFormat="1" x14ac:dyDescent="0.2">
      <c r="A9" s="100" t="s">
        <v>46</v>
      </c>
      <c r="B9" s="24"/>
      <c r="C9" s="139" t="s">
        <v>1</v>
      </c>
      <c r="D9" s="139" t="s">
        <v>81</v>
      </c>
      <c r="E9" s="139" t="s">
        <v>42</v>
      </c>
      <c r="F9" s="139" t="s">
        <v>42</v>
      </c>
      <c r="G9" s="139" t="s">
        <v>42</v>
      </c>
      <c r="H9" s="139" t="s">
        <v>42</v>
      </c>
      <c r="I9" s="139" t="s">
        <v>42</v>
      </c>
      <c r="J9" s="139" t="s">
        <v>42</v>
      </c>
      <c r="K9" s="139" t="s">
        <v>42</v>
      </c>
      <c r="L9" s="139" t="s">
        <v>47</v>
      </c>
      <c r="M9" s="139" t="s">
        <v>1</v>
      </c>
    </row>
    <row r="10" spans="1:13" s="83" customFormat="1" x14ac:dyDescent="0.2">
      <c r="A10" s="24"/>
      <c r="B10" s="24"/>
      <c r="C10" s="84"/>
      <c r="D10" s="84" t="s">
        <v>76</v>
      </c>
      <c r="E10" s="84" t="s">
        <v>77</v>
      </c>
      <c r="F10" s="84" t="s">
        <v>78</v>
      </c>
      <c r="G10" s="84" t="s">
        <v>79</v>
      </c>
      <c r="H10" s="84" t="s">
        <v>80</v>
      </c>
      <c r="I10" s="84" t="s">
        <v>89</v>
      </c>
      <c r="J10" s="84" t="s">
        <v>90</v>
      </c>
      <c r="K10" s="84" t="s">
        <v>91</v>
      </c>
      <c r="L10" s="84" t="s">
        <v>92</v>
      </c>
      <c r="M10" s="84"/>
    </row>
    <row r="11" spans="1:13" x14ac:dyDescent="0.2">
      <c r="B11" s="83" t="s">
        <v>101</v>
      </c>
      <c r="C11" s="77"/>
      <c r="D11" s="77"/>
      <c r="E11" s="77"/>
      <c r="F11" s="41"/>
      <c r="G11" s="41"/>
      <c r="H11" s="41"/>
      <c r="I11" s="41"/>
      <c r="J11" s="41"/>
      <c r="K11" s="41"/>
      <c r="L11" s="41"/>
      <c r="M11" s="41"/>
    </row>
    <row r="12" spans="1:13" x14ac:dyDescent="0.2">
      <c r="A12" s="24">
        <v>1</v>
      </c>
      <c r="B12" s="83" t="s">
        <v>113</v>
      </c>
      <c r="C12" s="101">
        <f>+'Page 1'!C10</f>
        <v>64503220.928817198</v>
      </c>
      <c r="D12" s="101">
        <f>+'a Rev &amp; Cost'!H36</f>
        <v>3051778.3422903828</v>
      </c>
      <c r="E12" s="101"/>
      <c r="F12" s="91"/>
      <c r="G12" s="91"/>
      <c r="H12" s="91"/>
      <c r="I12" s="91"/>
      <c r="J12" s="91"/>
      <c r="K12" s="91"/>
      <c r="L12" s="91">
        <f>SUM(D12:K12)</f>
        <v>3051778.3422903828</v>
      </c>
      <c r="M12" s="91">
        <f>+L12+C12</f>
        <v>67554999.271107584</v>
      </c>
    </row>
    <row r="13" spans="1:13" x14ac:dyDescent="0.2">
      <c r="A13" s="24">
        <f>+A12+1</f>
        <v>2</v>
      </c>
      <c r="B13" s="142" t="s">
        <v>119</v>
      </c>
      <c r="C13" s="101">
        <f>+'Page 1'!C11</f>
        <v>2428042.5099999998</v>
      </c>
      <c r="D13" s="101">
        <f>+'a Rev &amp; Cost'!H34</f>
        <v>0</v>
      </c>
      <c r="E13" s="101"/>
      <c r="F13" s="91"/>
      <c r="G13" s="91"/>
      <c r="H13" s="91"/>
      <c r="I13" s="91"/>
      <c r="J13" s="91"/>
      <c r="K13" s="91"/>
      <c r="L13" s="91">
        <f>SUM(D13:K13)</f>
        <v>0</v>
      </c>
      <c r="M13" s="91">
        <f>+L13+C13</f>
        <v>2428042.5099999998</v>
      </c>
    </row>
    <row r="14" spans="1:13" x14ac:dyDescent="0.2">
      <c r="A14" s="24">
        <f>+A13+1</f>
        <v>3</v>
      </c>
      <c r="B14" s="142" t="s">
        <v>115</v>
      </c>
      <c r="C14" s="102">
        <f>+'Page 1'!C12</f>
        <v>-3092584.0013829977</v>
      </c>
      <c r="D14" s="102"/>
      <c r="E14" s="102">
        <f>+'b Misc Revenues'!G23</f>
        <v>-707935.80561264895</v>
      </c>
      <c r="F14" s="92"/>
      <c r="G14" s="92"/>
      <c r="H14" s="92"/>
      <c r="I14" s="92"/>
      <c r="J14" s="92"/>
      <c r="K14" s="92"/>
      <c r="L14" s="92">
        <f>SUM(D14:K14)</f>
        <v>-707935.80561264895</v>
      </c>
      <c r="M14" s="92">
        <f>+L14+C14</f>
        <v>-3800519.8069956466</v>
      </c>
    </row>
    <row r="15" spans="1:13" x14ac:dyDescent="0.2">
      <c r="B15" s="83"/>
      <c r="C15" s="101"/>
      <c r="D15" s="101"/>
      <c r="E15" s="101"/>
      <c r="F15" s="91"/>
      <c r="G15" s="91"/>
      <c r="H15" s="91"/>
      <c r="I15" s="91"/>
      <c r="J15" s="91"/>
      <c r="K15" s="91"/>
      <c r="L15" s="91"/>
      <c r="M15" s="91"/>
    </row>
    <row r="16" spans="1:13" x14ac:dyDescent="0.2">
      <c r="A16" s="24">
        <f>+A14+1</f>
        <v>4</v>
      </c>
      <c r="B16" s="83" t="s">
        <v>129</v>
      </c>
      <c r="C16" s="101">
        <f>+'Page 1'!C13</f>
        <v>63838679.437434196</v>
      </c>
      <c r="D16" s="101">
        <f t="shared" ref="D16:L16" si="0">SUM(D12:D14)</f>
        <v>3051778.3422903828</v>
      </c>
      <c r="E16" s="101">
        <f>SUM(E12:E14)</f>
        <v>-707935.80561264895</v>
      </c>
      <c r="F16" s="91">
        <f t="shared" si="0"/>
        <v>0</v>
      </c>
      <c r="G16" s="91">
        <f t="shared" si="0"/>
        <v>0</v>
      </c>
      <c r="H16" s="91">
        <f t="shared" si="0"/>
        <v>0</v>
      </c>
      <c r="I16" s="91">
        <f t="shared" si="0"/>
        <v>0</v>
      </c>
      <c r="J16" s="91">
        <f t="shared" si="0"/>
        <v>0</v>
      </c>
      <c r="K16" s="91">
        <f>SUM(K12:K14)</f>
        <v>0</v>
      </c>
      <c r="L16" s="91">
        <f t="shared" si="0"/>
        <v>2343842.536677734</v>
      </c>
      <c r="M16" s="91">
        <f>+L16+C16</f>
        <v>66182521.97411193</v>
      </c>
    </row>
    <row r="17" spans="1:13" x14ac:dyDescent="0.2">
      <c r="B17" s="138"/>
      <c r="C17" s="101"/>
      <c r="D17" s="101"/>
      <c r="E17" s="101"/>
      <c r="F17" s="91"/>
      <c r="G17" s="91"/>
      <c r="H17" s="91"/>
      <c r="I17" s="91"/>
      <c r="J17" s="91"/>
      <c r="K17" s="91"/>
      <c r="L17" s="91"/>
      <c r="M17" s="91"/>
    </row>
    <row r="18" spans="1:13" x14ac:dyDescent="0.2">
      <c r="B18" s="83" t="s">
        <v>138</v>
      </c>
      <c r="C18" s="101"/>
      <c r="D18" s="101"/>
      <c r="E18" s="101"/>
      <c r="F18" s="91"/>
      <c r="G18" s="91"/>
      <c r="H18" s="91"/>
      <c r="I18" s="91"/>
      <c r="J18" s="91"/>
      <c r="K18" s="91"/>
      <c r="L18" s="91"/>
      <c r="M18" s="91"/>
    </row>
    <row r="19" spans="1:13" x14ac:dyDescent="0.2">
      <c r="A19" s="24">
        <f>+A16+1</f>
        <v>5</v>
      </c>
      <c r="B19" s="83" t="s">
        <v>143</v>
      </c>
      <c r="C19" s="101">
        <f>+'Page 1'!C16</f>
        <v>23742025.525473412</v>
      </c>
      <c r="D19" s="101">
        <f>+'a Rev &amp; Cost'!H51</f>
        <v>1184784.2792727291</v>
      </c>
      <c r="E19" s="101"/>
      <c r="F19" s="91"/>
      <c r="G19" s="91"/>
      <c r="H19" s="91"/>
      <c r="I19" s="91"/>
      <c r="J19" s="91"/>
      <c r="K19" s="91"/>
      <c r="L19" s="91">
        <f>SUM(D19:K19)</f>
        <v>1184784.2792727291</v>
      </c>
      <c r="M19" s="91">
        <f>+L19+C19</f>
        <v>24926809.80474614</v>
      </c>
    </row>
    <row r="20" spans="1:13" x14ac:dyDescent="0.2">
      <c r="A20" s="24">
        <f>+A19+1</f>
        <v>6</v>
      </c>
      <c r="B20" s="83" t="s">
        <v>153</v>
      </c>
      <c r="C20" s="101">
        <f>+'Page 1'!C17</f>
        <v>74083</v>
      </c>
      <c r="D20" s="101">
        <f>(+D12+D13)*'Cost of Cap'!$C$52</f>
        <v>3326.4383930965173</v>
      </c>
      <c r="E20" s="101">
        <f>(+E12+E13)*'Cost of Cap'!$C$52</f>
        <v>0</v>
      </c>
      <c r="F20" s="91"/>
      <c r="G20" s="91">
        <f>+'d Uncollectibles'!C45</f>
        <v>6485</v>
      </c>
      <c r="H20" s="91"/>
      <c r="I20" s="91"/>
      <c r="J20" s="91"/>
      <c r="K20" s="91"/>
      <c r="L20" s="91">
        <f>SUM(D20:K20)</f>
        <v>9811.4383930965178</v>
      </c>
      <c r="M20" s="91">
        <f>+L20+C20</f>
        <v>83894.438393096512</v>
      </c>
    </row>
    <row r="21" spans="1:13" x14ac:dyDescent="0.2">
      <c r="A21" s="24">
        <f>+A20+1</f>
        <v>7</v>
      </c>
      <c r="B21" s="83" t="s">
        <v>156</v>
      </c>
      <c r="C21" s="102">
        <f>+'Page 1'!C18</f>
        <v>18224986</v>
      </c>
      <c r="D21" s="92"/>
      <c r="E21" s="92"/>
      <c r="F21" s="92">
        <f>'c Bonuses'!H32</f>
        <v>3994.7838500000375</v>
      </c>
      <c r="G21" s="92"/>
      <c r="H21" s="92"/>
      <c r="I21" s="92">
        <f>-'f Sales &amp; Mktg'!E23</f>
        <v>-656047</v>
      </c>
      <c r="J21" s="92">
        <f>'g Claims'!D23</f>
        <v>10944</v>
      </c>
      <c r="K21" s="92">
        <f>+'h Clearing'!D13</f>
        <v>0</v>
      </c>
      <c r="L21" s="92">
        <f>SUM(D21:K21)</f>
        <v>-641108.21614999999</v>
      </c>
      <c r="M21" s="92">
        <f>+L21+C21</f>
        <v>17583877.783849999</v>
      </c>
    </row>
    <row r="22" spans="1:13" x14ac:dyDescent="0.2">
      <c r="B22" s="83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</row>
    <row r="23" spans="1:13" x14ac:dyDescent="0.2">
      <c r="A23" s="24">
        <f>+A21+1</f>
        <v>8</v>
      </c>
      <c r="B23" s="142" t="s">
        <v>159</v>
      </c>
      <c r="C23" s="101">
        <f>+'Page 1'!C19</f>
        <v>42041094.525473416</v>
      </c>
      <c r="D23" s="91">
        <f t="shared" ref="D23:L23" si="1">D19+D20+D21</f>
        <v>1188110.7176658255</v>
      </c>
      <c r="E23" s="91">
        <f>E19+E20+E21</f>
        <v>0</v>
      </c>
      <c r="F23" s="91">
        <f t="shared" si="1"/>
        <v>3994.7838500000375</v>
      </c>
      <c r="G23" s="91">
        <f t="shared" si="1"/>
        <v>6485</v>
      </c>
      <c r="H23" s="91">
        <f t="shared" si="1"/>
        <v>0</v>
      </c>
      <c r="I23" s="91">
        <f t="shared" si="1"/>
        <v>-656047</v>
      </c>
      <c r="J23" s="91">
        <f t="shared" si="1"/>
        <v>10944</v>
      </c>
      <c r="K23" s="91">
        <f>K19+K20+K21</f>
        <v>0</v>
      </c>
      <c r="L23" s="91">
        <f t="shared" si="1"/>
        <v>553487.50151582551</v>
      </c>
      <c r="M23" s="91">
        <f>+L23+C23</f>
        <v>42594582.026989244</v>
      </c>
    </row>
    <row r="24" spans="1:13" x14ac:dyDescent="0.2">
      <c r="B24" s="83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</row>
    <row r="25" spans="1:13" x14ac:dyDescent="0.2">
      <c r="B25" s="83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</row>
    <row r="26" spans="1:13" x14ac:dyDescent="0.2">
      <c r="A26" s="24">
        <f>+A23+1</f>
        <v>9</v>
      </c>
      <c r="B26" s="83" t="s">
        <v>165</v>
      </c>
      <c r="C26" s="101">
        <f>+'Page 1'!C21</f>
        <v>721647.37073933752</v>
      </c>
      <c r="D26" s="91">
        <f>D$89</f>
        <v>365402</v>
      </c>
      <c r="E26" s="91">
        <f>E$89</f>
        <v>-142643</v>
      </c>
      <c r="F26" s="91">
        <f t="shared" ref="F26:K26" si="2">F89</f>
        <v>-843</v>
      </c>
      <c r="G26" s="91">
        <f t="shared" si="2"/>
        <v>-1362</v>
      </c>
      <c r="H26" s="91">
        <f t="shared" si="2"/>
        <v>0</v>
      </c>
      <c r="I26" s="91">
        <f t="shared" si="2"/>
        <v>137770</v>
      </c>
      <c r="J26" s="91">
        <f t="shared" si="2"/>
        <v>-2298</v>
      </c>
      <c r="K26" s="91">
        <f t="shared" si="2"/>
        <v>0</v>
      </c>
      <c r="L26" s="91">
        <f>SUM(D26:K26)</f>
        <v>356026</v>
      </c>
      <c r="M26" s="91">
        <f>+L26+C26</f>
        <v>1077673.3707393375</v>
      </c>
    </row>
    <row r="27" spans="1:13" x14ac:dyDescent="0.2">
      <c r="A27" s="24">
        <f>+A26+1</f>
        <v>10</v>
      </c>
      <c r="B27" s="83" t="s">
        <v>167</v>
      </c>
      <c r="C27" s="101">
        <f>+'Page 1'!C22</f>
        <v>1752161</v>
      </c>
      <c r="D27" s="91"/>
      <c r="E27" s="91"/>
      <c r="F27" s="91"/>
      <c r="G27" s="91"/>
      <c r="H27" s="91"/>
      <c r="I27" s="91"/>
      <c r="J27" s="91"/>
      <c r="K27" s="91"/>
      <c r="L27" s="91">
        <f>SUM(D27:K27)</f>
        <v>0</v>
      </c>
      <c r="M27" s="91">
        <f>+L27+C27</f>
        <v>1752161</v>
      </c>
    </row>
    <row r="28" spans="1:13" x14ac:dyDescent="0.2">
      <c r="A28" s="24">
        <f>+A27+1</f>
        <v>11</v>
      </c>
      <c r="B28" s="83" t="s">
        <v>171</v>
      </c>
      <c r="C28" s="101">
        <f>+'Page 1'!C23</f>
        <v>3619385.9180308226</v>
      </c>
      <c r="D28" s="91">
        <f>(+D16*(+'Cost of Cap'!$C28+'Cost of Cap'!$C29+'Cost of Cap'!$C30))</f>
        <v>123658.05842960632</v>
      </c>
      <c r="E28" s="91">
        <f>(+E16*(+'Cost of Cap'!$C28+'Cost of Cap'!$C29+'Cost of Cap'!$C30))</f>
        <v>-28685.558843424536</v>
      </c>
      <c r="F28" s="91"/>
      <c r="G28" s="91"/>
      <c r="H28" s="91"/>
      <c r="I28" s="91"/>
      <c r="J28" s="91"/>
      <c r="K28" s="91"/>
      <c r="L28" s="91">
        <f>SUM(D28:K28)</f>
        <v>94972.499586181773</v>
      </c>
      <c r="M28" s="91">
        <f>+L28+C28</f>
        <v>3714358.4176170044</v>
      </c>
    </row>
    <row r="29" spans="1:13" x14ac:dyDescent="0.2">
      <c r="A29" s="24">
        <f>+A28+1</f>
        <v>12</v>
      </c>
      <c r="B29" s="83" t="s">
        <v>174</v>
      </c>
      <c r="C29" s="102">
        <f>+'Page 1'!C24</f>
        <v>9476819.7878487557</v>
      </c>
      <c r="D29" s="92"/>
      <c r="E29" s="92"/>
      <c r="F29" s="92"/>
      <c r="G29" s="92"/>
      <c r="H29" s="92"/>
      <c r="I29" s="92"/>
      <c r="J29" s="92"/>
      <c r="K29" s="92"/>
      <c r="L29" s="92">
        <f>SUM(D29:K29)</f>
        <v>0</v>
      </c>
      <c r="M29" s="92">
        <f>+L29+C29</f>
        <v>9476819.7878487557</v>
      </c>
    </row>
    <row r="30" spans="1:13" x14ac:dyDescent="0.2">
      <c r="B30" s="83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</row>
    <row r="31" spans="1:13" x14ac:dyDescent="0.2">
      <c r="A31" s="24">
        <f>+A29+1</f>
        <v>13</v>
      </c>
      <c r="B31" s="83" t="s">
        <v>178</v>
      </c>
      <c r="C31" s="102">
        <f>+'Page 1'!C26</f>
        <v>57611108.602092333</v>
      </c>
      <c r="D31" s="92">
        <f t="shared" ref="D31:L31" si="3">SUM(D23:D29)</f>
        <v>1677170.7760954318</v>
      </c>
      <c r="E31" s="92">
        <f>SUM(E23:E29)</f>
        <v>-171328.55884342454</v>
      </c>
      <c r="F31" s="92">
        <f t="shared" si="3"/>
        <v>3151.7838500000375</v>
      </c>
      <c r="G31" s="92">
        <f t="shared" si="3"/>
        <v>5123</v>
      </c>
      <c r="H31" s="92">
        <f t="shared" si="3"/>
        <v>0</v>
      </c>
      <c r="I31" s="92">
        <f t="shared" si="3"/>
        <v>-518277</v>
      </c>
      <c r="J31" s="92">
        <f t="shared" si="3"/>
        <v>8646</v>
      </c>
      <c r="K31" s="92">
        <f>SUM(K23:K29)</f>
        <v>0</v>
      </c>
      <c r="L31" s="92">
        <f t="shared" si="3"/>
        <v>1004486.0011020072</v>
      </c>
      <c r="M31" s="92">
        <f>+L31+C31</f>
        <v>58615594.603194341</v>
      </c>
    </row>
    <row r="32" spans="1:13" x14ac:dyDescent="0.2">
      <c r="B32" s="83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</row>
    <row r="33" spans="1:13" ht="13.5" thickBot="1" x14ac:dyDescent="0.25">
      <c r="A33" s="24">
        <f>+A31+1</f>
        <v>14</v>
      </c>
      <c r="B33" s="83" t="s">
        <v>186</v>
      </c>
      <c r="C33" s="141">
        <f>+'Page 1'!C28</f>
        <v>6227570.8353418633</v>
      </c>
      <c r="D33" s="93">
        <f t="shared" ref="D33:L33" si="4">D16-D31</f>
        <v>1374607.5661949511</v>
      </c>
      <c r="E33" s="93">
        <f>E16-E31</f>
        <v>-536607.24676922441</v>
      </c>
      <c r="F33" s="93">
        <f t="shared" si="4"/>
        <v>-3151.7838500000375</v>
      </c>
      <c r="G33" s="93">
        <f t="shared" si="4"/>
        <v>-5123</v>
      </c>
      <c r="H33" s="93">
        <f t="shared" si="4"/>
        <v>0</v>
      </c>
      <c r="I33" s="93">
        <f t="shared" si="4"/>
        <v>518277</v>
      </c>
      <c r="J33" s="93">
        <f t="shared" si="4"/>
        <v>-8646</v>
      </c>
      <c r="K33" s="93">
        <f>K16-K31</f>
        <v>0</v>
      </c>
      <c r="L33" s="93">
        <f t="shared" si="4"/>
        <v>1339356.5355757268</v>
      </c>
      <c r="M33" s="93">
        <f>+L33+C33</f>
        <v>7566927.3709175903</v>
      </c>
    </row>
    <row r="34" spans="1:13" ht="13.5" thickTop="1" x14ac:dyDescent="0.2">
      <c r="B34" s="83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</row>
    <row r="35" spans="1:13" x14ac:dyDescent="0.2">
      <c r="B35" s="83" t="s">
        <v>179</v>
      </c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</row>
    <row r="36" spans="1:13" x14ac:dyDescent="0.2">
      <c r="A36" s="24">
        <f>+A33+1</f>
        <v>15</v>
      </c>
      <c r="B36" s="83" t="s">
        <v>191</v>
      </c>
      <c r="C36" s="101">
        <f>+'Page 1'!C31</f>
        <v>344634123.46999997</v>
      </c>
      <c r="D36" s="91"/>
      <c r="E36" s="91"/>
      <c r="F36" s="91">
        <f>'c Bonuses'!H36</f>
        <v>671.28233333333105</v>
      </c>
      <c r="G36" s="91"/>
      <c r="H36" s="91"/>
      <c r="I36" s="91"/>
      <c r="J36" s="91">
        <f>'g Claims'!E23</f>
        <v>0</v>
      </c>
      <c r="K36" s="91">
        <f>+'h Clearing'!D20</f>
        <v>0</v>
      </c>
      <c r="L36" s="91">
        <f>SUM(D36:K36)</f>
        <v>671.28233333333105</v>
      </c>
      <c r="M36" s="91">
        <f>+L36+C36</f>
        <v>344634794.75233328</v>
      </c>
    </row>
    <row r="37" spans="1:13" x14ac:dyDescent="0.2">
      <c r="A37" s="24">
        <f>+A36+1</f>
        <v>16</v>
      </c>
      <c r="B37" s="83" t="s">
        <v>195</v>
      </c>
      <c r="C37" s="102">
        <f>+'Page 1'!C32</f>
        <v>-138174713.78</v>
      </c>
      <c r="D37" s="92"/>
      <c r="E37" s="92"/>
      <c r="F37" s="92"/>
      <c r="G37" s="92"/>
      <c r="H37" s="92"/>
      <c r="I37" s="92"/>
      <c r="J37" s="92"/>
      <c r="K37" s="92"/>
      <c r="L37" s="92">
        <f>SUM(D37:K37)</f>
        <v>0</v>
      </c>
      <c r="M37" s="92">
        <f>+L37+C37</f>
        <v>-138174713.78</v>
      </c>
    </row>
    <row r="38" spans="1:13" x14ac:dyDescent="0.2">
      <c r="B38" s="83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</row>
    <row r="39" spans="1:13" x14ac:dyDescent="0.2">
      <c r="A39" s="24">
        <f>+A37+1</f>
        <v>17</v>
      </c>
      <c r="B39" s="83" t="s">
        <v>200</v>
      </c>
      <c r="C39" s="91">
        <f t="shared" ref="C39:L39" si="5">C36+C37</f>
        <v>206459409.68999997</v>
      </c>
      <c r="D39" s="91">
        <f t="shared" si="5"/>
        <v>0</v>
      </c>
      <c r="E39" s="91">
        <f>E36+E37</f>
        <v>0</v>
      </c>
      <c r="F39" s="91">
        <f t="shared" si="5"/>
        <v>671.28233333333105</v>
      </c>
      <c r="G39" s="91">
        <f t="shared" si="5"/>
        <v>0</v>
      </c>
      <c r="H39" s="91">
        <f t="shared" si="5"/>
        <v>0</v>
      </c>
      <c r="I39" s="91">
        <f t="shared" si="5"/>
        <v>0</v>
      </c>
      <c r="J39" s="91">
        <f t="shared" si="5"/>
        <v>0</v>
      </c>
      <c r="K39" s="91">
        <f>K36+K37</f>
        <v>0</v>
      </c>
      <c r="L39" s="91">
        <f t="shared" si="5"/>
        <v>671.28233333333105</v>
      </c>
      <c r="M39" s="91">
        <f>+L39+C39</f>
        <v>206460080.97233331</v>
      </c>
    </row>
    <row r="40" spans="1:13" x14ac:dyDescent="0.2">
      <c r="B40" s="83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</row>
    <row r="41" spans="1:13" x14ac:dyDescent="0.2">
      <c r="A41" s="24">
        <f>+A39+1</f>
        <v>18</v>
      </c>
      <c r="B41" s="30" t="s">
        <v>470</v>
      </c>
      <c r="C41" s="217">
        <f>+'Page 1'!C35</f>
        <v>909782.06725116214</v>
      </c>
      <c r="D41" s="91"/>
      <c r="E41" s="91"/>
      <c r="F41" s="91"/>
      <c r="G41" s="91"/>
      <c r="H41" s="91"/>
      <c r="I41" s="91"/>
      <c r="J41" s="91"/>
      <c r="K41" s="91"/>
      <c r="L41" s="91">
        <f>SUM(D41:K41)</f>
        <v>0</v>
      </c>
      <c r="M41" s="91">
        <f>+L41+C41</f>
        <v>909782.06725116214</v>
      </c>
    </row>
    <row r="42" spans="1:13" x14ac:dyDescent="0.2">
      <c r="A42" s="24">
        <f>+A41+1</f>
        <v>19</v>
      </c>
      <c r="B42" s="83" t="s">
        <v>204</v>
      </c>
      <c r="C42" s="217">
        <f>+'Page 1'!C36</f>
        <v>1946972.17</v>
      </c>
      <c r="D42" s="91"/>
      <c r="E42" s="91"/>
      <c r="F42" s="91"/>
      <c r="G42" s="91"/>
      <c r="H42" s="91"/>
      <c r="I42" s="91"/>
      <c r="J42" s="91"/>
      <c r="K42" s="91"/>
      <c r="L42" s="91">
        <f>SUM(D42:K42)</f>
        <v>0</v>
      </c>
      <c r="M42" s="91">
        <f>+L42+C42</f>
        <v>1946972.17</v>
      </c>
    </row>
    <row r="43" spans="1:13" x14ac:dyDescent="0.2">
      <c r="A43" s="24">
        <f>+A42+1</f>
        <v>20</v>
      </c>
      <c r="B43" s="88" t="s">
        <v>469</v>
      </c>
      <c r="C43" s="217">
        <f>+'Page 1'!C37</f>
        <v>-756955.64</v>
      </c>
      <c r="D43" s="91"/>
      <c r="E43" s="91"/>
      <c r="F43" s="91"/>
      <c r="G43" s="91"/>
      <c r="H43" s="91"/>
      <c r="I43" s="91"/>
      <c r="J43" s="91"/>
      <c r="K43" s="91"/>
      <c r="L43" s="91">
        <f>SUM(D43:K43)</f>
        <v>0</v>
      </c>
      <c r="M43" s="91">
        <f>+L43+C43</f>
        <v>-756955.64</v>
      </c>
    </row>
    <row r="44" spans="1:13" x14ac:dyDescent="0.2">
      <c r="A44" s="24">
        <f>+A43+1</f>
        <v>21</v>
      </c>
      <c r="B44" s="83" t="s">
        <v>209</v>
      </c>
      <c r="C44" s="217">
        <f>+'Page 1'!C38</f>
        <v>17501.91</v>
      </c>
      <c r="D44" s="91"/>
      <c r="E44" s="91"/>
      <c r="F44" s="91"/>
      <c r="G44" s="91"/>
      <c r="H44" s="91"/>
      <c r="I44" s="91"/>
      <c r="J44" s="91"/>
      <c r="K44" s="91"/>
      <c r="L44" s="91">
        <f>SUM(D44:K44)</f>
        <v>0</v>
      </c>
      <c r="M44" s="91">
        <f>+L44+C44</f>
        <v>17501.91</v>
      </c>
    </row>
    <row r="45" spans="1:13" x14ac:dyDescent="0.2">
      <c r="A45" s="24">
        <f>+A44+1</f>
        <v>22</v>
      </c>
      <c r="B45" s="83" t="s">
        <v>212</v>
      </c>
      <c r="C45" s="102">
        <f>+'Page 1'!C39</f>
        <v>-41147774.537751995</v>
      </c>
      <c r="D45" s="92"/>
      <c r="E45" s="92"/>
      <c r="F45" s="92"/>
      <c r="G45" s="92"/>
      <c r="H45" s="92"/>
      <c r="I45" s="92"/>
      <c r="J45" s="92"/>
      <c r="K45" s="92"/>
      <c r="L45" s="92">
        <f>SUM(D45:K45)</f>
        <v>0</v>
      </c>
      <c r="M45" s="92">
        <f>+L45+C45</f>
        <v>-41147774.537751995</v>
      </c>
    </row>
    <row r="46" spans="1:13" x14ac:dyDescent="0.2">
      <c r="B46" s="83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</row>
    <row r="47" spans="1:13" ht="13.5" thickBot="1" x14ac:dyDescent="0.25">
      <c r="A47" s="24">
        <f>+A45+1</f>
        <v>23</v>
      </c>
      <c r="B47" s="83" t="s">
        <v>187</v>
      </c>
      <c r="C47" s="93">
        <f t="shared" ref="C47:L47" si="6">SUM(C39:C45)</f>
        <v>167428935.65949914</v>
      </c>
      <c r="D47" s="93">
        <f t="shared" si="6"/>
        <v>0</v>
      </c>
      <c r="E47" s="93">
        <f t="shared" si="6"/>
        <v>0</v>
      </c>
      <c r="F47" s="93">
        <f t="shared" si="6"/>
        <v>671.28233333333105</v>
      </c>
      <c r="G47" s="93">
        <f t="shared" si="6"/>
        <v>0</v>
      </c>
      <c r="H47" s="93">
        <f t="shared" si="6"/>
        <v>0</v>
      </c>
      <c r="I47" s="93">
        <f t="shared" si="6"/>
        <v>0</v>
      </c>
      <c r="J47" s="93">
        <f t="shared" si="6"/>
        <v>0</v>
      </c>
      <c r="K47" s="93">
        <f t="shared" si="6"/>
        <v>0</v>
      </c>
      <c r="L47" s="93">
        <f t="shared" si="6"/>
        <v>671.28233333333105</v>
      </c>
      <c r="M47" s="93">
        <f>+L47+C47</f>
        <v>167429606.94183248</v>
      </c>
    </row>
    <row r="48" spans="1:13" ht="13.5" thickTop="1" x14ac:dyDescent="0.2">
      <c r="B48" s="83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</row>
    <row r="49" spans="1:13" x14ac:dyDescent="0.2">
      <c r="A49" s="24">
        <f>+A47+1</f>
        <v>24</v>
      </c>
      <c r="B49" s="83" t="s">
        <v>218</v>
      </c>
      <c r="C49" s="91"/>
      <c r="D49" s="91">
        <f>ROUND(+D47*'Cost of Cap'!$C$47,0)</f>
        <v>0</v>
      </c>
      <c r="E49" s="91">
        <f>ROUND(+E47*'Cost of Cap'!$C$47,0)</f>
        <v>0</v>
      </c>
      <c r="F49" s="91">
        <f>ROUND(+F47*'Cost of Cap'!$C$47,0)</f>
        <v>18</v>
      </c>
      <c r="G49" s="91">
        <f>ROUND(+G47*'Cost of Cap'!$C$47,0)</f>
        <v>0</v>
      </c>
      <c r="H49" s="91">
        <f>ROUND(+H47*'Cost of Cap'!$C$47,0)</f>
        <v>0</v>
      </c>
      <c r="I49" s="91">
        <f>ROUND(+I47*'Cost of Cap'!$C$47,0)</f>
        <v>0</v>
      </c>
      <c r="J49" s="91">
        <f>ROUND(+J47*'Cost of Cap'!$C$47,0)</f>
        <v>0</v>
      </c>
      <c r="K49" s="91">
        <f>ROUND(+K47*'Cost of Cap'!$C$47,0)</f>
        <v>0</v>
      </c>
      <c r="L49" s="91">
        <f>SUM(D49:J49)</f>
        <v>18</v>
      </c>
      <c r="M49" s="91">
        <f>+L49+C49</f>
        <v>18</v>
      </c>
    </row>
    <row r="50" spans="1:13" x14ac:dyDescent="0.2">
      <c r="B50" s="83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</row>
    <row r="51" spans="1:13" x14ac:dyDescent="0.2">
      <c r="B51" s="83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</row>
    <row r="52" spans="1:13" s="24" customFormat="1" x14ac:dyDescent="0.2">
      <c r="A52" s="24" t="s">
        <v>2</v>
      </c>
      <c r="B52" s="83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</row>
    <row r="53" spans="1:13" s="24" customFormat="1" x14ac:dyDescent="0.2">
      <c r="A53" s="24" t="s">
        <v>300</v>
      </c>
      <c r="B53" s="83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</row>
    <row r="54" spans="1:13" s="24" customFormat="1" x14ac:dyDescent="0.2">
      <c r="A54" s="24" t="str">
        <f>+A4</f>
        <v>Twelve Months Ended December 31, 2018</v>
      </c>
      <c r="B54" s="83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</row>
    <row r="55" spans="1:13" s="24" customFormat="1" x14ac:dyDescent="0.2">
      <c r="A55" s="24" t="s">
        <v>13</v>
      </c>
      <c r="B55" s="83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</row>
    <row r="56" spans="1:13" s="83" customFormat="1" x14ac:dyDescent="0.2">
      <c r="A56" s="24"/>
      <c r="B56" s="143"/>
      <c r="C56" s="84"/>
      <c r="D56" s="84" t="s">
        <v>16</v>
      </c>
      <c r="E56" s="84"/>
      <c r="F56" s="84"/>
      <c r="G56" s="84"/>
      <c r="H56" s="84"/>
      <c r="I56" s="84"/>
      <c r="J56" s="84"/>
      <c r="K56" s="84"/>
      <c r="L56" s="84"/>
      <c r="M56" s="84"/>
    </row>
    <row r="57" spans="1:13" s="83" customFormat="1" x14ac:dyDescent="0.2">
      <c r="A57" s="24"/>
      <c r="C57" s="84"/>
      <c r="D57" s="84" t="s">
        <v>35</v>
      </c>
      <c r="E57" s="84" t="s">
        <v>340</v>
      </c>
      <c r="F57" s="84"/>
      <c r="G57" s="84" t="s">
        <v>37</v>
      </c>
      <c r="H57" s="84" t="s">
        <v>38</v>
      </c>
      <c r="I57" s="84" t="s">
        <v>39</v>
      </c>
      <c r="J57" s="84"/>
      <c r="K57" s="84"/>
      <c r="L57" s="84"/>
      <c r="M57" s="84"/>
    </row>
    <row r="58" spans="1:13" s="83" customFormat="1" x14ac:dyDescent="0.2">
      <c r="A58" s="26" t="s">
        <v>17</v>
      </c>
      <c r="C58" s="84"/>
      <c r="D58" s="84" t="s">
        <v>58</v>
      </c>
      <c r="E58" s="84" t="s">
        <v>84</v>
      </c>
      <c r="F58" s="84" t="s">
        <v>59</v>
      </c>
      <c r="G58" s="84" t="s">
        <v>60</v>
      </c>
      <c r="H58" s="84" t="s">
        <v>61</v>
      </c>
      <c r="I58" s="84" t="s">
        <v>62</v>
      </c>
      <c r="J58" s="84" t="s">
        <v>63</v>
      </c>
      <c r="K58" s="84" t="s">
        <v>293</v>
      </c>
      <c r="L58" s="84" t="s">
        <v>64</v>
      </c>
      <c r="M58" s="84"/>
    </row>
    <row r="59" spans="1:13" s="83" customFormat="1" x14ac:dyDescent="0.2">
      <c r="A59" s="28" t="s">
        <v>46</v>
      </c>
      <c r="B59" s="139" t="s">
        <v>228</v>
      </c>
      <c r="C59" s="139"/>
      <c r="D59" s="139" t="s">
        <v>81</v>
      </c>
      <c r="E59" s="139" t="s">
        <v>42</v>
      </c>
      <c r="F59" s="139" t="s">
        <v>42</v>
      </c>
      <c r="G59" s="139" t="s">
        <v>42</v>
      </c>
      <c r="H59" s="139" t="s">
        <v>42</v>
      </c>
      <c r="I59" s="139" t="s">
        <v>42</v>
      </c>
      <c r="J59" s="139" t="s">
        <v>42</v>
      </c>
      <c r="K59" s="139" t="s">
        <v>42</v>
      </c>
      <c r="L59" s="139" t="s">
        <v>47</v>
      </c>
      <c r="M59" s="139"/>
    </row>
    <row r="60" spans="1:13" s="83" customFormat="1" x14ac:dyDescent="0.2">
      <c r="A60" s="24"/>
      <c r="C60" s="84"/>
      <c r="D60" s="84" t="s">
        <v>76</v>
      </c>
      <c r="E60" s="84" t="s">
        <v>77</v>
      </c>
      <c r="F60" s="84" t="s">
        <v>78</v>
      </c>
      <c r="G60" s="84" t="s">
        <v>79</v>
      </c>
      <c r="H60" s="84" t="s">
        <v>80</v>
      </c>
      <c r="I60" s="84" t="s">
        <v>89</v>
      </c>
      <c r="J60" s="84" t="s">
        <v>90</v>
      </c>
      <c r="K60" s="84" t="s">
        <v>91</v>
      </c>
      <c r="L60" s="140" t="s">
        <v>92</v>
      </c>
      <c r="M60" s="140"/>
    </row>
    <row r="61" spans="1:13" x14ac:dyDescent="0.2">
      <c r="B61" s="83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</row>
    <row r="62" spans="1:13" x14ac:dyDescent="0.2">
      <c r="A62" s="24">
        <v>1</v>
      </c>
      <c r="B62" s="83" t="s">
        <v>232</v>
      </c>
      <c r="C62" s="91"/>
      <c r="D62" s="91">
        <f t="shared" ref="D62:K62" si="7">D16</f>
        <v>3051778.3422903828</v>
      </c>
      <c r="E62" s="91">
        <f t="shared" si="7"/>
        <v>-707935.80561264895</v>
      </c>
      <c r="F62" s="91">
        <f t="shared" si="7"/>
        <v>0</v>
      </c>
      <c r="G62" s="91">
        <f t="shared" si="7"/>
        <v>0</v>
      </c>
      <c r="H62" s="91">
        <f t="shared" si="7"/>
        <v>0</v>
      </c>
      <c r="I62" s="91">
        <f t="shared" si="7"/>
        <v>0</v>
      </c>
      <c r="J62" s="91">
        <f t="shared" si="7"/>
        <v>0</v>
      </c>
      <c r="K62" s="91">
        <f t="shared" si="7"/>
        <v>0</v>
      </c>
      <c r="L62" s="91">
        <f>SUM(D62:K62)</f>
        <v>2343842.536677734</v>
      </c>
      <c r="M62" s="91"/>
    </row>
    <row r="63" spans="1:13" x14ac:dyDescent="0.2">
      <c r="A63" s="24">
        <v>2</v>
      </c>
      <c r="B63" s="142" t="s">
        <v>317</v>
      </c>
      <c r="C63" s="91"/>
      <c r="D63" s="91">
        <f t="shared" ref="D63:K63" si="8">D23+D27+D28</f>
        <v>1311768.7760954318</v>
      </c>
      <c r="E63" s="91">
        <f t="shared" si="8"/>
        <v>-28685.558843424536</v>
      </c>
      <c r="F63" s="91">
        <f t="shared" si="8"/>
        <v>3994.7838500000375</v>
      </c>
      <c r="G63" s="91">
        <f t="shared" si="8"/>
        <v>6485</v>
      </c>
      <c r="H63" s="91">
        <f t="shared" si="8"/>
        <v>0</v>
      </c>
      <c r="I63" s="91">
        <f t="shared" si="8"/>
        <v>-656047</v>
      </c>
      <c r="J63" s="91">
        <f t="shared" si="8"/>
        <v>10944</v>
      </c>
      <c r="K63" s="91">
        <f t="shared" si="8"/>
        <v>0</v>
      </c>
      <c r="L63" s="91">
        <f>SUM(D63:K63)</f>
        <v>648460.00110200723</v>
      </c>
      <c r="M63" s="91"/>
    </row>
    <row r="64" spans="1:13" x14ac:dyDescent="0.2">
      <c r="A64" s="24">
        <v>3</v>
      </c>
      <c r="B64" s="83" t="s">
        <v>234</v>
      </c>
      <c r="C64" s="91"/>
      <c r="D64" s="91">
        <f t="shared" ref="D64:K64" si="9">D29</f>
        <v>0</v>
      </c>
      <c r="E64" s="91">
        <f t="shared" si="9"/>
        <v>0</v>
      </c>
      <c r="F64" s="91">
        <f t="shared" si="9"/>
        <v>0</v>
      </c>
      <c r="G64" s="91">
        <f t="shared" si="9"/>
        <v>0</v>
      </c>
      <c r="H64" s="91">
        <f t="shared" si="9"/>
        <v>0</v>
      </c>
      <c r="I64" s="91">
        <f t="shared" si="9"/>
        <v>0</v>
      </c>
      <c r="J64" s="91">
        <f t="shared" si="9"/>
        <v>0</v>
      </c>
      <c r="K64" s="91">
        <f t="shared" si="9"/>
        <v>0</v>
      </c>
      <c r="L64" s="91">
        <f>SUM(D64:K64)</f>
        <v>0</v>
      </c>
      <c r="M64" s="91"/>
    </row>
    <row r="65" spans="1:13" x14ac:dyDescent="0.2">
      <c r="A65" s="24">
        <v>4</v>
      </c>
      <c r="B65" s="83" t="s">
        <v>235</v>
      </c>
      <c r="C65" s="91"/>
      <c r="D65" s="91">
        <f t="shared" ref="D65:K65" si="10">D49</f>
        <v>0</v>
      </c>
      <c r="E65" s="91">
        <f t="shared" si="10"/>
        <v>0</v>
      </c>
      <c r="F65" s="91">
        <f t="shared" si="10"/>
        <v>18</v>
      </c>
      <c r="G65" s="91">
        <f t="shared" si="10"/>
        <v>0</v>
      </c>
      <c r="H65" s="91">
        <f t="shared" si="10"/>
        <v>0</v>
      </c>
      <c r="I65" s="91">
        <f t="shared" si="10"/>
        <v>0</v>
      </c>
      <c r="J65" s="91">
        <f t="shared" si="10"/>
        <v>0</v>
      </c>
      <c r="K65" s="91">
        <f t="shared" si="10"/>
        <v>0</v>
      </c>
      <c r="L65" s="91">
        <f>SUM(D65:K65)</f>
        <v>18</v>
      </c>
      <c r="M65" s="91"/>
    </row>
    <row r="66" spans="1:13" x14ac:dyDescent="0.2">
      <c r="A66" s="24">
        <v>5</v>
      </c>
      <c r="B66" s="83" t="s">
        <v>237</v>
      </c>
      <c r="C66" s="92"/>
      <c r="D66" s="92">
        <v>0</v>
      </c>
      <c r="E66" s="92">
        <v>0</v>
      </c>
      <c r="F66" s="92">
        <v>0</v>
      </c>
      <c r="G66" s="92">
        <v>0</v>
      </c>
      <c r="H66" s="92">
        <v>0</v>
      </c>
      <c r="I66" s="92">
        <v>0</v>
      </c>
      <c r="J66" s="92">
        <v>0</v>
      </c>
      <c r="K66" s="92">
        <v>0</v>
      </c>
      <c r="L66" s="92">
        <f>SUM(D66:K66)</f>
        <v>0</v>
      </c>
      <c r="M66" s="92"/>
    </row>
    <row r="67" spans="1:13" x14ac:dyDescent="0.2">
      <c r="B67" s="83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</row>
    <row r="68" spans="1:13" x14ac:dyDescent="0.2">
      <c r="A68" s="24">
        <v>6</v>
      </c>
      <c r="B68" s="83" t="s">
        <v>182</v>
      </c>
      <c r="C68" s="91"/>
      <c r="D68" s="91">
        <f t="shared" ref="D68:L68" si="11">D62-D63-D64-D65-D66</f>
        <v>1740009.5661949511</v>
      </c>
      <c r="E68" s="91">
        <f>E62-E63-E64-E65-E66</f>
        <v>-679250.24676922441</v>
      </c>
      <c r="F68" s="91">
        <f t="shared" si="11"/>
        <v>-4012.7838500000375</v>
      </c>
      <c r="G68" s="91">
        <f t="shared" si="11"/>
        <v>-6485</v>
      </c>
      <c r="H68" s="91">
        <f t="shared" si="11"/>
        <v>0</v>
      </c>
      <c r="I68" s="91">
        <f t="shared" si="11"/>
        <v>656047</v>
      </c>
      <c r="J68" s="91">
        <f t="shared" si="11"/>
        <v>-10944</v>
      </c>
      <c r="K68" s="91">
        <f>K62-K63-K64-K65-K66</f>
        <v>0</v>
      </c>
      <c r="L68" s="91">
        <f t="shared" si="11"/>
        <v>1695364.5355757268</v>
      </c>
      <c r="M68" s="91"/>
    </row>
    <row r="69" spans="1:13" x14ac:dyDescent="0.2">
      <c r="A69" s="24" t="s">
        <v>169</v>
      </c>
      <c r="B69" s="83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</row>
    <row r="70" spans="1:13" x14ac:dyDescent="0.2">
      <c r="A70" s="24">
        <v>7</v>
      </c>
      <c r="B70" s="83" t="s">
        <v>240</v>
      </c>
      <c r="C70" s="91"/>
      <c r="D70" s="91">
        <f>ROUND(+D68*$D$94,0)</f>
        <v>0</v>
      </c>
      <c r="E70" s="91">
        <f>ROUND(+E68*$D$94,0)</f>
        <v>0</v>
      </c>
      <c r="F70" s="91">
        <f t="shared" ref="F70:K70" si="12">ROUND(+F68*$D$97,0)</f>
        <v>0</v>
      </c>
      <c r="G70" s="91">
        <f t="shared" si="12"/>
        <v>0</v>
      </c>
      <c r="H70" s="91">
        <f t="shared" si="12"/>
        <v>0</v>
      </c>
      <c r="I70" s="91">
        <f t="shared" si="12"/>
        <v>0</v>
      </c>
      <c r="J70" s="91">
        <f t="shared" si="12"/>
        <v>0</v>
      </c>
      <c r="K70" s="91">
        <f t="shared" si="12"/>
        <v>0</v>
      </c>
      <c r="L70" s="91">
        <f>SUM(D70:K70)</f>
        <v>0</v>
      </c>
      <c r="M70" s="91"/>
    </row>
    <row r="71" spans="1:13" x14ac:dyDescent="0.2">
      <c r="A71" s="24">
        <v>8</v>
      </c>
      <c r="B71" s="83" t="s">
        <v>242</v>
      </c>
      <c r="C71" s="92"/>
      <c r="D71" s="92">
        <v>0</v>
      </c>
      <c r="E71" s="92">
        <v>0</v>
      </c>
      <c r="F71" s="92">
        <v>0</v>
      </c>
      <c r="G71" s="92">
        <v>0</v>
      </c>
      <c r="H71" s="92">
        <v>0</v>
      </c>
      <c r="I71" s="92">
        <v>0</v>
      </c>
      <c r="J71" s="92">
        <v>0</v>
      </c>
      <c r="K71" s="92">
        <v>0</v>
      </c>
      <c r="L71" s="92">
        <f>SUM(D71:K71)</f>
        <v>0</v>
      </c>
      <c r="M71" s="92"/>
    </row>
    <row r="72" spans="1:13" x14ac:dyDescent="0.2">
      <c r="B72" s="83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</row>
    <row r="73" spans="1:13" x14ac:dyDescent="0.2">
      <c r="A73" s="24">
        <v>9</v>
      </c>
      <c r="B73" s="83" t="s">
        <v>245</v>
      </c>
      <c r="C73" s="91"/>
      <c r="D73" s="91">
        <f t="shared" ref="D73:L73" si="13">D70+D71</f>
        <v>0</v>
      </c>
      <c r="E73" s="91">
        <f>E70+E71</f>
        <v>0</v>
      </c>
      <c r="F73" s="91">
        <f t="shared" si="13"/>
        <v>0</v>
      </c>
      <c r="G73" s="91">
        <f t="shared" si="13"/>
        <v>0</v>
      </c>
      <c r="H73" s="91">
        <f t="shared" si="13"/>
        <v>0</v>
      </c>
      <c r="I73" s="91">
        <f t="shared" si="13"/>
        <v>0</v>
      </c>
      <c r="J73" s="91">
        <f t="shared" si="13"/>
        <v>0</v>
      </c>
      <c r="K73" s="91">
        <f>K70+K71</f>
        <v>0</v>
      </c>
      <c r="L73" s="91">
        <f t="shared" si="13"/>
        <v>0</v>
      </c>
      <c r="M73" s="91"/>
    </row>
    <row r="74" spans="1:13" x14ac:dyDescent="0.2">
      <c r="B74" s="83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</row>
    <row r="75" spans="1:13" x14ac:dyDescent="0.2">
      <c r="A75" s="24">
        <v>10</v>
      </c>
      <c r="B75" s="83" t="s">
        <v>246</v>
      </c>
      <c r="C75" s="91"/>
      <c r="D75" s="91">
        <v>0</v>
      </c>
      <c r="E75" s="91">
        <v>0</v>
      </c>
      <c r="F75" s="91">
        <v>0</v>
      </c>
      <c r="G75" s="91">
        <v>0</v>
      </c>
      <c r="H75" s="91">
        <v>0</v>
      </c>
      <c r="I75" s="91">
        <v>0</v>
      </c>
      <c r="J75" s="91">
        <v>0</v>
      </c>
      <c r="K75" s="91">
        <v>0</v>
      </c>
      <c r="L75" s="91">
        <f>SUM(D75:K75)</f>
        <v>0</v>
      </c>
      <c r="M75" s="91"/>
    </row>
    <row r="76" spans="1:13" x14ac:dyDescent="0.2">
      <c r="A76" s="24">
        <v>11</v>
      </c>
      <c r="B76" s="83" t="s">
        <v>247</v>
      </c>
      <c r="C76" s="92"/>
      <c r="D76" s="92">
        <v>0</v>
      </c>
      <c r="E76" s="92">
        <v>0</v>
      </c>
      <c r="F76" s="92">
        <v>0</v>
      </c>
      <c r="G76" s="92">
        <v>0</v>
      </c>
      <c r="H76" s="92">
        <v>0</v>
      </c>
      <c r="I76" s="92">
        <v>0</v>
      </c>
      <c r="J76" s="92">
        <v>0</v>
      </c>
      <c r="K76" s="92">
        <v>0</v>
      </c>
      <c r="L76" s="92">
        <f>SUM(D76:K76)</f>
        <v>0</v>
      </c>
      <c r="M76" s="92"/>
    </row>
    <row r="77" spans="1:13" x14ac:dyDescent="0.2">
      <c r="B77" s="83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</row>
    <row r="78" spans="1:13" x14ac:dyDescent="0.2">
      <c r="A78" s="24">
        <v>12</v>
      </c>
      <c r="B78" s="83" t="s">
        <v>188</v>
      </c>
      <c r="C78" s="92"/>
      <c r="D78" s="92">
        <f t="shared" ref="D78:L78" si="14">D68-D73-D75-D76</f>
        <v>1740009.5661949511</v>
      </c>
      <c r="E78" s="92">
        <f>E68-E73-E75-E76</f>
        <v>-679250.24676922441</v>
      </c>
      <c r="F78" s="92">
        <f t="shared" si="14"/>
        <v>-4012.7838500000375</v>
      </c>
      <c r="G78" s="92">
        <f t="shared" si="14"/>
        <v>-6485</v>
      </c>
      <c r="H78" s="92">
        <f t="shared" si="14"/>
        <v>0</v>
      </c>
      <c r="I78" s="92">
        <f t="shared" si="14"/>
        <v>656047</v>
      </c>
      <c r="J78" s="92">
        <f t="shared" si="14"/>
        <v>-10944</v>
      </c>
      <c r="K78" s="92">
        <f>K68-K73-K75-K76</f>
        <v>0</v>
      </c>
      <c r="L78" s="92">
        <f t="shared" si="14"/>
        <v>1695364.5355757268</v>
      </c>
      <c r="M78" s="92"/>
    </row>
    <row r="79" spans="1:13" x14ac:dyDescent="0.2">
      <c r="B79" s="83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</row>
    <row r="80" spans="1:13" x14ac:dyDescent="0.2">
      <c r="A80" s="24">
        <v>13</v>
      </c>
      <c r="B80" s="83" t="s">
        <v>249</v>
      </c>
      <c r="C80" s="91"/>
      <c r="D80" s="91">
        <f>ROUND(+D78*$D$95,0)</f>
        <v>365402</v>
      </c>
      <c r="E80" s="91">
        <f>ROUND(+E78*$D$95,0)</f>
        <v>-142643</v>
      </c>
      <c r="F80" s="91">
        <f t="shared" ref="F80:K80" si="15">ROUND(+F78*$D$98,0)</f>
        <v>-843</v>
      </c>
      <c r="G80" s="91">
        <f t="shared" si="15"/>
        <v>-1362</v>
      </c>
      <c r="H80" s="91">
        <f t="shared" si="15"/>
        <v>0</v>
      </c>
      <c r="I80" s="91">
        <f t="shared" si="15"/>
        <v>137770</v>
      </c>
      <c r="J80" s="91">
        <f t="shared" si="15"/>
        <v>-2298</v>
      </c>
      <c r="K80" s="91">
        <f t="shared" si="15"/>
        <v>0</v>
      </c>
      <c r="L80" s="91">
        <f>SUM(D80:K80)</f>
        <v>356026</v>
      </c>
      <c r="M80" s="91"/>
    </row>
    <row r="81" spans="1:13" x14ac:dyDescent="0.2">
      <c r="A81" s="24">
        <v>14</v>
      </c>
      <c r="B81" s="83" t="s">
        <v>250</v>
      </c>
      <c r="C81" s="92"/>
      <c r="D81" s="92">
        <v>0</v>
      </c>
      <c r="E81" s="92">
        <v>0</v>
      </c>
      <c r="F81" s="92">
        <v>0</v>
      </c>
      <c r="G81" s="92">
        <v>0</v>
      </c>
      <c r="H81" s="92">
        <v>0</v>
      </c>
      <c r="I81" s="92">
        <v>0</v>
      </c>
      <c r="J81" s="92">
        <v>0</v>
      </c>
      <c r="K81" s="92">
        <v>0</v>
      </c>
      <c r="L81" s="92">
        <f>SUM(D81:K81)</f>
        <v>0</v>
      </c>
      <c r="M81" s="92"/>
    </row>
    <row r="82" spans="1:13" x14ac:dyDescent="0.2">
      <c r="B82" s="83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</row>
    <row r="83" spans="1:13" x14ac:dyDescent="0.2">
      <c r="A83" s="24">
        <v>15</v>
      </c>
      <c r="B83" s="83" t="s">
        <v>251</v>
      </c>
      <c r="C83" s="91"/>
      <c r="D83" s="91">
        <f t="shared" ref="D83:L83" si="16">D80+D81</f>
        <v>365402</v>
      </c>
      <c r="E83" s="91">
        <f>E80+E81</f>
        <v>-142643</v>
      </c>
      <c r="F83" s="91">
        <f t="shared" si="16"/>
        <v>-843</v>
      </c>
      <c r="G83" s="91">
        <f t="shared" si="16"/>
        <v>-1362</v>
      </c>
      <c r="H83" s="91">
        <f t="shared" si="16"/>
        <v>0</v>
      </c>
      <c r="I83" s="91">
        <f t="shared" si="16"/>
        <v>137770</v>
      </c>
      <c r="J83" s="91">
        <f t="shared" si="16"/>
        <v>-2298</v>
      </c>
      <c r="K83" s="91">
        <f>K80+K81</f>
        <v>0</v>
      </c>
      <c r="L83" s="91">
        <f t="shared" si="16"/>
        <v>356026</v>
      </c>
      <c r="M83" s="91"/>
    </row>
    <row r="84" spans="1:13" x14ac:dyDescent="0.2">
      <c r="B84" s="83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</row>
    <row r="85" spans="1:13" x14ac:dyDescent="0.2">
      <c r="A85" s="24">
        <v>16</v>
      </c>
      <c r="B85" s="83" t="s">
        <v>252</v>
      </c>
      <c r="C85" s="91"/>
      <c r="D85" s="91">
        <v>0</v>
      </c>
      <c r="E85" s="91">
        <v>0</v>
      </c>
      <c r="F85" s="91">
        <v>0</v>
      </c>
      <c r="G85" s="91">
        <v>0</v>
      </c>
      <c r="H85" s="91">
        <v>0</v>
      </c>
      <c r="I85" s="91">
        <v>0</v>
      </c>
      <c r="J85" s="91">
        <v>0</v>
      </c>
      <c r="K85" s="91">
        <v>0</v>
      </c>
      <c r="L85" s="91">
        <f>SUM(D85:K85)</f>
        <v>0</v>
      </c>
      <c r="M85" s="91"/>
    </row>
    <row r="86" spans="1:13" x14ac:dyDescent="0.2">
      <c r="A86" s="24">
        <v>17</v>
      </c>
      <c r="B86" s="83" t="s">
        <v>253</v>
      </c>
      <c r="C86" s="91"/>
      <c r="D86" s="91">
        <v>0</v>
      </c>
      <c r="E86" s="91">
        <v>0</v>
      </c>
      <c r="F86" s="91">
        <v>0</v>
      </c>
      <c r="G86" s="91">
        <v>0</v>
      </c>
      <c r="H86" s="91">
        <v>0</v>
      </c>
      <c r="I86" s="91">
        <v>0</v>
      </c>
      <c r="J86" s="91">
        <v>0</v>
      </c>
      <c r="K86" s="91">
        <v>0</v>
      </c>
      <c r="L86" s="91">
        <f>SUM(D86:K86)</f>
        <v>0</v>
      </c>
      <c r="M86" s="91"/>
    </row>
    <row r="87" spans="1:13" x14ac:dyDescent="0.2">
      <c r="A87" s="24">
        <v>18</v>
      </c>
      <c r="B87" s="83" t="s">
        <v>254</v>
      </c>
      <c r="C87" s="92"/>
      <c r="D87" s="92">
        <v>0</v>
      </c>
      <c r="E87" s="92">
        <v>0</v>
      </c>
      <c r="F87" s="92">
        <v>0</v>
      </c>
      <c r="G87" s="92">
        <v>0</v>
      </c>
      <c r="H87" s="92">
        <v>0</v>
      </c>
      <c r="I87" s="92">
        <v>0</v>
      </c>
      <c r="J87" s="92">
        <v>0</v>
      </c>
      <c r="K87" s="92">
        <v>0</v>
      </c>
      <c r="L87" s="92">
        <f>SUM(D87:K87)</f>
        <v>0</v>
      </c>
      <c r="M87" s="92"/>
    </row>
    <row r="88" spans="1:13" x14ac:dyDescent="0.2">
      <c r="B88" s="83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</row>
    <row r="89" spans="1:13" ht="13.5" thickBot="1" x14ac:dyDescent="0.25">
      <c r="A89" s="24">
        <v>19</v>
      </c>
      <c r="B89" s="83" t="s">
        <v>255</v>
      </c>
      <c r="C89" s="93"/>
      <c r="D89" s="93">
        <f t="shared" ref="D89:L89" si="17">D83+D85+D87</f>
        <v>365402</v>
      </c>
      <c r="E89" s="93">
        <f>E83+E85+E87</f>
        <v>-142643</v>
      </c>
      <c r="F89" s="93">
        <f t="shared" si="17"/>
        <v>-843</v>
      </c>
      <c r="G89" s="93">
        <f t="shared" si="17"/>
        <v>-1362</v>
      </c>
      <c r="H89" s="93">
        <f t="shared" si="17"/>
        <v>0</v>
      </c>
      <c r="I89" s="93">
        <f t="shared" si="17"/>
        <v>137770</v>
      </c>
      <c r="J89" s="93">
        <f t="shared" si="17"/>
        <v>-2298</v>
      </c>
      <c r="K89" s="93">
        <f>K83+K85+K87</f>
        <v>0</v>
      </c>
      <c r="L89" s="93">
        <f t="shared" si="17"/>
        <v>356026</v>
      </c>
      <c r="M89" s="93"/>
    </row>
    <row r="90" spans="1:13" ht="13.5" thickTop="1" x14ac:dyDescent="0.2">
      <c r="B90" s="83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</row>
    <row r="91" spans="1:13" ht="13.5" thickBot="1" x14ac:dyDescent="0.25">
      <c r="A91" s="24">
        <v>20</v>
      </c>
      <c r="B91" s="83" t="s">
        <v>256</v>
      </c>
      <c r="C91" s="93"/>
      <c r="D91" s="93">
        <f t="shared" ref="D91:L91" si="18">D73+D86</f>
        <v>0</v>
      </c>
      <c r="E91" s="93">
        <f>E73+E86</f>
        <v>0</v>
      </c>
      <c r="F91" s="93">
        <f t="shared" si="18"/>
        <v>0</v>
      </c>
      <c r="G91" s="93">
        <f t="shared" si="18"/>
        <v>0</v>
      </c>
      <c r="H91" s="93">
        <f t="shared" si="18"/>
        <v>0</v>
      </c>
      <c r="I91" s="93">
        <f t="shared" si="18"/>
        <v>0</v>
      </c>
      <c r="J91" s="93">
        <f t="shared" si="18"/>
        <v>0</v>
      </c>
      <c r="K91" s="93">
        <f>K73+K86</f>
        <v>0</v>
      </c>
      <c r="L91" s="93">
        <f t="shared" si="18"/>
        <v>0</v>
      </c>
      <c r="M91" s="93"/>
    </row>
    <row r="92" spans="1:13" ht="13.5" thickTop="1" x14ac:dyDescent="0.2">
      <c r="B92" s="83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</row>
    <row r="93" spans="1:13" x14ac:dyDescent="0.2">
      <c r="B93" s="83"/>
      <c r="C93" s="41"/>
      <c r="D93" s="41"/>
      <c r="E93" s="41"/>
      <c r="F93" s="41"/>
      <c r="H93" s="41"/>
      <c r="I93" s="41"/>
      <c r="J93" s="41"/>
      <c r="K93" s="41"/>
      <c r="L93" s="41"/>
      <c r="M93" s="41"/>
    </row>
    <row r="94" spans="1:13" x14ac:dyDescent="0.2">
      <c r="A94" s="24" t="s">
        <v>257</v>
      </c>
      <c r="B94" s="83"/>
      <c r="C94" s="31"/>
      <c r="D94" s="31">
        <f>'Cost of Cap'!C51</f>
        <v>0</v>
      </c>
      <c r="E94" s="31">
        <f>'Cost of Cap'!D51</f>
        <v>0</v>
      </c>
      <c r="F94" s="41"/>
      <c r="G94" s="41"/>
      <c r="H94" s="41"/>
      <c r="I94" s="41"/>
      <c r="J94" s="41"/>
      <c r="K94" s="41"/>
      <c r="L94" s="41"/>
      <c r="M94" s="41"/>
    </row>
    <row r="95" spans="1:13" x14ac:dyDescent="0.2">
      <c r="A95" s="24" t="s">
        <v>258</v>
      </c>
      <c r="B95" s="83"/>
      <c r="C95" s="31"/>
      <c r="D95" s="31">
        <f>'Cost of Cap'!$C$50</f>
        <v>0.21</v>
      </c>
      <c r="E95" s="31">
        <f>'Cost of Cap'!$C$50</f>
        <v>0.21</v>
      </c>
      <c r="F95" s="41"/>
      <c r="G95" s="41"/>
      <c r="H95" s="41"/>
      <c r="I95" s="41"/>
      <c r="J95" s="41"/>
      <c r="K95" s="41"/>
      <c r="L95" s="41"/>
      <c r="M95" s="41"/>
    </row>
    <row r="96" spans="1:13" x14ac:dyDescent="0.2">
      <c r="B96" s="83"/>
      <c r="C96" s="31"/>
      <c r="D96" s="31"/>
      <c r="E96" s="31"/>
    </row>
    <row r="97" spans="1:7" x14ac:dyDescent="0.2">
      <c r="A97" s="24" t="s">
        <v>257</v>
      </c>
      <c r="B97" s="83"/>
      <c r="C97" s="31"/>
      <c r="D97" s="31">
        <f>$D$94</f>
        <v>0</v>
      </c>
      <c r="E97" s="31">
        <f>$D$94</f>
        <v>0</v>
      </c>
      <c r="G97" s="41"/>
    </row>
    <row r="98" spans="1:7" x14ac:dyDescent="0.2">
      <c r="A98" s="24" t="s">
        <v>258</v>
      </c>
      <c r="B98" s="83"/>
      <c r="C98" s="31"/>
      <c r="D98" s="31">
        <f>$D$95</f>
        <v>0.21</v>
      </c>
      <c r="E98" s="31">
        <f>$D$95</f>
        <v>0.21</v>
      </c>
      <c r="G98" s="41"/>
    </row>
    <row r="99" spans="1:7" x14ac:dyDescent="0.2">
      <c r="C99" s="41"/>
      <c r="D99" s="41"/>
      <c r="E99" s="41"/>
      <c r="G99" s="41"/>
    </row>
    <row r="100" spans="1:7" x14ac:dyDescent="0.2">
      <c r="B100" s="83"/>
      <c r="C100" s="41"/>
      <c r="D100" s="41"/>
      <c r="E100" s="41"/>
      <c r="G100" s="41"/>
    </row>
    <row r="101" spans="1:7" x14ac:dyDescent="0.2">
      <c r="B101" s="83"/>
    </row>
    <row r="102" spans="1:7" x14ac:dyDescent="0.2">
      <c r="B102" s="83"/>
      <c r="D102" s="30" t="s">
        <v>76</v>
      </c>
      <c r="E102" s="30" t="s">
        <v>76</v>
      </c>
      <c r="G102" s="41"/>
    </row>
    <row r="103" spans="1:7" x14ac:dyDescent="0.2">
      <c r="B103" s="83"/>
      <c r="D103" s="30" t="s">
        <v>77</v>
      </c>
      <c r="E103" s="30" t="s">
        <v>77</v>
      </c>
      <c r="F103" s="41"/>
      <c r="G103" s="41"/>
    </row>
    <row r="104" spans="1:7" x14ac:dyDescent="0.2">
      <c r="B104" s="83"/>
      <c r="D104" s="30" t="s">
        <v>78</v>
      </c>
      <c r="E104" s="30" t="s">
        <v>78</v>
      </c>
      <c r="F104" s="41"/>
      <c r="G104" s="41"/>
    </row>
    <row r="105" spans="1:7" x14ac:dyDescent="0.2">
      <c r="D105" s="30" t="s">
        <v>79</v>
      </c>
      <c r="E105" s="30" t="s">
        <v>79</v>
      </c>
      <c r="F105" s="41"/>
      <c r="G105" s="41"/>
    </row>
    <row r="106" spans="1:7" x14ac:dyDescent="0.2">
      <c r="D106" s="30" t="s">
        <v>80</v>
      </c>
      <c r="E106" s="30" t="s">
        <v>80</v>
      </c>
      <c r="F106" s="41"/>
      <c r="G106" s="41"/>
    </row>
    <row r="107" spans="1:7" x14ac:dyDescent="0.2">
      <c r="D107" s="30" t="s">
        <v>89</v>
      </c>
      <c r="E107" s="30" t="s">
        <v>89</v>
      </c>
      <c r="F107" s="41"/>
      <c r="G107" s="41"/>
    </row>
    <row r="108" spans="1:7" x14ac:dyDescent="0.2">
      <c r="D108" s="30" t="s">
        <v>90</v>
      </c>
      <c r="E108" s="30" t="s">
        <v>90</v>
      </c>
      <c r="F108" s="41"/>
      <c r="G108" s="41"/>
    </row>
    <row r="109" spans="1:7" x14ac:dyDescent="0.2">
      <c r="D109" s="30" t="s">
        <v>91</v>
      </c>
      <c r="E109" s="30" t="s">
        <v>91</v>
      </c>
      <c r="F109" s="41"/>
      <c r="G109" s="41"/>
    </row>
    <row r="110" spans="1:7" x14ac:dyDescent="0.2">
      <c r="D110" s="30" t="s">
        <v>92</v>
      </c>
      <c r="E110" s="30" t="s">
        <v>92</v>
      </c>
      <c r="F110" s="41"/>
      <c r="G110" s="41"/>
    </row>
    <row r="111" spans="1:7" x14ac:dyDescent="0.2">
      <c r="D111" s="30" t="s">
        <v>93</v>
      </c>
      <c r="E111" s="30" t="s">
        <v>93</v>
      </c>
      <c r="F111" s="41"/>
      <c r="G111" s="41"/>
    </row>
    <row r="112" spans="1:7" x14ac:dyDescent="0.2">
      <c r="D112" s="30" t="s">
        <v>94</v>
      </c>
      <c r="E112" s="30" t="s">
        <v>94</v>
      </c>
      <c r="F112" s="41"/>
      <c r="G112" s="41"/>
    </row>
    <row r="113" spans="1:11" x14ac:dyDescent="0.2">
      <c r="D113" s="30" t="s">
        <v>95</v>
      </c>
      <c r="E113" s="30" t="s">
        <v>95</v>
      </c>
      <c r="F113" s="41"/>
      <c r="G113" s="41"/>
    </row>
    <row r="114" spans="1:11" x14ac:dyDescent="0.2">
      <c r="D114" s="30" t="s">
        <v>96</v>
      </c>
      <c r="E114" s="30" t="s">
        <v>96</v>
      </c>
      <c r="F114" s="41"/>
      <c r="G114" s="41"/>
    </row>
    <row r="115" spans="1:11" x14ac:dyDescent="0.2">
      <c r="D115" s="30" t="s">
        <v>97</v>
      </c>
      <c r="E115" s="30" t="s">
        <v>97</v>
      </c>
      <c r="F115" s="41"/>
      <c r="G115" s="41"/>
    </row>
    <row r="116" spans="1:11" x14ac:dyDescent="0.2">
      <c r="D116" s="30" t="s">
        <v>98</v>
      </c>
      <c r="E116" s="30" t="s">
        <v>98</v>
      </c>
      <c r="F116" s="41"/>
      <c r="G116" s="41"/>
    </row>
    <row r="117" spans="1:11" x14ac:dyDescent="0.2">
      <c r="D117" s="30" t="s">
        <v>99</v>
      </c>
      <c r="E117" s="30" t="s">
        <v>99</v>
      </c>
      <c r="F117" s="41"/>
      <c r="G117" s="41"/>
    </row>
    <row r="118" spans="1:11" x14ac:dyDescent="0.2">
      <c r="D118" s="30" t="s">
        <v>230</v>
      </c>
      <c r="E118" s="30" t="s">
        <v>230</v>
      </c>
      <c r="F118" s="41"/>
      <c r="G118" s="41"/>
    </row>
    <row r="119" spans="1:11" x14ac:dyDescent="0.2">
      <c r="D119" s="30" t="s">
        <v>272</v>
      </c>
      <c r="E119" s="30" t="s">
        <v>272</v>
      </c>
      <c r="F119" s="41"/>
      <c r="G119" s="41"/>
    </row>
    <row r="120" spans="1:11" x14ac:dyDescent="0.2">
      <c r="C120" s="41"/>
      <c r="D120" s="41"/>
      <c r="E120" s="41"/>
      <c r="F120" s="41"/>
      <c r="G120" s="41"/>
    </row>
    <row r="121" spans="1:11" x14ac:dyDescent="0.2">
      <c r="C121" s="41"/>
      <c r="D121" s="41"/>
      <c r="E121" s="41"/>
      <c r="F121" s="41"/>
      <c r="G121" s="41"/>
    </row>
    <row r="122" spans="1:11" x14ac:dyDescent="0.2">
      <c r="A122" s="24">
        <v>1</v>
      </c>
      <c r="B122" s="24" t="s">
        <v>273</v>
      </c>
      <c r="D122" s="30">
        <f t="shared" ref="D122:K122" si="19">D33+D26-D49</f>
        <v>1740009.5661949511</v>
      </c>
      <c r="E122" s="30">
        <f t="shared" si="19"/>
        <v>-679250.24676922441</v>
      </c>
      <c r="F122" s="30">
        <f t="shared" si="19"/>
        <v>-4012.7838500000375</v>
      </c>
      <c r="G122" s="30">
        <f t="shared" si="19"/>
        <v>-6485</v>
      </c>
      <c r="H122" s="30">
        <f t="shared" si="19"/>
        <v>0</v>
      </c>
      <c r="I122" s="30">
        <f t="shared" si="19"/>
        <v>656047</v>
      </c>
      <c r="J122" s="30">
        <f t="shared" si="19"/>
        <v>-10944</v>
      </c>
      <c r="K122" s="30">
        <f t="shared" si="19"/>
        <v>0</v>
      </c>
    </row>
    <row r="123" spans="1:11" x14ac:dyDescent="0.2">
      <c r="A123" s="24">
        <v>2</v>
      </c>
      <c r="B123" s="24" t="s">
        <v>274</v>
      </c>
      <c r="D123" s="30">
        <f t="shared" ref="D123:K123" si="20">D26</f>
        <v>365402</v>
      </c>
      <c r="E123" s="30">
        <f t="shared" si="20"/>
        <v>-142643</v>
      </c>
      <c r="F123" s="30">
        <f t="shared" si="20"/>
        <v>-843</v>
      </c>
      <c r="G123" s="30">
        <f t="shared" si="20"/>
        <v>-1362</v>
      </c>
      <c r="H123" s="30">
        <f t="shared" si="20"/>
        <v>0</v>
      </c>
      <c r="I123" s="30">
        <f t="shared" si="20"/>
        <v>137770</v>
      </c>
      <c r="J123" s="30">
        <f t="shared" si="20"/>
        <v>-2298</v>
      </c>
      <c r="K123" s="30">
        <f t="shared" si="20"/>
        <v>0</v>
      </c>
    </row>
    <row r="124" spans="1:11" x14ac:dyDescent="0.2">
      <c r="A124" s="24">
        <v>3</v>
      </c>
      <c r="B124" s="24" t="s">
        <v>275</v>
      </c>
      <c r="D124" s="30">
        <f t="shared" ref="D124:J124" si="21">D122*0.35</f>
        <v>609003.34816823283</v>
      </c>
      <c r="E124" s="30">
        <f>E122*0.35</f>
        <v>-237737.58636922852</v>
      </c>
      <c r="F124" s="30">
        <f t="shared" si="21"/>
        <v>-1404.474347500013</v>
      </c>
      <c r="G124" s="30">
        <f t="shared" si="21"/>
        <v>-2269.75</v>
      </c>
      <c r="H124" s="30">
        <f t="shared" si="21"/>
        <v>0</v>
      </c>
      <c r="I124" s="30">
        <f t="shared" si="21"/>
        <v>229616.44999999998</v>
      </c>
      <c r="J124" s="30">
        <f t="shared" si="21"/>
        <v>-3830.3999999999996</v>
      </c>
      <c r="K124" s="30">
        <f>K122*0.35</f>
        <v>0</v>
      </c>
    </row>
    <row r="125" spans="1:11" x14ac:dyDescent="0.2">
      <c r="A125" s="24">
        <v>4</v>
      </c>
      <c r="B125" s="24" t="s">
        <v>276</v>
      </c>
      <c r="D125" s="30">
        <f t="shared" ref="D125:K125" si="22">D123-D124</f>
        <v>-243601.34816823283</v>
      </c>
      <c r="E125" s="30">
        <f t="shared" si="22"/>
        <v>95094.58636922852</v>
      </c>
      <c r="F125" s="30">
        <f t="shared" si="22"/>
        <v>561.47434750001298</v>
      </c>
      <c r="G125" s="30">
        <f t="shared" si="22"/>
        <v>907.75</v>
      </c>
      <c r="H125" s="30">
        <f t="shared" si="22"/>
        <v>0</v>
      </c>
      <c r="I125" s="30">
        <f t="shared" si="22"/>
        <v>-91846.449999999983</v>
      </c>
      <c r="J125" s="30">
        <f t="shared" si="22"/>
        <v>1532.3999999999996</v>
      </c>
      <c r="K125" s="30">
        <f t="shared" si="22"/>
        <v>0</v>
      </c>
    </row>
  </sheetData>
  <phoneticPr fontId="0" type="noConversion"/>
  <printOptions horizontalCentered="1"/>
  <pageMargins left="0.5" right="0.5" top="0.5" bottom="0.5" header="0.25" footer="0.25"/>
  <pageSetup scale="60" fitToHeight="0" orientation="landscape" r:id="rId1"/>
  <headerFooter alignWithMargins="0"/>
  <rowBreaks count="1" manualBreakCount="1">
    <brk id="50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H55"/>
  <sheetViews>
    <sheetView showGridLines="0" zoomScaleNormal="100" workbookViewId="0">
      <selection activeCell="G29" sqref="G29"/>
    </sheetView>
  </sheetViews>
  <sheetFormatPr defaultColWidth="8.85546875" defaultRowHeight="12.75" x14ac:dyDescent="0.2"/>
  <cols>
    <col min="1" max="1" width="9.140625" style="373" bestFit="1" customWidth="1"/>
    <col min="2" max="2" width="37.5703125" style="349" bestFit="1" customWidth="1"/>
    <col min="3" max="8" width="15.140625" style="349" customWidth="1"/>
    <col min="9" max="16384" width="8.85546875" style="349"/>
  </cols>
  <sheetData>
    <row r="1" spans="1:8" s="324" customFormat="1" ht="12" customHeight="1" x14ac:dyDescent="0.2">
      <c r="A1" s="323" t="s">
        <v>0</v>
      </c>
      <c r="H1" s="325" t="s">
        <v>417</v>
      </c>
    </row>
    <row r="2" spans="1:8" s="324" customFormat="1" x14ac:dyDescent="0.2">
      <c r="A2" s="325" t="s">
        <v>328</v>
      </c>
      <c r="C2" s="326"/>
      <c r="G2" s="327"/>
    </row>
    <row r="3" spans="1:8" s="324" customFormat="1" x14ac:dyDescent="0.2">
      <c r="A3" s="323" t="s">
        <v>511</v>
      </c>
      <c r="C3" s="328"/>
      <c r="G3" s="327"/>
    </row>
    <row r="4" spans="1:8" s="324" customFormat="1" x14ac:dyDescent="0.2">
      <c r="A4" s="323" t="s">
        <v>378</v>
      </c>
      <c r="C4" s="328"/>
      <c r="G4" s="327"/>
    </row>
    <row r="5" spans="1:8" s="324" customFormat="1" x14ac:dyDescent="0.2">
      <c r="A5" s="323"/>
      <c r="C5" s="328"/>
      <c r="G5" s="327"/>
    </row>
    <row r="6" spans="1:8" s="324" customFormat="1" ht="13.5" thickBot="1" x14ac:dyDescent="0.25">
      <c r="A6" s="329">
        <v>1</v>
      </c>
      <c r="B6" s="330" t="s">
        <v>84</v>
      </c>
      <c r="C6" s="331"/>
      <c r="D6" s="332"/>
      <c r="E6" s="332"/>
      <c r="F6" s="332"/>
      <c r="G6" s="333"/>
      <c r="H6" s="332"/>
    </row>
    <row r="7" spans="1:8" s="324" customFormat="1" x14ac:dyDescent="0.2">
      <c r="A7" s="329">
        <v>2</v>
      </c>
      <c r="C7" s="334"/>
      <c r="D7" s="335"/>
      <c r="E7" s="336"/>
      <c r="F7" s="335"/>
      <c r="G7" s="337"/>
      <c r="H7" s="335"/>
    </row>
    <row r="8" spans="1:8" s="324" customFormat="1" x14ac:dyDescent="0.2">
      <c r="A8" s="329">
        <v>3</v>
      </c>
      <c r="C8" s="338"/>
      <c r="D8" s="334"/>
      <c r="E8" s="339"/>
      <c r="F8" s="340"/>
      <c r="G8" s="341"/>
      <c r="H8" s="334"/>
    </row>
    <row r="9" spans="1:8" s="324" customFormat="1" x14ac:dyDescent="0.2">
      <c r="A9" s="329">
        <v>4</v>
      </c>
      <c r="C9" s="334" t="s">
        <v>290</v>
      </c>
      <c r="D9" s="334"/>
      <c r="E9" s="334" t="s">
        <v>65</v>
      </c>
      <c r="F9" s="334"/>
      <c r="G9" s="341"/>
      <c r="H9" s="334" t="s">
        <v>41</v>
      </c>
    </row>
    <row r="10" spans="1:8" s="324" customFormat="1" x14ac:dyDescent="0.2">
      <c r="A10" s="329">
        <v>5</v>
      </c>
      <c r="C10" s="334" t="s">
        <v>291</v>
      </c>
      <c r="D10" s="334" t="s">
        <v>290</v>
      </c>
      <c r="E10" s="334" t="s">
        <v>291</v>
      </c>
      <c r="F10" s="334" t="s">
        <v>65</v>
      </c>
      <c r="G10" s="342" t="s">
        <v>65</v>
      </c>
      <c r="H10" s="334" t="s">
        <v>66</v>
      </c>
    </row>
    <row r="11" spans="1:8" s="324" customFormat="1" x14ac:dyDescent="0.2">
      <c r="A11" s="329">
        <v>6</v>
      </c>
      <c r="B11" s="343"/>
      <c r="C11" s="344" t="s">
        <v>82</v>
      </c>
      <c r="D11" s="344" t="s">
        <v>83</v>
      </c>
      <c r="E11" s="344" t="s">
        <v>82</v>
      </c>
      <c r="F11" s="344" t="s">
        <v>84</v>
      </c>
      <c r="G11" s="345" t="s">
        <v>19</v>
      </c>
      <c r="H11" s="344" t="s">
        <v>85</v>
      </c>
    </row>
    <row r="12" spans="1:8" s="346" customFormat="1" x14ac:dyDescent="0.2">
      <c r="A12" s="329">
        <v>7</v>
      </c>
      <c r="C12" s="329" t="s">
        <v>76</v>
      </c>
      <c r="D12" s="329" t="s">
        <v>77</v>
      </c>
      <c r="E12" s="329" t="s">
        <v>78</v>
      </c>
      <c r="F12" s="329" t="s">
        <v>79</v>
      </c>
      <c r="G12" s="329" t="s">
        <v>80</v>
      </c>
      <c r="H12" s="329" t="s">
        <v>89</v>
      </c>
    </row>
    <row r="13" spans="1:8" x14ac:dyDescent="0.2">
      <c r="A13" s="329">
        <v>8</v>
      </c>
      <c r="B13" s="347" t="s">
        <v>322</v>
      </c>
      <c r="C13" s="348"/>
      <c r="D13" s="348"/>
      <c r="E13" s="348"/>
      <c r="F13" s="329"/>
      <c r="G13" s="329"/>
      <c r="H13" s="348"/>
    </row>
    <row r="14" spans="1:8" x14ac:dyDescent="0.2">
      <c r="A14" s="329">
        <v>9</v>
      </c>
      <c r="B14" s="350" t="s">
        <v>108</v>
      </c>
      <c r="C14" s="351">
        <v>49654942</v>
      </c>
      <c r="D14" s="352">
        <v>45624648.959999993</v>
      </c>
      <c r="E14" s="351">
        <v>50864021.965499759</v>
      </c>
      <c r="F14" s="353">
        <v>46590395.918258473</v>
      </c>
      <c r="G14" s="354">
        <v>0.79874531529376647</v>
      </c>
      <c r="H14" s="353">
        <v>965746.95825847983</v>
      </c>
    </row>
    <row r="15" spans="1:8" x14ac:dyDescent="0.2">
      <c r="A15" s="329">
        <v>10</v>
      </c>
      <c r="B15" s="350" t="s">
        <v>40</v>
      </c>
      <c r="C15" s="351">
        <v>21745578</v>
      </c>
      <c r="D15" s="352">
        <v>17794468.890000001</v>
      </c>
      <c r="E15" s="351">
        <v>22650685.186160982</v>
      </c>
      <c r="F15" s="353">
        <v>18497619.362849109</v>
      </c>
      <c r="G15" s="354">
        <v>0.77686983773880369</v>
      </c>
      <c r="H15" s="353">
        <v>703150.47284910828</v>
      </c>
    </row>
    <row r="16" spans="1:8" x14ac:dyDescent="0.2">
      <c r="A16" s="329">
        <v>11</v>
      </c>
      <c r="B16" s="350" t="s">
        <v>120</v>
      </c>
      <c r="C16" s="351">
        <v>3057094</v>
      </c>
      <c r="D16" s="352">
        <v>1944198.81</v>
      </c>
      <c r="E16" s="351">
        <v>3057094</v>
      </c>
      <c r="F16" s="353">
        <v>1944198.81</v>
      </c>
      <c r="G16" s="354">
        <v>0.63596304529726599</v>
      </c>
      <c r="H16" s="353">
        <v>0</v>
      </c>
    </row>
    <row r="17" spans="1:8" x14ac:dyDescent="0.2">
      <c r="A17" s="329">
        <v>12</v>
      </c>
      <c r="B17" s="350" t="s">
        <v>125</v>
      </c>
      <c r="C17" s="351">
        <v>1303876</v>
      </c>
      <c r="D17" s="352">
        <v>522785.18000000005</v>
      </c>
      <c r="E17" s="351">
        <v>1303876</v>
      </c>
      <c r="F17" s="353">
        <v>522785.18000000005</v>
      </c>
      <c r="G17" s="354">
        <v>0.400947007230749</v>
      </c>
      <c r="H17" s="353">
        <v>0</v>
      </c>
    </row>
    <row r="18" spans="1:8" x14ac:dyDescent="0.2">
      <c r="A18" s="329">
        <v>13</v>
      </c>
      <c r="B18" s="350"/>
      <c r="C18" s="355"/>
      <c r="D18" s="356"/>
      <c r="E18" s="355"/>
      <c r="F18" s="354"/>
      <c r="G18" s="354"/>
      <c r="H18" s="353"/>
    </row>
    <row r="19" spans="1:8" x14ac:dyDescent="0.2">
      <c r="A19" s="329">
        <v>14</v>
      </c>
      <c r="B19" s="357"/>
      <c r="C19" s="358"/>
      <c r="D19" s="358"/>
      <c r="E19" s="358"/>
      <c r="F19" s="358"/>
      <c r="G19" s="358"/>
      <c r="H19" s="358"/>
    </row>
    <row r="20" spans="1:8" x14ac:dyDescent="0.2">
      <c r="A20" s="329">
        <v>15</v>
      </c>
      <c r="B20" s="350" t="s">
        <v>141</v>
      </c>
      <c r="C20" s="355">
        <v>75761490</v>
      </c>
      <c r="D20" s="355">
        <v>65886101.839999996</v>
      </c>
      <c r="E20" s="355">
        <v>77875677.15166074</v>
      </c>
      <c r="F20" s="355">
        <v>67554999.271107584</v>
      </c>
      <c r="G20" s="355"/>
      <c r="H20" s="355">
        <v>1668897.4311075881</v>
      </c>
    </row>
    <row r="21" spans="1:8" x14ac:dyDescent="0.2">
      <c r="A21" s="329">
        <v>16</v>
      </c>
      <c r="B21" s="359"/>
      <c r="C21" s="355"/>
      <c r="D21" s="353"/>
    </row>
    <row r="22" spans="1:8" x14ac:dyDescent="0.2">
      <c r="A22" s="329">
        <v>17</v>
      </c>
      <c r="B22" s="350" t="s">
        <v>379</v>
      </c>
      <c r="C22" s="351">
        <v>-1218186</v>
      </c>
      <c r="D22" s="352">
        <v>-1382880.9111827947</v>
      </c>
      <c r="E22" s="355"/>
      <c r="F22" s="360"/>
      <c r="G22" s="361"/>
      <c r="H22" s="353">
        <v>1382880.9111827947</v>
      </c>
    </row>
    <row r="23" spans="1:8" x14ac:dyDescent="0.2">
      <c r="A23" s="329">
        <v>18</v>
      </c>
      <c r="B23" s="350"/>
      <c r="C23" s="355"/>
      <c r="D23" s="353"/>
      <c r="E23" s="355"/>
    </row>
    <row r="24" spans="1:8" x14ac:dyDescent="0.2">
      <c r="A24" s="329">
        <v>19</v>
      </c>
      <c r="B24" s="350" t="s">
        <v>157</v>
      </c>
      <c r="C24" s="355"/>
      <c r="D24" s="354"/>
      <c r="E24" s="355"/>
    </row>
    <row r="25" spans="1:8" x14ac:dyDescent="0.2">
      <c r="A25" s="329">
        <v>20</v>
      </c>
      <c r="B25" s="362"/>
      <c r="C25" s="363"/>
      <c r="D25" s="363"/>
      <c r="E25" s="363"/>
      <c r="F25" s="363"/>
      <c r="H25" s="363"/>
    </row>
    <row r="26" spans="1:8" x14ac:dyDescent="0.2">
      <c r="A26" s="329">
        <v>21</v>
      </c>
      <c r="B26" s="350" t="s">
        <v>292</v>
      </c>
      <c r="C26" s="355">
        <v>74543304</v>
      </c>
      <c r="D26" s="355">
        <v>64503220.928817198</v>
      </c>
      <c r="E26" s="355">
        <v>77875677.15166074</v>
      </c>
      <c r="F26" s="355">
        <v>67554999.271107584</v>
      </c>
      <c r="H26" s="355">
        <v>3051778.3422903828</v>
      </c>
    </row>
    <row r="27" spans="1:8" x14ac:dyDescent="0.2">
      <c r="A27" s="329">
        <v>22</v>
      </c>
      <c r="B27" s="359"/>
      <c r="C27" s="355"/>
      <c r="D27" s="353"/>
    </row>
    <row r="28" spans="1:8" x14ac:dyDescent="0.2">
      <c r="A28" s="329">
        <v>23</v>
      </c>
      <c r="B28" s="359"/>
      <c r="C28" s="355"/>
      <c r="D28" s="353"/>
    </row>
    <row r="29" spans="1:8" x14ac:dyDescent="0.2">
      <c r="A29" s="329">
        <v>24</v>
      </c>
      <c r="B29" s="364" t="s">
        <v>329</v>
      </c>
      <c r="C29" s="355"/>
      <c r="G29" s="353"/>
    </row>
    <row r="30" spans="1:8" x14ac:dyDescent="0.2">
      <c r="A30" s="329">
        <v>25</v>
      </c>
      <c r="B30" s="350" t="s">
        <v>349</v>
      </c>
      <c r="C30" s="355">
        <v>9809831</v>
      </c>
      <c r="D30" s="352">
        <v>1496548.67</v>
      </c>
      <c r="E30" s="355">
        <v>9809831</v>
      </c>
      <c r="F30" s="353">
        <v>1496548.67</v>
      </c>
      <c r="G30" s="354">
        <v>0.15255600937467728</v>
      </c>
      <c r="H30" s="365">
        <v>0</v>
      </c>
    </row>
    <row r="31" spans="1:8" x14ac:dyDescent="0.2">
      <c r="A31" s="329">
        <v>26</v>
      </c>
      <c r="B31" s="350" t="s">
        <v>350</v>
      </c>
      <c r="C31" s="355">
        <v>10787758</v>
      </c>
      <c r="D31" s="352">
        <v>931493.84</v>
      </c>
      <c r="E31" s="355">
        <v>10787758</v>
      </c>
      <c r="F31" s="353">
        <v>931493.84</v>
      </c>
      <c r="G31" s="354">
        <v>8.6347305899891341E-2</v>
      </c>
      <c r="H31" s="365">
        <v>0</v>
      </c>
    </row>
    <row r="32" spans="1:8" x14ac:dyDescent="0.2">
      <c r="A32" s="329">
        <v>27</v>
      </c>
      <c r="B32" s="350" t="s">
        <v>380</v>
      </c>
      <c r="C32" s="355">
        <v>0</v>
      </c>
      <c r="D32" s="352">
        <v>0</v>
      </c>
      <c r="E32" s="355">
        <v>0</v>
      </c>
      <c r="F32" s="353">
        <v>0</v>
      </c>
      <c r="H32" s="365">
        <v>0</v>
      </c>
    </row>
    <row r="33" spans="1:8" x14ac:dyDescent="0.2">
      <c r="A33" s="329">
        <v>28</v>
      </c>
      <c r="B33" s="350" t="s">
        <v>189</v>
      </c>
      <c r="C33" s="366">
        <v>0</v>
      </c>
      <c r="D33" s="367">
        <v>0</v>
      </c>
      <c r="E33" s="366">
        <v>0</v>
      </c>
      <c r="F33" s="368">
        <v>0</v>
      </c>
      <c r="H33" s="369">
        <v>0</v>
      </c>
    </row>
    <row r="34" spans="1:8" x14ac:dyDescent="0.2">
      <c r="A34" s="329">
        <v>29</v>
      </c>
      <c r="B34" s="350" t="s">
        <v>330</v>
      </c>
      <c r="C34" s="370">
        <v>20597589</v>
      </c>
      <c r="D34" s="371">
        <v>2428042.5099999998</v>
      </c>
      <c r="E34" s="370">
        <v>20597589</v>
      </c>
      <c r="F34" s="371">
        <v>2428042.5099999998</v>
      </c>
      <c r="H34" s="371">
        <v>0</v>
      </c>
    </row>
    <row r="35" spans="1:8" x14ac:dyDescent="0.2">
      <c r="A35" s="329">
        <v>30</v>
      </c>
      <c r="B35" s="350"/>
      <c r="C35" s="366"/>
      <c r="D35" s="372"/>
      <c r="E35" s="366"/>
      <c r="F35" s="368"/>
      <c r="H35" s="369"/>
    </row>
    <row r="36" spans="1:8" ht="13.5" thickBot="1" x14ac:dyDescent="0.25">
      <c r="A36" s="329">
        <v>31</v>
      </c>
      <c r="B36" s="373" t="s">
        <v>503</v>
      </c>
      <c r="C36" s="374">
        <v>95140893</v>
      </c>
      <c r="D36" s="375">
        <v>66931263.438817196</v>
      </c>
      <c r="E36" s="374">
        <v>98473266.15166074</v>
      </c>
      <c r="F36" s="375">
        <v>69983041.78110759</v>
      </c>
      <c r="H36" s="375">
        <v>3051778.3422903828</v>
      </c>
    </row>
    <row r="37" spans="1:8" ht="13.5" thickTop="1" x14ac:dyDescent="0.2">
      <c r="A37" s="329">
        <v>32</v>
      </c>
      <c r="F37" s="376"/>
      <c r="H37" s="376"/>
    </row>
    <row r="38" spans="1:8" x14ac:dyDescent="0.2">
      <c r="A38" s="329">
        <v>33</v>
      </c>
      <c r="C38" s="355"/>
      <c r="D38" s="377"/>
      <c r="E38" s="355"/>
      <c r="H38" s="378"/>
    </row>
    <row r="39" spans="1:8" x14ac:dyDescent="0.2">
      <c r="A39" s="329">
        <v>34</v>
      </c>
      <c r="E39" s="355"/>
      <c r="H39" s="365"/>
    </row>
    <row r="40" spans="1:8" ht="13.5" thickBot="1" x14ac:dyDescent="0.25">
      <c r="A40" s="329">
        <v>35</v>
      </c>
      <c r="B40" s="330" t="s">
        <v>210</v>
      </c>
      <c r="C40" s="379"/>
      <c r="D40" s="380"/>
      <c r="E40" s="381"/>
      <c r="F40" s="379"/>
      <c r="G40" s="379"/>
      <c r="H40" s="379"/>
    </row>
    <row r="41" spans="1:8" x14ac:dyDescent="0.2">
      <c r="A41" s="329">
        <v>36</v>
      </c>
      <c r="E41" s="339"/>
    </row>
    <row r="42" spans="1:8" x14ac:dyDescent="0.2">
      <c r="A42" s="329">
        <v>37</v>
      </c>
      <c r="C42" s="382" t="s">
        <v>87</v>
      </c>
      <c r="D42" s="383" t="s">
        <v>87</v>
      </c>
      <c r="E42" s="342" t="s">
        <v>65</v>
      </c>
      <c r="F42" s="342" t="s">
        <v>65</v>
      </c>
      <c r="G42" s="342" t="s">
        <v>65</v>
      </c>
      <c r="H42" s="334" t="s">
        <v>66</v>
      </c>
    </row>
    <row r="43" spans="1:8" x14ac:dyDescent="0.2">
      <c r="A43" s="329">
        <v>38</v>
      </c>
      <c r="C43" s="384" t="s">
        <v>82</v>
      </c>
      <c r="D43" s="385" t="s">
        <v>214</v>
      </c>
      <c r="E43" s="345" t="s">
        <v>82</v>
      </c>
      <c r="F43" s="345" t="s">
        <v>214</v>
      </c>
      <c r="G43" s="345" t="s">
        <v>19</v>
      </c>
      <c r="H43" s="344" t="s">
        <v>85</v>
      </c>
    </row>
    <row r="44" spans="1:8" x14ac:dyDescent="0.2">
      <c r="A44" s="329">
        <v>39</v>
      </c>
      <c r="E44" s="386"/>
      <c r="F44" s="386"/>
      <c r="G44" s="386"/>
      <c r="H44" s="386"/>
    </row>
    <row r="45" spans="1:8" x14ac:dyDescent="0.2">
      <c r="A45" s="329">
        <v>40</v>
      </c>
      <c r="B45" s="349" t="s">
        <v>381</v>
      </c>
      <c r="C45" s="387">
        <v>73239428</v>
      </c>
      <c r="D45" s="360">
        <v>8355990.9115600083</v>
      </c>
      <c r="E45" s="388">
        <v>76571801.15166074</v>
      </c>
      <c r="F45" s="389">
        <v>8755442.481249582</v>
      </c>
      <c r="G45" s="386">
        <v>0.11987</v>
      </c>
      <c r="H45" s="365">
        <v>399451.56968957372</v>
      </c>
    </row>
    <row r="46" spans="1:8" x14ac:dyDescent="0.2">
      <c r="A46" s="329">
        <v>41</v>
      </c>
      <c r="B46" s="359"/>
      <c r="C46" s="387"/>
      <c r="D46" s="365"/>
      <c r="E46" s="388"/>
      <c r="F46" s="365"/>
      <c r="G46" s="386"/>
      <c r="H46" s="365"/>
    </row>
    <row r="47" spans="1:8" x14ac:dyDescent="0.2">
      <c r="A47" s="329">
        <v>42</v>
      </c>
      <c r="B47" s="390" t="s">
        <v>382</v>
      </c>
      <c r="C47" s="387">
        <v>74543304</v>
      </c>
      <c r="D47" s="365">
        <v>18422567.343913402</v>
      </c>
      <c r="E47" s="388">
        <v>77875677.15166074</v>
      </c>
      <c r="F47" s="389">
        <v>19297581.88607648</v>
      </c>
      <c r="G47" s="386">
        <v>0.26257999999999998</v>
      </c>
      <c r="H47" s="365">
        <v>875014.54216307774</v>
      </c>
    </row>
    <row r="48" spans="1:8" x14ac:dyDescent="0.2">
      <c r="A48" s="329">
        <v>43</v>
      </c>
      <c r="B48" s="350"/>
      <c r="C48" s="391"/>
      <c r="D48" s="365"/>
      <c r="E48" s="391"/>
      <c r="F48" s="389"/>
      <c r="G48" s="392"/>
      <c r="H48" s="365"/>
    </row>
    <row r="49" spans="1:8" x14ac:dyDescent="0.2">
      <c r="A49" s="329">
        <v>44</v>
      </c>
      <c r="B49" s="359" t="s">
        <v>501</v>
      </c>
      <c r="C49" s="391"/>
      <c r="D49" s="369">
        <v>-3036532.73</v>
      </c>
      <c r="E49" s="391"/>
      <c r="F49" s="369">
        <v>-3126214.5625799224</v>
      </c>
      <c r="G49" s="392"/>
      <c r="H49" s="369">
        <v>-89681.832579922397</v>
      </c>
    </row>
    <row r="50" spans="1:8" x14ac:dyDescent="0.2">
      <c r="A50" s="329">
        <v>45</v>
      </c>
      <c r="B50" s="359"/>
      <c r="C50" s="391"/>
      <c r="D50" s="393"/>
      <c r="E50" s="391"/>
      <c r="F50" s="394"/>
      <c r="G50" s="392"/>
      <c r="H50" s="365"/>
    </row>
    <row r="51" spans="1:8" ht="13.5" thickBot="1" x14ac:dyDescent="0.25">
      <c r="A51" s="329">
        <v>46</v>
      </c>
      <c r="B51" s="350" t="s">
        <v>222</v>
      </c>
      <c r="C51" s="370"/>
      <c r="D51" s="395">
        <v>23742025.525473412</v>
      </c>
      <c r="E51" s="391"/>
      <c r="F51" s="395">
        <v>24926809.80474614</v>
      </c>
      <c r="G51" s="392"/>
      <c r="H51" s="395">
        <v>1184784.2792727291</v>
      </c>
    </row>
    <row r="52" spans="1:8" ht="13.5" thickTop="1" x14ac:dyDescent="0.2">
      <c r="A52" s="329"/>
      <c r="B52" s="350"/>
      <c r="C52" s="391"/>
      <c r="E52" s="391"/>
      <c r="G52" s="392"/>
    </row>
    <row r="53" spans="1:8" x14ac:dyDescent="0.2">
      <c r="A53" s="329"/>
      <c r="B53" s="359"/>
      <c r="C53" s="391"/>
      <c r="E53" s="391"/>
    </row>
    <row r="54" spans="1:8" x14ac:dyDescent="0.2">
      <c r="A54" s="329"/>
      <c r="B54" s="350"/>
      <c r="C54" s="391"/>
    </row>
    <row r="55" spans="1:8" x14ac:dyDescent="0.2">
      <c r="C55" s="391"/>
    </row>
  </sheetData>
  <phoneticPr fontId="7" type="noConversion"/>
  <printOptions horizontalCentered="1"/>
  <pageMargins left="0.5" right="0.5" top="0.5" bottom="0.5" header="0.25" footer="0.25"/>
  <pageSetup scale="8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AY67"/>
  <sheetViews>
    <sheetView showGridLines="0" zoomScaleNormal="100" zoomScaleSheetLayoutView="85" workbookViewId="0">
      <selection activeCell="G29" sqref="G29"/>
    </sheetView>
  </sheetViews>
  <sheetFormatPr defaultColWidth="9.140625" defaultRowHeight="12.75" x14ac:dyDescent="0.2"/>
  <cols>
    <col min="1" max="1" width="4.7109375" style="297" customWidth="1"/>
    <col min="2" max="3" width="15.7109375" style="91" customWidth="1"/>
    <col min="4" max="4" width="10.7109375" style="91" customWidth="1"/>
    <col min="5" max="7" width="15.7109375" style="91" customWidth="1"/>
    <col min="8" max="8" width="4.7109375" style="91" customWidth="1"/>
    <col min="9" max="9" width="3.28515625" style="91" customWidth="1"/>
    <col min="10" max="19" width="15.7109375" style="91" customWidth="1"/>
    <col min="20" max="16384" width="9.140625" style="298"/>
  </cols>
  <sheetData>
    <row r="1" spans="1:51" x14ac:dyDescent="0.2">
      <c r="A1" s="297" t="str">
        <f>'Page 1'!A1</f>
        <v>NW Natural</v>
      </c>
      <c r="G1" s="71" t="s">
        <v>294</v>
      </c>
    </row>
    <row r="2" spans="1:51" x14ac:dyDescent="0.2">
      <c r="A2" s="297" t="str">
        <f>+'Page 1'!A2</f>
        <v>Washington Annual Commission Basis Report</v>
      </c>
    </row>
    <row r="3" spans="1:51" x14ac:dyDescent="0.2">
      <c r="A3" s="71" t="str">
        <f>+Adjustments!A4</f>
        <v>Twelve Months Ended December 31, 2018</v>
      </c>
    </row>
    <row r="4" spans="1:51" x14ac:dyDescent="0.2">
      <c r="A4" s="297" t="s">
        <v>434</v>
      </c>
    </row>
    <row r="7" spans="1:51" x14ac:dyDescent="0.2">
      <c r="A7" s="26" t="s">
        <v>17</v>
      </c>
      <c r="E7" s="178" t="s">
        <v>11</v>
      </c>
    </row>
    <row r="8" spans="1:51" x14ac:dyDescent="0.2">
      <c r="A8" s="28" t="s">
        <v>46</v>
      </c>
      <c r="E8" s="28" t="s">
        <v>87</v>
      </c>
      <c r="F8" s="28" t="s">
        <v>65</v>
      </c>
      <c r="G8" s="28" t="s">
        <v>42</v>
      </c>
    </row>
    <row r="9" spans="1:51" x14ac:dyDescent="0.2">
      <c r="E9" s="26" t="s">
        <v>76</v>
      </c>
      <c r="F9" s="26" t="s">
        <v>77</v>
      </c>
      <c r="G9" s="26" t="s">
        <v>78</v>
      </c>
    </row>
    <row r="10" spans="1:51" x14ac:dyDescent="0.2">
      <c r="J10" s="298"/>
      <c r="K10" s="305">
        <v>2018</v>
      </c>
      <c r="L10" s="305">
        <f>K10-1</f>
        <v>2017</v>
      </c>
      <c r="M10" s="305">
        <f>L10-1</f>
        <v>2016</v>
      </c>
    </row>
    <row r="11" spans="1:51" x14ac:dyDescent="0.2">
      <c r="A11" s="26">
        <v>1</v>
      </c>
      <c r="B11" s="174" t="s">
        <v>433</v>
      </c>
      <c r="J11" s="175" t="s">
        <v>435</v>
      </c>
      <c r="K11" s="175"/>
      <c r="L11" s="175"/>
      <c r="M11" s="175"/>
    </row>
    <row r="12" spans="1:51" x14ac:dyDescent="0.2">
      <c r="A12" s="26">
        <f>+A11+1</f>
        <v>2</v>
      </c>
      <c r="B12" s="106" t="s">
        <v>333</v>
      </c>
      <c r="E12" s="41">
        <f>+'Other Rev, Dep &amp; Other Tax'!C10</f>
        <v>53320</v>
      </c>
      <c r="F12" s="41">
        <f>+J12</f>
        <v>52295</v>
      </c>
      <c r="G12" s="41">
        <f>+F12-E12</f>
        <v>-1025</v>
      </c>
      <c r="H12" s="177" t="s">
        <v>439</v>
      </c>
      <c r="J12" s="91">
        <f>AVERAGE(K12:M12)</f>
        <v>52295</v>
      </c>
      <c r="K12" s="91">
        <f t="shared" ref="K12:K21" si="0">+E12</f>
        <v>53320</v>
      </c>
      <c r="L12" s="101">
        <v>58115</v>
      </c>
      <c r="M12" s="101">
        <v>45450</v>
      </c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</row>
    <row r="13" spans="1:51" x14ac:dyDescent="0.2">
      <c r="A13" s="26">
        <f t="shared" ref="A13:A30" si="1">+A12+1</f>
        <v>3</v>
      </c>
      <c r="B13" s="106" t="s">
        <v>334</v>
      </c>
      <c r="E13" s="91">
        <f>+'Other Rev, Dep &amp; Other Tax'!C11</f>
        <v>88714.839999999982</v>
      </c>
      <c r="F13" s="91">
        <f>+E13</f>
        <v>88714.839999999982</v>
      </c>
      <c r="G13" s="91">
        <f t="shared" ref="G13:G21" si="2">+F13-E13</f>
        <v>0</v>
      </c>
      <c r="H13" s="94"/>
      <c r="J13" s="91">
        <f t="shared" ref="J13:J21" si="3">AVERAGE(K13:M13)</f>
        <v>90353.436666666646</v>
      </c>
      <c r="K13" s="300">
        <f t="shared" si="0"/>
        <v>88714.839999999982</v>
      </c>
      <c r="L13" s="217">
        <v>101454.3</v>
      </c>
      <c r="M13" s="101">
        <v>80891.169999999984</v>
      </c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</row>
    <row r="14" spans="1:51" x14ac:dyDescent="0.2">
      <c r="A14" s="26">
        <f t="shared" si="1"/>
        <v>4</v>
      </c>
      <c r="B14" s="106" t="s">
        <v>335</v>
      </c>
      <c r="E14" s="91">
        <f>+'Other Rev, Dep &amp; Other Tax'!C12</f>
        <v>5602.5</v>
      </c>
      <c r="F14" s="91">
        <f t="shared" ref="F14:F21" si="4">+J14</f>
        <v>5875.833333333333</v>
      </c>
      <c r="G14" s="91">
        <f t="shared" si="2"/>
        <v>273.33333333333303</v>
      </c>
      <c r="H14" s="177" t="s">
        <v>439</v>
      </c>
      <c r="J14" s="91">
        <f t="shared" si="3"/>
        <v>5875.833333333333</v>
      </c>
      <c r="K14" s="300">
        <f t="shared" si="0"/>
        <v>5602.5</v>
      </c>
      <c r="L14" s="217">
        <v>6225</v>
      </c>
      <c r="M14" s="101">
        <v>5800</v>
      </c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</row>
    <row r="15" spans="1:51" x14ac:dyDescent="0.2">
      <c r="A15" s="26">
        <f t="shared" si="1"/>
        <v>5</v>
      </c>
      <c r="B15" s="106" t="s">
        <v>336</v>
      </c>
      <c r="E15" s="91">
        <f>+'Other Rev, Dep &amp; Other Tax'!C13</f>
        <v>12227.5</v>
      </c>
      <c r="F15" s="91">
        <f t="shared" si="4"/>
        <v>10990.833333333334</v>
      </c>
      <c r="G15" s="91">
        <f t="shared" si="2"/>
        <v>-1236.6666666666661</v>
      </c>
      <c r="H15" s="177" t="s">
        <v>439</v>
      </c>
      <c r="J15" s="91">
        <f t="shared" si="3"/>
        <v>10990.833333333334</v>
      </c>
      <c r="K15" s="300">
        <f t="shared" si="0"/>
        <v>12227.5</v>
      </c>
      <c r="L15" s="217">
        <v>11205</v>
      </c>
      <c r="M15" s="101">
        <v>9540</v>
      </c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</row>
    <row r="16" spans="1:51" x14ac:dyDescent="0.2">
      <c r="A16" s="26">
        <f t="shared" si="1"/>
        <v>6</v>
      </c>
      <c r="B16" s="106" t="s">
        <v>337</v>
      </c>
      <c r="E16" s="91">
        <f>+'Other Rev, Dep &amp; Other Tax'!C14</f>
        <v>32470</v>
      </c>
      <c r="F16" s="91">
        <f t="shared" si="4"/>
        <v>31895</v>
      </c>
      <c r="G16" s="91">
        <f t="shared" si="2"/>
        <v>-575</v>
      </c>
      <c r="H16" s="177" t="s">
        <v>439</v>
      </c>
      <c r="J16" s="91">
        <f t="shared" si="3"/>
        <v>31895</v>
      </c>
      <c r="K16" s="300">
        <f t="shared" si="0"/>
        <v>32470</v>
      </c>
      <c r="L16" s="217">
        <v>34570</v>
      </c>
      <c r="M16" s="101">
        <v>28645</v>
      </c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</row>
    <row r="17" spans="1:51" x14ac:dyDescent="0.2">
      <c r="A17" s="26">
        <f t="shared" si="1"/>
        <v>7</v>
      </c>
      <c r="B17" s="106" t="s">
        <v>338</v>
      </c>
      <c r="E17" s="91">
        <f>+'Other Rev, Dep &amp; Other Tax'!C15</f>
        <v>18185.310000000001</v>
      </c>
      <c r="F17" s="91">
        <f t="shared" si="4"/>
        <v>19324.083333333336</v>
      </c>
      <c r="G17" s="91">
        <f t="shared" si="2"/>
        <v>1138.7733333333344</v>
      </c>
      <c r="H17" s="177" t="s">
        <v>439</v>
      </c>
      <c r="J17" s="91">
        <f t="shared" si="3"/>
        <v>19324.083333333336</v>
      </c>
      <c r="K17" s="300">
        <f t="shared" si="0"/>
        <v>18185.310000000001</v>
      </c>
      <c r="L17" s="217">
        <v>19931.460000000003</v>
      </c>
      <c r="M17" s="101">
        <v>19855.480000000003</v>
      </c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</row>
    <row r="18" spans="1:51" x14ac:dyDescent="0.2">
      <c r="A18" s="26">
        <f t="shared" si="1"/>
        <v>8</v>
      </c>
      <c r="B18" s="106" t="s">
        <v>339</v>
      </c>
      <c r="E18" s="91">
        <f>+'Other Rev, Dep &amp; Other Tax'!C16</f>
        <v>9428.6186170000001</v>
      </c>
      <c r="F18" s="91">
        <f t="shared" si="4"/>
        <v>17423.407517</v>
      </c>
      <c r="G18" s="91">
        <f t="shared" si="2"/>
        <v>7994.7888999999996</v>
      </c>
      <c r="H18" s="177" t="s">
        <v>439</v>
      </c>
      <c r="J18" s="91">
        <f t="shared" si="3"/>
        <v>17423.407517</v>
      </c>
      <c r="K18" s="300">
        <f t="shared" si="0"/>
        <v>9428.6186170000001</v>
      </c>
      <c r="L18" s="217">
        <v>15386.303152</v>
      </c>
      <c r="M18" s="101">
        <v>27455.300781999998</v>
      </c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</row>
    <row r="19" spans="1:51" x14ac:dyDescent="0.2">
      <c r="A19" s="26">
        <f t="shared" si="1"/>
        <v>9</v>
      </c>
      <c r="B19" s="106" t="s">
        <v>415</v>
      </c>
      <c r="E19" s="91">
        <f>+'Other Rev, Dep &amp; Other Tax'!C17</f>
        <v>31106.67</v>
      </c>
      <c r="F19" s="91">
        <f t="shared" si="4"/>
        <v>10368.89</v>
      </c>
      <c r="G19" s="91">
        <f t="shared" si="2"/>
        <v>-20737.78</v>
      </c>
      <c r="H19" s="177" t="s">
        <v>439</v>
      </c>
      <c r="J19" s="91">
        <f t="shared" si="3"/>
        <v>10368.89</v>
      </c>
      <c r="K19" s="300">
        <f t="shared" si="0"/>
        <v>31106.67</v>
      </c>
      <c r="L19" s="217">
        <v>0</v>
      </c>
      <c r="M19" s="101">
        <v>0</v>
      </c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</row>
    <row r="20" spans="1:51" x14ac:dyDescent="0.2">
      <c r="A20" s="26">
        <f t="shared" si="1"/>
        <v>10</v>
      </c>
      <c r="B20" s="106" t="s">
        <v>436</v>
      </c>
      <c r="E20" s="91">
        <f>'Other Rev, Dep &amp; Other Tax'!C18</f>
        <v>-3350415.8099999977</v>
      </c>
      <c r="F20" s="101">
        <v>-4048883.9445126466</v>
      </c>
      <c r="G20" s="91">
        <f t="shared" si="2"/>
        <v>-698468.13451264892</v>
      </c>
      <c r="H20" s="177"/>
      <c r="J20" s="91">
        <f t="shared" si="3"/>
        <v>-2523490.3633333328</v>
      </c>
      <c r="K20" s="300">
        <f t="shared" si="0"/>
        <v>-3350415.8099999977</v>
      </c>
      <c r="L20" s="217">
        <v>-2530629.54</v>
      </c>
      <c r="M20" s="101">
        <v>-1689425.74</v>
      </c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</row>
    <row r="21" spans="1:51" x14ac:dyDescent="0.2">
      <c r="A21" s="26">
        <f t="shared" si="1"/>
        <v>11</v>
      </c>
      <c r="B21" s="106" t="s">
        <v>340</v>
      </c>
      <c r="E21" s="92">
        <f>'Other Rev, Dep &amp; Other Tax'!C19</f>
        <v>6776.37</v>
      </c>
      <c r="F21" s="92">
        <f t="shared" si="4"/>
        <v>11476.25</v>
      </c>
      <c r="G21" s="92">
        <f t="shared" si="2"/>
        <v>4699.88</v>
      </c>
      <c r="H21" s="177" t="s">
        <v>439</v>
      </c>
      <c r="J21" s="92">
        <f t="shared" si="3"/>
        <v>11476.25</v>
      </c>
      <c r="K21" s="92">
        <f t="shared" si="0"/>
        <v>6776.37</v>
      </c>
      <c r="L21" s="102">
        <v>8997</v>
      </c>
      <c r="M21" s="102">
        <v>18655.379999999997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</row>
    <row r="22" spans="1:51" x14ac:dyDescent="0.2">
      <c r="A22" s="26">
        <f t="shared" si="1"/>
        <v>12</v>
      </c>
      <c r="B22" s="106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</row>
    <row r="23" spans="1:51" ht="13.5" thickBot="1" x14ac:dyDescent="0.25">
      <c r="A23" s="26">
        <f t="shared" si="1"/>
        <v>13</v>
      </c>
      <c r="E23" s="114">
        <f>SUM(E12:E21)</f>
        <v>-3092584.0013829977</v>
      </c>
      <c r="F23" s="114">
        <f>SUM(F12:F21)</f>
        <v>-3800519.8069956466</v>
      </c>
      <c r="G23" s="114">
        <f>SUM(G12:G21)</f>
        <v>-707935.80561264895</v>
      </c>
      <c r="J23" s="176">
        <f>SUM(J12:J22)</f>
        <v>-2273487.6291496661</v>
      </c>
      <c r="K23" s="176">
        <f>SUM(K12:K22)</f>
        <v>-3092584.0013829977</v>
      </c>
      <c r="L23" s="176">
        <f>SUM(L12:L22)</f>
        <v>-2274745.4768480002</v>
      </c>
      <c r="M23" s="176">
        <f>SUM(M12:M22)</f>
        <v>-1453133.409218</v>
      </c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</row>
    <row r="24" spans="1:51" ht="13.5" thickTop="1" x14ac:dyDescent="0.2">
      <c r="A24" s="26">
        <f t="shared" si="1"/>
        <v>14</v>
      </c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</row>
    <row r="25" spans="1:51" x14ac:dyDescent="0.2">
      <c r="A25" s="26">
        <f t="shared" si="1"/>
        <v>15</v>
      </c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</row>
    <row r="26" spans="1:51" x14ac:dyDescent="0.2">
      <c r="A26" s="26">
        <f t="shared" si="1"/>
        <v>16</v>
      </c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</row>
    <row r="27" spans="1:51" x14ac:dyDescent="0.2">
      <c r="A27" s="26">
        <f t="shared" si="1"/>
        <v>17</v>
      </c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</row>
    <row r="28" spans="1:51" x14ac:dyDescent="0.2">
      <c r="A28" s="26">
        <f t="shared" si="1"/>
        <v>18</v>
      </c>
      <c r="B28" s="130" t="s">
        <v>437</v>
      </c>
      <c r="C28" s="297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</row>
    <row r="29" spans="1:51" x14ac:dyDescent="0.2">
      <c r="A29" s="26">
        <f t="shared" si="1"/>
        <v>19</v>
      </c>
      <c r="B29" s="297" t="s">
        <v>438</v>
      </c>
      <c r="C29" s="297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</row>
    <row r="30" spans="1:51" x14ac:dyDescent="0.2">
      <c r="A30" s="26">
        <f t="shared" si="1"/>
        <v>20</v>
      </c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</row>
    <row r="31" spans="1:51" x14ac:dyDescent="0.2">
      <c r="A31" s="26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</row>
    <row r="32" spans="1:51" x14ac:dyDescent="0.2">
      <c r="A32" s="26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</row>
    <row r="33" spans="1:51" x14ac:dyDescent="0.2">
      <c r="A33" s="26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</row>
    <row r="34" spans="1:51" x14ac:dyDescent="0.2">
      <c r="A34" s="26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</row>
    <row r="35" spans="1:51" x14ac:dyDescent="0.2">
      <c r="A35" s="26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</row>
    <row r="36" spans="1:51" x14ac:dyDescent="0.2">
      <c r="A36" s="26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</row>
    <row r="37" spans="1:51" x14ac:dyDescent="0.2"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</row>
    <row r="38" spans="1:51" x14ac:dyDescent="0.2"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</row>
    <row r="39" spans="1:51" x14ac:dyDescent="0.2"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</row>
    <row r="40" spans="1:51" x14ac:dyDescent="0.2"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</row>
    <row r="41" spans="1:51" x14ac:dyDescent="0.2"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</row>
    <row r="42" spans="1:51" x14ac:dyDescent="0.2"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</row>
    <row r="43" spans="1:51" x14ac:dyDescent="0.2"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</row>
    <row r="44" spans="1:51" x14ac:dyDescent="0.2"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</row>
    <row r="45" spans="1:51" x14ac:dyDescent="0.2"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</row>
    <row r="46" spans="1:51" x14ac:dyDescent="0.2"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</row>
    <row r="47" spans="1:51" x14ac:dyDescent="0.2"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</row>
    <row r="48" spans="1:51" x14ac:dyDescent="0.2"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</row>
    <row r="49" spans="20:51" x14ac:dyDescent="0.2"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</row>
    <row r="50" spans="20:51" x14ac:dyDescent="0.2"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</row>
    <row r="51" spans="20:51" x14ac:dyDescent="0.2"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</row>
    <row r="52" spans="20:51" x14ac:dyDescent="0.2"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</row>
    <row r="53" spans="20:51" x14ac:dyDescent="0.2"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</row>
    <row r="54" spans="20:51" x14ac:dyDescent="0.2"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</row>
    <row r="55" spans="20:51" x14ac:dyDescent="0.2"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</row>
    <row r="56" spans="20:51" x14ac:dyDescent="0.2"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</row>
    <row r="57" spans="20:51" x14ac:dyDescent="0.2"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</row>
    <row r="58" spans="20:51" x14ac:dyDescent="0.2"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</row>
    <row r="59" spans="20:51" x14ac:dyDescent="0.2"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</row>
    <row r="60" spans="20:51" x14ac:dyDescent="0.2"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</row>
    <row r="61" spans="20:51" x14ac:dyDescent="0.2"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</row>
    <row r="62" spans="20:51" x14ac:dyDescent="0.2"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</row>
    <row r="63" spans="20:51" x14ac:dyDescent="0.2"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</row>
    <row r="64" spans="20:51" x14ac:dyDescent="0.2"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</row>
    <row r="65" spans="20:51" x14ac:dyDescent="0.2"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</row>
    <row r="66" spans="20:51" x14ac:dyDescent="0.2"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</row>
    <row r="67" spans="20:51" x14ac:dyDescent="0.2"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</row>
  </sheetData>
  <phoneticPr fontId="19" type="noConversion"/>
  <printOptions horizontalCentered="1"/>
  <pageMargins left="0.5" right="0.5" top="0.5" bottom="0.5" header="0.25" footer="0.25"/>
  <pageSetup scale="9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2"/>
  </sheetPr>
  <dimension ref="A1:J43"/>
  <sheetViews>
    <sheetView showGridLines="0" zoomScale="115" zoomScaleNormal="115" zoomScaleSheetLayoutView="100" workbookViewId="0">
      <selection activeCell="G29" sqref="G29"/>
    </sheetView>
  </sheetViews>
  <sheetFormatPr defaultColWidth="9.140625" defaultRowHeight="12.75" x14ac:dyDescent="0.2"/>
  <cols>
    <col min="1" max="1" width="4.7109375" style="297" customWidth="1"/>
    <col min="2" max="2" width="36.7109375" style="297" customWidth="1"/>
    <col min="3" max="8" width="13.7109375" style="298" customWidth="1"/>
    <col min="9" max="9" width="11.85546875" style="298" customWidth="1"/>
    <col min="10" max="16384" width="9.140625" style="298"/>
  </cols>
  <sheetData>
    <row r="1" spans="1:10" x14ac:dyDescent="0.2">
      <c r="A1" s="297" t="str">
        <f>'Page 1'!A1</f>
        <v>NW Natural</v>
      </c>
      <c r="H1" s="71" t="s">
        <v>348</v>
      </c>
    </row>
    <row r="2" spans="1:10" x14ac:dyDescent="0.2">
      <c r="A2" s="297" t="str">
        <f>+'Page 1'!A2</f>
        <v>Washington Annual Commission Basis Report</v>
      </c>
      <c r="H2" s="71"/>
    </row>
    <row r="3" spans="1:10" x14ac:dyDescent="0.2">
      <c r="A3" s="71" t="str">
        <f>+Adjustments!A4</f>
        <v>Twelve Months Ended December 31, 2018</v>
      </c>
      <c r="H3" s="31"/>
    </row>
    <row r="4" spans="1:10" x14ac:dyDescent="0.2">
      <c r="A4" s="297" t="s">
        <v>7</v>
      </c>
      <c r="E4" s="301"/>
      <c r="F4" s="301"/>
      <c r="G4" s="301"/>
      <c r="H4" s="31"/>
    </row>
    <row r="5" spans="1:10" x14ac:dyDescent="0.2">
      <c r="E5" s="301"/>
      <c r="F5" s="301"/>
      <c r="G5" s="301"/>
    </row>
    <row r="6" spans="1:10" x14ac:dyDescent="0.2">
      <c r="E6" s="301"/>
      <c r="F6" s="301"/>
      <c r="G6" s="301"/>
    </row>
    <row r="7" spans="1:10" x14ac:dyDescent="0.2">
      <c r="A7" s="26" t="s">
        <v>17</v>
      </c>
      <c r="C7" s="500" t="s">
        <v>504</v>
      </c>
      <c r="D7" s="500" t="s">
        <v>508</v>
      </c>
      <c r="E7" s="500" t="s">
        <v>516</v>
      </c>
      <c r="F7" s="117" t="s">
        <v>43</v>
      </c>
      <c r="G7" s="501">
        <v>2018</v>
      </c>
      <c r="H7" s="26"/>
    </row>
    <row r="8" spans="1:10" x14ac:dyDescent="0.2">
      <c r="A8" s="28" t="s">
        <v>46</v>
      </c>
      <c r="B8" s="164"/>
      <c r="C8" s="502" t="s">
        <v>505</v>
      </c>
      <c r="D8" s="502" t="s">
        <v>509</v>
      </c>
      <c r="E8" s="502" t="s">
        <v>517</v>
      </c>
      <c r="F8" s="118" t="s">
        <v>53</v>
      </c>
      <c r="G8" s="118" t="s">
        <v>68</v>
      </c>
      <c r="H8" s="28" t="s">
        <v>42</v>
      </c>
    </row>
    <row r="9" spans="1:10" x14ac:dyDescent="0.2">
      <c r="B9" s="26" t="s">
        <v>76</v>
      </c>
      <c r="C9" s="26" t="s">
        <v>77</v>
      </c>
      <c r="D9" s="26" t="s">
        <v>78</v>
      </c>
      <c r="E9" s="117" t="s">
        <v>79</v>
      </c>
      <c r="F9" s="117" t="s">
        <v>80</v>
      </c>
      <c r="G9" s="117" t="s">
        <v>89</v>
      </c>
      <c r="H9" s="26" t="s">
        <v>431</v>
      </c>
    </row>
    <row r="10" spans="1:10" x14ac:dyDescent="0.2">
      <c r="B10" s="90" t="s">
        <v>100</v>
      </c>
      <c r="E10" s="301"/>
      <c r="F10" s="301"/>
      <c r="G10" s="301"/>
    </row>
    <row r="11" spans="1:10" x14ac:dyDescent="0.2">
      <c r="A11" s="26">
        <v>1</v>
      </c>
      <c r="B11" s="71" t="s">
        <v>281</v>
      </c>
      <c r="C11" s="180">
        <v>6213593</v>
      </c>
      <c r="D11" s="180">
        <v>5597391</v>
      </c>
      <c r="E11" s="180">
        <v>6107412</v>
      </c>
      <c r="F11" s="180">
        <f>SUM(C11:E11)/3</f>
        <v>5972798.666666667</v>
      </c>
      <c r="G11" s="180">
        <v>5965097</v>
      </c>
      <c r="H11" s="109">
        <f>F11-G11</f>
        <v>7701.6666666669771</v>
      </c>
    </row>
    <row r="12" spans="1:10" x14ac:dyDescent="0.2">
      <c r="A12" s="26">
        <v>2</v>
      </c>
      <c r="B12" s="71" t="s">
        <v>282</v>
      </c>
      <c r="C12" s="181">
        <v>0</v>
      </c>
      <c r="D12" s="181">
        <v>0</v>
      </c>
      <c r="E12" s="181">
        <v>0</v>
      </c>
      <c r="F12" s="181">
        <f>SUM(C12:E12)/3</f>
        <v>0</v>
      </c>
      <c r="G12" s="181">
        <v>0</v>
      </c>
      <c r="H12" s="81">
        <f>F12-G12</f>
        <v>0</v>
      </c>
    </row>
    <row r="13" spans="1:10" x14ac:dyDescent="0.2">
      <c r="A13" s="26">
        <v>3</v>
      </c>
      <c r="B13" s="90" t="s">
        <v>126</v>
      </c>
      <c r="C13" s="182">
        <f>+C11+C12</f>
        <v>6213593</v>
      </c>
      <c r="D13" s="182">
        <f>+D11+D12</f>
        <v>5597391</v>
      </c>
      <c r="E13" s="182">
        <f>+E11+E12</f>
        <v>6107412</v>
      </c>
      <c r="F13" s="182">
        <f>+F11+F12</f>
        <v>5972798.666666667</v>
      </c>
      <c r="G13" s="182">
        <f>SUM(G11:G12)</f>
        <v>5965097</v>
      </c>
      <c r="H13" s="80">
        <f>+H11+H12</f>
        <v>7701.6666666669771</v>
      </c>
      <c r="J13" s="32"/>
    </row>
    <row r="14" spans="1:10" x14ac:dyDescent="0.2">
      <c r="A14" s="26"/>
      <c r="B14" s="90"/>
      <c r="C14" s="182"/>
      <c r="D14" s="182"/>
      <c r="E14" s="182"/>
      <c r="F14" s="182"/>
      <c r="G14" s="182"/>
      <c r="H14" s="80"/>
    </row>
    <row r="15" spans="1:10" x14ac:dyDescent="0.2">
      <c r="A15" s="26"/>
      <c r="B15" s="90" t="s">
        <v>135</v>
      </c>
      <c r="C15" s="182"/>
      <c r="D15" s="182"/>
      <c r="E15" s="182"/>
      <c r="F15" s="182"/>
      <c r="G15" s="182"/>
      <c r="H15" s="80"/>
      <c r="I15" s="182"/>
    </row>
    <row r="16" spans="1:10" x14ac:dyDescent="0.2">
      <c r="A16" s="26">
        <v>4</v>
      </c>
      <c r="B16" s="71" t="s">
        <v>281</v>
      </c>
      <c r="C16" s="182">
        <v>2580181</v>
      </c>
      <c r="D16" s="182">
        <v>2594415</v>
      </c>
      <c r="E16" s="182">
        <v>2952686</v>
      </c>
      <c r="F16" s="182">
        <f>SUM(C16:E16)/3</f>
        <v>2709094</v>
      </c>
      <c r="G16" s="182">
        <v>2659157</v>
      </c>
      <c r="H16" s="80">
        <f>F16-G16</f>
        <v>49937</v>
      </c>
      <c r="I16" s="182"/>
    </row>
    <row r="17" spans="1:10" x14ac:dyDescent="0.2">
      <c r="A17" s="26">
        <v>5</v>
      </c>
      <c r="B17" s="71" t="s">
        <v>282</v>
      </c>
      <c r="C17" s="181">
        <v>0</v>
      </c>
      <c r="D17" s="181">
        <v>0</v>
      </c>
      <c r="E17" s="181">
        <v>0</v>
      </c>
      <c r="F17" s="181">
        <f>SUM(C17:E17)/3</f>
        <v>0</v>
      </c>
      <c r="G17" s="181">
        <v>0</v>
      </c>
      <c r="H17" s="81">
        <f>F17-G17</f>
        <v>0</v>
      </c>
      <c r="I17" s="182"/>
    </row>
    <row r="18" spans="1:10" x14ac:dyDescent="0.2">
      <c r="A18" s="26">
        <v>6</v>
      </c>
      <c r="B18" s="90" t="s">
        <v>126</v>
      </c>
      <c r="C18" s="182">
        <f>+C16+C17</f>
        <v>2580181</v>
      </c>
      <c r="D18" s="182">
        <f>+D16+D17</f>
        <v>2594415</v>
      </c>
      <c r="E18" s="182">
        <f>+E16+E17</f>
        <v>2952686</v>
      </c>
      <c r="F18" s="182">
        <f>+F16+F17</f>
        <v>2709094</v>
      </c>
      <c r="G18" s="182">
        <f>SUM(G16:G17)</f>
        <v>2659157</v>
      </c>
      <c r="H18" s="80">
        <f>+H16+H17</f>
        <v>49937</v>
      </c>
      <c r="I18" s="182"/>
    </row>
    <row r="19" spans="1:10" x14ac:dyDescent="0.2">
      <c r="A19" s="26"/>
      <c r="B19" s="90"/>
      <c r="C19" s="182"/>
      <c r="D19" s="182"/>
      <c r="E19" s="182"/>
      <c r="F19" s="182"/>
      <c r="G19" s="182"/>
      <c r="H19" s="80"/>
      <c r="I19" s="182"/>
    </row>
    <row r="20" spans="1:10" x14ac:dyDescent="0.2">
      <c r="A20" s="26"/>
      <c r="B20" s="90" t="s">
        <v>163</v>
      </c>
      <c r="C20" s="182"/>
      <c r="D20" s="182"/>
      <c r="E20" s="182"/>
      <c r="F20" s="182"/>
      <c r="G20" s="182"/>
      <c r="H20" s="80"/>
      <c r="I20" s="182"/>
    </row>
    <row r="21" spans="1:10" x14ac:dyDescent="0.2">
      <c r="A21" s="26">
        <v>7</v>
      </c>
      <c r="B21" s="71" t="s">
        <v>281</v>
      </c>
      <c r="C21" s="182">
        <v>0</v>
      </c>
      <c r="D21" s="182">
        <v>0</v>
      </c>
      <c r="E21" s="182">
        <v>0</v>
      </c>
      <c r="F21" s="182">
        <f>SUM(C21:E21)/3</f>
        <v>0</v>
      </c>
      <c r="G21" s="182">
        <v>0</v>
      </c>
      <c r="H21" s="80"/>
      <c r="I21" s="182"/>
    </row>
    <row r="22" spans="1:10" x14ac:dyDescent="0.2">
      <c r="A22" s="26">
        <v>8</v>
      </c>
      <c r="B22" s="71" t="s">
        <v>282</v>
      </c>
      <c r="C22" s="181">
        <v>0</v>
      </c>
      <c r="D22" s="181">
        <v>597200</v>
      </c>
      <c r="E22" s="181">
        <v>1105922</v>
      </c>
      <c r="F22" s="181">
        <f>SUM(C22:E22)/3</f>
        <v>567707.33333333337</v>
      </c>
      <c r="G22" s="181">
        <v>538300</v>
      </c>
      <c r="H22" s="81"/>
      <c r="I22" s="182"/>
      <c r="J22" s="132"/>
    </row>
    <row r="23" spans="1:10" x14ac:dyDescent="0.2">
      <c r="A23" s="26">
        <v>9</v>
      </c>
      <c r="B23" s="90" t="s">
        <v>126</v>
      </c>
      <c r="C23" s="182">
        <f>+C21+C22</f>
        <v>0</v>
      </c>
      <c r="D23" s="182">
        <f>+D21+D22</f>
        <v>597200</v>
      </c>
      <c r="E23" s="182">
        <f>+E21+E22</f>
        <v>1105922</v>
      </c>
      <c r="F23" s="182">
        <f>+F21+F22</f>
        <v>567707.33333333337</v>
      </c>
      <c r="G23" s="182">
        <f>SUM(G21:G22)</f>
        <v>538300</v>
      </c>
      <c r="H23" s="80">
        <f>F23-G23</f>
        <v>29407.333333333372</v>
      </c>
      <c r="I23" s="182"/>
    </row>
    <row r="24" spans="1:10" x14ac:dyDescent="0.2">
      <c r="A24" s="26"/>
      <c r="B24" s="90"/>
      <c r="C24" s="182"/>
      <c r="D24" s="182"/>
      <c r="E24" s="182"/>
      <c r="F24" s="182"/>
      <c r="G24" s="182"/>
      <c r="H24" s="80"/>
      <c r="I24" s="182"/>
    </row>
    <row r="25" spans="1:10" x14ac:dyDescent="0.2">
      <c r="A25" s="26"/>
      <c r="B25" s="90" t="s">
        <v>180</v>
      </c>
      <c r="C25" s="182"/>
      <c r="D25" s="182"/>
      <c r="E25" s="182"/>
      <c r="F25" s="182"/>
      <c r="G25" s="182"/>
      <c r="H25" s="80"/>
      <c r="I25" s="182"/>
    </row>
    <row r="26" spans="1:10" x14ac:dyDescent="0.2">
      <c r="A26" s="26">
        <v>10</v>
      </c>
      <c r="B26" s="314" t="s">
        <v>281</v>
      </c>
      <c r="C26" s="182">
        <v>0</v>
      </c>
      <c r="D26" s="182">
        <v>0</v>
      </c>
      <c r="E26" s="182">
        <v>0</v>
      </c>
      <c r="F26" s="182">
        <f>SUM(C26:E26)/3</f>
        <v>0</v>
      </c>
      <c r="G26" s="182">
        <v>0</v>
      </c>
      <c r="H26" s="182"/>
      <c r="I26" s="182"/>
    </row>
    <row r="27" spans="1:10" x14ac:dyDescent="0.2">
      <c r="A27" s="26">
        <v>11</v>
      </c>
      <c r="B27" s="314" t="s">
        <v>282</v>
      </c>
      <c r="C27" s="181">
        <v>0</v>
      </c>
      <c r="D27" s="181">
        <v>358883</v>
      </c>
      <c r="E27" s="181">
        <v>534668</v>
      </c>
      <c r="F27" s="181">
        <f>SUM(C27:E27)/3</f>
        <v>297850.33333333331</v>
      </c>
      <c r="G27" s="181">
        <v>342084</v>
      </c>
      <c r="H27" s="181"/>
      <c r="I27" s="182"/>
    </row>
    <row r="28" spans="1:10" x14ac:dyDescent="0.2">
      <c r="A28" s="26">
        <v>12</v>
      </c>
      <c r="B28" s="315" t="s">
        <v>126</v>
      </c>
      <c r="C28" s="182">
        <f>+C26+C27</f>
        <v>0</v>
      </c>
      <c r="D28" s="182">
        <f>+D26+D27</f>
        <v>358883</v>
      </c>
      <c r="E28" s="182">
        <f>+E26+E27</f>
        <v>534668</v>
      </c>
      <c r="F28" s="182">
        <f>+F26+F27</f>
        <v>297850.33333333331</v>
      </c>
      <c r="G28" s="182">
        <f>SUM(G26:G27)</f>
        <v>342084</v>
      </c>
      <c r="H28" s="182">
        <f>F28-G28</f>
        <v>-44233.666666666686</v>
      </c>
      <c r="I28" s="182"/>
    </row>
    <row r="29" spans="1:10" x14ac:dyDescent="0.2">
      <c r="A29" s="26"/>
      <c r="B29" s="90"/>
      <c r="C29" s="183"/>
      <c r="D29" s="183"/>
      <c r="E29" s="183"/>
      <c r="F29" s="183"/>
      <c r="G29" s="183"/>
      <c r="H29" s="52"/>
    </row>
    <row r="30" spans="1:10" x14ac:dyDescent="0.2">
      <c r="A30" s="26">
        <v>13</v>
      </c>
      <c r="B30" s="71" t="s">
        <v>319</v>
      </c>
      <c r="C30" s="52"/>
      <c r="D30" s="52"/>
      <c r="E30" s="183"/>
      <c r="F30" s="183"/>
      <c r="G30" s="183"/>
      <c r="H30" s="86">
        <f>H13+H23</f>
        <v>37109.000000000349</v>
      </c>
    </row>
    <row r="31" spans="1:10" x14ac:dyDescent="0.2">
      <c r="A31" s="26">
        <v>14</v>
      </c>
      <c r="B31" s="90" t="s">
        <v>190</v>
      </c>
      <c r="E31" s="183"/>
      <c r="F31" s="184" t="s">
        <v>201</v>
      </c>
      <c r="G31" s="301"/>
      <c r="H31" s="42">
        <f>'Allocation Factors'!C120</f>
        <v>0.10765</v>
      </c>
    </row>
    <row r="32" spans="1:10" ht="13.5" thickBot="1" x14ac:dyDescent="0.25">
      <c r="A32" s="26">
        <v>15</v>
      </c>
      <c r="B32" s="71" t="s">
        <v>321</v>
      </c>
      <c r="C32" s="52"/>
      <c r="D32" s="52"/>
      <c r="E32" s="183"/>
      <c r="F32" s="184"/>
      <c r="G32" s="301"/>
      <c r="H32" s="85">
        <f>H30*H31</f>
        <v>3994.7838500000375</v>
      </c>
    </row>
    <row r="33" spans="1:8" ht="13.5" thickTop="1" x14ac:dyDescent="0.2">
      <c r="A33" s="26"/>
      <c r="B33" s="90"/>
      <c r="C33" s="52"/>
      <c r="D33" s="52"/>
      <c r="E33" s="52"/>
      <c r="F33" s="51"/>
      <c r="H33" s="86"/>
    </row>
    <row r="34" spans="1:8" x14ac:dyDescent="0.2">
      <c r="A34" s="26">
        <v>16</v>
      </c>
      <c r="B34" s="71" t="s">
        <v>318</v>
      </c>
      <c r="C34" s="52"/>
      <c r="D34" s="52"/>
      <c r="E34" s="52"/>
      <c r="F34" s="51"/>
      <c r="H34" s="86">
        <f>H18+H28</f>
        <v>5703.3333333333139</v>
      </c>
    </row>
    <row r="35" spans="1:8" x14ac:dyDescent="0.2">
      <c r="A35" s="26">
        <v>17</v>
      </c>
      <c r="B35" s="90" t="s">
        <v>190</v>
      </c>
      <c r="D35" s="52"/>
      <c r="E35" s="52"/>
      <c r="F35" s="297" t="s">
        <v>50</v>
      </c>
      <c r="H35" s="42">
        <f>'Allocation Factors'!C125</f>
        <v>0.1177</v>
      </c>
    </row>
    <row r="36" spans="1:8" ht="13.5" thickBot="1" x14ac:dyDescent="0.25">
      <c r="A36" s="26">
        <v>18</v>
      </c>
      <c r="B36" s="71" t="s">
        <v>320</v>
      </c>
      <c r="E36" s="52"/>
      <c r="H36" s="85">
        <f>H34*H35</f>
        <v>671.28233333333105</v>
      </c>
    </row>
    <row r="37" spans="1:8" ht="13.5" thickTop="1" x14ac:dyDescent="0.2">
      <c r="E37" s="52"/>
    </row>
    <row r="38" spans="1:8" x14ac:dyDescent="0.2">
      <c r="E38" s="52"/>
    </row>
    <row r="39" spans="1:8" x14ac:dyDescent="0.2">
      <c r="A39" s="297" t="s">
        <v>220</v>
      </c>
      <c r="H39" s="31"/>
    </row>
    <row r="43" spans="1:8" x14ac:dyDescent="0.2">
      <c r="C43" s="26"/>
      <c r="D43" s="26"/>
      <c r="E43" s="26"/>
      <c r="F43" s="26"/>
      <c r="G43" s="26"/>
    </row>
  </sheetData>
  <phoneticPr fontId="0" type="noConversion"/>
  <printOptions horizontalCentered="1"/>
  <pageMargins left="0.5" right="0.5" top="0.5" bottom="0.5" header="0.25" footer="0.25"/>
  <pageSetup scale="9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indexed="42"/>
    <pageSetUpPr fitToPage="1"/>
  </sheetPr>
  <dimension ref="A1:G49"/>
  <sheetViews>
    <sheetView showGridLines="0" zoomScaleNormal="100" zoomScaleSheetLayoutView="85" workbookViewId="0">
      <selection activeCell="G29" sqref="G29"/>
    </sheetView>
  </sheetViews>
  <sheetFormatPr defaultColWidth="9.140625" defaultRowHeight="12.75" x14ac:dyDescent="0.2"/>
  <cols>
    <col min="1" max="1" width="4.7109375" style="297" customWidth="1"/>
    <col min="2" max="2" width="41.7109375" style="297" customWidth="1"/>
    <col min="3" max="6" width="13.7109375" style="298" customWidth="1"/>
    <col min="7" max="16384" width="9.140625" style="298"/>
  </cols>
  <sheetData>
    <row r="1" spans="1:7" x14ac:dyDescent="0.2">
      <c r="A1" s="297" t="str">
        <f>'Page 1'!A1</f>
        <v>NW Natural</v>
      </c>
      <c r="F1" s="71" t="s">
        <v>3</v>
      </c>
      <c r="G1" s="115"/>
    </row>
    <row r="2" spans="1:7" x14ac:dyDescent="0.2">
      <c r="A2" s="297" t="str">
        <f>+'Page 1'!A2</f>
        <v>Washington Annual Commission Basis Report</v>
      </c>
      <c r="F2" s="71"/>
    </row>
    <row r="3" spans="1:7" x14ac:dyDescent="0.2">
      <c r="A3" s="297" t="str">
        <f>Adjustments!A4</f>
        <v>Twelve Months Ended December 31, 2018</v>
      </c>
      <c r="F3" s="297"/>
    </row>
    <row r="4" spans="1:7" x14ac:dyDescent="0.2">
      <c r="A4" s="297" t="s">
        <v>8</v>
      </c>
    </row>
    <row r="5" spans="1:7" x14ac:dyDescent="0.2">
      <c r="A5" s="297" t="s">
        <v>383</v>
      </c>
    </row>
    <row r="8" spans="1:7" x14ac:dyDescent="0.2">
      <c r="A8" s="297" t="s">
        <v>17</v>
      </c>
      <c r="C8" s="503" t="s">
        <v>518</v>
      </c>
      <c r="D8" s="306">
        <v>2018</v>
      </c>
      <c r="E8" s="306">
        <f>D8-1</f>
        <v>2017</v>
      </c>
      <c r="F8" s="306">
        <f>E8-1</f>
        <v>2016</v>
      </c>
    </row>
    <row r="9" spans="1:7" x14ac:dyDescent="0.2">
      <c r="A9" s="100" t="s">
        <v>46</v>
      </c>
      <c r="C9" s="28" t="s">
        <v>86</v>
      </c>
      <c r="D9" s="28" t="s">
        <v>87</v>
      </c>
      <c r="E9" s="28" t="s">
        <v>87</v>
      </c>
      <c r="F9" s="28" t="s">
        <v>87</v>
      </c>
    </row>
    <row r="10" spans="1:7" x14ac:dyDescent="0.2">
      <c r="C10" s="26" t="s">
        <v>76</v>
      </c>
      <c r="D10" s="26" t="s">
        <v>77</v>
      </c>
      <c r="E10" s="26" t="s">
        <v>78</v>
      </c>
      <c r="F10" s="26" t="s">
        <v>79</v>
      </c>
    </row>
    <row r="11" spans="1:7" x14ac:dyDescent="0.2">
      <c r="B11" s="297" t="s">
        <v>103</v>
      </c>
    </row>
    <row r="12" spans="1:7" x14ac:dyDescent="0.2">
      <c r="A12" s="297">
        <v>1</v>
      </c>
      <c r="B12" s="297" t="s">
        <v>109</v>
      </c>
      <c r="C12" s="111">
        <f>SUM(D12:F12)</f>
        <v>1274666.2732500001</v>
      </c>
      <c r="D12" s="504">
        <v>415008.33538</v>
      </c>
      <c r="E12" s="505">
        <v>458762.93787000002</v>
      </c>
      <c r="F12" s="505">
        <v>400895</v>
      </c>
      <c r="G12" s="301"/>
    </row>
    <row r="13" spans="1:7" x14ac:dyDescent="0.2">
      <c r="A13" s="297">
        <v>2</v>
      </c>
      <c r="B13" s="297" t="s">
        <v>114</v>
      </c>
      <c r="C13" s="110">
        <f>SUM(D13:F13)</f>
        <v>632471.03058000002</v>
      </c>
      <c r="D13" s="506">
        <v>205058.44524</v>
      </c>
      <c r="E13" s="207">
        <v>229680.58533999999</v>
      </c>
      <c r="F13" s="207">
        <v>197732</v>
      </c>
      <c r="G13" s="301"/>
    </row>
    <row r="14" spans="1:7" x14ac:dyDescent="0.2">
      <c r="A14" s="297">
        <v>3</v>
      </c>
      <c r="B14" s="297" t="s">
        <v>121</v>
      </c>
      <c r="C14" s="110">
        <f>SUM(D14:F14)</f>
        <v>64748.907569999996</v>
      </c>
      <c r="D14" s="506">
        <v>20943.491269999999</v>
      </c>
      <c r="E14" s="207">
        <v>22757.416300000001</v>
      </c>
      <c r="F14" s="207">
        <v>21048</v>
      </c>
      <c r="G14" s="301"/>
    </row>
    <row r="15" spans="1:7" x14ac:dyDescent="0.2">
      <c r="A15" s="297">
        <v>4</v>
      </c>
      <c r="B15" s="297" t="s">
        <v>127</v>
      </c>
      <c r="C15" s="112">
        <f>SUM(D15:F15)</f>
        <v>60996.858319999999</v>
      </c>
      <c r="D15" s="507">
        <v>19534.729909999998</v>
      </c>
      <c r="E15" s="508">
        <v>22173.128410000001</v>
      </c>
      <c r="F15" s="508">
        <v>19289</v>
      </c>
      <c r="G15" s="301"/>
    </row>
    <row r="16" spans="1:7" x14ac:dyDescent="0.2">
      <c r="A16" s="297">
        <v>5</v>
      </c>
      <c r="B16" s="297" t="s">
        <v>131</v>
      </c>
      <c r="C16" s="110">
        <f>SUM(C12:C15)</f>
        <v>2032883.06972</v>
      </c>
      <c r="D16" s="207">
        <f>SUM(D12:D15)</f>
        <v>660545.00179999997</v>
      </c>
      <c r="E16" s="207">
        <f>SUM(E12:E15)</f>
        <v>733374.06792000006</v>
      </c>
      <c r="F16" s="207">
        <f>SUM(F12:F15)</f>
        <v>638964</v>
      </c>
      <c r="G16" s="301"/>
    </row>
    <row r="17" spans="1:7" x14ac:dyDescent="0.2">
      <c r="C17" s="41"/>
      <c r="D17" s="208"/>
      <c r="E17" s="208"/>
      <c r="F17" s="208"/>
      <c r="G17" s="301"/>
    </row>
    <row r="18" spans="1:7" x14ac:dyDescent="0.2">
      <c r="B18" s="297" t="s">
        <v>142</v>
      </c>
      <c r="C18" s="41"/>
      <c r="D18" s="77"/>
      <c r="E18" s="77"/>
      <c r="F18" s="77"/>
      <c r="G18" s="301"/>
    </row>
    <row r="19" spans="1:7" x14ac:dyDescent="0.2">
      <c r="A19" s="297">
        <v>6</v>
      </c>
      <c r="B19" s="297" t="s">
        <v>109</v>
      </c>
      <c r="C19" s="110">
        <f>SUM(D19:F19)</f>
        <v>1763.3603499999999</v>
      </c>
      <c r="D19" s="509">
        <v>456.8637299999998</v>
      </c>
      <c r="E19" s="207">
        <v>723.49662000000001</v>
      </c>
      <c r="F19" s="207">
        <v>583</v>
      </c>
      <c r="G19" s="301"/>
    </row>
    <row r="20" spans="1:7" x14ac:dyDescent="0.2">
      <c r="A20" s="297">
        <v>7</v>
      </c>
      <c r="B20" s="297" t="s">
        <v>114</v>
      </c>
      <c r="C20" s="110">
        <f>SUM(D20:F20)</f>
        <v>299.52574000000004</v>
      </c>
      <c r="D20" s="509">
        <v>109.38588000000003</v>
      </c>
      <c r="E20" s="207">
        <v>98.139859999999999</v>
      </c>
      <c r="F20" s="207">
        <v>92</v>
      </c>
      <c r="G20" s="301"/>
    </row>
    <row r="21" spans="1:7" x14ac:dyDescent="0.2">
      <c r="A21" s="297">
        <v>8</v>
      </c>
      <c r="B21" s="297" t="s">
        <v>121</v>
      </c>
      <c r="C21" s="110">
        <f>SUM(D21:F21)</f>
        <v>151.89261999999999</v>
      </c>
      <c r="D21" s="509">
        <v>1.3055699999999923</v>
      </c>
      <c r="E21" s="207">
        <v>26.587049999999998</v>
      </c>
      <c r="F21" s="207">
        <v>124</v>
      </c>
      <c r="G21" s="301"/>
    </row>
    <row r="22" spans="1:7" x14ac:dyDescent="0.2">
      <c r="A22" s="297">
        <v>9</v>
      </c>
      <c r="B22" s="297" t="s">
        <v>127</v>
      </c>
      <c r="C22" s="112">
        <f>SUM(D22:F22)</f>
        <v>0</v>
      </c>
      <c r="D22" s="507">
        <v>0</v>
      </c>
      <c r="E22" s="508">
        <v>0</v>
      </c>
      <c r="F22" s="508">
        <v>0</v>
      </c>
      <c r="G22" s="301"/>
    </row>
    <row r="23" spans="1:7" x14ac:dyDescent="0.2">
      <c r="A23" s="297">
        <v>10</v>
      </c>
      <c r="B23" s="297" t="s">
        <v>131</v>
      </c>
      <c r="C23" s="110">
        <f>SUM(C19:C22)</f>
        <v>2214.77871</v>
      </c>
      <c r="D23" s="207">
        <f>SUM(D19:D22)</f>
        <v>567.55517999999984</v>
      </c>
      <c r="E23" s="207">
        <f>SUM(E19:E22)</f>
        <v>848.22352999999998</v>
      </c>
      <c r="F23" s="207">
        <f>SUM(F19:F22)</f>
        <v>799</v>
      </c>
      <c r="G23" s="301"/>
    </row>
    <row r="24" spans="1:7" x14ac:dyDescent="0.2">
      <c r="D24" s="301"/>
      <c r="E24" s="301"/>
      <c r="F24" s="301"/>
    </row>
    <row r="25" spans="1:7" x14ac:dyDescent="0.2">
      <c r="B25" s="297" t="s">
        <v>164</v>
      </c>
    </row>
    <row r="26" spans="1:7" x14ac:dyDescent="0.2">
      <c r="A26" s="297">
        <v>11</v>
      </c>
      <c r="B26" s="297" t="s">
        <v>109</v>
      </c>
      <c r="C26" s="33">
        <f t="shared" ref="C26:D30" si="0">C19/C12</f>
        <v>1.3833898228937862E-3</v>
      </c>
      <c r="D26" s="33">
        <f t="shared" si="0"/>
        <v>1.1008543468932382E-3</v>
      </c>
      <c r="E26" s="33">
        <f t="shared" ref="E26:F30" si="1">E19/E12</f>
        <v>1.5770598718351956E-3</v>
      </c>
      <c r="F26" s="33">
        <f t="shared" si="1"/>
        <v>1.4542461242968857E-3</v>
      </c>
    </row>
    <row r="27" spans="1:7" x14ac:dyDescent="0.2">
      <c r="A27" s="297">
        <v>12</v>
      </c>
      <c r="B27" s="297" t="s">
        <v>114</v>
      </c>
      <c r="C27" s="33">
        <f t="shared" si="0"/>
        <v>4.7358017287420034E-4</v>
      </c>
      <c r="D27" s="33">
        <f t="shared" si="0"/>
        <v>5.3343757616017718E-4</v>
      </c>
      <c r="E27" s="33">
        <f t="shared" si="1"/>
        <v>4.2728844431810347E-4</v>
      </c>
      <c r="F27" s="33">
        <f t="shared" si="1"/>
        <v>4.6527623247628105E-4</v>
      </c>
    </row>
    <row r="28" spans="1:7" x14ac:dyDescent="0.2">
      <c r="A28" s="297">
        <v>13</v>
      </c>
      <c r="B28" s="297" t="s">
        <v>121</v>
      </c>
      <c r="C28" s="33">
        <f t="shared" si="0"/>
        <v>2.3458715474973689E-3</v>
      </c>
      <c r="D28" s="33">
        <f t="shared" si="0"/>
        <v>6.2337744131042981E-5</v>
      </c>
      <c r="E28" s="33">
        <f t="shared" si="1"/>
        <v>1.1682806892274497E-3</v>
      </c>
      <c r="F28" s="33">
        <f t="shared" si="1"/>
        <v>5.8912960851387301E-3</v>
      </c>
    </row>
    <row r="29" spans="1:7" x14ac:dyDescent="0.2">
      <c r="A29" s="297">
        <v>14</v>
      </c>
      <c r="B29" s="297" t="s">
        <v>127</v>
      </c>
      <c r="C29" s="42">
        <f t="shared" si="0"/>
        <v>0</v>
      </c>
      <c r="D29" s="42">
        <f t="shared" si="0"/>
        <v>0</v>
      </c>
      <c r="E29" s="42">
        <f t="shared" si="1"/>
        <v>0</v>
      </c>
      <c r="F29" s="42">
        <f t="shared" si="1"/>
        <v>0</v>
      </c>
    </row>
    <row r="30" spans="1:7" x14ac:dyDescent="0.2">
      <c r="A30" s="297">
        <v>15</v>
      </c>
      <c r="B30" s="297" t="s">
        <v>177</v>
      </c>
      <c r="C30" s="33">
        <f>ROUND(C23/C16,5)</f>
        <v>1.09E-3</v>
      </c>
      <c r="D30" s="33">
        <f t="shared" si="0"/>
        <v>8.5922257901187543E-4</v>
      </c>
      <c r="E30" s="33">
        <f t="shared" si="1"/>
        <v>1.1566042039170225E-3</v>
      </c>
      <c r="F30" s="33">
        <f t="shared" si="1"/>
        <v>1.2504616848523548E-3</v>
      </c>
    </row>
    <row r="31" spans="1:7" x14ac:dyDescent="0.2">
      <c r="C31" s="33"/>
      <c r="D31" s="33"/>
      <c r="E31" s="33"/>
      <c r="F31" s="33"/>
    </row>
    <row r="32" spans="1:7" x14ac:dyDescent="0.2">
      <c r="B32" s="297" t="s">
        <v>183</v>
      </c>
      <c r="C32" s="41"/>
    </row>
    <row r="33" spans="1:5" x14ac:dyDescent="0.2">
      <c r="A33" s="297">
        <v>16</v>
      </c>
      <c r="B33" s="297" t="s">
        <v>109</v>
      </c>
      <c r="C33" s="41">
        <f>ROUND(C26*D12,0)</f>
        <v>574</v>
      </c>
    </row>
    <row r="34" spans="1:5" x14ac:dyDescent="0.2">
      <c r="A34" s="297">
        <v>17</v>
      </c>
      <c r="B34" s="297" t="s">
        <v>114</v>
      </c>
      <c r="C34" s="91">
        <f>ROUND(C27*D13,0)</f>
        <v>97</v>
      </c>
    </row>
    <row r="35" spans="1:5" x14ac:dyDescent="0.2">
      <c r="A35" s="297">
        <v>18</v>
      </c>
      <c r="B35" s="297" t="s">
        <v>121</v>
      </c>
      <c r="C35" s="91">
        <f>ROUND(C28*D14,0)</f>
        <v>49</v>
      </c>
    </row>
    <row r="36" spans="1:5" x14ac:dyDescent="0.2">
      <c r="A36" s="297">
        <v>19</v>
      </c>
      <c r="B36" s="297" t="s">
        <v>127</v>
      </c>
      <c r="C36" s="92">
        <f>ROUND(C29*D15,0)</f>
        <v>0</v>
      </c>
      <c r="E36" s="41"/>
    </row>
    <row r="37" spans="1:5" x14ac:dyDescent="0.2">
      <c r="A37" s="297">
        <v>20</v>
      </c>
      <c r="B37" s="297" t="s">
        <v>131</v>
      </c>
      <c r="C37" s="41">
        <f>SUM(C33:C36)</f>
        <v>720</v>
      </c>
      <c r="D37" s="41"/>
    </row>
    <row r="39" spans="1:5" x14ac:dyDescent="0.2">
      <c r="A39" s="297">
        <v>21</v>
      </c>
      <c r="B39" s="297" t="s">
        <v>196</v>
      </c>
      <c r="C39" s="42">
        <f>'Allocation Factors'!D11</f>
        <v>0.1119</v>
      </c>
      <c r="D39" s="82" t="s">
        <v>197</v>
      </c>
    </row>
    <row r="40" spans="1:5" x14ac:dyDescent="0.2">
      <c r="C40" s="41"/>
      <c r="D40" s="41"/>
    </row>
    <row r="41" spans="1:5" x14ac:dyDescent="0.2">
      <c r="A41" s="297">
        <v>22</v>
      </c>
      <c r="B41" s="297" t="s">
        <v>202</v>
      </c>
      <c r="C41" s="41">
        <f>ROUND(C37*C39*1000,0)</f>
        <v>80568</v>
      </c>
      <c r="D41" s="41"/>
    </row>
    <row r="42" spans="1:5" x14ac:dyDescent="0.2">
      <c r="C42" s="41"/>
      <c r="D42" s="41"/>
    </row>
    <row r="43" spans="1:5" x14ac:dyDescent="0.2">
      <c r="A43" s="297">
        <v>23</v>
      </c>
      <c r="B43" s="297" t="s">
        <v>205</v>
      </c>
      <c r="C43" s="113">
        <f>+'Page 1'!C17</f>
        <v>74083</v>
      </c>
      <c r="D43" s="41"/>
    </row>
    <row r="44" spans="1:5" x14ac:dyDescent="0.2">
      <c r="D44" s="41"/>
    </row>
    <row r="45" spans="1:5" ht="13.5" thickBot="1" x14ac:dyDescent="0.25">
      <c r="A45" s="297">
        <v>24</v>
      </c>
      <c r="B45" s="297" t="s">
        <v>211</v>
      </c>
      <c r="C45" s="114">
        <f>C41-C43</f>
        <v>6485</v>
      </c>
      <c r="D45" s="41"/>
    </row>
    <row r="46" spans="1:5" ht="13.5" thickTop="1" x14ac:dyDescent="0.2">
      <c r="C46" s="41"/>
    </row>
    <row r="47" spans="1:5" x14ac:dyDescent="0.2">
      <c r="C47" s="41"/>
      <c r="D47" s="41"/>
    </row>
    <row r="48" spans="1:5" x14ac:dyDescent="0.2">
      <c r="C48" s="41"/>
      <c r="D48" s="41"/>
    </row>
    <row r="49" spans="2:4" x14ac:dyDescent="0.2">
      <c r="B49" s="297" t="s">
        <v>215</v>
      </c>
      <c r="C49" s="33">
        <f>+C30</f>
        <v>1.09E-3</v>
      </c>
      <c r="D49" s="298" t="s">
        <v>216</v>
      </c>
    </row>
  </sheetData>
  <phoneticPr fontId="0" type="noConversion"/>
  <printOptions horizontalCentered="1"/>
  <pageMargins left="0.5" right="0.5" top="0.5" bottom="0.5" header="0.25" footer="0.25"/>
  <pageSetup scale="83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indexed="42"/>
  </sheetPr>
  <dimension ref="A1:L64"/>
  <sheetViews>
    <sheetView showGridLines="0" zoomScaleNormal="100" zoomScaleSheetLayoutView="85" workbookViewId="0">
      <selection activeCell="G29" sqref="G29"/>
    </sheetView>
  </sheetViews>
  <sheetFormatPr defaultColWidth="9.140625" defaultRowHeight="12.75" x14ac:dyDescent="0.2"/>
  <cols>
    <col min="1" max="1" width="5.7109375" style="115" customWidth="1"/>
    <col min="2" max="2" width="3.7109375" style="115" customWidth="1"/>
    <col min="3" max="3" width="58" style="115" customWidth="1"/>
    <col min="4" max="4" width="17.42578125" style="301" bestFit="1" customWidth="1"/>
    <col min="5" max="5" width="9.140625" style="301"/>
    <col min="6" max="6" width="0" style="301" hidden="1" customWidth="1"/>
    <col min="7" max="7" width="14.7109375" style="301" hidden="1" customWidth="1"/>
    <col min="8" max="8" width="15.7109375" style="301" customWidth="1"/>
    <col min="9" max="10" width="9.140625" style="301"/>
    <col min="11" max="11" width="13.7109375" style="301" customWidth="1"/>
    <col min="12" max="16384" width="9.140625" style="301"/>
  </cols>
  <sheetData>
    <row r="1" spans="1:12" x14ac:dyDescent="0.2">
      <c r="A1" s="115" t="str">
        <f>'Page 1'!A1</f>
        <v>NW Natural</v>
      </c>
      <c r="D1" s="314" t="s">
        <v>299</v>
      </c>
      <c r="F1" s="510" t="s">
        <v>414</v>
      </c>
    </row>
    <row r="2" spans="1:12" x14ac:dyDescent="0.2">
      <c r="A2" s="115" t="str">
        <f>+'Page 1'!A2</f>
        <v>Washington Annual Commission Basis Report</v>
      </c>
      <c r="D2" s="314"/>
    </row>
    <row r="3" spans="1:12" x14ac:dyDescent="0.2">
      <c r="A3" s="115" t="s">
        <v>296</v>
      </c>
    </row>
    <row r="4" spans="1:12" x14ac:dyDescent="0.2">
      <c r="A4" s="314" t="str">
        <f>+'d Uncollectibles'!A3</f>
        <v>Twelve Months Ended December 31, 2018</v>
      </c>
    </row>
    <row r="6" spans="1:12" x14ac:dyDescent="0.2">
      <c r="A6" s="316" t="s">
        <v>17</v>
      </c>
      <c r="B6" s="317"/>
      <c r="C6" s="317"/>
      <c r="D6" s="117" t="s">
        <v>53</v>
      </c>
    </row>
    <row r="7" spans="1:12" x14ac:dyDescent="0.2">
      <c r="A7" s="318" t="s">
        <v>46</v>
      </c>
      <c r="B7" s="319"/>
      <c r="C7" s="319"/>
      <c r="D7" s="118" t="s">
        <v>297</v>
      </c>
    </row>
    <row r="8" spans="1:12" x14ac:dyDescent="0.2">
      <c r="A8" s="511"/>
      <c r="B8" s="511"/>
      <c r="C8" s="511"/>
    </row>
    <row r="9" spans="1:12" x14ac:dyDescent="0.2">
      <c r="A9" s="511"/>
      <c r="B9" s="396"/>
      <c r="C9" s="319"/>
      <c r="D9" s="162"/>
      <c r="H9" s="206"/>
      <c r="I9" s="206"/>
      <c r="J9" s="205"/>
      <c r="L9" s="115"/>
    </row>
    <row r="10" spans="1:12" x14ac:dyDescent="0.2">
      <c r="A10" s="316">
        <v>1</v>
      </c>
      <c r="B10" s="319"/>
      <c r="C10" s="397" t="s">
        <v>529</v>
      </c>
      <c r="D10" s="399">
        <v>162458148.46374997</v>
      </c>
      <c r="G10" s="512"/>
      <c r="K10" s="101"/>
    </row>
    <row r="11" spans="1:12" x14ac:dyDescent="0.2">
      <c r="A11" s="316">
        <v>2</v>
      </c>
      <c r="B11" s="319"/>
      <c r="C11" s="397" t="s">
        <v>530</v>
      </c>
      <c r="D11" s="399">
        <v>-153727034.57458335</v>
      </c>
      <c r="G11" s="512"/>
      <c r="K11" s="101"/>
    </row>
    <row r="12" spans="1:12" x14ac:dyDescent="0.2">
      <c r="A12" s="316">
        <v>3</v>
      </c>
      <c r="B12" s="319"/>
      <c r="C12" s="398" t="s">
        <v>531</v>
      </c>
      <c r="D12" s="404">
        <f>D10+D11</f>
        <v>8731113.8891666234</v>
      </c>
      <c r="G12" s="512"/>
      <c r="K12" s="101"/>
    </row>
    <row r="13" spans="1:12" x14ac:dyDescent="0.2">
      <c r="A13" s="316">
        <v>4</v>
      </c>
      <c r="B13" s="319"/>
      <c r="C13" s="397"/>
      <c r="D13" s="399"/>
      <c r="G13" s="512"/>
      <c r="K13" s="101"/>
    </row>
    <row r="14" spans="1:12" x14ac:dyDescent="0.2">
      <c r="A14" s="316">
        <v>5</v>
      </c>
      <c r="B14" s="319"/>
      <c r="C14" s="397" t="s">
        <v>533</v>
      </c>
      <c r="D14" s="400">
        <v>0.1042</v>
      </c>
      <c r="G14" s="513"/>
      <c r="K14" s="101"/>
    </row>
    <row r="15" spans="1:12" x14ac:dyDescent="0.2">
      <c r="A15" s="316">
        <v>6</v>
      </c>
      <c r="B15" s="319"/>
      <c r="C15" s="397"/>
      <c r="D15" s="399"/>
      <c r="G15" s="99"/>
      <c r="K15" s="101"/>
    </row>
    <row r="16" spans="1:12" x14ac:dyDescent="0.2">
      <c r="A16" s="316"/>
      <c r="B16" s="319"/>
      <c r="C16" s="319" t="s">
        <v>532</v>
      </c>
      <c r="D16" s="404">
        <f>D12*D14</f>
        <v>909782.06725116214</v>
      </c>
      <c r="G16" s="99"/>
      <c r="K16" s="101"/>
    </row>
    <row r="17" spans="1:11" x14ac:dyDescent="0.2">
      <c r="A17" s="511"/>
      <c r="B17" s="396"/>
      <c r="C17" s="319"/>
      <c r="D17" s="399"/>
      <c r="G17" s="99"/>
      <c r="K17" s="101"/>
    </row>
    <row r="18" spans="1:11" x14ac:dyDescent="0.2">
      <c r="A18" s="316"/>
      <c r="B18" s="397"/>
      <c r="C18" s="319"/>
      <c r="D18" s="399"/>
      <c r="G18" s="99"/>
      <c r="K18" s="101"/>
    </row>
    <row r="19" spans="1:11" x14ac:dyDescent="0.2">
      <c r="A19" s="316"/>
      <c r="B19" s="319"/>
      <c r="C19" s="397"/>
      <c r="D19" s="399"/>
      <c r="G19" s="512"/>
      <c r="K19" s="101"/>
    </row>
    <row r="20" spans="1:11" x14ac:dyDescent="0.2">
      <c r="A20" s="316"/>
      <c r="B20" s="319"/>
      <c r="C20" s="397"/>
      <c r="D20" s="399"/>
      <c r="G20" s="512"/>
      <c r="K20" s="101"/>
    </row>
    <row r="21" spans="1:11" x14ac:dyDescent="0.2">
      <c r="A21" s="316"/>
      <c r="B21" s="319"/>
      <c r="C21" s="397"/>
      <c r="D21" s="399"/>
      <c r="G21" s="512"/>
      <c r="K21" s="101"/>
    </row>
    <row r="22" spans="1:11" x14ac:dyDescent="0.2">
      <c r="A22" s="316"/>
      <c r="B22" s="319"/>
      <c r="C22" s="397"/>
      <c r="D22" s="399"/>
      <c r="G22" s="512"/>
      <c r="K22" s="101"/>
    </row>
    <row r="23" spans="1:11" x14ac:dyDescent="0.2">
      <c r="A23" s="316"/>
      <c r="B23" s="319"/>
      <c r="C23" s="397"/>
      <c r="D23" s="399"/>
      <c r="G23" s="512"/>
      <c r="K23" s="101"/>
    </row>
    <row r="24" spans="1:11" x14ac:dyDescent="0.2">
      <c r="A24" s="316"/>
      <c r="B24" s="319"/>
      <c r="C24" s="397"/>
      <c r="D24" s="399"/>
      <c r="G24" s="512"/>
      <c r="K24" s="101"/>
    </row>
    <row r="25" spans="1:11" x14ac:dyDescent="0.2">
      <c r="A25" s="316"/>
      <c r="B25" s="319"/>
      <c r="C25" s="397"/>
      <c r="D25" s="399"/>
      <c r="G25" s="513"/>
      <c r="K25" s="101"/>
    </row>
    <row r="26" spans="1:11" x14ac:dyDescent="0.2">
      <c r="A26" s="316"/>
      <c r="B26" s="319"/>
      <c r="C26" s="397"/>
      <c r="D26" s="399"/>
      <c r="G26" s="514"/>
      <c r="K26" s="101"/>
    </row>
    <row r="27" spans="1:11" x14ac:dyDescent="0.2">
      <c r="A27" s="316"/>
      <c r="B27" s="319"/>
      <c r="C27" s="397"/>
      <c r="D27" s="399"/>
      <c r="G27" s="99"/>
      <c r="K27" s="101"/>
    </row>
    <row r="28" spans="1:11" x14ac:dyDescent="0.2">
      <c r="A28" s="316"/>
      <c r="B28" s="319"/>
      <c r="C28" s="319"/>
      <c r="D28" s="399"/>
      <c r="G28" s="99"/>
      <c r="K28" s="101"/>
    </row>
    <row r="29" spans="1:11" x14ac:dyDescent="0.2">
      <c r="A29" s="316"/>
      <c r="B29" s="396"/>
      <c r="C29" s="319"/>
      <c r="D29" s="399"/>
      <c r="G29" s="99"/>
      <c r="K29" s="101"/>
    </row>
    <row r="30" spans="1:11" x14ac:dyDescent="0.2">
      <c r="A30" s="316"/>
      <c r="B30" s="319"/>
      <c r="C30" s="319"/>
      <c r="D30" s="399"/>
      <c r="G30" s="512"/>
      <c r="K30" s="101"/>
    </row>
    <row r="31" spans="1:11" x14ac:dyDescent="0.2">
      <c r="A31" s="316"/>
      <c r="B31" s="319"/>
      <c r="C31" s="319"/>
      <c r="D31" s="399"/>
      <c r="G31" s="512"/>
      <c r="K31" s="101"/>
    </row>
    <row r="32" spans="1:11" x14ac:dyDescent="0.2">
      <c r="A32" s="316"/>
      <c r="B32" s="319"/>
      <c r="C32" s="319"/>
      <c r="D32" s="399"/>
      <c r="G32" s="512"/>
      <c r="K32" s="101"/>
    </row>
    <row r="33" spans="1:11" x14ac:dyDescent="0.2">
      <c r="A33" s="316"/>
      <c r="B33" s="319"/>
      <c r="C33" s="319"/>
      <c r="D33" s="399"/>
      <c r="G33" s="512"/>
      <c r="K33" s="101"/>
    </row>
    <row r="34" spans="1:11" x14ac:dyDescent="0.2">
      <c r="A34" s="316"/>
      <c r="B34" s="319"/>
      <c r="C34" s="319"/>
      <c r="D34" s="399"/>
      <c r="G34" s="512"/>
      <c r="K34" s="101"/>
    </row>
    <row r="35" spans="1:11" x14ac:dyDescent="0.2">
      <c r="A35" s="316"/>
      <c r="B35" s="319"/>
      <c r="C35" s="319"/>
      <c r="D35" s="399"/>
      <c r="G35" s="512"/>
      <c r="K35" s="101"/>
    </row>
    <row r="36" spans="1:11" x14ac:dyDescent="0.2">
      <c r="A36" s="316"/>
      <c r="B36" s="319"/>
      <c r="C36" s="319"/>
      <c r="D36" s="399"/>
      <c r="G36" s="512"/>
      <c r="K36" s="101"/>
    </row>
    <row r="37" spans="1:11" x14ac:dyDescent="0.2">
      <c r="A37" s="316"/>
      <c r="B37" s="319"/>
      <c r="C37" s="319"/>
      <c r="D37" s="399"/>
      <c r="G37" s="513"/>
      <c r="K37" s="101"/>
    </row>
    <row r="38" spans="1:11" x14ac:dyDescent="0.2">
      <c r="A38" s="316"/>
      <c r="B38" s="319"/>
      <c r="C38" s="319"/>
      <c r="D38" s="399"/>
      <c r="G38" s="99"/>
      <c r="K38" s="101"/>
    </row>
    <row r="39" spans="1:11" x14ac:dyDescent="0.2">
      <c r="A39" s="316"/>
      <c r="B39" s="319"/>
      <c r="C39" s="319"/>
      <c r="D39" s="399"/>
      <c r="G39" s="99"/>
      <c r="K39" s="101"/>
    </row>
    <row r="40" spans="1:11" x14ac:dyDescent="0.2">
      <c r="A40" s="316"/>
      <c r="B40" s="398"/>
      <c r="C40" s="319"/>
      <c r="D40" s="399"/>
      <c r="G40" s="99"/>
      <c r="K40" s="101"/>
    </row>
    <row r="41" spans="1:11" x14ac:dyDescent="0.2">
      <c r="A41" s="316"/>
      <c r="B41" s="319"/>
      <c r="C41" s="319"/>
      <c r="D41" s="399"/>
      <c r="G41" s="99"/>
      <c r="K41" s="101"/>
    </row>
    <row r="42" spans="1:11" x14ac:dyDescent="0.2">
      <c r="A42" s="316"/>
      <c r="B42" s="319"/>
      <c r="C42" s="319"/>
      <c r="D42" s="399"/>
      <c r="G42" s="99"/>
      <c r="K42" s="101"/>
    </row>
    <row r="43" spans="1:11" x14ac:dyDescent="0.2">
      <c r="A43" s="316"/>
      <c r="B43" s="319"/>
      <c r="C43" s="319"/>
      <c r="D43" s="399"/>
      <c r="G43" s="99"/>
      <c r="K43" s="101"/>
    </row>
    <row r="44" spans="1:11" x14ac:dyDescent="0.2">
      <c r="A44" s="316"/>
      <c r="B44" s="319"/>
      <c r="C44" s="319"/>
      <c r="D44" s="399"/>
      <c r="G44" s="513"/>
      <c r="K44" s="101"/>
    </row>
    <row r="45" spans="1:11" x14ac:dyDescent="0.2">
      <c r="A45" s="316"/>
      <c r="B45" s="398"/>
      <c r="C45" s="319"/>
      <c r="D45" s="399"/>
      <c r="G45" s="99"/>
      <c r="K45" s="101"/>
    </row>
    <row r="46" spans="1:11" x14ac:dyDescent="0.2">
      <c r="A46" s="316"/>
      <c r="B46" s="319"/>
      <c r="C46" s="319"/>
      <c r="D46" s="399"/>
      <c r="G46" s="99"/>
      <c r="K46" s="101"/>
    </row>
    <row r="47" spans="1:11" x14ac:dyDescent="0.2">
      <c r="A47" s="316"/>
      <c r="B47" s="319"/>
      <c r="C47" s="515"/>
      <c r="D47" s="399"/>
      <c r="G47" s="99"/>
      <c r="K47" s="101"/>
    </row>
    <row r="48" spans="1:11" x14ac:dyDescent="0.2">
      <c r="A48" s="316"/>
      <c r="B48" s="515"/>
      <c r="C48" s="319"/>
      <c r="D48" s="399"/>
      <c r="G48" s="99"/>
      <c r="K48" s="101"/>
    </row>
    <row r="49" spans="1:11" x14ac:dyDescent="0.2">
      <c r="A49" s="316"/>
      <c r="B49" s="398"/>
      <c r="C49" s="319"/>
      <c r="D49" s="400"/>
      <c r="G49" s="99"/>
      <c r="K49" s="101"/>
    </row>
    <row r="50" spans="1:11" x14ac:dyDescent="0.2">
      <c r="A50" s="316"/>
      <c r="B50" s="319"/>
      <c r="C50" s="319"/>
      <c r="D50" s="399"/>
      <c r="G50" s="516"/>
      <c r="K50" s="101"/>
    </row>
    <row r="51" spans="1:11" x14ac:dyDescent="0.2">
      <c r="A51" s="316"/>
      <c r="B51" s="319"/>
      <c r="C51" s="319"/>
      <c r="D51" s="399"/>
      <c r="G51" s="99"/>
      <c r="K51" s="101"/>
    </row>
    <row r="52" spans="1:11" x14ac:dyDescent="0.2">
      <c r="A52" s="316"/>
      <c r="B52" s="319"/>
      <c r="C52" s="319"/>
      <c r="D52" s="399"/>
      <c r="G52" s="429"/>
      <c r="K52" s="211"/>
    </row>
    <row r="53" spans="1:11" x14ac:dyDescent="0.2">
      <c r="A53" s="316"/>
      <c r="B53" s="319"/>
      <c r="C53" s="319"/>
      <c r="D53" s="399"/>
      <c r="G53" s="517"/>
      <c r="K53" s="212"/>
    </row>
    <row r="54" spans="1:11" x14ac:dyDescent="0.2">
      <c r="A54" s="316"/>
      <c r="B54" s="319"/>
      <c r="C54" s="398"/>
      <c r="D54" s="399"/>
      <c r="G54" s="429"/>
      <c r="K54" s="211"/>
    </row>
    <row r="55" spans="1:11" x14ac:dyDescent="0.2">
      <c r="A55" s="316"/>
      <c r="B55" s="319"/>
      <c r="C55" s="319"/>
      <c r="D55" s="399"/>
      <c r="G55" s="429"/>
      <c r="K55" s="211"/>
    </row>
    <row r="56" spans="1:11" ht="15" x14ac:dyDescent="0.25">
      <c r="A56" s="316"/>
      <c r="B56" s="319"/>
      <c r="C56" s="319"/>
      <c r="D56" s="401"/>
      <c r="G56" s="429"/>
      <c r="K56" s="211"/>
    </row>
    <row r="57" spans="1:11" x14ac:dyDescent="0.2">
      <c r="A57" s="316"/>
      <c r="B57" s="319"/>
      <c r="C57" s="398"/>
      <c r="D57" s="518"/>
      <c r="G57" s="429"/>
      <c r="K57" s="211"/>
    </row>
    <row r="58" spans="1:11" x14ac:dyDescent="0.2">
      <c r="A58" s="316"/>
      <c r="B58" s="319"/>
      <c r="C58" s="319"/>
      <c r="D58" s="518"/>
      <c r="G58" s="429"/>
      <c r="K58" s="211"/>
    </row>
    <row r="59" spans="1:11" x14ac:dyDescent="0.2">
      <c r="A59" s="316"/>
      <c r="B59" s="398"/>
      <c r="C59" s="319"/>
      <c r="D59" s="399"/>
      <c r="G59" s="429"/>
      <c r="K59" s="211"/>
    </row>
    <row r="60" spans="1:11" x14ac:dyDescent="0.2">
      <c r="A60" s="307"/>
      <c r="B60" s="402"/>
      <c r="C60" s="519"/>
      <c r="D60" s="222"/>
      <c r="G60" s="520"/>
      <c r="K60" s="213"/>
    </row>
    <row r="61" spans="1:11" x14ac:dyDescent="0.2">
      <c r="A61" s="307"/>
      <c r="B61" s="402"/>
      <c r="C61" s="521"/>
      <c r="D61" s="403"/>
      <c r="G61" s="313"/>
      <c r="K61" s="211"/>
    </row>
    <row r="62" spans="1:11" x14ac:dyDescent="0.2">
      <c r="A62" s="307"/>
      <c r="B62" s="402"/>
      <c r="C62" s="519"/>
      <c r="D62" s="403"/>
      <c r="G62" s="522"/>
      <c r="K62" s="211"/>
    </row>
    <row r="63" spans="1:11" ht="13.5" thickBot="1" x14ac:dyDescent="0.25">
      <c r="A63" s="307"/>
      <c r="B63" s="308"/>
      <c r="C63" s="215"/>
      <c r="G63" s="523"/>
      <c r="K63" s="214"/>
    </row>
    <row r="64" spans="1:11" ht="13.5" thickTop="1" x14ac:dyDescent="0.2">
      <c r="K64" s="215"/>
    </row>
  </sheetData>
  <phoneticPr fontId="0" type="noConversion"/>
  <printOptions horizontalCentered="1"/>
  <pageMargins left="0.5" right="0.5" top="0.5" bottom="0.5" header="0.25" footer="0.25"/>
  <pageSetup scale="9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indexed="42"/>
  </sheetPr>
  <dimension ref="A1:H37"/>
  <sheetViews>
    <sheetView showGridLines="0" zoomScaleNormal="100" zoomScaleSheetLayoutView="85" workbookViewId="0">
      <selection activeCell="G29" sqref="G29"/>
    </sheetView>
  </sheetViews>
  <sheetFormatPr defaultColWidth="9.140625" defaultRowHeight="12.75" x14ac:dyDescent="0.2"/>
  <cols>
    <col min="1" max="1" width="4.7109375" style="297" customWidth="1"/>
    <col min="2" max="2" width="46.7109375" style="297" customWidth="1"/>
    <col min="3" max="5" width="13.7109375" style="298" customWidth="1"/>
    <col min="6" max="16384" width="9.140625" style="298"/>
  </cols>
  <sheetData>
    <row r="1" spans="1:8" x14ac:dyDescent="0.2">
      <c r="A1" s="297" t="str">
        <f>'Page 1'!A1</f>
        <v>NW Natural</v>
      </c>
      <c r="E1" s="71" t="s">
        <v>295</v>
      </c>
      <c r="G1" s="115"/>
    </row>
    <row r="2" spans="1:8" x14ac:dyDescent="0.2">
      <c r="A2" s="297" t="str">
        <f>+'Page 1'!A2</f>
        <v>Washington Annual Commission Basis Report</v>
      </c>
      <c r="E2" s="71"/>
    </row>
    <row r="3" spans="1:8" x14ac:dyDescent="0.2">
      <c r="A3" s="297" t="str">
        <f>+Taxes!A3</f>
        <v>Twelve Months Ended December 31, 2018</v>
      </c>
    </row>
    <row r="4" spans="1:8" x14ac:dyDescent="0.2">
      <c r="A4" s="297" t="s">
        <v>419</v>
      </c>
    </row>
    <row r="6" spans="1:8" x14ac:dyDescent="0.2">
      <c r="C6" s="74"/>
      <c r="D6" s="74"/>
      <c r="E6" s="74"/>
    </row>
    <row r="7" spans="1:8" x14ac:dyDescent="0.2">
      <c r="A7" s="26" t="s">
        <v>17</v>
      </c>
      <c r="C7" s="74" t="s">
        <v>11</v>
      </c>
      <c r="D7" s="74" t="s">
        <v>44</v>
      </c>
      <c r="E7" s="74" t="s">
        <v>45</v>
      </c>
    </row>
    <row r="8" spans="1:8" x14ac:dyDescent="0.2">
      <c r="A8" s="28" t="s">
        <v>46</v>
      </c>
      <c r="C8" s="28" t="s">
        <v>69</v>
      </c>
      <c r="D8" s="28" t="s">
        <v>71</v>
      </c>
      <c r="E8" s="28" t="s">
        <v>69</v>
      </c>
    </row>
    <row r="9" spans="1:8" x14ac:dyDescent="0.2">
      <c r="A9" s="74"/>
      <c r="C9" s="320"/>
      <c r="D9" s="74"/>
      <c r="E9" s="74"/>
    </row>
    <row r="10" spans="1:8" x14ac:dyDescent="0.2">
      <c r="A10" s="26">
        <v>1</v>
      </c>
      <c r="B10" s="44" t="s">
        <v>425</v>
      </c>
      <c r="C10" s="524">
        <v>264842</v>
      </c>
      <c r="D10" s="122">
        <v>1</v>
      </c>
      <c r="E10" s="86">
        <f>ROUND(C10*D10,0)</f>
        <v>264842</v>
      </c>
      <c r="F10" s="299"/>
      <c r="G10" s="299"/>
      <c r="H10" s="299"/>
    </row>
    <row r="11" spans="1:8" x14ac:dyDescent="0.15">
      <c r="A11" s="26"/>
      <c r="B11" s="525"/>
      <c r="C11" s="526"/>
      <c r="D11" s="122"/>
      <c r="E11" s="299"/>
      <c r="F11" s="299"/>
      <c r="G11" s="299"/>
      <c r="H11" s="299"/>
    </row>
    <row r="12" spans="1:8" x14ac:dyDescent="0.2">
      <c r="A12" s="26">
        <v>2</v>
      </c>
      <c r="B12" s="44" t="s">
        <v>420</v>
      </c>
      <c r="C12" s="526">
        <v>16041</v>
      </c>
      <c r="D12" s="122">
        <v>1</v>
      </c>
      <c r="E12" s="172">
        <f>ROUND(C12*D12,0)</f>
        <v>16041</v>
      </c>
      <c r="F12" s="299"/>
      <c r="G12" s="299"/>
      <c r="H12" s="299"/>
    </row>
    <row r="13" spans="1:8" x14ac:dyDescent="0.15">
      <c r="A13" s="26"/>
      <c r="B13" s="525" t="s">
        <v>443</v>
      </c>
      <c r="C13" s="527"/>
      <c r="D13" s="122"/>
      <c r="E13" s="299"/>
      <c r="F13" s="299"/>
      <c r="G13" s="299"/>
      <c r="H13" s="299"/>
    </row>
    <row r="14" spans="1:8" x14ac:dyDescent="0.2">
      <c r="A14" s="26"/>
      <c r="B14" s="44"/>
      <c r="C14" s="217"/>
      <c r="D14" s="122"/>
      <c r="E14" s="169"/>
      <c r="F14" s="299"/>
      <c r="G14" s="299"/>
      <c r="H14" s="299"/>
    </row>
    <row r="15" spans="1:8" x14ac:dyDescent="0.2">
      <c r="A15" s="26">
        <f>+A12+1</f>
        <v>3</v>
      </c>
      <c r="B15" s="44" t="s">
        <v>421</v>
      </c>
      <c r="C15" s="217">
        <v>1297</v>
      </c>
      <c r="D15" s="122">
        <v>1</v>
      </c>
      <c r="E15" s="172">
        <f>ROUND(C15*D15,0)</f>
        <v>1297</v>
      </c>
      <c r="F15" s="299"/>
      <c r="G15" s="299"/>
      <c r="H15" s="299"/>
    </row>
    <row r="16" spans="1:8" x14ac:dyDescent="0.2">
      <c r="A16" s="26"/>
      <c r="B16" s="46"/>
      <c r="C16" s="217"/>
      <c r="D16" s="122"/>
      <c r="E16" s="169"/>
      <c r="F16" s="299"/>
      <c r="G16" s="299"/>
      <c r="H16" s="299"/>
    </row>
    <row r="17" spans="1:8" x14ac:dyDescent="0.2">
      <c r="A17" s="26">
        <f>+A15+1</f>
        <v>4</v>
      </c>
      <c r="B17" s="44" t="s">
        <v>422</v>
      </c>
      <c r="C17" s="217">
        <v>218453</v>
      </c>
      <c r="D17" s="122">
        <v>1</v>
      </c>
      <c r="E17" s="172">
        <f>ROUND(C17*D17,0)</f>
        <v>218453</v>
      </c>
      <c r="F17" s="299"/>
      <c r="G17" s="299"/>
      <c r="H17" s="299"/>
    </row>
    <row r="18" spans="1:8" x14ac:dyDescent="0.2">
      <c r="A18" s="26"/>
      <c r="B18" s="46"/>
      <c r="C18" s="217"/>
      <c r="D18" s="122"/>
      <c r="E18" s="299"/>
      <c r="F18" s="299"/>
      <c r="G18" s="299"/>
      <c r="H18" s="299"/>
    </row>
    <row r="19" spans="1:8" x14ac:dyDescent="0.2">
      <c r="A19" s="26">
        <f>+A17+1</f>
        <v>5</v>
      </c>
      <c r="B19" s="44" t="s">
        <v>423</v>
      </c>
      <c r="C19" s="217">
        <v>71023</v>
      </c>
      <c r="D19" s="122">
        <v>1</v>
      </c>
      <c r="E19" s="172">
        <f>ROUND(C19*D19,0)</f>
        <v>71023</v>
      </c>
      <c r="F19" s="299"/>
      <c r="G19" s="299"/>
      <c r="H19" s="299"/>
    </row>
    <row r="20" spans="1:8" x14ac:dyDescent="0.2">
      <c r="A20" s="26"/>
      <c r="B20" s="44"/>
      <c r="C20" s="217"/>
      <c r="D20" s="170"/>
      <c r="E20" s="406"/>
      <c r="F20" s="299"/>
      <c r="G20" s="299"/>
      <c r="H20" s="299"/>
    </row>
    <row r="21" spans="1:8" x14ac:dyDescent="0.2">
      <c r="A21" s="26">
        <f>+A19+1</f>
        <v>6</v>
      </c>
      <c r="B21" s="44" t="s">
        <v>424</v>
      </c>
      <c r="C21" s="217">
        <v>301395</v>
      </c>
      <c r="D21" s="122">
        <f>ROUND(47699/170415,3)</f>
        <v>0.28000000000000003</v>
      </c>
      <c r="E21" s="173">
        <f>ROUND(C21*D21,0)</f>
        <v>84391</v>
      </c>
      <c r="F21" s="299"/>
      <c r="G21" s="299"/>
      <c r="H21" s="299"/>
    </row>
    <row r="22" spans="1:8" x14ac:dyDescent="0.2">
      <c r="A22" s="26"/>
      <c r="C22" s="301"/>
      <c r="D22" s="171"/>
    </row>
    <row r="23" spans="1:8" ht="13.5" thickBot="1" x14ac:dyDescent="0.25">
      <c r="A23" s="26">
        <f>+A21+1</f>
        <v>7</v>
      </c>
      <c r="B23" s="297" t="s">
        <v>426</v>
      </c>
      <c r="D23" s="171"/>
      <c r="E23" s="114">
        <f>SUM(E10:E21)</f>
        <v>656047</v>
      </c>
    </row>
    <row r="24" spans="1:8" ht="13.5" thickTop="1" x14ac:dyDescent="0.2"/>
    <row r="26" spans="1:8" x14ac:dyDescent="0.2">
      <c r="B26" s="44"/>
    </row>
    <row r="27" spans="1:8" x14ac:dyDescent="0.2">
      <c r="B27" s="44"/>
    </row>
    <row r="28" spans="1:8" x14ac:dyDescent="0.2">
      <c r="B28" s="44"/>
    </row>
    <row r="29" spans="1:8" x14ac:dyDescent="0.15">
      <c r="B29" s="168"/>
    </row>
    <row r="30" spans="1:8" x14ac:dyDescent="0.2">
      <c r="B30" s="44"/>
    </row>
    <row r="31" spans="1:8" x14ac:dyDescent="0.2">
      <c r="B31" s="44"/>
    </row>
    <row r="32" spans="1:8" x14ac:dyDescent="0.2">
      <c r="B32" s="46"/>
    </row>
    <row r="33" spans="2:2" x14ac:dyDescent="0.2">
      <c r="B33" s="44"/>
    </row>
    <row r="34" spans="2:2" x14ac:dyDescent="0.2">
      <c r="B34" s="46"/>
    </row>
    <row r="35" spans="2:2" x14ac:dyDescent="0.2">
      <c r="B35" s="44"/>
    </row>
    <row r="36" spans="2:2" x14ac:dyDescent="0.2">
      <c r="B36" s="44"/>
    </row>
    <row r="37" spans="2:2" x14ac:dyDescent="0.2">
      <c r="B37" s="44"/>
    </row>
  </sheetData>
  <phoneticPr fontId="0" type="noConversion"/>
  <printOptions horizontalCentered="1"/>
  <pageMargins left="0.5" right="0.5" top="0.5" bottom="0.5" header="0.25" footer="0.25"/>
  <pageSetup scale="9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indexed="42"/>
  </sheetPr>
  <dimension ref="A1:G51"/>
  <sheetViews>
    <sheetView showGridLines="0" zoomScaleNormal="100" zoomScaleSheetLayoutView="85" workbookViewId="0">
      <selection sqref="A1:E23"/>
    </sheetView>
  </sheetViews>
  <sheetFormatPr defaultColWidth="9.140625" defaultRowHeight="12.75" x14ac:dyDescent="0.2"/>
  <cols>
    <col min="1" max="1" width="4.7109375" style="297" customWidth="1"/>
    <col min="2" max="2" width="40.7109375" style="297" customWidth="1"/>
    <col min="3" max="3" width="12.7109375" style="298" customWidth="1"/>
    <col min="4" max="5" width="13.7109375" style="298" customWidth="1"/>
    <col min="6" max="16384" width="9.140625" style="298"/>
  </cols>
  <sheetData>
    <row r="1" spans="1:7" x14ac:dyDescent="0.2">
      <c r="A1" s="297" t="str">
        <f>'Page 1'!A1</f>
        <v>NW Natural</v>
      </c>
      <c r="D1" s="297"/>
      <c r="E1" s="71" t="s">
        <v>4</v>
      </c>
      <c r="G1" s="115"/>
    </row>
    <row r="2" spans="1:7" x14ac:dyDescent="0.2">
      <c r="A2" s="297" t="str">
        <f>+'Page 1'!A2</f>
        <v>Washington Annual Commission Basis Report</v>
      </c>
      <c r="D2" s="297"/>
      <c r="E2" s="71"/>
    </row>
    <row r="3" spans="1:7" x14ac:dyDescent="0.2">
      <c r="A3" s="297" t="str">
        <f>'d Uncollectibles'!A3</f>
        <v>Twelve Months Ended December 31, 2018</v>
      </c>
      <c r="D3" s="297"/>
      <c r="E3" s="297"/>
    </row>
    <row r="4" spans="1:7" x14ac:dyDescent="0.2">
      <c r="A4" s="297" t="s">
        <v>9</v>
      </c>
      <c r="D4" s="297"/>
      <c r="E4" s="297"/>
    </row>
    <row r="5" spans="1:7" x14ac:dyDescent="0.2">
      <c r="D5" s="297"/>
      <c r="E5" s="297"/>
    </row>
    <row r="6" spans="1:7" x14ac:dyDescent="0.2">
      <c r="D6" s="297"/>
      <c r="E6" s="297"/>
    </row>
    <row r="7" spans="1:7" x14ac:dyDescent="0.2">
      <c r="A7" s="26" t="s">
        <v>17</v>
      </c>
      <c r="D7" s="297"/>
      <c r="E7" s="297"/>
    </row>
    <row r="8" spans="1:7" x14ac:dyDescent="0.2">
      <c r="A8" s="28" t="s">
        <v>46</v>
      </c>
      <c r="D8" s="28" t="s">
        <v>74</v>
      </c>
      <c r="E8" s="28" t="s">
        <v>75</v>
      </c>
    </row>
    <row r="9" spans="1:7" x14ac:dyDescent="0.2">
      <c r="A9" s="26"/>
      <c r="D9" s="26" t="s">
        <v>76</v>
      </c>
      <c r="E9" s="26" t="s">
        <v>77</v>
      </c>
    </row>
    <row r="10" spans="1:7" x14ac:dyDescent="0.2">
      <c r="A10" s="26"/>
      <c r="D10" s="26"/>
      <c r="E10" s="26"/>
    </row>
    <row r="11" spans="1:7" x14ac:dyDescent="0.2">
      <c r="A11" s="26">
        <v>1</v>
      </c>
      <c r="B11" s="297" t="s">
        <v>110</v>
      </c>
      <c r="D11" s="528">
        <v>302215</v>
      </c>
      <c r="E11" s="528">
        <v>150422.75</v>
      </c>
      <c r="F11" s="301"/>
    </row>
    <row r="12" spans="1:7" x14ac:dyDescent="0.2">
      <c r="A12" s="26"/>
      <c r="D12" s="301"/>
      <c r="E12" s="301"/>
      <c r="F12" s="301"/>
    </row>
    <row r="13" spans="1:7" x14ac:dyDescent="0.2">
      <c r="A13" s="26"/>
      <c r="B13" s="297" t="s">
        <v>122</v>
      </c>
      <c r="D13" s="301"/>
      <c r="E13" s="301"/>
      <c r="F13" s="301"/>
    </row>
    <row r="14" spans="1:7" x14ac:dyDescent="0.2">
      <c r="A14" s="26">
        <v>2</v>
      </c>
      <c r="B14" s="297" t="s">
        <v>128</v>
      </c>
      <c r="D14" s="101">
        <v>388829</v>
      </c>
      <c r="E14" s="101">
        <v>150422.75</v>
      </c>
      <c r="F14" s="301"/>
    </row>
    <row r="15" spans="1:7" x14ac:dyDescent="0.2">
      <c r="A15" s="26">
        <v>3</v>
      </c>
      <c r="B15" s="297" t="s">
        <v>132</v>
      </c>
      <c r="D15" s="102">
        <f>+D50</f>
        <v>10756.666666666666</v>
      </c>
      <c r="E15" s="102">
        <v>0</v>
      </c>
      <c r="F15" s="301"/>
    </row>
    <row r="16" spans="1:7" x14ac:dyDescent="0.2">
      <c r="A16" s="26">
        <v>4</v>
      </c>
      <c r="B16" s="297" t="s">
        <v>137</v>
      </c>
      <c r="D16" s="91">
        <f>D14+D15</f>
        <v>399585.66666666669</v>
      </c>
      <c r="E16" s="91">
        <f>E14+E15</f>
        <v>150422.75</v>
      </c>
    </row>
    <row r="17" spans="1:6" x14ac:dyDescent="0.2">
      <c r="A17" s="26"/>
      <c r="D17" s="91"/>
      <c r="E17" s="91"/>
    </row>
    <row r="18" spans="1:6" x14ac:dyDescent="0.2">
      <c r="A18" s="26">
        <v>5</v>
      </c>
      <c r="B18" s="297" t="s">
        <v>147</v>
      </c>
      <c r="D18" s="91">
        <f>D16-D11</f>
        <v>97370.666666666686</v>
      </c>
      <c r="E18" s="91">
        <f>E16-E11</f>
        <v>0</v>
      </c>
    </row>
    <row r="19" spans="1:6" x14ac:dyDescent="0.2">
      <c r="A19" s="26"/>
    </row>
    <row r="20" spans="1:6" x14ac:dyDescent="0.2">
      <c r="A20" s="26">
        <v>6</v>
      </c>
      <c r="B20" s="297" t="s">
        <v>154</v>
      </c>
      <c r="C20" s="29"/>
    </row>
    <row r="21" spans="1:6" x14ac:dyDescent="0.2">
      <c r="A21" s="26"/>
      <c r="B21" s="297" t="s">
        <v>158</v>
      </c>
      <c r="D21" s="42">
        <f>'Allocation Factors'!D70</f>
        <v>0.1124</v>
      </c>
      <c r="E21" s="42">
        <f>'Allocation Factors'!D66</f>
        <v>0.1177</v>
      </c>
    </row>
    <row r="22" spans="1:6" x14ac:dyDescent="0.2">
      <c r="A22" s="26"/>
    </row>
    <row r="23" spans="1:6" ht="13.5" thickBot="1" x14ac:dyDescent="0.25">
      <c r="A23" s="26">
        <v>7</v>
      </c>
      <c r="B23" s="297" t="s">
        <v>42</v>
      </c>
      <c r="D23" s="114">
        <f>ROUND(D18*D21,0)</f>
        <v>10944</v>
      </c>
      <c r="E23" s="114">
        <f>ROUND(E18*E21,0)</f>
        <v>0</v>
      </c>
    </row>
    <row r="24" spans="1:6" ht="13.5" thickTop="1" x14ac:dyDescent="0.2">
      <c r="A24" s="26"/>
    </row>
    <row r="27" spans="1:6" x14ac:dyDescent="0.2">
      <c r="B27" s="95" t="s">
        <v>207</v>
      </c>
      <c r="C27" s="123" t="s">
        <v>307</v>
      </c>
      <c r="D27" s="96"/>
      <c r="E27" s="96"/>
      <c r="F27" s="97"/>
    </row>
    <row r="28" spans="1:6" x14ac:dyDescent="0.2">
      <c r="B28" s="124"/>
      <c r="C28" s="299"/>
      <c r="D28" s="299"/>
      <c r="E28" s="299"/>
      <c r="F28" s="302"/>
    </row>
    <row r="29" spans="1:6" hidden="1" x14ac:dyDescent="0.2">
      <c r="B29" s="124" t="s">
        <v>70</v>
      </c>
      <c r="C29" s="300">
        <v>69749</v>
      </c>
      <c r="D29" s="300"/>
      <c r="E29" s="299"/>
      <c r="F29" s="302"/>
    </row>
    <row r="30" spans="1:6" hidden="1" x14ac:dyDescent="0.2">
      <c r="B30" s="124" t="s">
        <v>51</v>
      </c>
      <c r="C30" s="300">
        <v>116943</v>
      </c>
      <c r="D30" s="300"/>
      <c r="E30" s="299"/>
      <c r="F30" s="302"/>
    </row>
    <row r="31" spans="1:6" hidden="1" x14ac:dyDescent="0.2">
      <c r="B31" s="124" t="s">
        <v>52</v>
      </c>
      <c r="C31" s="300">
        <v>-121850</v>
      </c>
      <c r="D31" s="300"/>
      <c r="E31" s="299"/>
      <c r="F31" s="302"/>
    </row>
    <row r="32" spans="1:6" hidden="1" x14ac:dyDescent="0.2">
      <c r="B32" s="125" t="s">
        <v>289</v>
      </c>
      <c r="C32" s="300">
        <v>130385</v>
      </c>
      <c r="D32" s="300"/>
      <c r="E32" s="299"/>
      <c r="F32" s="302"/>
    </row>
    <row r="33" spans="2:6" hidden="1" x14ac:dyDescent="0.2">
      <c r="B33" s="125" t="s">
        <v>308</v>
      </c>
      <c r="C33" s="300">
        <v>-15883</v>
      </c>
      <c r="D33" s="300"/>
      <c r="E33" s="299"/>
      <c r="F33" s="302"/>
    </row>
    <row r="34" spans="2:6" hidden="1" x14ac:dyDescent="0.2">
      <c r="B34" s="125" t="s">
        <v>316</v>
      </c>
      <c r="C34" s="300">
        <f>2710011-2650000</f>
        <v>60011</v>
      </c>
      <c r="D34" s="300"/>
      <c r="E34" s="299"/>
      <c r="F34" s="302"/>
    </row>
    <row r="35" spans="2:6" hidden="1" x14ac:dyDescent="0.2">
      <c r="B35" s="126" t="s">
        <v>325</v>
      </c>
      <c r="C35" s="300">
        <v>268</v>
      </c>
      <c r="D35" s="300"/>
      <c r="E35" s="299"/>
      <c r="F35" s="302"/>
    </row>
    <row r="36" spans="2:6" hidden="1" x14ac:dyDescent="0.2">
      <c r="B36" s="126" t="s">
        <v>332</v>
      </c>
      <c r="C36" s="300">
        <v>131943</v>
      </c>
      <c r="D36" s="300"/>
      <c r="E36" s="299"/>
      <c r="F36" s="302"/>
    </row>
    <row r="37" spans="2:6" hidden="1" x14ac:dyDescent="0.2">
      <c r="B37" s="126" t="s">
        <v>351</v>
      </c>
      <c r="C37" s="300">
        <v>187244</v>
      </c>
      <c r="D37" s="300"/>
      <c r="E37" s="299"/>
      <c r="F37" s="302"/>
    </row>
    <row r="38" spans="2:6" hidden="1" x14ac:dyDescent="0.2">
      <c r="B38" s="126" t="s">
        <v>352</v>
      </c>
      <c r="C38" s="300">
        <v>-32788</v>
      </c>
      <c r="D38" s="300"/>
      <c r="E38" s="299"/>
      <c r="F38" s="302"/>
    </row>
    <row r="39" spans="2:6" hidden="1" x14ac:dyDescent="0.2">
      <c r="B39" s="126" t="s">
        <v>377</v>
      </c>
      <c r="C39" s="300">
        <v>336864</v>
      </c>
      <c r="D39" s="300"/>
      <c r="E39" s="299"/>
      <c r="F39" s="302"/>
    </row>
    <row r="40" spans="2:6" hidden="1" x14ac:dyDescent="0.2">
      <c r="B40" s="126" t="s">
        <v>416</v>
      </c>
      <c r="C40" s="300">
        <v>456</v>
      </c>
      <c r="D40" s="300"/>
      <c r="E40" s="299"/>
      <c r="F40" s="302"/>
    </row>
    <row r="41" spans="2:6" hidden="1" x14ac:dyDescent="0.2">
      <c r="B41" s="126" t="s">
        <v>430</v>
      </c>
      <c r="C41" s="300">
        <v>365000.3999999981</v>
      </c>
      <c r="D41" s="300"/>
      <c r="E41" s="299"/>
      <c r="F41" s="302"/>
    </row>
    <row r="42" spans="2:6" hidden="1" x14ac:dyDescent="0.2">
      <c r="B42" s="126" t="s">
        <v>448</v>
      </c>
      <c r="C42" s="300">
        <v>143305</v>
      </c>
      <c r="D42" s="300"/>
      <c r="E42" s="299"/>
      <c r="F42" s="302"/>
    </row>
    <row r="43" spans="2:6" hidden="1" x14ac:dyDescent="0.2">
      <c r="B43" s="126" t="s">
        <v>462</v>
      </c>
      <c r="C43" s="300">
        <v>39609</v>
      </c>
      <c r="D43" s="300"/>
      <c r="E43" s="299"/>
      <c r="F43" s="302"/>
    </row>
    <row r="44" spans="2:6" hidden="1" x14ac:dyDescent="0.2">
      <c r="B44" s="126" t="s">
        <v>467</v>
      </c>
      <c r="C44" s="217">
        <v>111832.91999999993</v>
      </c>
      <c r="D44" s="300"/>
      <c r="E44" s="299"/>
      <c r="F44" s="302"/>
    </row>
    <row r="45" spans="2:6" hidden="1" x14ac:dyDescent="0.2">
      <c r="B45" s="126" t="s">
        <v>493</v>
      </c>
      <c r="C45" s="217">
        <v>17428.559999999183</v>
      </c>
      <c r="D45" s="300"/>
      <c r="E45" s="299"/>
      <c r="F45" s="302"/>
    </row>
    <row r="46" spans="2:6" hidden="1" x14ac:dyDescent="0.2">
      <c r="B46" s="303">
        <v>2014</v>
      </c>
      <c r="C46" s="217">
        <v>0</v>
      </c>
      <c r="D46" s="300"/>
      <c r="E46" s="299"/>
      <c r="F46" s="302"/>
    </row>
    <row r="47" spans="2:6" x14ac:dyDescent="0.2">
      <c r="B47" s="303">
        <v>2016</v>
      </c>
      <c r="C47" s="217">
        <v>105990</v>
      </c>
      <c r="D47" s="300"/>
      <c r="E47" s="299"/>
      <c r="F47" s="302"/>
    </row>
    <row r="48" spans="2:6" x14ac:dyDescent="0.2">
      <c r="B48" s="303">
        <v>2017</v>
      </c>
      <c r="C48" s="217">
        <v>-74606</v>
      </c>
      <c r="D48" s="300"/>
      <c r="E48" s="299"/>
      <c r="F48" s="302"/>
    </row>
    <row r="49" spans="2:6" x14ac:dyDescent="0.2">
      <c r="B49" s="303">
        <v>2018</v>
      </c>
      <c r="C49" s="217">
        <v>886</v>
      </c>
      <c r="D49" s="300"/>
      <c r="E49" s="299"/>
      <c r="F49" s="302"/>
    </row>
    <row r="50" spans="2:6" x14ac:dyDescent="0.2">
      <c r="B50" s="124" t="s">
        <v>463</v>
      </c>
      <c r="C50" s="300"/>
      <c r="D50" s="300">
        <f>AVERAGE(C47:C49)</f>
        <v>10756.666666666666</v>
      </c>
      <c r="E50" s="299"/>
      <c r="F50" s="302"/>
    </row>
    <row r="51" spans="2:6" x14ac:dyDescent="0.2">
      <c r="B51" s="127"/>
      <c r="C51" s="87"/>
      <c r="D51" s="87"/>
      <c r="E51" s="87"/>
      <c r="F51" s="128"/>
    </row>
  </sheetData>
  <phoneticPr fontId="0" type="noConversion"/>
  <printOptions horizontalCentered="1"/>
  <pageMargins left="0.5" right="0.5" top="0.5" bottom="0.5" header="0.25" footer="0.25"/>
  <pageSetup scale="9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indexed="42"/>
  </sheetPr>
  <dimension ref="A1:AJ24"/>
  <sheetViews>
    <sheetView showGridLines="0" tabSelected="1" zoomScaleNormal="100" zoomScaleSheetLayoutView="85" workbookViewId="0">
      <selection activeCell="G29" sqref="G29"/>
    </sheetView>
  </sheetViews>
  <sheetFormatPr defaultColWidth="9.140625" defaultRowHeight="12.75" x14ac:dyDescent="0.2"/>
  <cols>
    <col min="1" max="1" width="4.7109375" style="24" customWidth="1"/>
    <col min="2" max="2" width="41.7109375" style="24" customWidth="1"/>
    <col min="3" max="3" width="9.140625" style="30"/>
    <col min="4" max="4" width="13.7109375" style="30" customWidth="1"/>
    <col min="5" max="8" width="9.140625" style="30"/>
    <col min="9" max="9" width="26.85546875" style="30" customWidth="1"/>
    <col min="10" max="10" width="13.7109375" style="30" customWidth="1"/>
    <col min="11" max="11" width="4.28515625" style="30" customWidth="1"/>
    <col min="12" max="16" width="13.7109375" style="30" customWidth="1"/>
    <col min="17" max="17" width="3.42578125" style="30" customWidth="1"/>
    <col min="18" max="24" width="13.7109375" style="30" customWidth="1"/>
    <col min="25" max="16384" width="9.140625" style="30"/>
  </cols>
  <sheetData>
    <row r="1" spans="1:36" x14ac:dyDescent="0.2">
      <c r="A1" s="24" t="str">
        <f>'Page 1'!A1</f>
        <v>NW Natural</v>
      </c>
      <c r="D1" s="71" t="s">
        <v>440</v>
      </c>
      <c r="H1" s="162"/>
      <c r="I1" s="48"/>
      <c r="J1" s="530"/>
      <c r="K1" s="162"/>
      <c r="L1" s="162"/>
      <c r="M1" s="530"/>
      <c r="N1" s="530"/>
      <c r="O1" s="530"/>
      <c r="P1" s="530"/>
      <c r="Q1" s="162"/>
      <c r="R1" s="162"/>
      <c r="S1" s="162"/>
      <c r="T1" s="529"/>
      <c r="U1" s="529"/>
      <c r="V1" s="529"/>
      <c r="W1" s="529"/>
      <c r="X1" s="529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</row>
    <row r="2" spans="1:36" x14ac:dyDescent="0.2">
      <c r="A2" s="24" t="str">
        <f>+'Page 1'!A2</f>
        <v>Washington Annual Commission Basis Report</v>
      </c>
      <c r="D2" s="71"/>
      <c r="H2" s="162"/>
      <c r="I2" s="48"/>
      <c r="J2" s="530"/>
      <c r="K2" s="162"/>
      <c r="L2" s="162"/>
      <c r="M2" s="530"/>
      <c r="N2" s="530"/>
      <c r="O2" s="530"/>
      <c r="P2" s="530"/>
      <c r="Q2" s="162"/>
      <c r="R2" s="162"/>
      <c r="S2" s="162"/>
      <c r="T2" s="529"/>
      <c r="U2" s="529"/>
      <c r="V2" s="529"/>
      <c r="W2" s="529"/>
      <c r="X2" s="529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</row>
    <row r="3" spans="1:36" x14ac:dyDescent="0.2">
      <c r="A3" s="24" t="str">
        <f>+'f Sales &amp; Mktg'!A3</f>
        <v>Twelve Months Ended December 31, 2018</v>
      </c>
      <c r="H3" s="162"/>
      <c r="I3" s="48"/>
      <c r="J3" s="531"/>
      <c r="K3" s="490"/>
      <c r="L3" s="531"/>
      <c r="M3" s="531"/>
      <c r="N3" s="532"/>
      <c r="O3" s="531"/>
      <c r="P3" s="531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</row>
    <row r="4" spans="1:36" x14ac:dyDescent="0.2">
      <c r="A4" s="24" t="s">
        <v>277</v>
      </c>
      <c r="H4" s="162"/>
      <c r="I4" s="48"/>
      <c r="J4" s="532"/>
      <c r="K4" s="490"/>
      <c r="L4" s="531"/>
      <c r="M4" s="531"/>
      <c r="N4" s="531"/>
      <c r="O4" s="531"/>
      <c r="P4" s="531"/>
      <c r="Q4" s="162"/>
      <c r="R4" s="533"/>
      <c r="S4" s="534"/>
      <c r="T4" s="535"/>
      <c r="U4" s="535"/>
      <c r="V4" s="535"/>
      <c r="W4" s="535"/>
      <c r="X4" s="535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</row>
    <row r="5" spans="1:36" x14ac:dyDescent="0.2">
      <c r="H5" s="162"/>
      <c r="I5" s="490"/>
      <c r="J5" s="536"/>
      <c r="K5" s="490"/>
      <c r="L5" s="532"/>
      <c r="M5" s="532"/>
      <c r="N5" s="532"/>
      <c r="O5" s="532"/>
      <c r="P5" s="532"/>
      <c r="Q5" s="162"/>
      <c r="R5" s="533"/>
      <c r="S5" s="534"/>
      <c r="T5" s="535"/>
      <c r="U5" s="535"/>
      <c r="V5" s="535"/>
      <c r="W5" s="535"/>
      <c r="X5" s="535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</row>
    <row r="6" spans="1:36" x14ac:dyDescent="0.2">
      <c r="H6" s="162"/>
      <c r="I6" s="490"/>
      <c r="J6" s="530"/>
      <c r="K6" s="162"/>
      <c r="L6" s="530"/>
      <c r="M6" s="530"/>
      <c r="N6" s="530"/>
      <c r="O6" s="530"/>
      <c r="P6" s="530"/>
      <c r="Q6" s="162"/>
      <c r="R6" s="533"/>
      <c r="S6" s="534"/>
      <c r="T6" s="535"/>
      <c r="U6" s="535"/>
      <c r="V6" s="535"/>
      <c r="W6" s="535"/>
      <c r="X6" s="535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</row>
    <row r="7" spans="1:36" x14ac:dyDescent="0.2">
      <c r="A7" s="26" t="s">
        <v>17</v>
      </c>
      <c r="H7" s="162"/>
      <c r="I7" s="48"/>
      <c r="J7" s="162"/>
      <c r="K7" s="162"/>
      <c r="L7" s="162"/>
      <c r="M7" s="162"/>
      <c r="N7" s="162"/>
      <c r="O7" s="162"/>
      <c r="P7" s="162"/>
      <c r="Q7" s="162"/>
      <c r="R7" s="533"/>
      <c r="S7" s="534"/>
      <c r="T7" s="535"/>
      <c r="U7" s="535"/>
      <c r="V7" s="535"/>
      <c r="W7" s="535"/>
      <c r="X7" s="535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</row>
    <row r="8" spans="1:36" x14ac:dyDescent="0.2">
      <c r="A8" s="75" t="s">
        <v>46</v>
      </c>
      <c r="D8" s="28" t="s">
        <v>69</v>
      </c>
      <c r="H8" s="162"/>
      <c r="I8" s="48"/>
      <c r="J8" s="162"/>
      <c r="K8" s="162"/>
      <c r="L8" s="162"/>
      <c r="M8" s="162"/>
      <c r="N8" s="162"/>
      <c r="O8" s="162"/>
      <c r="P8" s="162"/>
      <c r="Q8" s="162"/>
      <c r="R8" s="533"/>
      <c r="S8" s="534"/>
      <c r="T8" s="535"/>
      <c r="U8" s="535"/>
      <c r="V8" s="535"/>
      <c r="W8" s="535"/>
      <c r="X8" s="535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</row>
    <row r="9" spans="1:36" x14ac:dyDescent="0.2">
      <c r="A9" s="26">
        <v>1</v>
      </c>
      <c r="B9" s="24" t="s">
        <v>278</v>
      </c>
      <c r="D9" s="78">
        <f>L20</f>
        <v>0</v>
      </c>
      <c r="H9" s="162"/>
      <c r="I9" s="48"/>
      <c r="J9" s="162"/>
      <c r="K9" s="162"/>
      <c r="L9" s="162"/>
      <c r="M9" s="162"/>
      <c r="N9" s="162"/>
      <c r="O9" s="162"/>
      <c r="P9" s="162"/>
      <c r="Q9" s="162"/>
      <c r="R9" s="533"/>
      <c r="S9" s="534"/>
      <c r="T9" s="535"/>
      <c r="U9" s="535"/>
      <c r="V9" s="535"/>
      <c r="W9" s="535"/>
      <c r="X9" s="535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</row>
    <row r="10" spans="1:36" x14ac:dyDescent="0.2">
      <c r="A10" s="26"/>
      <c r="D10" s="41"/>
      <c r="H10" s="162"/>
      <c r="I10" s="48"/>
      <c r="J10" s="162"/>
      <c r="K10" s="162"/>
      <c r="L10" s="162"/>
      <c r="M10" s="162"/>
      <c r="N10" s="162"/>
      <c r="O10" s="162"/>
      <c r="P10" s="162"/>
      <c r="Q10" s="162"/>
      <c r="R10" s="533"/>
      <c r="S10" s="534"/>
      <c r="T10" s="535"/>
      <c r="U10" s="535"/>
      <c r="V10" s="535"/>
      <c r="W10" s="535"/>
      <c r="X10" s="535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</row>
    <row r="11" spans="1:36" x14ac:dyDescent="0.2">
      <c r="A11" s="26">
        <v>2</v>
      </c>
      <c r="B11" s="71" t="s">
        <v>306</v>
      </c>
      <c r="D11" s="34">
        <f>+'Allocation Factors'!D70</f>
        <v>0.1124</v>
      </c>
      <c r="H11" s="162"/>
      <c r="I11" s="48"/>
      <c r="J11" s="162"/>
      <c r="K11" s="162"/>
      <c r="L11" s="162"/>
      <c r="M11" s="162"/>
      <c r="N11" s="162"/>
      <c r="O11" s="162"/>
      <c r="P11" s="162"/>
      <c r="Q11" s="162"/>
      <c r="R11" s="533"/>
      <c r="S11" s="534"/>
      <c r="T11" s="535"/>
      <c r="U11" s="535"/>
      <c r="V11" s="535"/>
      <c r="W11" s="535"/>
      <c r="X11" s="535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</row>
    <row r="12" spans="1:36" x14ac:dyDescent="0.2">
      <c r="A12" s="26"/>
      <c r="H12" s="162"/>
      <c r="I12" s="48"/>
      <c r="J12" s="162"/>
      <c r="K12" s="162"/>
      <c r="L12" s="162"/>
      <c r="M12" s="162"/>
      <c r="N12" s="162"/>
      <c r="O12" s="162"/>
      <c r="P12" s="162"/>
      <c r="Q12" s="162"/>
      <c r="R12" s="533"/>
      <c r="S12" s="534"/>
      <c r="T12" s="535"/>
      <c r="U12" s="535"/>
      <c r="V12" s="535"/>
      <c r="W12" s="535"/>
      <c r="X12" s="535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</row>
    <row r="13" spans="1:36" ht="13.5" thickBot="1" x14ac:dyDescent="0.25">
      <c r="A13" s="26">
        <v>3</v>
      </c>
      <c r="B13" s="24" t="s">
        <v>42</v>
      </c>
      <c r="D13" s="121">
        <f>+D9*D11</f>
        <v>0</v>
      </c>
      <c r="H13" s="162"/>
      <c r="I13" s="48"/>
      <c r="J13" s="162"/>
      <c r="K13" s="162"/>
      <c r="L13" s="162"/>
      <c r="M13" s="162"/>
      <c r="N13" s="162"/>
      <c r="O13" s="162"/>
      <c r="P13" s="162"/>
      <c r="Q13" s="162"/>
      <c r="R13" s="533"/>
      <c r="S13" s="534"/>
      <c r="T13" s="535"/>
      <c r="U13" s="535"/>
      <c r="V13" s="535"/>
      <c r="W13" s="535"/>
      <c r="X13" s="535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</row>
    <row r="14" spans="1:36" ht="13.5" thickTop="1" x14ac:dyDescent="0.2">
      <c r="A14" s="26"/>
      <c r="H14" s="162"/>
      <c r="I14" s="48"/>
      <c r="J14" s="162"/>
      <c r="K14" s="162"/>
      <c r="L14" s="162"/>
      <c r="M14" s="162"/>
      <c r="N14" s="162"/>
      <c r="O14" s="162"/>
      <c r="P14" s="162"/>
      <c r="Q14" s="162"/>
      <c r="R14" s="533"/>
      <c r="S14" s="534"/>
      <c r="T14" s="535"/>
      <c r="U14" s="535"/>
      <c r="V14" s="535"/>
      <c r="W14" s="535"/>
      <c r="X14" s="535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</row>
    <row r="15" spans="1:36" x14ac:dyDescent="0.2">
      <c r="A15" s="26"/>
      <c r="H15" s="162"/>
      <c r="I15" s="48"/>
      <c r="J15" s="162"/>
      <c r="K15" s="162"/>
      <c r="L15" s="162"/>
      <c r="M15" s="162"/>
      <c r="N15" s="162"/>
      <c r="O15" s="162"/>
      <c r="P15" s="162"/>
      <c r="Q15" s="162"/>
      <c r="R15" s="533"/>
      <c r="S15" s="534"/>
      <c r="T15" s="535"/>
      <c r="U15" s="535"/>
      <c r="V15" s="535"/>
      <c r="W15" s="535"/>
      <c r="X15" s="535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</row>
    <row r="16" spans="1:36" x14ac:dyDescent="0.2">
      <c r="A16" s="26">
        <v>4</v>
      </c>
      <c r="B16" s="24" t="s">
        <v>279</v>
      </c>
      <c r="D16" s="78">
        <f>M20</f>
        <v>0</v>
      </c>
      <c r="H16" s="162"/>
      <c r="I16" s="48"/>
      <c r="J16" s="162"/>
      <c r="K16" s="162"/>
      <c r="L16" s="162"/>
      <c r="M16" s="162"/>
      <c r="N16" s="162"/>
      <c r="O16" s="162"/>
      <c r="P16" s="162"/>
      <c r="Q16" s="162"/>
      <c r="R16" s="533"/>
      <c r="S16" s="534"/>
      <c r="T16" s="535"/>
      <c r="U16" s="535"/>
      <c r="V16" s="535"/>
      <c r="W16" s="535"/>
      <c r="X16" s="535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</row>
    <row r="17" spans="1:36" x14ac:dyDescent="0.2">
      <c r="A17" s="26"/>
      <c r="D17" s="32"/>
      <c r="H17" s="162"/>
      <c r="I17" s="48"/>
      <c r="J17" s="162"/>
      <c r="K17" s="162"/>
      <c r="L17" s="162"/>
      <c r="M17" s="162"/>
      <c r="N17" s="162"/>
      <c r="O17" s="162"/>
      <c r="P17" s="162"/>
      <c r="Q17" s="162"/>
      <c r="R17" s="533"/>
      <c r="S17" s="534"/>
      <c r="T17" s="535"/>
      <c r="U17" s="535"/>
      <c r="V17" s="535"/>
      <c r="W17" s="535"/>
      <c r="X17" s="535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</row>
    <row r="18" spans="1:36" x14ac:dyDescent="0.2">
      <c r="A18" s="26">
        <v>5</v>
      </c>
      <c r="B18" s="71" t="s">
        <v>305</v>
      </c>
      <c r="D18" s="34">
        <f>+'Allocation Factors'!D66</f>
        <v>0.1177</v>
      </c>
      <c r="H18" s="162"/>
      <c r="I18" s="48"/>
      <c r="J18" s="162"/>
      <c r="K18" s="162"/>
      <c r="L18" s="162"/>
      <c r="M18" s="162"/>
      <c r="N18" s="162"/>
      <c r="O18" s="162"/>
      <c r="P18" s="162"/>
      <c r="Q18" s="162"/>
      <c r="R18" s="533"/>
      <c r="S18" s="534"/>
      <c r="T18" s="535"/>
      <c r="U18" s="535"/>
      <c r="V18" s="535"/>
      <c r="W18" s="535"/>
      <c r="X18" s="535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</row>
    <row r="19" spans="1:36" x14ac:dyDescent="0.2">
      <c r="A19" s="26"/>
      <c r="H19" s="162"/>
      <c r="I19" s="402"/>
      <c r="J19" s="162"/>
      <c r="K19" s="162"/>
      <c r="L19" s="162"/>
      <c r="M19" s="162"/>
      <c r="N19" s="162"/>
      <c r="O19" s="162"/>
      <c r="P19" s="162"/>
      <c r="Q19" s="162"/>
      <c r="R19" s="533"/>
      <c r="S19" s="534"/>
      <c r="T19" s="535"/>
      <c r="U19" s="535"/>
      <c r="V19" s="535"/>
      <c r="W19" s="535"/>
      <c r="X19" s="535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</row>
    <row r="20" spans="1:36" ht="13.5" thickBot="1" x14ac:dyDescent="0.25">
      <c r="A20" s="26">
        <v>6</v>
      </c>
      <c r="B20" s="24" t="s">
        <v>42</v>
      </c>
      <c r="D20" s="121">
        <f>+D16*D18</f>
        <v>0</v>
      </c>
      <c r="H20" s="162"/>
      <c r="I20" s="402"/>
      <c r="J20" s="162"/>
      <c r="K20" s="162"/>
      <c r="L20" s="162"/>
      <c r="M20" s="162"/>
      <c r="N20" s="162"/>
      <c r="O20" s="162"/>
      <c r="P20" s="162"/>
      <c r="Q20" s="162"/>
      <c r="R20" s="533"/>
      <c r="S20" s="534"/>
      <c r="T20" s="535"/>
      <c r="U20" s="535"/>
      <c r="V20" s="535"/>
      <c r="W20" s="535"/>
      <c r="X20" s="535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</row>
    <row r="21" spans="1:36" ht="13.5" thickTop="1" x14ac:dyDescent="0.2"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</row>
    <row r="22" spans="1:36" x14ac:dyDescent="0.2"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</row>
    <row r="23" spans="1:36" x14ac:dyDescent="0.2">
      <c r="A23" s="24" t="s">
        <v>444</v>
      </c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</row>
    <row r="24" spans="1:36" x14ac:dyDescent="0.2"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</row>
  </sheetData>
  <phoneticPr fontId="0" type="noConversion"/>
  <printOptions horizontalCentered="1"/>
  <pageMargins left="0.5" right="0.5" top="0.5" bottom="0.5" header="0.25" footer="0.25"/>
  <pageSetup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53"/>
  <sheetViews>
    <sheetView workbookViewId="0">
      <pane xSplit="2" ySplit="7" topLeftCell="C17" activePane="bottomRight" state="frozen"/>
      <selection pane="topRight"/>
      <selection pane="bottomLeft"/>
      <selection pane="bottomRight"/>
    </sheetView>
  </sheetViews>
  <sheetFormatPr defaultColWidth="8.85546875" defaultRowHeight="12.75" x14ac:dyDescent="0.2"/>
  <cols>
    <col min="1" max="1" width="5.7109375" style="30" customWidth="1"/>
    <col min="2" max="2" width="18.7109375" style="30" customWidth="1"/>
    <col min="3" max="4" width="16.7109375" style="30" customWidth="1"/>
    <col min="5" max="5" width="16.7109375" style="41" customWidth="1"/>
    <col min="6" max="6" width="14.7109375" style="41" customWidth="1"/>
    <col min="7" max="7" width="3.7109375" style="41" customWidth="1"/>
    <col min="8" max="10" width="16.7109375" style="30" customWidth="1"/>
    <col min="11" max="14" width="20.7109375" style="30" customWidth="1"/>
    <col min="15" max="27" width="13.7109375" style="30" customWidth="1"/>
    <col min="28" max="16384" width="8.85546875" style="30"/>
  </cols>
  <sheetData>
    <row r="1" spans="1:5" x14ac:dyDescent="0.2">
      <c r="A1" s="24" t="str">
        <f>+'Page 1'!A1</f>
        <v>NW Natural</v>
      </c>
    </row>
    <row r="2" spans="1:5" x14ac:dyDescent="0.2">
      <c r="A2" s="24" t="str">
        <f>+'Page 1'!A2</f>
        <v>Washington Annual Commission Basis Report</v>
      </c>
    </row>
    <row r="3" spans="1:5" x14ac:dyDescent="0.2">
      <c r="A3" s="24" t="str">
        <f>+'Page 1'!A3</f>
        <v>Twelve Months Ended December 31, 2018</v>
      </c>
    </row>
    <row r="4" spans="1:5" x14ac:dyDescent="0.2">
      <c r="A4" s="24"/>
    </row>
    <row r="5" spans="1:5" x14ac:dyDescent="0.2">
      <c r="A5" s="24"/>
    </row>
    <row r="6" spans="1:5" x14ac:dyDescent="0.2">
      <c r="A6" s="24" t="s">
        <v>459</v>
      </c>
    </row>
    <row r="7" spans="1:5" ht="13.5" thickBot="1" x14ac:dyDescent="0.25"/>
    <row r="8" spans="1:5" ht="13.5" thickBot="1" x14ac:dyDescent="0.25">
      <c r="A8" s="203">
        <v>1</v>
      </c>
      <c r="B8" s="200" t="s">
        <v>460</v>
      </c>
      <c r="C8" s="201"/>
      <c r="D8" s="201"/>
      <c r="E8" s="202"/>
    </row>
    <row r="9" spans="1:5" x14ac:dyDescent="0.2">
      <c r="A9" s="203">
        <f>+A8+1</f>
        <v>2</v>
      </c>
    </row>
    <row r="10" spans="1:5" x14ac:dyDescent="0.2">
      <c r="A10" s="203">
        <f t="shared" ref="A10:A53" si="0">+A9+1</f>
        <v>3</v>
      </c>
      <c r="B10" s="24" t="s">
        <v>449</v>
      </c>
      <c r="C10" s="24"/>
      <c r="D10" s="24"/>
      <c r="E10" s="91">
        <f>+'Page 1'!C13</f>
        <v>63838679.437434196</v>
      </c>
    </row>
    <row r="11" spans="1:5" x14ac:dyDescent="0.2">
      <c r="A11" s="203">
        <f t="shared" si="0"/>
        <v>4</v>
      </c>
      <c r="E11" s="91"/>
    </row>
    <row r="12" spans="1:5" x14ac:dyDescent="0.2">
      <c r="A12" s="203">
        <f t="shared" si="0"/>
        <v>5</v>
      </c>
      <c r="B12" s="30" t="s">
        <v>461</v>
      </c>
      <c r="E12" s="91">
        <f>+SUM('Page 1'!C16:C18)</f>
        <v>42041094.525473416</v>
      </c>
    </row>
    <row r="13" spans="1:5" x14ac:dyDescent="0.2">
      <c r="A13" s="203">
        <f t="shared" si="0"/>
        <v>6</v>
      </c>
      <c r="B13" s="30" t="s">
        <v>451</v>
      </c>
      <c r="E13" s="92">
        <f>+SUM('Page 1'!C21:C24)</f>
        <v>15570014.076618915</v>
      </c>
    </row>
    <row r="14" spans="1:5" x14ac:dyDescent="0.2">
      <c r="A14" s="203">
        <f t="shared" si="0"/>
        <v>7</v>
      </c>
      <c r="B14" s="30" t="s">
        <v>169</v>
      </c>
      <c r="E14" s="91"/>
    </row>
    <row r="15" spans="1:5" x14ac:dyDescent="0.2">
      <c r="A15" s="203">
        <f t="shared" si="0"/>
        <v>8</v>
      </c>
      <c r="B15" s="24" t="s">
        <v>452</v>
      </c>
      <c r="C15" s="24"/>
      <c r="D15" s="24"/>
      <c r="E15" s="94">
        <f>+E10-SUM(E12:E13)</f>
        <v>6227570.8353418633</v>
      </c>
    </row>
    <row r="16" spans="1:5" x14ac:dyDescent="0.2">
      <c r="A16" s="203">
        <f t="shared" si="0"/>
        <v>9</v>
      </c>
      <c r="E16" s="91"/>
    </row>
    <row r="17" spans="1:8" x14ac:dyDescent="0.2">
      <c r="A17" s="203">
        <f t="shared" si="0"/>
        <v>10</v>
      </c>
      <c r="B17" s="130" t="s">
        <v>453</v>
      </c>
      <c r="C17" s="130"/>
      <c r="D17" s="130"/>
      <c r="E17" s="91"/>
    </row>
    <row r="18" spans="1:8" x14ac:dyDescent="0.2">
      <c r="A18" s="203">
        <f t="shared" si="0"/>
        <v>11</v>
      </c>
      <c r="B18" s="30" t="s">
        <v>454</v>
      </c>
      <c r="E18" s="98">
        <f>INDEX(Adjustments!$D$33:$K$33,'Executive Summary'!G18)</f>
        <v>1374607.5661949511</v>
      </c>
      <c r="G18" s="203">
        <v>1</v>
      </c>
    </row>
    <row r="19" spans="1:8" x14ac:dyDescent="0.2">
      <c r="A19" s="203">
        <f t="shared" si="0"/>
        <v>12</v>
      </c>
      <c r="B19" s="30" t="s">
        <v>442</v>
      </c>
      <c r="E19" s="98">
        <f>INDEX(Adjustments!$D$33:$K$33,'Executive Summary'!G19)</f>
        <v>-536607.24676922441</v>
      </c>
      <c r="G19" s="203">
        <f t="shared" ref="G19:G24" si="1">+G18+1</f>
        <v>2</v>
      </c>
    </row>
    <row r="20" spans="1:8" x14ac:dyDescent="0.2">
      <c r="A20" s="203">
        <f t="shared" si="0"/>
        <v>13</v>
      </c>
      <c r="B20" s="30" t="s">
        <v>7</v>
      </c>
      <c r="E20" s="98">
        <f>INDEX(Adjustments!$D$33:$K$33,'Executive Summary'!G20)</f>
        <v>-3151.7838500000375</v>
      </c>
      <c r="G20" s="203">
        <f t="shared" si="1"/>
        <v>3</v>
      </c>
    </row>
    <row r="21" spans="1:8" x14ac:dyDescent="0.2">
      <c r="A21" s="203">
        <f t="shared" si="0"/>
        <v>14</v>
      </c>
      <c r="B21" s="30" t="s">
        <v>455</v>
      </c>
      <c r="E21" s="98">
        <f>INDEX(Adjustments!$D$33:$K$33,'Executive Summary'!G21)</f>
        <v>-5123</v>
      </c>
      <c r="G21" s="203">
        <f t="shared" si="1"/>
        <v>4</v>
      </c>
    </row>
    <row r="22" spans="1:8" x14ac:dyDescent="0.2">
      <c r="A22" s="203">
        <f t="shared" si="0"/>
        <v>15</v>
      </c>
      <c r="B22" s="30" t="s">
        <v>408</v>
      </c>
      <c r="E22" s="98">
        <f>INDEX(Adjustments!$D$33:$K$33,'Executive Summary'!G22)</f>
        <v>0</v>
      </c>
      <c r="G22" s="203">
        <f t="shared" si="1"/>
        <v>5</v>
      </c>
    </row>
    <row r="23" spans="1:8" x14ac:dyDescent="0.2">
      <c r="A23" s="203">
        <f t="shared" si="0"/>
        <v>16</v>
      </c>
      <c r="B23" s="30" t="s">
        <v>457</v>
      </c>
      <c r="E23" s="98">
        <f>INDEX(Adjustments!$D$33:$K$33,'Executive Summary'!G23)</f>
        <v>518277</v>
      </c>
      <c r="G23" s="203">
        <f t="shared" si="1"/>
        <v>6</v>
      </c>
    </row>
    <row r="24" spans="1:8" x14ac:dyDescent="0.2">
      <c r="A24" s="203">
        <f t="shared" si="0"/>
        <v>17</v>
      </c>
      <c r="B24" s="30" t="s">
        <v>409</v>
      </c>
      <c r="E24" s="92">
        <f>INDEX(Adjustments!$D$33:$K$33,'Executive Summary'!G24)</f>
        <v>-8646</v>
      </c>
      <c r="G24" s="203">
        <f t="shared" si="1"/>
        <v>7</v>
      </c>
    </row>
    <row r="25" spans="1:8" x14ac:dyDescent="0.2">
      <c r="A25" s="203">
        <f t="shared" si="0"/>
        <v>18</v>
      </c>
      <c r="E25" s="91"/>
    </row>
    <row r="26" spans="1:8" x14ac:dyDescent="0.2">
      <c r="A26" s="203">
        <f t="shared" si="0"/>
        <v>19</v>
      </c>
      <c r="E26" s="91"/>
    </row>
    <row r="27" spans="1:8" ht="13.5" thickBot="1" x14ac:dyDescent="0.25">
      <c r="A27" s="203">
        <f t="shared" si="0"/>
        <v>20</v>
      </c>
      <c r="B27" s="24" t="s">
        <v>456</v>
      </c>
      <c r="C27" s="24"/>
      <c r="D27" s="24"/>
      <c r="E27" s="204">
        <f>SUM(E15:E24)</f>
        <v>7566927.3709175903</v>
      </c>
      <c r="H27" s="41">
        <f>+Adjustments!M33</f>
        <v>7566927.3709175903</v>
      </c>
    </row>
    <row r="28" spans="1:8" ht="13.5" thickTop="1" x14ac:dyDescent="0.2">
      <c r="A28" s="203">
        <f t="shared" si="0"/>
        <v>21</v>
      </c>
      <c r="E28" s="91"/>
    </row>
    <row r="29" spans="1:8" x14ac:dyDescent="0.2">
      <c r="A29" s="203">
        <f t="shared" si="0"/>
        <v>22</v>
      </c>
      <c r="B29" s="30" t="s">
        <v>238</v>
      </c>
      <c r="E29" s="91">
        <f>+'Page 1'!C41</f>
        <v>167428935.65949914</v>
      </c>
    </row>
    <row r="30" spans="1:8" x14ac:dyDescent="0.2">
      <c r="A30" s="203">
        <f t="shared" si="0"/>
        <v>23</v>
      </c>
      <c r="B30" s="30" t="s">
        <v>408</v>
      </c>
      <c r="E30" s="92">
        <f>+'Page 1'!D41</f>
        <v>671.28233333333105</v>
      </c>
    </row>
    <row r="31" spans="1:8" x14ac:dyDescent="0.2">
      <c r="A31" s="203">
        <f t="shared" si="0"/>
        <v>24</v>
      </c>
      <c r="E31" s="91"/>
    </row>
    <row r="32" spans="1:8" ht="13.5" thickBot="1" x14ac:dyDescent="0.25">
      <c r="A32" s="203">
        <f t="shared" si="0"/>
        <v>25</v>
      </c>
      <c r="B32" s="24" t="s">
        <v>458</v>
      </c>
      <c r="C32" s="24"/>
      <c r="D32" s="24"/>
      <c r="E32" s="204">
        <f>+E29+E30</f>
        <v>167429606.94183248</v>
      </c>
    </row>
    <row r="33" spans="1:7" ht="13.5" thickTop="1" x14ac:dyDescent="0.2">
      <c r="A33" s="203">
        <f t="shared" si="0"/>
        <v>26</v>
      </c>
    </row>
    <row r="34" spans="1:7" ht="13.5" thickBot="1" x14ac:dyDescent="0.25">
      <c r="A34" s="203">
        <f t="shared" si="0"/>
        <v>27</v>
      </c>
      <c r="B34" s="24" t="s">
        <v>386</v>
      </c>
      <c r="C34" s="24"/>
      <c r="D34" s="24"/>
      <c r="E34" s="185">
        <f>ROUND(+E27/E32,4)</f>
        <v>4.5199999999999997E-2</v>
      </c>
    </row>
    <row r="35" spans="1:7" ht="13.5" thickTop="1" x14ac:dyDescent="0.2">
      <c r="A35" s="203">
        <f t="shared" si="0"/>
        <v>28</v>
      </c>
      <c r="B35" s="24" t="s">
        <v>169</v>
      </c>
      <c r="C35" s="24"/>
      <c r="D35" s="24"/>
      <c r="E35" s="25"/>
    </row>
    <row r="36" spans="1:7" ht="13.5" thickBot="1" x14ac:dyDescent="0.25">
      <c r="A36" s="203">
        <f t="shared" si="0"/>
        <v>29</v>
      </c>
      <c r="B36" s="24" t="s">
        <v>387</v>
      </c>
      <c r="C36" s="24"/>
      <c r="D36" s="24"/>
      <c r="E36" s="185">
        <f>ROUND(((+E34-'Cost of Cap'!$E$12-'Cost of Cap'!$E$13-'Cost of Cap'!$E$14)/'Cost of Cap'!$C$15),4)</f>
        <v>4.1200000000000001E-2</v>
      </c>
    </row>
    <row r="37" spans="1:7" ht="13.5" thickTop="1" x14ac:dyDescent="0.2">
      <c r="A37" s="203">
        <f t="shared" si="0"/>
        <v>30</v>
      </c>
    </row>
    <row r="38" spans="1:7" x14ac:dyDescent="0.2">
      <c r="A38" s="203">
        <f t="shared" si="0"/>
        <v>31</v>
      </c>
    </row>
    <row r="39" spans="1:7" x14ac:dyDescent="0.2">
      <c r="A39" s="203">
        <f t="shared" si="0"/>
        <v>32</v>
      </c>
      <c r="B39" s="190"/>
      <c r="C39" s="96"/>
      <c r="D39" s="96"/>
      <c r="E39" s="191"/>
    </row>
    <row r="40" spans="1:7" x14ac:dyDescent="0.2">
      <c r="A40" s="203">
        <f t="shared" si="0"/>
        <v>33</v>
      </c>
      <c r="B40" s="124" t="s">
        <v>88</v>
      </c>
      <c r="C40" s="38"/>
      <c r="D40" s="38"/>
      <c r="E40" s="192"/>
    </row>
    <row r="41" spans="1:7" x14ac:dyDescent="0.2">
      <c r="A41" s="203">
        <f t="shared" si="0"/>
        <v>34</v>
      </c>
      <c r="B41" s="124"/>
      <c r="C41" s="38"/>
      <c r="D41" s="78"/>
      <c r="E41" s="192"/>
      <c r="F41" s="30"/>
      <c r="G41" s="30"/>
    </row>
    <row r="42" spans="1:7" x14ac:dyDescent="0.2">
      <c r="A42" s="203">
        <f t="shared" si="0"/>
        <v>35</v>
      </c>
      <c r="B42" s="131"/>
      <c r="C42" s="188" t="s">
        <v>418</v>
      </c>
      <c r="D42" s="189"/>
      <c r="E42" s="193"/>
      <c r="F42" s="30"/>
      <c r="G42" s="30"/>
    </row>
    <row r="43" spans="1:7" x14ac:dyDescent="0.2">
      <c r="A43" s="203">
        <f t="shared" si="0"/>
        <v>36</v>
      </c>
      <c r="B43" s="131"/>
      <c r="C43" s="186" t="s">
        <v>33</v>
      </c>
      <c r="D43" s="186"/>
      <c r="E43" s="194" t="s">
        <v>34</v>
      </c>
      <c r="F43" s="30"/>
      <c r="G43" s="30"/>
    </row>
    <row r="44" spans="1:7" x14ac:dyDescent="0.2">
      <c r="A44" s="203">
        <f t="shared" si="0"/>
        <v>37</v>
      </c>
      <c r="B44" s="131"/>
      <c r="C44" s="187" t="s">
        <v>55</v>
      </c>
      <c r="D44" s="187" t="s">
        <v>56</v>
      </c>
      <c r="E44" s="195" t="s">
        <v>57</v>
      </c>
      <c r="F44" s="30"/>
      <c r="G44" s="30"/>
    </row>
    <row r="45" spans="1:7" x14ac:dyDescent="0.2">
      <c r="A45" s="203">
        <f t="shared" si="0"/>
        <v>38</v>
      </c>
      <c r="B45" s="131"/>
      <c r="C45" s="38"/>
      <c r="D45" s="38"/>
      <c r="E45" s="192"/>
    </row>
    <row r="46" spans="1:7" x14ac:dyDescent="0.2">
      <c r="A46" s="203">
        <f t="shared" si="0"/>
        <v>39</v>
      </c>
      <c r="B46" s="131" t="s">
        <v>107</v>
      </c>
      <c r="C46" s="35">
        <f>+'Cost of Cap'!C12</f>
        <v>0.4890520702861032</v>
      </c>
      <c r="D46" s="35">
        <f>+'Cost of Cap'!D12</f>
        <v>5.1299999999999998E-2</v>
      </c>
      <c r="E46" s="196">
        <f>+'Cost of Cap'!E12</f>
        <v>2.5100000000000001E-2</v>
      </c>
      <c r="F46" s="30"/>
      <c r="G46" s="30"/>
    </row>
    <row r="47" spans="1:7" x14ac:dyDescent="0.2">
      <c r="A47" s="203">
        <f t="shared" si="0"/>
        <v>40</v>
      </c>
      <c r="B47" s="131" t="s">
        <v>112</v>
      </c>
      <c r="C47" s="35">
        <f>+'Cost of Cap'!C13</f>
        <v>4.7412687352723214E-2</v>
      </c>
      <c r="D47" s="35">
        <f>+'Cost of Cap'!D13</f>
        <v>2.1100000000000001E-2</v>
      </c>
      <c r="E47" s="196">
        <f>+'Cost of Cap'!E13</f>
        <v>1E-3</v>
      </c>
      <c r="F47" s="30"/>
      <c r="G47" s="30"/>
    </row>
    <row r="48" spans="1:7" x14ac:dyDescent="0.2">
      <c r="A48" s="203">
        <f t="shared" si="0"/>
        <v>41</v>
      </c>
      <c r="B48" s="131" t="s">
        <v>118</v>
      </c>
      <c r="C48" s="35">
        <f>+'Cost of Cap'!C14</f>
        <v>0</v>
      </c>
      <c r="D48" s="35">
        <f>+'Cost of Cap'!D14</f>
        <v>0</v>
      </c>
      <c r="E48" s="196">
        <f>+'Cost of Cap'!E14</f>
        <v>0</v>
      </c>
      <c r="F48" s="30"/>
      <c r="G48" s="30"/>
    </row>
    <row r="49" spans="1:7" x14ac:dyDescent="0.2">
      <c r="A49" s="203">
        <f t="shared" si="0"/>
        <v>42</v>
      </c>
      <c r="B49" s="131" t="s">
        <v>124</v>
      </c>
      <c r="C49" s="34">
        <f>+'Cost of Cap'!C15</f>
        <v>0.46353524236117366</v>
      </c>
      <c r="D49" s="35"/>
      <c r="E49" s="197"/>
      <c r="F49" s="30"/>
      <c r="G49" s="30"/>
    </row>
    <row r="50" spans="1:7" x14ac:dyDescent="0.2">
      <c r="A50" s="203">
        <f t="shared" si="0"/>
        <v>43</v>
      </c>
      <c r="B50" s="131"/>
      <c r="C50" s="35"/>
      <c r="D50" s="35"/>
      <c r="E50" s="196"/>
      <c r="F50" s="30"/>
      <c r="G50" s="30"/>
    </row>
    <row r="51" spans="1:7" x14ac:dyDescent="0.2">
      <c r="A51" s="203">
        <f t="shared" si="0"/>
        <v>44</v>
      </c>
      <c r="B51" s="131" t="s">
        <v>134</v>
      </c>
      <c r="C51" s="35">
        <f>SUM(C46:C50)</f>
        <v>1</v>
      </c>
      <c r="D51" s="35"/>
      <c r="E51" s="196">
        <f>SUM(E46:E50)</f>
        <v>2.6100000000000002E-2</v>
      </c>
      <c r="F51" s="30"/>
      <c r="G51" s="30"/>
    </row>
    <row r="52" spans="1:7" x14ac:dyDescent="0.2">
      <c r="A52" s="203">
        <f t="shared" si="0"/>
        <v>45</v>
      </c>
      <c r="B52" s="198"/>
      <c r="C52" s="87"/>
      <c r="D52" s="87"/>
      <c r="E52" s="199"/>
    </row>
    <row r="53" spans="1:7" x14ac:dyDescent="0.2">
      <c r="A53" s="203">
        <f t="shared" si="0"/>
        <v>46</v>
      </c>
    </row>
  </sheetData>
  <printOptions horizontalCentered="1"/>
  <pageMargins left="0.5" right="0.5" top="0.5" bottom="0.5" header="0.25" footer="0.25"/>
  <pageSetup scale="7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P58"/>
  <sheetViews>
    <sheetView showGridLines="0" zoomScaleNormal="100" zoomScaleSheetLayoutView="85" workbookViewId="0">
      <selection activeCell="K41" sqref="K41"/>
    </sheetView>
  </sheetViews>
  <sheetFormatPr defaultColWidth="16" defaultRowHeight="12.75" x14ac:dyDescent="0.2"/>
  <cols>
    <col min="1" max="1" width="33.5703125" style="297" customWidth="1"/>
    <col min="2" max="2" width="16.7109375" style="298" customWidth="1"/>
    <col min="3" max="3" width="15.7109375" style="298" customWidth="1"/>
    <col min="4" max="4" width="14.7109375" style="298" customWidth="1"/>
    <col min="5" max="5" width="20.7109375" style="298" customWidth="1"/>
    <col min="6" max="8" width="13.7109375" style="298" customWidth="1"/>
    <col min="9" max="9" width="15.7109375" style="298" customWidth="1"/>
    <col min="10" max="10" width="14.140625" style="298" customWidth="1"/>
    <col min="11" max="11" width="50.140625" style="298" customWidth="1"/>
    <col min="12" max="13" width="15.7109375" style="298" customWidth="1"/>
    <col min="14" max="14" width="7.7109375" style="298" customWidth="1"/>
    <col min="15" max="15" width="48.42578125" style="298" customWidth="1"/>
    <col min="16" max="234" width="15.7109375" style="298" customWidth="1"/>
    <col min="235" max="16384" width="16" style="298"/>
  </cols>
  <sheetData>
    <row r="1" spans="1:16" x14ac:dyDescent="0.2">
      <c r="A1" s="297" t="str">
        <f>+'Page 1'!A1</f>
        <v>NW Natural</v>
      </c>
      <c r="F1" s="115"/>
      <c r="G1" s="301"/>
    </row>
    <row r="2" spans="1:16" x14ac:dyDescent="0.2">
      <c r="A2" s="297" t="str">
        <f>+'Page 1'!A2</f>
        <v>Washington Annual Commission Basis Report</v>
      </c>
    </row>
    <row r="3" spans="1:16" x14ac:dyDescent="0.2">
      <c r="A3" s="297" t="str">
        <f>+'Page 1'!A3</f>
        <v>Twelve Months Ended December 31, 2018</v>
      </c>
    </row>
    <row r="4" spans="1:16" x14ac:dyDescent="0.2">
      <c r="A4" s="297" t="s">
        <v>331</v>
      </c>
    </row>
    <row r="6" spans="1:16" x14ac:dyDescent="0.2">
      <c r="F6" s="537"/>
    </row>
    <row r="7" spans="1:16" s="297" customFormat="1" x14ac:dyDescent="0.2">
      <c r="B7" s="103" t="s">
        <v>12</v>
      </c>
      <c r="C7" s="103" t="s">
        <v>11</v>
      </c>
      <c r="D7" s="103" t="s">
        <v>10</v>
      </c>
      <c r="E7" s="104"/>
      <c r="J7" s="46"/>
      <c r="K7" s="46"/>
      <c r="L7" s="105"/>
      <c r="N7" s="46"/>
      <c r="O7" s="46"/>
      <c r="P7" s="46"/>
    </row>
    <row r="8" spans="1:16" s="297" customFormat="1" x14ac:dyDescent="0.2">
      <c r="A8" s="104"/>
      <c r="B8" s="104"/>
      <c r="C8" s="104"/>
      <c r="D8" s="104"/>
      <c r="E8" s="104"/>
      <c r="J8" s="46"/>
      <c r="K8" s="46"/>
      <c r="L8" s="105"/>
      <c r="N8" s="46"/>
      <c r="O8" s="46"/>
      <c r="P8" s="46"/>
    </row>
    <row r="9" spans="1:16" s="297" customFormat="1" x14ac:dyDescent="0.2">
      <c r="A9" s="72" t="s">
        <v>309</v>
      </c>
      <c r="B9" s="104"/>
      <c r="C9" s="104"/>
      <c r="D9" s="104"/>
      <c r="E9" s="104"/>
      <c r="G9" s="72"/>
      <c r="J9" s="46"/>
      <c r="K9" s="46"/>
      <c r="L9" s="105"/>
    </row>
    <row r="10" spans="1:16" s="297" customFormat="1" x14ac:dyDescent="0.2">
      <c r="A10" s="106" t="s">
        <v>333</v>
      </c>
      <c r="B10" s="538">
        <v>537569.77</v>
      </c>
      <c r="C10" s="538">
        <v>53320</v>
      </c>
      <c r="D10" s="79">
        <f>+B10+C10</f>
        <v>590889.77</v>
      </c>
      <c r="E10" s="216" t="s">
        <v>145</v>
      </c>
      <c r="G10" s="407"/>
      <c r="H10" s="407"/>
      <c r="I10" s="407"/>
      <c r="J10" s="46"/>
      <c r="K10" s="46"/>
      <c r="L10" s="105"/>
    </row>
    <row r="11" spans="1:16" s="297" customFormat="1" x14ac:dyDescent="0.2">
      <c r="A11" s="106" t="s">
        <v>334</v>
      </c>
      <c r="B11" s="538">
        <v>1926634.1499999997</v>
      </c>
      <c r="C11" s="538">
        <v>88714.839999999982</v>
      </c>
      <c r="D11" s="79">
        <f t="shared" ref="D11:D19" si="0">+B11+C11</f>
        <v>2015348.9899999998</v>
      </c>
      <c r="E11" s="216" t="s">
        <v>145</v>
      </c>
      <c r="F11" s="537"/>
      <c r="G11" s="407"/>
      <c r="H11" s="407"/>
      <c r="I11" s="407"/>
      <c r="J11" s="46"/>
      <c r="K11" s="46"/>
      <c r="L11" s="105"/>
    </row>
    <row r="12" spans="1:16" s="297" customFormat="1" x14ac:dyDescent="0.2">
      <c r="A12" s="106" t="s">
        <v>335</v>
      </c>
      <c r="B12" s="538">
        <v>33630</v>
      </c>
      <c r="C12" s="538">
        <v>5602.5</v>
      </c>
      <c r="D12" s="79">
        <f t="shared" si="0"/>
        <v>39232.5</v>
      </c>
      <c r="E12" s="216" t="s">
        <v>145</v>
      </c>
      <c r="F12" s="537"/>
      <c r="G12" s="407"/>
      <c r="H12" s="407"/>
      <c r="I12" s="407"/>
      <c r="J12" s="46"/>
      <c r="K12" s="46"/>
      <c r="L12" s="105"/>
    </row>
    <row r="13" spans="1:16" s="297" customFormat="1" x14ac:dyDescent="0.2">
      <c r="A13" s="106" t="s">
        <v>336</v>
      </c>
      <c r="B13" s="538">
        <v>106035</v>
      </c>
      <c r="C13" s="538">
        <v>12227.5</v>
      </c>
      <c r="D13" s="79">
        <f t="shared" si="0"/>
        <v>118262.5</v>
      </c>
      <c r="E13" s="216" t="s">
        <v>145</v>
      </c>
      <c r="F13" s="537"/>
      <c r="G13" s="407"/>
      <c r="H13" s="407"/>
      <c r="I13" s="407"/>
      <c r="J13" s="46"/>
      <c r="K13" s="46"/>
      <c r="L13" s="105"/>
    </row>
    <row r="14" spans="1:16" x14ac:dyDescent="0.2">
      <c r="A14" s="106" t="s">
        <v>337</v>
      </c>
      <c r="B14" s="538">
        <v>337570</v>
      </c>
      <c r="C14" s="538">
        <v>32470</v>
      </c>
      <c r="D14" s="79">
        <f t="shared" si="0"/>
        <v>370040</v>
      </c>
      <c r="E14" s="216" t="s">
        <v>145</v>
      </c>
      <c r="F14" s="537"/>
      <c r="G14" s="407"/>
      <c r="H14" s="407"/>
      <c r="I14" s="407"/>
      <c r="J14" s="46"/>
      <c r="K14" s="46"/>
      <c r="L14" s="105"/>
    </row>
    <row r="15" spans="1:16" x14ac:dyDescent="0.2">
      <c r="A15" s="106" t="s">
        <v>338</v>
      </c>
      <c r="B15" s="538">
        <v>167529.65000000002</v>
      </c>
      <c r="C15" s="538">
        <v>18185.310000000001</v>
      </c>
      <c r="D15" s="79">
        <f t="shared" si="0"/>
        <v>185714.96000000002</v>
      </c>
      <c r="E15" s="216" t="s">
        <v>145</v>
      </c>
      <c r="F15" s="537"/>
      <c r="G15" s="407"/>
      <c r="H15" s="407"/>
      <c r="I15" s="407"/>
      <c r="J15" s="46"/>
      <c r="K15" s="46"/>
      <c r="L15" s="105"/>
    </row>
    <row r="16" spans="1:16" x14ac:dyDescent="0.2">
      <c r="A16" s="106" t="s">
        <v>339</v>
      </c>
      <c r="B16" s="538">
        <v>180948.33138300004</v>
      </c>
      <c r="C16" s="538">
        <v>9428.6186170000001</v>
      </c>
      <c r="D16" s="79">
        <f t="shared" si="0"/>
        <v>190376.95000000004</v>
      </c>
      <c r="E16" s="216" t="s">
        <v>310</v>
      </c>
      <c r="F16" s="537"/>
      <c r="G16" s="407"/>
      <c r="H16" s="407"/>
      <c r="I16" s="407"/>
      <c r="J16" s="46"/>
      <c r="K16" s="46"/>
      <c r="L16" s="105"/>
    </row>
    <row r="17" spans="1:12" x14ac:dyDescent="0.2">
      <c r="A17" s="106" t="s">
        <v>471</v>
      </c>
      <c r="B17" s="538">
        <v>1240518.3400000001</v>
      </c>
      <c r="C17" s="538">
        <v>31106.67</v>
      </c>
      <c r="D17" s="79">
        <f t="shared" si="0"/>
        <v>1271625.01</v>
      </c>
      <c r="E17" s="216" t="s">
        <v>145</v>
      </c>
      <c r="F17" s="537"/>
      <c r="G17" s="407"/>
      <c r="H17" s="407"/>
      <c r="I17" s="407"/>
      <c r="J17" s="46"/>
      <c r="K17" s="46"/>
      <c r="L17" s="105"/>
    </row>
    <row r="18" spans="1:12" x14ac:dyDescent="0.2">
      <c r="A18" s="106" t="s">
        <v>472</v>
      </c>
      <c r="B18" s="539">
        <v>222486.21999999741</v>
      </c>
      <c r="C18" s="539">
        <v>-3350415.8099999977</v>
      </c>
      <c r="D18" s="79">
        <f t="shared" si="0"/>
        <v>-3127929.5900000003</v>
      </c>
      <c r="E18" s="216" t="s">
        <v>145</v>
      </c>
      <c r="F18" s="537"/>
      <c r="G18" s="407"/>
      <c r="H18" s="407"/>
      <c r="I18" s="407"/>
      <c r="J18" s="46"/>
      <c r="K18" s="46"/>
      <c r="L18" s="105"/>
    </row>
    <row r="19" spans="1:12" x14ac:dyDescent="0.2">
      <c r="A19" s="106" t="s">
        <v>340</v>
      </c>
      <c r="B19" s="540">
        <f>153038.13+262330</f>
        <v>415368.13</v>
      </c>
      <c r="C19" s="540">
        <v>6776.37</v>
      </c>
      <c r="D19" s="541">
        <f t="shared" si="0"/>
        <v>422144.5</v>
      </c>
      <c r="E19" s="216" t="s">
        <v>145</v>
      </c>
      <c r="F19" s="537"/>
      <c r="G19" s="407"/>
      <c r="H19" s="407"/>
      <c r="I19" s="407"/>
      <c r="J19" s="46"/>
      <c r="K19" s="46"/>
      <c r="L19" s="105"/>
    </row>
    <row r="20" spans="1:12" x14ac:dyDescent="0.2">
      <c r="A20" s="107" t="s">
        <v>341</v>
      </c>
      <c r="B20" s="79">
        <f>SUM(B10:B19)</f>
        <v>5168289.591382998</v>
      </c>
      <c r="C20" s="79">
        <f>SUM(C10:C19)</f>
        <v>-3092584.0013829977</v>
      </c>
      <c r="D20" s="79">
        <f>SUM(D10:D19)</f>
        <v>2075705.5899999994</v>
      </c>
      <c r="E20" s="216"/>
      <c r="F20" s="299"/>
      <c r="G20" s="537"/>
      <c r="H20" s="299"/>
      <c r="I20" s="299"/>
      <c r="J20" s="46"/>
      <c r="K20" s="46"/>
      <c r="L20" s="105"/>
    </row>
    <row r="21" spans="1:12" x14ac:dyDescent="0.2">
      <c r="A21" s="72"/>
      <c r="B21" s="91"/>
      <c r="C21" s="91"/>
      <c r="D21" s="91"/>
      <c r="G21" s="107"/>
      <c r="J21" s="46"/>
      <c r="K21" s="46"/>
      <c r="L21" s="105"/>
    </row>
    <row r="22" spans="1:12" x14ac:dyDescent="0.2">
      <c r="C22" s="542"/>
      <c r="E22" s="216"/>
      <c r="G22" s="72"/>
    </row>
    <row r="23" spans="1:12" x14ac:dyDescent="0.2">
      <c r="A23" s="72" t="s">
        <v>324</v>
      </c>
      <c r="D23" s="216"/>
      <c r="G23" s="297"/>
      <c r="J23" s="46"/>
      <c r="K23" s="46"/>
      <c r="L23" s="105"/>
    </row>
    <row r="24" spans="1:12" x14ac:dyDescent="0.2">
      <c r="A24" s="106" t="s">
        <v>248</v>
      </c>
      <c r="B24" s="538">
        <v>3029922</v>
      </c>
      <c r="C24" s="538">
        <v>381767.81000000006</v>
      </c>
      <c r="D24" s="298">
        <f>+B24+C24</f>
        <v>3411689.81</v>
      </c>
      <c r="E24" s="216" t="s">
        <v>15</v>
      </c>
      <c r="G24" s="543"/>
      <c r="H24" s="543"/>
      <c r="J24" s="46"/>
      <c r="K24" s="46"/>
      <c r="L24" s="105"/>
    </row>
    <row r="25" spans="1:12" x14ac:dyDescent="0.2">
      <c r="A25" s="106" t="s">
        <v>243</v>
      </c>
      <c r="B25" s="538">
        <v>4763595.99</v>
      </c>
      <c r="C25" s="538">
        <v>22541.29</v>
      </c>
      <c r="D25" s="298">
        <f t="shared" ref="D25:D30" si="1">+B25+C25</f>
        <v>4786137.28</v>
      </c>
      <c r="E25" s="216" t="s">
        <v>145</v>
      </c>
      <c r="I25" s="543"/>
      <c r="J25" s="46"/>
      <c r="K25" s="46"/>
      <c r="L25" s="105"/>
    </row>
    <row r="26" spans="1:12" x14ac:dyDescent="0.2">
      <c r="A26" s="106" t="s">
        <v>244</v>
      </c>
      <c r="B26" s="538">
        <v>51669366.850000001</v>
      </c>
      <c r="C26" s="538">
        <v>7471637.4000000004</v>
      </c>
      <c r="D26" s="298">
        <f t="shared" si="1"/>
        <v>59141004.25</v>
      </c>
      <c r="E26" s="216" t="s">
        <v>145</v>
      </c>
      <c r="G26" s="299"/>
      <c r="H26" s="299"/>
      <c r="I26" s="409"/>
      <c r="J26" s="46"/>
      <c r="K26" s="46"/>
      <c r="L26" s="105"/>
    </row>
    <row r="27" spans="1:12" x14ac:dyDescent="0.2">
      <c r="A27" s="106" t="s">
        <v>263</v>
      </c>
      <c r="B27" s="538">
        <v>7899006</v>
      </c>
      <c r="C27" s="538">
        <v>1000279.2899999991</v>
      </c>
      <c r="D27" s="298">
        <f t="shared" si="1"/>
        <v>8899285.2899999991</v>
      </c>
      <c r="E27" s="216" t="s">
        <v>136</v>
      </c>
      <c r="G27" s="409"/>
      <c r="H27" s="409"/>
      <c r="I27" s="299"/>
      <c r="J27" s="46"/>
      <c r="K27" s="46"/>
      <c r="L27" s="105"/>
    </row>
    <row r="28" spans="1:12" x14ac:dyDescent="0.2">
      <c r="A28" s="106" t="s">
        <v>286</v>
      </c>
      <c r="B28" s="538">
        <v>6893321.4321512431</v>
      </c>
      <c r="C28" s="538">
        <v>600593.99784875661</v>
      </c>
      <c r="D28" s="298">
        <f t="shared" si="1"/>
        <v>7493915.4299999997</v>
      </c>
      <c r="E28" s="216" t="s">
        <v>133</v>
      </c>
      <c r="G28" s="89"/>
      <c r="H28" s="409"/>
      <c r="I28" s="299"/>
      <c r="J28" s="46"/>
      <c r="K28" s="46"/>
      <c r="L28" s="105"/>
    </row>
    <row r="29" spans="1:12" x14ac:dyDescent="0.2">
      <c r="A29" s="106" t="s">
        <v>342</v>
      </c>
      <c r="B29" s="538">
        <v>0</v>
      </c>
      <c r="C29" s="538">
        <v>0</v>
      </c>
      <c r="D29" s="298">
        <f t="shared" si="1"/>
        <v>0</v>
      </c>
      <c r="E29" s="216" t="s">
        <v>145</v>
      </c>
      <c r="G29" s="409"/>
      <c r="H29" s="409"/>
      <c r="I29" s="409"/>
      <c r="J29" s="46"/>
      <c r="K29" s="46"/>
      <c r="L29" s="105"/>
    </row>
    <row r="30" spans="1:12" x14ac:dyDescent="0.2">
      <c r="A30" s="106" t="s">
        <v>265</v>
      </c>
      <c r="B30" s="540">
        <v>0</v>
      </c>
      <c r="C30" s="540">
        <v>0</v>
      </c>
      <c r="D30" s="87">
        <f t="shared" si="1"/>
        <v>0</v>
      </c>
      <c r="E30" s="216" t="s">
        <v>136</v>
      </c>
      <c r="G30" s="409"/>
      <c r="H30" s="409"/>
      <c r="I30" s="409"/>
      <c r="J30" s="46"/>
      <c r="K30" s="46"/>
      <c r="L30" s="105"/>
    </row>
    <row r="31" spans="1:12" x14ac:dyDescent="0.2">
      <c r="A31" s="297" t="s">
        <v>343</v>
      </c>
      <c r="B31" s="544">
        <f>SUM(B24:B30)</f>
        <v>74255212.272151247</v>
      </c>
      <c r="C31" s="544">
        <f>SUM(C24:C30)</f>
        <v>9476819.7878487557</v>
      </c>
      <c r="D31" s="544">
        <f>SUM(D24:D30)</f>
        <v>83732032.060000002</v>
      </c>
      <c r="E31" s="216"/>
      <c r="F31" s="299"/>
      <c r="G31" s="108"/>
      <c r="H31" s="108"/>
      <c r="I31" s="108"/>
      <c r="J31" s="46"/>
      <c r="K31" s="46"/>
      <c r="L31" s="105"/>
    </row>
    <row r="32" spans="1:12" x14ac:dyDescent="0.2">
      <c r="A32" s="297" t="s">
        <v>169</v>
      </c>
      <c r="B32" s="542">
        <f>+B31/D31</f>
        <v>0.88681966083113883</v>
      </c>
      <c r="C32" s="542"/>
      <c r="E32" s="216"/>
      <c r="G32" s="73"/>
      <c r="H32" s="299"/>
      <c r="I32" s="299"/>
      <c r="J32" s="46"/>
      <c r="K32" s="46"/>
      <c r="L32" s="105"/>
    </row>
    <row r="33" spans="1:15" x14ac:dyDescent="0.2">
      <c r="A33" s="297" t="s">
        <v>169</v>
      </c>
      <c r="G33" s="73"/>
      <c r="H33" s="299"/>
      <c r="I33" s="299"/>
      <c r="J33" s="46"/>
      <c r="K33" s="46"/>
      <c r="L33" s="105"/>
    </row>
    <row r="34" spans="1:15" x14ac:dyDescent="0.2">
      <c r="A34" s="297" t="s">
        <v>169</v>
      </c>
      <c r="G34" s="73"/>
      <c r="H34" s="299"/>
      <c r="I34" s="299"/>
      <c r="J34" s="46"/>
      <c r="K34" s="46"/>
      <c r="L34" s="105"/>
    </row>
    <row r="35" spans="1:15" x14ac:dyDescent="0.2">
      <c r="A35" s="297" t="s">
        <v>225</v>
      </c>
      <c r="D35" s="216"/>
      <c r="F35" s="545"/>
      <c r="G35" s="73"/>
      <c r="H35" s="299"/>
      <c r="I35" s="299"/>
    </row>
    <row r="36" spans="1:15" x14ac:dyDescent="0.2">
      <c r="A36" s="106" t="s">
        <v>344</v>
      </c>
      <c r="B36" s="546">
        <v>19108459</v>
      </c>
      <c r="C36" s="546">
        <v>1752161</v>
      </c>
      <c r="D36" s="547">
        <f t="shared" ref="D36:D41" si="2">SUM(B36:C36)</f>
        <v>20860620</v>
      </c>
      <c r="E36" s="216" t="s">
        <v>145</v>
      </c>
      <c r="G36" s="297"/>
      <c r="L36" s="105"/>
    </row>
    <row r="37" spans="1:15" x14ac:dyDescent="0.2">
      <c r="A37" s="106" t="s">
        <v>345</v>
      </c>
      <c r="B37" s="546">
        <v>14606265.939589676</v>
      </c>
      <c r="C37" s="546">
        <v>2699294.4304103227</v>
      </c>
      <c r="D37" s="547">
        <f t="shared" si="2"/>
        <v>17305560.369999997</v>
      </c>
      <c r="E37" s="216" t="s">
        <v>145</v>
      </c>
      <c r="G37" s="106"/>
      <c r="N37" s="46"/>
      <c r="O37" s="46"/>
    </row>
    <row r="38" spans="1:15" x14ac:dyDescent="0.2">
      <c r="A38" s="106" t="s">
        <v>36</v>
      </c>
      <c r="B38" s="546">
        <v>5632810.4486295003</v>
      </c>
      <c r="C38" s="546">
        <v>657810.20137050003</v>
      </c>
      <c r="D38" s="547">
        <f t="shared" si="2"/>
        <v>6290620.6500000004</v>
      </c>
      <c r="E38" s="216" t="s">
        <v>36</v>
      </c>
      <c r="G38" s="106"/>
    </row>
    <row r="39" spans="1:15" x14ac:dyDescent="0.2">
      <c r="A39" s="106" t="s">
        <v>346</v>
      </c>
      <c r="B39" s="546">
        <v>1790395.18</v>
      </c>
      <c r="C39" s="546">
        <v>147229.99</v>
      </c>
      <c r="D39" s="547">
        <f t="shared" si="2"/>
        <v>1937625.17</v>
      </c>
      <c r="E39" s="216" t="s">
        <v>145</v>
      </c>
      <c r="G39" s="106"/>
    </row>
    <row r="40" spans="1:15" x14ac:dyDescent="0.2">
      <c r="A40" s="106" t="s">
        <v>347</v>
      </c>
      <c r="B40" s="546">
        <v>869789</v>
      </c>
      <c r="C40" s="546">
        <v>0</v>
      </c>
      <c r="D40" s="547">
        <f t="shared" si="2"/>
        <v>869789</v>
      </c>
      <c r="E40" s="216" t="s">
        <v>145</v>
      </c>
      <c r="G40" s="106"/>
    </row>
    <row r="41" spans="1:15" x14ac:dyDescent="0.2">
      <c r="A41" s="106" t="s">
        <v>285</v>
      </c>
      <c r="B41" s="548">
        <v>238944.83375000002</v>
      </c>
      <c r="C41" s="548">
        <v>115051.29624999998</v>
      </c>
      <c r="D41" s="549">
        <f t="shared" si="2"/>
        <v>353996.13</v>
      </c>
      <c r="E41" s="216" t="s">
        <v>311</v>
      </c>
      <c r="G41" s="106"/>
    </row>
    <row r="42" spans="1:15" x14ac:dyDescent="0.2">
      <c r="A42" s="107" t="s">
        <v>225</v>
      </c>
      <c r="B42" s="544">
        <f>SUM(B36:B41)</f>
        <v>42246664.40196918</v>
      </c>
      <c r="C42" s="544">
        <f>SUM(C36:C41)</f>
        <v>5371546.9180308226</v>
      </c>
      <c r="D42" s="544">
        <f>SUM(D36:D41)</f>
        <v>47618211.32</v>
      </c>
      <c r="E42" s="216"/>
      <c r="F42" s="299"/>
      <c r="G42" s="106"/>
    </row>
    <row r="43" spans="1:15" x14ac:dyDescent="0.2">
      <c r="A43" s="107"/>
      <c r="B43" s="216"/>
      <c r="C43" s="216"/>
      <c r="D43" s="216"/>
      <c r="F43" s="545"/>
      <c r="G43" s="107"/>
    </row>
    <row r="44" spans="1:15" x14ac:dyDescent="0.2">
      <c r="B44" s="542"/>
      <c r="C44" s="542"/>
      <c r="G44" s="297"/>
    </row>
    <row r="45" spans="1:15" x14ac:dyDescent="0.2">
      <c r="A45" s="104" t="s">
        <v>312</v>
      </c>
      <c r="B45" s="91">
        <f>B10+B14</f>
        <v>875139.77</v>
      </c>
      <c r="C45" s="91">
        <f>C10+C14</f>
        <v>85790</v>
      </c>
      <c r="D45" s="91">
        <f>D10+D14</f>
        <v>960929.77</v>
      </c>
      <c r="G45" s="72"/>
    </row>
    <row r="46" spans="1:15" x14ac:dyDescent="0.2">
      <c r="A46" s="297" t="s">
        <v>340</v>
      </c>
      <c r="B46" s="91">
        <f>B19</f>
        <v>415368.13</v>
      </c>
      <c r="C46" s="91">
        <f>C19</f>
        <v>6776.37</v>
      </c>
      <c r="D46" s="91">
        <f>D19</f>
        <v>422144.5</v>
      </c>
      <c r="G46" s="297"/>
    </row>
    <row r="47" spans="1:15" x14ac:dyDescent="0.2">
      <c r="G47" s="297"/>
    </row>
    <row r="49" spans="1:4" x14ac:dyDescent="0.2">
      <c r="A49" s="73"/>
      <c r="B49" s="300"/>
      <c r="C49" s="300"/>
      <c r="D49" s="407"/>
    </row>
    <row r="50" spans="1:4" x14ac:dyDescent="0.2">
      <c r="A50" s="108"/>
      <c r="B50" s="409"/>
      <c r="C50" s="409"/>
      <c r="D50" s="409"/>
    </row>
    <row r="51" spans="1:4" x14ac:dyDescent="0.2">
      <c r="A51" s="108"/>
      <c r="B51" s="409"/>
      <c r="C51" s="409"/>
      <c r="D51" s="409"/>
    </row>
    <row r="52" spans="1:4" x14ac:dyDescent="0.2">
      <c r="A52" s="108"/>
      <c r="B52" s="409"/>
      <c r="C52" s="409"/>
      <c r="D52" s="409"/>
    </row>
    <row r="53" spans="1:4" x14ac:dyDescent="0.2">
      <c r="A53" s="108"/>
      <c r="B53" s="409"/>
      <c r="C53" s="409"/>
      <c r="D53" s="409"/>
    </row>
    <row r="54" spans="1:4" x14ac:dyDescent="0.2">
      <c r="A54" s="108"/>
      <c r="B54" s="409"/>
      <c r="C54" s="409"/>
      <c r="D54" s="409"/>
    </row>
    <row r="55" spans="1:4" x14ac:dyDescent="0.2">
      <c r="A55" s="108"/>
      <c r="B55" s="409"/>
      <c r="C55" s="409"/>
      <c r="D55" s="409"/>
    </row>
    <row r="56" spans="1:4" x14ac:dyDescent="0.2">
      <c r="A56" s="108"/>
      <c r="B56" s="409"/>
      <c r="C56" s="409"/>
      <c r="D56" s="409"/>
    </row>
    <row r="57" spans="1:4" x14ac:dyDescent="0.2">
      <c r="A57" s="137"/>
      <c r="B57" s="409"/>
      <c r="C57" s="409"/>
      <c r="D57" s="409"/>
    </row>
    <row r="58" spans="1:4" x14ac:dyDescent="0.2">
      <c r="A58" s="73"/>
      <c r="B58" s="299"/>
      <c r="C58" s="299"/>
      <c r="D58" s="299"/>
    </row>
  </sheetData>
  <phoneticPr fontId="0" type="noConversion"/>
  <printOptions horizontalCentered="1"/>
  <pageMargins left="0.75" right="0.75" top="1" bottom="1" header="0.5" footer="0.5"/>
  <pageSetup scale="78" orientation="landscape" r:id="rId1"/>
  <headerFooter alignWithMargins="0">
    <oddFooter>&amp;C&amp;"Times New Roman,Regular"&amp;8&amp;F 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77"/>
  <sheetViews>
    <sheetView workbookViewId="0">
      <pane xSplit="2" ySplit="9" topLeftCell="C22" activePane="bottomRight" state="frozen"/>
      <selection pane="topRight"/>
      <selection pane="bottomLeft"/>
      <selection pane="bottomRight"/>
    </sheetView>
  </sheetViews>
  <sheetFormatPr defaultColWidth="8.85546875" defaultRowHeight="12.75" x14ac:dyDescent="0.2"/>
  <cols>
    <col min="1" max="1" width="13.7109375" style="30" customWidth="1"/>
    <col min="2" max="2" width="31" style="30" bestFit="1" customWidth="1"/>
    <col min="3" max="4" width="14.7109375" style="41" customWidth="1"/>
    <col min="5" max="5" width="3.7109375" style="41" customWidth="1"/>
    <col min="6" max="8" width="16.7109375" style="30" customWidth="1"/>
    <col min="9" max="12" width="20.7109375" style="30" customWidth="1"/>
    <col min="13" max="25" width="13.7109375" style="30" customWidth="1"/>
    <col min="26" max="16384" width="8.85546875" style="30"/>
  </cols>
  <sheetData>
    <row r="1" spans="1:10" x14ac:dyDescent="0.2">
      <c r="A1" s="24" t="str">
        <f>+'Page 1'!A1</f>
        <v>NW Natural</v>
      </c>
    </row>
    <row r="2" spans="1:10" x14ac:dyDescent="0.2">
      <c r="A2" s="24" t="str">
        <f>+'Page 1'!A2</f>
        <v>Washington Annual Commission Basis Report</v>
      </c>
    </row>
    <row r="3" spans="1:10" x14ac:dyDescent="0.2">
      <c r="A3" s="24" t="str">
        <f>+'Page 1'!A3</f>
        <v>Twelve Months Ended December 31, 2018</v>
      </c>
    </row>
    <row r="4" spans="1:10" x14ac:dyDescent="0.2">
      <c r="A4" s="24"/>
    </row>
    <row r="5" spans="1:10" x14ac:dyDescent="0.2">
      <c r="A5" s="24"/>
    </row>
    <row r="6" spans="1:10" x14ac:dyDescent="0.2">
      <c r="A6" s="24" t="s">
        <v>388</v>
      </c>
    </row>
    <row r="7" spans="1:10" ht="13.5" thickBot="1" x14ac:dyDescent="0.25"/>
    <row r="8" spans="1:10" x14ac:dyDescent="0.2">
      <c r="A8" s="144"/>
      <c r="B8" s="145"/>
      <c r="C8" s="146" t="s">
        <v>389</v>
      </c>
      <c r="D8" s="146" t="s">
        <v>390</v>
      </c>
      <c r="E8" s="146"/>
      <c r="F8" s="145"/>
      <c r="G8" s="145"/>
      <c r="H8" s="145"/>
      <c r="I8" s="145"/>
      <c r="J8" s="147"/>
    </row>
    <row r="9" spans="1:10" ht="13.5" thickBot="1" x14ac:dyDescent="0.25">
      <c r="A9" s="148" t="s">
        <v>391</v>
      </c>
      <c r="B9" s="149" t="s">
        <v>42</v>
      </c>
      <c r="C9" s="150" t="s">
        <v>392</v>
      </c>
      <c r="D9" s="150" t="s">
        <v>392</v>
      </c>
      <c r="E9" s="150"/>
      <c r="F9" s="149" t="s">
        <v>393</v>
      </c>
      <c r="G9" s="151"/>
      <c r="H9" s="151"/>
      <c r="I9" s="151"/>
      <c r="J9" s="152"/>
    </row>
    <row r="10" spans="1:10" x14ac:dyDescent="0.2">
      <c r="A10" s="153"/>
      <c r="B10" s="38"/>
      <c r="C10" s="78"/>
      <c r="D10" s="78"/>
      <c r="E10" s="78"/>
      <c r="F10" s="38"/>
      <c r="G10" s="38"/>
      <c r="H10" s="38"/>
      <c r="I10" s="38"/>
      <c r="J10" s="154"/>
    </row>
    <row r="11" spans="1:10" x14ac:dyDescent="0.2">
      <c r="A11" s="155" t="s">
        <v>394</v>
      </c>
      <c r="B11" s="38" t="s">
        <v>395</v>
      </c>
      <c r="C11" s="78">
        <f>+Adjustments!D33</f>
        <v>1374607.5661949511</v>
      </c>
      <c r="D11" s="156">
        <v>0</v>
      </c>
      <c r="E11" s="156"/>
      <c r="F11" s="38" t="s">
        <v>396</v>
      </c>
      <c r="G11" s="38"/>
      <c r="H11" s="38"/>
      <c r="I11" s="38"/>
      <c r="J11" s="154"/>
    </row>
    <row r="12" spans="1:10" x14ac:dyDescent="0.2">
      <c r="A12" s="153"/>
      <c r="B12" s="38"/>
      <c r="C12" s="78"/>
      <c r="D12" s="78"/>
      <c r="E12" s="78"/>
      <c r="F12" s="38" t="s">
        <v>397</v>
      </c>
      <c r="G12" s="38"/>
      <c r="H12" s="38"/>
      <c r="I12" s="38"/>
      <c r="J12" s="154"/>
    </row>
    <row r="13" spans="1:10" ht="13.5" thickBot="1" x14ac:dyDescent="0.25">
      <c r="A13" s="153"/>
      <c r="B13" s="38"/>
      <c r="C13" s="78"/>
      <c r="D13" s="78"/>
      <c r="E13" s="78"/>
      <c r="F13" s="38"/>
      <c r="G13" s="38"/>
      <c r="H13" s="38"/>
      <c r="I13" s="38"/>
      <c r="J13" s="154"/>
    </row>
    <row r="14" spans="1:10" x14ac:dyDescent="0.2">
      <c r="A14" s="144"/>
      <c r="B14" s="145"/>
      <c r="C14" s="159"/>
      <c r="D14" s="159"/>
      <c r="E14" s="159"/>
      <c r="F14" s="145"/>
      <c r="G14" s="145"/>
      <c r="H14" s="145"/>
      <c r="I14" s="145"/>
      <c r="J14" s="147"/>
    </row>
    <row r="15" spans="1:10" x14ac:dyDescent="0.2">
      <c r="A15" s="155" t="s">
        <v>398</v>
      </c>
      <c r="B15" s="38" t="s">
        <v>442</v>
      </c>
      <c r="C15" s="78">
        <f>+Adjustments!E33</f>
        <v>-536607.24676922441</v>
      </c>
      <c r="D15" s="156">
        <v>0</v>
      </c>
      <c r="E15" s="156"/>
      <c r="F15" s="38" t="s">
        <v>446</v>
      </c>
      <c r="G15" s="38"/>
      <c r="H15" s="38"/>
      <c r="I15" s="38"/>
      <c r="J15" s="154"/>
    </row>
    <row r="16" spans="1:10" x14ac:dyDescent="0.2">
      <c r="A16" s="153"/>
      <c r="B16" s="38"/>
      <c r="C16" s="78"/>
      <c r="D16" s="78"/>
      <c r="E16" s="78"/>
      <c r="F16" s="162"/>
      <c r="G16" s="67"/>
      <c r="H16" s="67"/>
      <c r="I16" s="67"/>
      <c r="J16" s="163"/>
    </row>
    <row r="17" spans="1:10" ht="13.5" thickBot="1" x14ac:dyDescent="0.25">
      <c r="A17" s="157"/>
      <c r="B17" s="151"/>
      <c r="C17" s="158"/>
      <c r="D17" s="158"/>
      <c r="E17" s="158"/>
      <c r="F17" s="151"/>
      <c r="G17" s="151"/>
      <c r="H17" s="151"/>
      <c r="I17" s="151"/>
      <c r="J17" s="152"/>
    </row>
    <row r="18" spans="1:10" x14ac:dyDescent="0.2">
      <c r="A18" s="144"/>
      <c r="B18" s="145"/>
      <c r="C18" s="159"/>
      <c r="D18" s="159"/>
      <c r="E18" s="159"/>
      <c r="F18" s="145"/>
      <c r="G18" s="145"/>
      <c r="H18" s="145"/>
      <c r="I18" s="145"/>
      <c r="J18" s="147"/>
    </row>
    <row r="19" spans="1:10" x14ac:dyDescent="0.2">
      <c r="A19" s="155" t="s">
        <v>399</v>
      </c>
      <c r="B19" s="38" t="s">
        <v>406</v>
      </c>
      <c r="C19" s="78">
        <f>+Adjustments!F33</f>
        <v>-3151.7838500000375</v>
      </c>
      <c r="D19" s="78">
        <f>+Adjustments!F47</f>
        <v>671.28233333333105</v>
      </c>
      <c r="E19" s="78"/>
      <c r="F19" s="38" t="s">
        <v>410</v>
      </c>
      <c r="G19" s="38"/>
      <c r="H19" s="38"/>
      <c r="I19" s="38"/>
      <c r="J19" s="154"/>
    </row>
    <row r="20" spans="1:10" s="38" customFormat="1" x14ac:dyDescent="0.2">
      <c r="A20" s="153"/>
      <c r="C20" s="78"/>
      <c r="D20" s="78"/>
      <c r="E20" s="78"/>
      <c r="F20" s="162"/>
      <c r="G20" s="67"/>
      <c r="H20" s="67"/>
      <c r="I20" s="67"/>
      <c r="J20" s="163"/>
    </row>
    <row r="21" spans="1:10" ht="13.5" thickBot="1" x14ac:dyDescent="0.25">
      <c r="A21" s="157"/>
      <c r="B21" s="151"/>
      <c r="C21" s="158"/>
      <c r="D21" s="158"/>
      <c r="E21" s="158"/>
      <c r="F21" s="151"/>
      <c r="G21" s="151"/>
      <c r="H21" s="151"/>
      <c r="I21" s="151"/>
      <c r="J21" s="152"/>
    </row>
    <row r="22" spans="1:10" x14ac:dyDescent="0.2">
      <c r="A22" s="153"/>
      <c r="B22" s="38"/>
      <c r="C22" s="78"/>
      <c r="D22" s="78"/>
      <c r="E22" s="78"/>
      <c r="F22" s="38"/>
      <c r="G22" s="38"/>
      <c r="H22" s="38"/>
      <c r="I22" s="38"/>
      <c r="J22" s="154"/>
    </row>
    <row r="23" spans="1:10" x14ac:dyDescent="0.2">
      <c r="A23" s="155" t="s">
        <v>401</v>
      </c>
      <c r="B23" s="38" t="s">
        <v>404</v>
      </c>
      <c r="C23" s="78">
        <f>+Adjustments!G33</f>
        <v>-5123</v>
      </c>
      <c r="D23" s="156">
        <v>0</v>
      </c>
      <c r="E23" s="156"/>
      <c r="F23" s="38" t="s">
        <v>405</v>
      </c>
      <c r="G23" s="38"/>
      <c r="H23" s="38"/>
      <c r="I23" s="38"/>
      <c r="J23" s="154"/>
    </row>
    <row r="24" spans="1:10" ht="13.5" thickBot="1" x14ac:dyDescent="0.25">
      <c r="A24" s="157"/>
      <c r="B24" s="151"/>
      <c r="C24" s="158"/>
      <c r="D24" s="158"/>
      <c r="E24" s="158"/>
      <c r="F24" s="151"/>
      <c r="G24" s="151"/>
      <c r="H24" s="151"/>
      <c r="I24" s="151"/>
      <c r="J24" s="152"/>
    </row>
    <row r="25" spans="1:10" x14ac:dyDescent="0.2">
      <c r="A25" s="153"/>
      <c r="B25" s="38"/>
      <c r="C25" s="78"/>
      <c r="D25" s="78"/>
      <c r="E25" s="78"/>
      <c r="F25" s="38"/>
      <c r="G25" s="38"/>
      <c r="H25" s="38"/>
      <c r="I25" s="38"/>
      <c r="J25" s="154"/>
    </row>
    <row r="26" spans="1:10" x14ac:dyDescent="0.2">
      <c r="A26" s="155" t="s">
        <v>402</v>
      </c>
      <c r="B26" s="38" t="s">
        <v>408</v>
      </c>
      <c r="C26" s="78">
        <f>+Adjustments!H33</f>
        <v>0</v>
      </c>
      <c r="D26" s="156">
        <f>+Adjustments!H47</f>
        <v>0</v>
      </c>
      <c r="E26" s="156"/>
      <c r="F26" s="38" t="s">
        <v>412</v>
      </c>
      <c r="G26" s="38"/>
      <c r="H26" s="38"/>
      <c r="I26" s="38"/>
      <c r="J26" s="154"/>
    </row>
    <row r="27" spans="1:10" ht="13.5" thickBot="1" x14ac:dyDescent="0.25">
      <c r="A27" s="157"/>
      <c r="B27" s="151"/>
      <c r="C27" s="158"/>
      <c r="D27" s="158"/>
      <c r="E27" s="158"/>
      <c r="F27" s="151"/>
      <c r="G27" s="151"/>
      <c r="H27" s="151"/>
      <c r="I27" s="151"/>
      <c r="J27" s="152"/>
    </row>
    <row r="28" spans="1:10" x14ac:dyDescent="0.2">
      <c r="A28" s="153"/>
      <c r="B28" s="38"/>
      <c r="C28" s="78"/>
      <c r="D28" s="78"/>
      <c r="E28" s="78"/>
      <c r="F28" s="38"/>
      <c r="G28" s="38"/>
      <c r="H28" s="38"/>
      <c r="I28" s="38"/>
      <c r="J28" s="154"/>
    </row>
    <row r="29" spans="1:10" x14ac:dyDescent="0.2">
      <c r="A29" s="155" t="s">
        <v>403</v>
      </c>
      <c r="B29" s="38" t="s">
        <v>400</v>
      </c>
      <c r="C29" s="78">
        <f>+Adjustments!I33</f>
        <v>518277</v>
      </c>
      <c r="D29" s="156">
        <v>0</v>
      </c>
      <c r="E29" s="156"/>
      <c r="F29" s="38" t="s">
        <v>432</v>
      </c>
      <c r="G29" s="38"/>
      <c r="H29" s="38"/>
      <c r="I29" s="38"/>
      <c r="J29" s="154"/>
    </row>
    <row r="30" spans="1:10" x14ac:dyDescent="0.2">
      <c r="A30" s="153"/>
      <c r="B30" s="38"/>
      <c r="C30" s="78"/>
      <c r="D30" s="78"/>
      <c r="E30" s="78"/>
      <c r="F30" s="38"/>
      <c r="G30" s="38"/>
      <c r="H30" s="38"/>
      <c r="I30" s="38"/>
      <c r="J30" s="154"/>
    </row>
    <row r="31" spans="1:10" x14ac:dyDescent="0.2">
      <c r="A31" s="153"/>
      <c r="B31" s="38"/>
      <c r="C31" s="78"/>
      <c r="D31" s="78"/>
      <c r="E31" s="78"/>
      <c r="F31" s="38" t="s">
        <v>445</v>
      </c>
      <c r="G31" s="38"/>
      <c r="H31" s="38"/>
      <c r="I31" s="38"/>
      <c r="J31" s="154"/>
    </row>
    <row r="32" spans="1:10" ht="13.5" thickBot="1" x14ac:dyDescent="0.25">
      <c r="A32" s="157"/>
      <c r="B32" s="151"/>
      <c r="C32" s="158"/>
      <c r="D32" s="158"/>
      <c r="E32" s="158"/>
      <c r="F32" s="151"/>
      <c r="G32" s="151"/>
      <c r="H32" s="151"/>
      <c r="I32" s="151"/>
      <c r="J32" s="152"/>
    </row>
    <row r="33" spans="1:10" x14ac:dyDescent="0.2">
      <c r="A33" s="153"/>
      <c r="B33" s="38"/>
      <c r="C33" s="78"/>
      <c r="D33" s="78"/>
      <c r="E33" s="78"/>
      <c r="F33" s="38"/>
      <c r="G33" s="38"/>
      <c r="H33" s="38"/>
      <c r="I33" s="38"/>
      <c r="J33" s="154"/>
    </row>
    <row r="34" spans="1:10" x14ac:dyDescent="0.2">
      <c r="A34" s="155" t="s">
        <v>441</v>
      </c>
      <c r="B34" s="38" t="s">
        <v>409</v>
      </c>
      <c r="C34" s="78">
        <f>+Adjustments!J33</f>
        <v>-8646</v>
      </c>
      <c r="D34" s="156">
        <f>+Adjustments!J47</f>
        <v>0</v>
      </c>
      <c r="E34" s="156"/>
      <c r="F34" s="38" t="s">
        <v>411</v>
      </c>
      <c r="G34" s="38"/>
      <c r="H34" s="38"/>
      <c r="I34" s="38"/>
      <c r="J34" s="154"/>
    </row>
    <row r="35" spans="1:10" x14ac:dyDescent="0.2">
      <c r="A35" s="153"/>
      <c r="B35" s="38"/>
      <c r="C35" s="78"/>
      <c r="D35" s="78"/>
      <c r="E35" s="78"/>
      <c r="F35" s="38" t="s">
        <v>447</v>
      </c>
      <c r="G35" s="38"/>
      <c r="H35" s="38"/>
      <c r="I35" s="38"/>
      <c r="J35" s="154"/>
    </row>
    <row r="36" spans="1:10" x14ac:dyDescent="0.2">
      <c r="A36" s="153"/>
      <c r="B36" s="38"/>
      <c r="C36" s="78"/>
      <c r="D36" s="78"/>
      <c r="E36" s="78"/>
      <c r="F36" s="38"/>
      <c r="G36" s="38"/>
      <c r="H36" s="38"/>
      <c r="I36" s="38"/>
      <c r="J36" s="154"/>
    </row>
    <row r="37" spans="1:10" ht="13.5" thickBot="1" x14ac:dyDescent="0.25">
      <c r="A37" s="157"/>
      <c r="B37" s="151"/>
      <c r="C37" s="158"/>
      <c r="D37" s="158"/>
      <c r="E37" s="158"/>
      <c r="F37" s="151"/>
      <c r="G37" s="151"/>
      <c r="H37" s="151"/>
      <c r="I37" s="151"/>
      <c r="J37" s="152"/>
    </row>
    <row r="38" spans="1:10" x14ac:dyDescent="0.2">
      <c r="A38" s="153"/>
      <c r="B38" s="38"/>
      <c r="C38" s="78"/>
      <c r="D38" s="78"/>
      <c r="E38" s="78"/>
      <c r="F38" s="38"/>
      <c r="G38" s="38"/>
      <c r="H38" s="38"/>
      <c r="I38" s="38"/>
      <c r="J38" s="154"/>
    </row>
    <row r="39" spans="1:10" x14ac:dyDescent="0.2">
      <c r="A39" s="153"/>
      <c r="B39" s="38"/>
      <c r="C39" s="78"/>
      <c r="D39" s="78"/>
      <c r="E39" s="78"/>
      <c r="F39" s="38"/>
      <c r="G39" s="38"/>
      <c r="H39" s="38"/>
      <c r="I39" s="38"/>
      <c r="J39" s="154"/>
    </row>
    <row r="40" spans="1:10" x14ac:dyDescent="0.2">
      <c r="A40" s="160" t="s">
        <v>407</v>
      </c>
      <c r="B40" s="38"/>
      <c r="C40" s="161">
        <f>SUM(C11:C37)</f>
        <v>1339356.5355757265</v>
      </c>
      <c r="D40" s="161">
        <f>SUM(D11:D37)</f>
        <v>671.28233333333105</v>
      </c>
      <c r="E40" s="161"/>
      <c r="F40" s="38"/>
      <c r="G40" s="38"/>
      <c r="H40" s="38"/>
      <c r="I40" s="38"/>
      <c r="J40" s="154"/>
    </row>
    <row r="41" spans="1:10" x14ac:dyDescent="0.2">
      <c r="A41" s="153"/>
      <c r="B41" s="38"/>
      <c r="C41" s="78"/>
      <c r="D41" s="78"/>
      <c r="E41" s="78"/>
      <c r="F41" s="38"/>
      <c r="G41" s="38"/>
      <c r="H41" s="38"/>
      <c r="I41" s="38"/>
      <c r="J41" s="154"/>
    </row>
    <row r="42" spans="1:10" ht="13.5" thickBot="1" x14ac:dyDescent="0.25">
      <c r="A42" s="157"/>
      <c r="B42" s="151"/>
      <c r="C42" s="158"/>
      <c r="D42" s="158"/>
      <c r="E42" s="158"/>
      <c r="F42" s="151"/>
      <c r="G42" s="151"/>
      <c r="H42" s="151"/>
      <c r="I42" s="151"/>
      <c r="J42" s="152"/>
    </row>
    <row r="44" spans="1:10" x14ac:dyDescent="0.2">
      <c r="C44" s="41">
        <f>+C40-Adjustments!L33</f>
        <v>0</v>
      </c>
      <c r="D44" s="41">
        <f>+D40-Adjustments!L47</f>
        <v>0</v>
      </c>
    </row>
    <row r="47" spans="1:10" hidden="1" x14ac:dyDescent="0.2">
      <c r="B47" s="24" t="s">
        <v>449</v>
      </c>
      <c r="C47" s="41">
        <f>+'Page 1'!C13</f>
        <v>63838679.437434196</v>
      </c>
    </row>
    <row r="48" spans="1:10" hidden="1" x14ac:dyDescent="0.2"/>
    <row r="49" spans="2:3" hidden="1" x14ac:dyDescent="0.2">
      <c r="B49" s="30" t="s">
        <v>450</v>
      </c>
      <c r="C49" s="41">
        <f>+SUM('Page 1'!C16:C18)</f>
        <v>42041094.525473416</v>
      </c>
    </row>
    <row r="50" spans="2:3" hidden="1" x14ac:dyDescent="0.2">
      <c r="B50" s="30" t="s">
        <v>451</v>
      </c>
      <c r="C50" s="41">
        <f>+SUM('Page 1'!C21:C24)</f>
        <v>15570014.076618915</v>
      </c>
    </row>
    <row r="51" spans="2:3" hidden="1" x14ac:dyDescent="0.2">
      <c r="B51" s="30" t="s">
        <v>169</v>
      </c>
    </row>
    <row r="52" spans="2:3" hidden="1" x14ac:dyDescent="0.2">
      <c r="B52" s="24" t="s">
        <v>452</v>
      </c>
      <c r="C52" s="41">
        <f>+C47-SUM(C49:C50)</f>
        <v>6227570.8353418633</v>
      </c>
    </row>
    <row r="53" spans="2:3" hidden="1" x14ac:dyDescent="0.2"/>
    <row r="54" spans="2:3" hidden="1" x14ac:dyDescent="0.2">
      <c r="B54" s="130" t="s">
        <v>453</v>
      </c>
    </row>
    <row r="55" spans="2:3" hidden="1" x14ac:dyDescent="0.2">
      <c r="B55" s="30" t="s">
        <v>454</v>
      </c>
      <c r="C55" s="41">
        <v>242007.9799655024</v>
      </c>
    </row>
    <row r="56" spans="2:3" hidden="1" x14ac:dyDescent="0.2">
      <c r="B56" s="30" t="s">
        <v>442</v>
      </c>
      <c r="C56" s="41">
        <v>4492.154062005653</v>
      </c>
    </row>
    <row r="57" spans="2:3" hidden="1" x14ac:dyDescent="0.2">
      <c r="B57" s="30" t="s">
        <v>7</v>
      </c>
      <c r="C57" s="30">
        <v>95763.881166666746</v>
      </c>
    </row>
    <row r="58" spans="2:3" hidden="1" x14ac:dyDescent="0.2">
      <c r="B58" s="30" t="s">
        <v>455</v>
      </c>
      <c r="C58" s="41">
        <v>-62251</v>
      </c>
    </row>
    <row r="59" spans="2:3" hidden="1" x14ac:dyDescent="0.2">
      <c r="B59" s="30" t="s">
        <v>408</v>
      </c>
      <c r="C59" s="41">
        <v>42023</v>
      </c>
    </row>
    <row r="60" spans="2:3" hidden="1" x14ac:dyDescent="0.2">
      <c r="B60" s="30" t="s">
        <v>457</v>
      </c>
      <c r="C60" s="41">
        <v>239632</v>
      </c>
    </row>
    <row r="61" spans="2:3" hidden="1" x14ac:dyDescent="0.2">
      <c r="B61" s="30" t="s">
        <v>409</v>
      </c>
      <c r="C61" s="41">
        <v>-12805</v>
      </c>
    </row>
    <row r="62" spans="2:3" hidden="1" x14ac:dyDescent="0.2"/>
    <row r="63" spans="2:3" hidden="1" x14ac:dyDescent="0.2"/>
    <row r="64" spans="2:3" hidden="1" x14ac:dyDescent="0.2">
      <c r="B64" s="24" t="s">
        <v>456</v>
      </c>
      <c r="C64" s="41">
        <f>SUM(C52:C61)</f>
        <v>6776433.8505360382</v>
      </c>
    </row>
    <row r="65" spans="2:3" hidden="1" x14ac:dyDescent="0.2"/>
    <row r="66" spans="2:3" hidden="1" x14ac:dyDescent="0.2">
      <c r="B66" s="30" t="s">
        <v>238</v>
      </c>
      <c r="C66" s="41">
        <f>+'Page 1'!C41</f>
        <v>167428935.65949914</v>
      </c>
    </row>
    <row r="67" spans="2:3" hidden="1" x14ac:dyDescent="0.2">
      <c r="B67" s="30" t="s">
        <v>408</v>
      </c>
      <c r="C67" s="41">
        <f>+'Page 1'!D41</f>
        <v>671.28233333333105</v>
      </c>
    </row>
    <row r="68" spans="2:3" hidden="1" x14ac:dyDescent="0.2"/>
    <row r="69" spans="2:3" hidden="1" x14ac:dyDescent="0.2">
      <c r="B69" s="24" t="s">
        <v>458</v>
      </c>
      <c r="C69" s="41">
        <f>+C66+C67</f>
        <v>167429606.94183248</v>
      </c>
    </row>
    <row r="70" spans="2:3" hidden="1" x14ac:dyDescent="0.2"/>
    <row r="71" spans="2:3" hidden="1" x14ac:dyDescent="0.2"/>
    <row r="72" spans="2:3" hidden="1" x14ac:dyDescent="0.2"/>
    <row r="73" spans="2:3" hidden="1" x14ac:dyDescent="0.2"/>
    <row r="74" spans="2:3" hidden="1" x14ac:dyDescent="0.2"/>
    <row r="75" spans="2:3" hidden="1" x14ac:dyDescent="0.2">
      <c r="B75" s="30" t="s">
        <v>386</v>
      </c>
    </row>
    <row r="76" spans="2:3" hidden="1" x14ac:dyDescent="0.2">
      <c r="B76" s="30" t="s">
        <v>169</v>
      </c>
    </row>
    <row r="77" spans="2:3" hidden="1" x14ac:dyDescent="0.2">
      <c r="B77" s="30" t="s">
        <v>387</v>
      </c>
    </row>
  </sheetData>
  <phoneticPr fontId="19" type="noConversion"/>
  <printOptions horizontalCentered="1"/>
  <pageMargins left="0.5" right="0.5" top="0.5" bottom="0.5" header="0.25" footer="0.25"/>
  <pageSetup scale="7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2"/>
  <sheetViews>
    <sheetView showGridLines="0" workbookViewId="0">
      <selection activeCell="J16" sqref="J16:J17"/>
    </sheetView>
  </sheetViews>
  <sheetFormatPr defaultRowHeight="12.75" x14ac:dyDescent="0.2"/>
  <cols>
    <col min="1" max="1" width="4.7109375" style="209" customWidth="1"/>
    <col min="2" max="2" width="16.5703125" style="209" customWidth="1"/>
    <col min="3" max="4" width="14.7109375" style="209" customWidth="1"/>
    <col min="5" max="5" width="12.7109375" style="209" customWidth="1"/>
    <col min="6" max="6" width="2.7109375" style="209" customWidth="1"/>
    <col min="7" max="10" width="12.7109375" style="209" customWidth="1"/>
    <col min="11" max="11" width="29.28515625" style="209" bestFit="1" customWidth="1"/>
    <col min="12" max="22" width="12.7109375" style="209" customWidth="1"/>
  </cols>
  <sheetData>
    <row r="2" spans="2:13" x14ac:dyDescent="0.2">
      <c r="B2" s="94" t="s">
        <v>0</v>
      </c>
    </row>
    <row r="3" spans="2:13" x14ac:dyDescent="0.2">
      <c r="B3" s="226" t="str">
        <f>+'Not filed'!$A$2</f>
        <v>Washington Annual Commission Basis Report</v>
      </c>
    </row>
    <row r="4" spans="2:13" x14ac:dyDescent="0.2">
      <c r="B4" s="227" t="s">
        <v>466</v>
      </c>
    </row>
    <row r="5" spans="2:13" x14ac:dyDescent="0.2">
      <c r="B5" s="209" t="s">
        <v>476</v>
      </c>
    </row>
    <row r="6" spans="2:13" x14ac:dyDescent="0.2">
      <c r="C6" s="249" t="s">
        <v>473</v>
      </c>
      <c r="D6" s="249" t="s">
        <v>474</v>
      </c>
      <c r="E6" s="235" t="s">
        <v>478</v>
      </c>
      <c r="F6" s="235" t="s">
        <v>483</v>
      </c>
    </row>
    <row r="8" spans="2:13" x14ac:dyDescent="0.2">
      <c r="B8" s="90" t="s">
        <v>452</v>
      </c>
      <c r="C8" s="232">
        <f>+'Page 1'!E28/1000000</f>
        <v>7.566927370917603</v>
      </c>
      <c r="D8" s="232" t="e">
        <f>+'Page 1'!#REF!/1000000</f>
        <v>#REF!</v>
      </c>
      <c r="E8" s="232" t="e">
        <f>+C8-D8</f>
        <v>#REF!</v>
      </c>
      <c r="F8" s="232">
        <v>9</v>
      </c>
    </row>
    <row r="9" spans="2:13" ht="13.5" thickBot="1" x14ac:dyDescent="0.25">
      <c r="B9" s="90" t="s">
        <v>172</v>
      </c>
      <c r="C9" s="232">
        <f>+'Page 1'!E41/1000000</f>
        <v>167.42960694183245</v>
      </c>
      <c r="D9" s="232" t="e">
        <f>+'Page 1'!#REF!/1000000</f>
        <v>#REF!</v>
      </c>
      <c r="E9" s="232" t="e">
        <f>+C9-D9</f>
        <v>#REF!</v>
      </c>
      <c r="F9" s="232">
        <v>124</v>
      </c>
    </row>
    <row r="10" spans="2:13" x14ac:dyDescent="0.2">
      <c r="B10" s="90" t="s">
        <v>386</v>
      </c>
      <c r="C10" s="228">
        <f>+'Page 1'!E43</f>
        <v>4.5199999999999997E-2</v>
      </c>
      <c r="D10" s="228" t="e">
        <f>+'Page 1'!#REF!</f>
        <v>#REF!</v>
      </c>
      <c r="E10" s="228" t="e">
        <f>+C10-D10</f>
        <v>#REF!</v>
      </c>
      <c r="F10" s="228">
        <f>+F8/F9</f>
        <v>7.2580645161290328E-2</v>
      </c>
      <c r="G10" s="228"/>
      <c r="K10" s="244" t="s">
        <v>487</v>
      </c>
      <c r="L10" s="245">
        <v>2012</v>
      </c>
      <c r="M10" s="246">
        <v>2011</v>
      </c>
    </row>
    <row r="11" spans="2:13" x14ac:dyDescent="0.2">
      <c r="B11" s="90" t="s">
        <v>387</v>
      </c>
      <c r="C11" s="250">
        <f>+'Page 1'!E45</f>
        <v>4.1200000000000001E-2</v>
      </c>
      <c r="D11" s="250" t="e">
        <f>+'Page 1'!#REF!</f>
        <v>#REF!</v>
      </c>
      <c r="E11" s="228" t="e">
        <f>+C11-D11</f>
        <v>#REF!</v>
      </c>
      <c r="F11" s="228">
        <v>0.1032</v>
      </c>
      <c r="K11" s="237" t="s">
        <v>485</v>
      </c>
      <c r="L11" s="223">
        <f>+C11</f>
        <v>4.1200000000000001E-2</v>
      </c>
      <c r="M11" s="238">
        <f>+F11</f>
        <v>0.1032</v>
      </c>
    </row>
    <row r="12" spans="2:13" x14ac:dyDescent="0.2">
      <c r="B12" s="24"/>
      <c r="G12" s="209">
        <f>+C8</f>
        <v>7.566927370917603</v>
      </c>
      <c r="H12" s="209">
        <f>+G12</f>
        <v>7.566927370917603</v>
      </c>
      <c r="I12" s="209" t="e">
        <f>+D8</f>
        <v>#REF!</v>
      </c>
      <c r="K12" s="153"/>
      <c r="L12" s="38"/>
      <c r="M12" s="154"/>
    </row>
    <row r="13" spans="2:13" x14ac:dyDescent="0.2">
      <c r="B13" s="24" t="s">
        <v>475</v>
      </c>
      <c r="C13" s="232" t="e">
        <f>+'Page 1'!#REF!/1000000</f>
        <v>#REF!</v>
      </c>
      <c r="D13" s="232"/>
      <c r="F13" s="248"/>
      <c r="G13" s="209">
        <f>+C9</f>
        <v>167.42960694183245</v>
      </c>
      <c r="H13" s="209" t="e">
        <f>+D9</f>
        <v>#REF!</v>
      </c>
      <c r="I13" s="209" t="e">
        <f>+H13</f>
        <v>#REF!</v>
      </c>
      <c r="K13" s="237" t="s">
        <v>486</v>
      </c>
      <c r="L13" s="239" t="e">
        <f>+C13</f>
        <v>#REF!</v>
      </c>
      <c r="M13" s="240">
        <v>0.2</v>
      </c>
    </row>
    <row r="14" spans="2:13" ht="13.5" thickBot="1" x14ac:dyDescent="0.25">
      <c r="C14" s="232"/>
      <c r="D14" s="232"/>
      <c r="G14" s="228">
        <f>+G12/G13</f>
        <v>4.5194679179689327E-2</v>
      </c>
      <c r="H14" s="228" t="e">
        <f>+H12/H13</f>
        <v>#REF!</v>
      </c>
      <c r="I14" s="228" t="e">
        <f>+I12/I13</f>
        <v>#REF!</v>
      </c>
      <c r="K14" s="241" t="s">
        <v>476</v>
      </c>
      <c r="L14" s="242"/>
      <c r="M14" s="243"/>
    </row>
    <row r="15" spans="2:13" x14ac:dyDescent="0.2">
      <c r="B15" s="233" t="s">
        <v>477</v>
      </c>
      <c r="C15" s="232"/>
      <c r="D15" s="232"/>
      <c r="G15" s="228" t="e">
        <f>+G14-H14</f>
        <v>#REF!</v>
      </c>
      <c r="I15" s="228" t="e">
        <f>+H14-I14</f>
        <v>#REF!</v>
      </c>
    </row>
    <row r="16" spans="2:13" x14ac:dyDescent="0.2">
      <c r="B16" s="209" t="s">
        <v>480</v>
      </c>
      <c r="C16" s="232" t="e">
        <f>-'Page 1'!#REF!/1000000</f>
        <v>#REF!</v>
      </c>
      <c r="D16" s="232"/>
      <c r="G16" s="210" t="s">
        <v>238</v>
      </c>
      <c r="H16" s="228" t="e">
        <f>+G15+I15</f>
        <v>#REF!</v>
      </c>
      <c r="I16" s="210" t="s">
        <v>479</v>
      </c>
    </row>
    <row r="17" spans="2:9" x14ac:dyDescent="0.2">
      <c r="B17" s="209" t="s">
        <v>481</v>
      </c>
      <c r="C17" s="232" t="e">
        <f>-'Page 1'!#REF!/1000000</f>
        <v>#REF!</v>
      </c>
    </row>
    <row r="18" spans="2:9" x14ac:dyDescent="0.2">
      <c r="B18" s="209" t="s">
        <v>482</v>
      </c>
      <c r="C18" s="234" t="e">
        <f>-'Page 1'!#REF!/1000000</f>
        <v>#REF!</v>
      </c>
    </row>
    <row r="19" spans="2:9" x14ac:dyDescent="0.2">
      <c r="C19" s="232" t="e">
        <f>SUM(C16:C18)</f>
        <v>#REF!</v>
      </c>
    </row>
    <row r="21" spans="2:9" ht="13.5" thickBot="1" x14ac:dyDescent="0.25"/>
    <row r="22" spans="2:9" x14ac:dyDescent="0.2">
      <c r="B22" s="251"/>
      <c r="C22" s="252" t="str">
        <f>+C6</f>
        <v>2012 CBR</v>
      </c>
      <c r="D22" s="252"/>
      <c r="E22" s="253"/>
      <c r="G22" s="264" t="str">
        <f>+D6</f>
        <v>UG-080546</v>
      </c>
      <c r="H22" s="252"/>
      <c r="I22" s="253"/>
    </row>
    <row r="23" spans="2:9" x14ac:dyDescent="0.2">
      <c r="B23" s="254"/>
      <c r="C23" s="189" t="s">
        <v>418</v>
      </c>
      <c r="D23" s="189"/>
      <c r="E23" s="255"/>
      <c r="G23" s="265" t="s">
        <v>418</v>
      </c>
      <c r="H23" s="189"/>
      <c r="I23" s="255"/>
    </row>
    <row r="24" spans="2:9" x14ac:dyDescent="0.2">
      <c r="B24" s="254"/>
      <c r="C24" s="67" t="s">
        <v>33</v>
      </c>
      <c r="D24" s="67"/>
      <c r="E24" s="163" t="s">
        <v>34</v>
      </c>
      <c r="G24" s="155" t="s">
        <v>33</v>
      </c>
      <c r="H24" s="67"/>
      <c r="I24" s="163" t="s">
        <v>34</v>
      </c>
    </row>
    <row r="25" spans="2:9" x14ac:dyDescent="0.2">
      <c r="B25" s="256" t="s">
        <v>88</v>
      </c>
      <c r="C25" s="229" t="s">
        <v>55</v>
      </c>
      <c r="D25" s="229" t="s">
        <v>56</v>
      </c>
      <c r="E25" s="257" t="s">
        <v>57</v>
      </c>
      <c r="G25" s="266" t="s">
        <v>55</v>
      </c>
      <c r="H25" s="229" t="s">
        <v>56</v>
      </c>
      <c r="I25" s="257" t="s">
        <v>57</v>
      </c>
    </row>
    <row r="26" spans="2:9" x14ac:dyDescent="0.2">
      <c r="B26" s="254" t="str">
        <f>+'Cost of Cap'!B12</f>
        <v xml:space="preserve">   Long Term Debt</v>
      </c>
      <c r="C26" s="258">
        <f>+'Cost of Cap'!C12</f>
        <v>0.4890520702861032</v>
      </c>
      <c r="D26" s="258">
        <f>+'Cost of Cap'!D12</f>
        <v>5.1299999999999998E-2</v>
      </c>
      <c r="E26" s="259">
        <f>+'Cost of Cap'!E12</f>
        <v>2.5100000000000001E-2</v>
      </c>
      <c r="G26" s="267" t="e">
        <f>+'Cost of Cap'!#REF!</f>
        <v>#REF!</v>
      </c>
      <c r="H26" s="258" t="e">
        <f>+'Cost of Cap'!#REF!</f>
        <v>#REF!</v>
      </c>
      <c r="I26" s="259" t="e">
        <f>+'Cost of Cap'!#REF!</f>
        <v>#REF!</v>
      </c>
    </row>
    <row r="27" spans="2:9" x14ac:dyDescent="0.2">
      <c r="B27" s="254" t="str">
        <f>+'Cost of Cap'!B13</f>
        <v xml:space="preserve">   Short Term Debt</v>
      </c>
      <c r="C27" s="258">
        <f>+'Cost of Cap'!C13</f>
        <v>4.7412687352723214E-2</v>
      </c>
      <c r="D27" s="258">
        <f>+'Cost of Cap'!D13</f>
        <v>2.1100000000000001E-2</v>
      </c>
      <c r="E27" s="259">
        <f>+'Cost of Cap'!E13</f>
        <v>1E-3</v>
      </c>
      <c r="G27" s="267" t="e">
        <f>+'Cost of Cap'!#REF!</f>
        <v>#REF!</v>
      </c>
      <c r="H27" s="258" t="e">
        <f>+'Cost of Cap'!#REF!</f>
        <v>#REF!</v>
      </c>
      <c r="I27" s="259" t="e">
        <f>+'Cost of Cap'!#REF!</f>
        <v>#REF!</v>
      </c>
    </row>
    <row r="28" spans="2:9" x14ac:dyDescent="0.2">
      <c r="B28" s="254" t="str">
        <f>+'Cost of Cap'!B15</f>
        <v xml:space="preserve">   Common Stock</v>
      </c>
      <c r="C28" s="231">
        <f>+'Cost of Cap'!C15</f>
        <v>0.46353524236117366</v>
      </c>
      <c r="D28" s="258">
        <v>0.10100000000000001</v>
      </c>
      <c r="E28" s="260">
        <f>+C28*D28</f>
        <v>4.6817059478478543E-2</v>
      </c>
      <c r="G28" s="268" t="e">
        <f>+'Cost of Cap'!#REF!</f>
        <v>#REF!</v>
      </c>
      <c r="H28" s="258" t="e">
        <f>+'Cost of Cap'!#REF!</f>
        <v>#REF!</v>
      </c>
      <c r="I28" s="260" t="e">
        <f>+'Cost of Cap'!#REF!</f>
        <v>#REF!</v>
      </c>
    </row>
    <row r="29" spans="2:9" ht="13.5" thickBot="1" x14ac:dyDescent="0.25">
      <c r="B29" s="261"/>
      <c r="C29" s="262">
        <f>SUM(C26:C28)</f>
        <v>1</v>
      </c>
      <c r="D29" s="262"/>
      <c r="E29" s="263">
        <f>SUM(E26:E28)</f>
        <v>7.2917059478478541E-2</v>
      </c>
      <c r="G29" s="269" t="e">
        <f>SUM(G26:G28)</f>
        <v>#REF!</v>
      </c>
      <c r="H29" s="262"/>
      <c r="I29" s="263" t="e">
        <f>SUM(I26:I28)</f>
        <v>#REF!</v>
      </c>
    </row>
    <row r="30" spans="2:9" x14ac:dyDescent="0.2">
      <c r="G30" s="230"/>
      <c r="H30" s="230"/>
    </row>
    <row r="31" spans="2:9" x14ac:dyDescent="0.2">
      <c r="C31" s="236" t="s">
        <v>483</v>
      </c>
      <c r="D31" s="236"/>
      <c r="E31" s="236"/>
    </row>
    <row r="32" spans="2:9" x14ac:dyDescent="0.2">
      <c r="C32" s="165" t="s">
        <v>418</v>
      </c>
      <c r="D32" s="165"/>
      <c r="E32" s="165"/>
    </row>
    <row r="33" spans="2:5" x14ac:dyDescent="0.2">
      <c r="C33" s="26" t="s">
        <v>33</v>
      </c>
      <c r="D33" s="26"/>
      <c r="E33" s="26" t="s">
        <v>34</v>
      </c>
    </row>
    <row r="34" spans="2:5" x14ac:dyDescent="0.2">
      <c r="C34" s="28" t="s">
        <v>55</v>
      </c>
      <c r="D34" s="28" t="s">
        <v>56</v>
      </c>
      <c r="E34" s="28" t="s">
        <v>57</v>
      </c>
    </row>
    <row r="35" spans="2:5" x14ac:dyDescent="0.2">
      <c r="C35" s="26" t="s">
        <v>76</v>
      </c>
      <c r="D35" s="26" t="s">
        <v>77</v>
      </c>
      <c r="E35" s="26" t="s">
        <v>78</v>
      </c>
    </row>
    <row r="36" spans="2:5" x14ac:dyDescent="0.2">
      <c r="C36" s="29"/>
      <c r="D36" s="29"/>
      <c r="E36" s="29"/>
    </row>
    <row r="37" spans="2:5" x14ac:dyDescent="0.2">
      <c r="B37" s="87" t="s">
        <v>88</v>
      </c>
      <c r="C37" s="31"/>
      <c r="D37" s="116"/>
      <c r="E37" s="116"/>
    </row>
    <row r="38" spans="2:5" x14ac:dyDescent="0.2">
      <c r="B38" s="209" t="s">
        <v>107</v>
      </c>
      <c r="C38" s="32">
        <v>0.46189999999999998</v>
      </c>
      <c r="D38" s="220">
        <v>6.5549999999999997E-2</v>
      </c>
      <c r="E38" s="119">
        <f>ROUND((+C38*D38),5)</f>
        <v>3.0280000000000001E-2</v>
      </c>
    </row>
    <row r="39" spans="2:5" x14ac:dyDescent="0.2">
      <c r="B39" s="209" t="s">
        <v>112</v>
      </c>
      <c r="C39" s="32">
        <v>0.13389999999999999</v>
      </c>
      <c r="D39" s="220">
        <v>3.6299999999999999E-2</v>
      </c>
      <c r="E39" s="119">
        <f>ROUND((+C39*D39),5)</f>
        <v>4.8599999999999997E-3</v>
      </c>
    </row>
    <row r="40" spans="2:5" x14ac:dyDescent="0.2">
      <c r="B40" s="209" t="s">
        <v>124</v>
      </c>
      <c r="C40" s="34">
        <v>0.4042</v>
      </c>
      <c r="D40" s="221">
        <v>0.10100000000000001</v>
      </c>
      <c r="E40" s="247">
        <f>ROUND((+C40*D40),5)</f>
        <v>4.0820000000000002E-2</v>
      </c>
    </row>
    <row r="41" spans="2:5" ht="13.5" thickBot="1" x14ac:dyDescent="0.25">
      <c r="C41" s="36">
        <f>SUM(C38:C40)</f>
        <v>1</v>
      </c>
      <c r="D41" s="222"/>
      <c r="E41" s="36">
        <f>SUM(E38:E40)</f>
        <v>7.596E-2</v>
      </c>
    </row>
    <row r="42" spans="2:5" ht="13.5" thickTop="1" x14ac:dyDescent="0.2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2"/>
    <pageSetUpPr fitToPage="1"/>
  </sheetPr>
  <dimension ref="A1:Z51"/>
  <sheetViews>
    <sheetView showGridLines="0" zoomScaleNormal="100" zoomScaleSheetLayoutView="85" workbookViewId="0">
      <selection activeCell="G29" sqref="G29"/>
    </sheetView>
  </sheetViews>
  <sheetFormatPr defaultColWidth="9.140625" defaultRowHeight="12.75" x14ac:dyDescent="0.2"/>
  <cols>
    <col min="1" max="1" width="4.7109375" style="297" customWidth="1"/>
    <col min="2" max="2" width="46.28515625" style="297" customWidth="1"/>
    <col min="3" max="3" width="18.28515625" style="298" bestFit="1" customWidth="1"/>
    <col min="4" max="5" width="15.7109375" style="298" customWidth="1"/>
    <col min="6" max="6" width="13.42578125" style="298" bestFit="1" customWidth="1"/>
    <col min="7" max="7" width="12.7109375" style="216" customWidth="1"/>
    <col min="8" max="10" width="12.7109375" style="299" customWidth="1"/>
    <col min="11" max="11" width="21.42578125" style="67" customWidth="1"/>
    <col min="12" max="14" width="11.7109375" style="299" customWidth="1"/>
    <col min="15" max="26" width="9.140625" style="299"/>
    <col min="27" max="16384" width="9.140625" style="298"/>
  </cols>
  <sheetData>
    <row r="1" spans="1:26" s="297" customFormat="1" x14ac:dyDescent="0.2">
      <c r="A1" s="297" t="s">
        <v>0</v>
      </c>
      <c r="E1" s="297" t="s">
        <v>1</v>
      </c>
      <c r="G1" s="72"/>
      <c r="H1" s="166"/>
      <c r="I1" s="166"/>
      <c r="J1" s="166"/>
      <c r="K1" s="166"/>
      <c r="L1" s="73"/>
      <c r="M1" s="73"/>
      <c r="N1" s="299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 s="297" customFormat="1" x14ac:dyDescent="0.2">
      <c r="A2" s="71" t="str">
        <f>+'Not filed'!$A$2</f>
        <v>Washington Annual Commission Basis Report</v>
      </c>
      <c r="G2" s="72"/>
      <c r="H2" s="167"/>
      <c r="I2" s="167"/>
      <c r="J2" s="167"/>
      <c r="K2" s="166"/>
      <c r="L2" s="73"/>
      <c r="M2" s="73"/>
      <c r="N2" s="299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</row>
    <row r="3" spans="1:26" s="297" customFormat="1" x14ac:dyDescent="0.2">
      <c r="A3" s="90" t="s">
        <v>511</v>
      </c>
      <c r="G3" s="167"/>
      <c r="H3" s="167"/>
      <c r="I3" s="167"/>
      <c r="J3" s="167"/>
      <c r="K3" s="166"/>
      <c r="L3" s="73"/>
      <c r="M3" s="73"/>
      <c r="N3" s="299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</row>
    <row r="4" spans="1:26" s="297" customFormat="1" x14ac:dyDescent="0.2">
      <c r="G4" s="167"/>
      <c r="H4" s="278"/>
      <c r="I4" s="278"/>
      <c r="J4" s="278"/>
      <c r="K4" s="405"/>
      <c r="L4" s="73"/>
      <c r="M4" s="73"/>
      <c r="N4" s="299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</row>
    <row r="5" spans="1:26" s="297" customFormat="1" x14ac:dyDescent="0.2">
      <c r="D5" s="26"/>
      <c r="E5" s="26"/>
      <c r="F5" s="26"/>
      <c r="G5" s="166"/>
      <c r="H5" s="278"/>
      <c r="I5" s="278"/>
      <c r="J5" s="278"/>
      <c r="K5" s="405"/>
      <c r="L5" s="73"/>
      <c r="M5" s="73"/>
      <c r="N5" s="299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</row>
    <row r="6" spans="1:26" s="297" customFormat="1" ht="12.75" customHeight="1" x14ac:dyDescent="0.2">
      <c r="A6" s="26" t="s">
        <v>17</v>
      </c>
      <c r="C6" s="26" t="s">
        <v>14</v>
      </c>
      <c r="D6" s="26"/>
      <c r="E6" s="26" t="s">
        <v>14</v>
      </c>
      <c r="F6" s="26"/>
      <c r="G6" s="166"/>
      <c r="H6" s="278"/>
      <c r="I6" s="278"/>
      <c r="J6" s="278"/>
      <c r="K6" s="405"/>
      <c r="L6" s="73"/>
      <c r="M6" s="73"/>
      <c r="N6" s="299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</row>
    <row r="7" spans="1:26" s="297" customFormat="1" x14ac:dyDescent="0.2">
      <c r="A7" s="28" t="s">
        <v>46</v>
      </c>
      <c r="C7" s="28" t="s">
        <v>18</v>
      </c>
      <c r="D7" s="28" t="s">
        <v>47</v>
      </c>
      <c r="E7" s="28" t="s">
        <v>48</v>
      </c>
      <c r="F7" s="74"/>
      <c r="G7" s="166"/>
      <c r="H7" s="278"/>
      <c r="I7" s="278"/>
      <c r="J7" s="278"/>
      <c r="K7" s="405"/>
      <c r="L7" s="73"/>
      <c r="M7" s="73"/>
      <c r="N7" s="299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</row>
    <row r="8" spans="1:26" s="297" customFormat="1" x14ac:dyDescent="0.2">
      <c r="A8" s="26"/>
      <c r="C8" s="26" t="s">
        <v>76</v>
      </c>
      <c r="D8" s="26" t="s">
        <v>77</v>
      </c>
      <c r="E8" s="26" t="s">
        <v>78</v>
      </c>
      <c r="F8" s="74"/>
      <c r="G8" s="166"/>
      <c r="H8" s="278"/>
      <c r="I8" s="278"/>
      <c r="J8" s="278"/>
      <c r="K8" s="405"/>
      <c r="L8" s="73"/>
      <c r="M8" s="73"/>
      <c r="N8" s="299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</row>
    <row r="9" spans="1:26" x14ac:dyDescent="0.2">
      <c r="A9" s="218"/>
      <c r="B9" s="130" t="s">
        <v>101</v>
      </c>
      <c r="C9" s="76"/>
      <c r="D9" s="76"/>
      <c r="E9" s="76"/>
      <c r="F9" s="74"/>
      <c r="G9" s="277"/>
      <c r="H9" s="278"/>
      <c r="I9" s="278"/>
      <c r="J9" s="278"/>
      <c r="K9" s="405"/>
    </row>
    <row r="10" spans="1:26" x14ac:dyDescent="0.2">
      <c r="A10" s="218">
        <v>1</v>
      </c>
      <c r="B10" s="297" t="s">
        <v>104</v>
      </c>
      <c r="C10" s="279">
        <f>+'a Rev &amp; Cost'!D26</f>
        <v>64503220.928817198</v>
      </c>
      <c r="D10" s="280">
        <f>Adjustments!L12</f>
        <v>3051778.3422903828</v>
      </c>
      <c r="E10" s="280">
        <f>C10+D10</f>
        <v>67554999.271107584</v>
      </c>
      <c r="F10" s="281"/>
      <c r="G10" s="278"/>
      <c r="H10" s="406"/>
      <c r="I10" s="406"/>
      <c r="J10" s="406"/>
      <c r="K10" s="405"/>
    </row>
    <row r="11" spans="1:26" x14ac:dyDescent="0.2">
      <c r="A11" s="218">
        <f>+A10+1</f>
        <v>2</v>
      </c>
      <c r="B11" s="297" t="s">
        <v>111</v>
      </c>
      <c r="C11" s="273">
        <f>+'a Rev &amp; Cost'!D34</f>
        <v>2428042.5099999998</v>
      </c>
      <c r="D11" s="216">
        <f>Adjustments!L13</f>
        <v>0</v>
      </c>
      <c r="E11" s="216">
        <f>C11+D11</f>
        <v>2428042.5099999998</v>
      </c>
      <c r="F11" s="74"/>
      <c r="G11" s="278"/>
      <c r="H11" s="407"/>
      <c r="I11" s="407"/>
      <c r="J11" s="407"/>
      <c r="K11" s="405"/>
    </row>
    <row r="12" spans="1:26" x14ac:dyDescent="0.2">
      <c r="A12" s="218">
        <f>+A11+1</f>
        <v>3</v>
      </c>
      <c r="B12" s="297" t="s">
        <v>115</v>
      </c>
      <c r="C12" s="288">
        <f>+'Other Rev, Dep &amp; Other Tax'!C20</f>
        <v>-3092584.0013829977</v>
      </c>
      <c r="D12" s="289">
        <f>Adjustments!L14</f>
        <v>-707935.80561264895</v>
      </c>
      <c r="E12" s="289">
        <f>D12+C12</f>
        <v>-3800519.8069956466</v>
      </c>
      <c r="F12" s="74"/>
      <c r="G12" s="278"/>
      <c r="H12" s="407"/>
      <c r="I12" s="407"/>
      <c r="J12" s="407"/>
      <c r="K12" s="405"/>
    </row>
    <row r="13" spans="1:26" x14ac:dyDescent="0.2">
      <c r="A13" s="218">
        <f>+A12+1</f>
        <v>4</v>
      </c>
      <c r="B13" s="297" t="s">
        <v>129</v>
      </c>
      <c r="C13" s="273">
        <f>SUM(C10:C12)</f>
        <v>63838679.437434196</v>
      </c>
      <c r="D13" s="216">
        <f>SUM(D10:D12)</f>
        <v>2343842.536677734</v>
      </c>
      <c r="E13" s="216">
        <f>SUM(E10:E12)</f>
        <v>66182521.974111944</v>
      </c>
      <c r="F13" s="278"/>
      <c r="G13" s="278"/>
      <c r="H13" s="300"/>
      <c r="I13" s="300"/>
      <c r="J13" s="300"/>
    </row>
    <row r="14" spans="1:26" x14ac:dyDescent="0.2">
      <c r="A14" s="218"/>
      <c r="B14" s="82" t="s">
        <v>502</v>
      </c>
      <c r="C14" s="273"/>
      <c r="D14" s="216"/>
      <c r="E14" s="216">
        <f>+E13-E16</f>
        <v>41255712.169365808</v>
      </c>
      <c r="F14" s="278"/>
      <c r="G14" s="278"/>
      <c r="H14" s="408"/>
      <c r="I14" s="407"/>
      <c r="J14" s="300"/>
      <c r="K14" s="405"/>
    </row>
    <row r="15" spans="1:26" x14ac:dyDescent="0.2">
      <c r="A15" s="218"/>
      <c r="B15" s="297" t="s">
        <v>138</v>
      </c>
      <c r="C15" s="282"/>
      <c r="D15" s="283"/>
      <c r="E15" s="283"/>
      <c r="F15" s="281"/>
      <c r="G15" s="278"/>
      <c r="H15" s="300"/>
      <c r="I15" s="300"/>
      <c r="J15" s="407"/>
    </row>
    <row r="16" spans="1:26" x14ac:dyDescent="0.2">
      <c r="A16" s="218">
        <f>+A13+1</f>
        <v>5</v>
      </c>
      <c r="B16" s="297" t="s">
        <v>143</v>
      </c>
      <c r="C16" s="282">
        <f>+'a Rev &amp; Cost'!D51</f>
        <v>23742025.525473412</v>
      </c>
      <c r="D16" s="283">
        <f>Adjustments!L19</f>
        <v>1184784.2792727291</v>
      </c>
      <c r="E16" s="283">
        <f>C16+D16</f>
        <v>24926809.80474614</v>
      </c>
      <c r="F16" s="281"/>
      <c r="G16" s="278"/>
      <c r="H16" s="407"/>
      <c r="I16" s="407"/>
      <c r="J16" s="409"/>
      <c r="K16" s="405"/>
    </row>
    <row r="17" spans="1:11" x14ac:dyDescent="0.2">
      <c r="A17" s="218">
        <f>+A16+1</f>
        <v>6</v>
      </c>
      <c r="B17" s="297" t="s">
        <v>148</v>
      </c>
      <c r="C17" s="410">
        <v>74083</v>
      </c>
      <c r="D17" s="216">
        <f>Adjustments!L20</f>
        <v>9811.4383930965178</v>
      </c>
      <c r="E17" s="216">
        <f>C17+D17</f>
        <v>83894.438393096512</v>
      </c>
      <c r="F17" s="74"/>
      <c r="G17" s="278"/>
      <c r="H17" s="409"/>
      <c r="I17" s="409"/>
      <c r="J17" s="407"/>
      <c r="K17" s="405"/>
    </row>
    <row r="18" spans="1:11" x14ac:dyDescent="0.2">
      <c r="A18" s="218">
        <f>+A17+1</f>
        <v>7</v>
      </c>
      <c r="B18" s="297" t="s">
        <v>151</v>
      </c>
      <c r="C18" s="288">
        <v>18224986</v>
      </c>
      <c r="D18" s="289">
        <f>Adjustments!L21</f>
        <v>-641108.21614999999</v>
      </c>
      <c r="E18" s="289">
        <f>C18+D18</f>
        <v>17583877.783849999</v>
      </c>
      <c r="F18" s="74"/>
      <c r="G18" s="278"/>
      <c r="H18" s="409"/>
      <c r="I18" s="409"/>
      <c r="J18" s="407"/>
      <c r="K18" s="405"/>
    </row>
    <row r="19" spans="1:11" x14ac:dyDescent="0.2">
      <c r="A19" s="218">
        <f>+A18+1</f>
        <v>8</v>
      </c>
      <c r="B19" s="297" t="s">
        <v>159</v>
      </c>
      <c r="C19" s="273">
        <f>SUM(C16:C18)</f>
        <v>42041094.525473416</v>
      </c>
      <c r="D19" s="216">
        <f>SUM(D15:D18)</f>
        <v>553487.50151582551</v>
      </c>
      <c r="E19" s="216">
        <f>SUM(E15:E18)</f>
        <v>42594582.026989236</v>
      </c>
      <c r="F19" s="278"/>
      <c r="G19" s="278"/>
      <c r="H19" s="407"/>
      <c r="I19" s="407"/>
      <c r="J19" s="409"/>
      <c r="K19" s="405"/>
    </row>
    <row r="20" spans="1:11" x14ac:dyDescent="0.2">
      <c r="A20" s="218"/>
      <c r="B20" s="61"/>
      <c r="C20" s="283"/>
      <c r="D20" s="283"/>
      <c r="E20" s="283"/>
      <c r="F20" s="281"/>
      <c r="G20" s="278"/>
      <c r="H20" s="407"/>
      <c r="I20" s="407"/>
      <c r="J20" s="409"/>
      <c r="K20" s="405"/>
    </row>
    <row r="21" spans="1:11" x14ac:dyDescent="0.2">
      <c r="A21" s="218">
        <f>+A19+1</f>
        <v>9</v>
      </c>
      <c r="B21" s="297" t="s">
        <v>165</v>
      </c>
      <c r="C21" s="273">
        <f>Taxes!C27</f>
        <v>721647.37073933752</v>
      </c>
      <c r="D21" s="216">
        <f>Adjustments!L26</f>
        <v>356026</v>
      </c>
      <c r="E21" s="216">
        <f>C21+D21</f>
        <v>1077673.3707393375</v>
      </c>
      <c r="F21" s="74"/>
      <c r="G21" s="278"/>
      <c r="H21" s="408"/>
      <c r="I21" s="408"/>
      <c r="J21" s="300"/>
      <c r="K21" s="405"/>
    </row>
    <row r="22" spans="1:11" x14ac:dyDescent="0.2">
      <c r="A22" s="218">
        <f>+A21+1</f>
        <v>10</v>
      </c>
      <c r="B22" s="297" t="s">
        <v>167</v>
      </c>
      <c r="C22" s="273">
        <f>+'Other Rev, Dep &amp; Other Tax'!C36</f>
        <v>1752161</v>
      </c>
      <c r="D22" s="216">
        <f>Adjustments!L27</f>
        <v>0</v>
      </c>
      <c r="E22" s="216">
        <f>C22+D22</f>
        <v>1752161</v>
      </c>
      <c r="F22" s="74"/>
      <c r="G22" s="278"/>
      <c r="H22" s="300"/>
      <c r="I22" s="300"/>
      <c r="J22" s="300"/>
    </row>
    <row r="23" spans="1:11" x14ac:dyDescent="0.2">
      <c r="A23" s="218">
        <f>+A22+1</f>
        <v>11</v>
      </c>
      <c r="B23" s="297" t="s">
        <v>171</v>
      </c>
      <c r="C23" s="216">
        <f>+'Other Rev, Dep &amp; Other Tax'!C42-'Page 1'!C22</f>
        <v>3619385.9180308226</v>
      </c>
      <c r="D23" s="216">
        <f>Adjustments!L28</f>
        <v>94972.499586181773</v>
      </c>
      <c r="E23" s="216">
        <f>C23+D23</f>
        <v>3714358.4176170044</v>
      </c>
      <c r="F23" s="74"/>
      <c r="G23" s="278"/>
      <c r="H23" s="300"/>
      <c r="I23" s="300"/>
      <c r="J23" s="407"/>
    </row>
    <row r="24" spans="1:11" x14ac:dyDescent="0.2">
      <c r="A24" s="218">
        <f>+A23+1</f>
        <v>12</v>
      </c>
      <c r="B24" s="297" t="s">
        <v>174</v>
      </c>
      <c r="C24" s="288">
        <f>+'Other Rev, Dep &amp; Other Tax'!C31</f>
        <v>9476819.7878487557</v>
      </c>
      <c r="D24" s="289">
        <f>Adjustments!L29</f>
        <v>0</v>
      </c>
      <c r="E24" s="289">
        <f>C24+D24</f>
        <v>9476819.7878487557</v>
      </c>
      <c r="F24" s="74"/>
      <c r="G24" s="278"/>
      <c r="H24" s="407"/>
      <c r="I24" s="407"/>
      <c r="J24" s="409"/>
      <c r="K24" s="405"/>
    </row>
    <row r="25" spans="1:11" x14ac:dyDescent="0.2">
      <c r="A25" s="218"/>
      <c r="C25" s="283"/>
      <c r="D25" s="283"/>
      <c r="E25" s="283"/>
      <c r="F25" s="281"/>
      <c r="G25" s="278"/>
      <c r="H25" s="409"/>
      <c r="I25" s="409"/>
      <c r="J25" s="409"/>
      <c r="K25" s="405"/>
    </row>
    <row r="26" spans="1:11" x14ac:dyDescent="0.2">
      <c r="A26" s="218">
        <f>+A24+1</f>
        <v>13</v>
      </c>
      <c r="B26" s="297" t="s">
        <v>178</v>
      </c>
      <c r="C26" s="284">
        <f>SUM(C19:C25)</f>
        <v>57611108.602092333</v>
      </c>
      <c r="D26" s="284">
        <f>SUM(D19:D25)</f>
        <v>1004486.0011020072</v>
      </c>
      <c r="E26" s="284">
        <f>SUM(E19:E25)</f>
        <v>58615594.603194341</v>
      </c>
      <c r="F26" s="291"/>
      <c r="G26" s="278"/>
      <c r="H26" s="407"/>
      <c r="I26" s="407"/>
      <c r="J26" s="409"/>
      <c r="K26" s="405"/>
    </row>
    <row r="27" spans="1:11" x14ac:dyDescent="0.2">
      <c r="A27" s="218"/>
      <c r="C27" s="280"/>
      <c r="D27" s="280"/>
      <c r="E27" s="280"/>
      <c r="F27" s="281"/>
      <c r="G27" s="278"/>
      <c r="H27" s="278"/>
      <c r="I27" s="278"/>
      <c r="J27" s="411"/>
      <c r="K27" s="405"/>
    </row>
    <row r="28" spans="1:11" ht="13.5" thickBot="1" x14ac:dyDescent="0.25">
      <c r="A28" s="218">
        <f>+A26+1</f>
        <v>14</v>
      </c>
      <c r="B28" s="297" t="s">
        <v>184</v>
      </c>
      <c r="C28" s="285">
        <f>C13-C26</f>
        <v>6227570.8353418633</v>
      </c>
      <c r="D28" s="285">
        <f>D13-D26</f>
        <v>1339356.5355757268</v>
      </c>
      <c r="E28" s="285">
        <f>E13-E26</f>
        <v>7566927.3709176034</v>
      </c>
      <c r="F28" s="287"/>
      <c r="G28" s="278"/>
      <c r="H28" s="406"/>
      <c r="I28" s="406"/>
      <c r="J28" s="412"/>
      <c r="K28" s="405"/>
    </row>
    <row r="29" spans="1:11" ht="13.5" thickTop="1" x14ac:dyDescent="0.2">
      <c r="A29" s="218"/>
      <c r="C29" s="286"/>
      <c r="D29" s="286"/>
      <c r="E29" s="286"/>
      <c r="F29" s="281"/>
      <c r="G29" s="278"/>
      <c r="H29" s="406"/>
      <c r="I29" s="406"/>
      <c r="J29" s="412"/>
      <c r="K29" s="405"/>
    </row>
    <row r="30" spans="1:11" x14ac:dyDescent="0.2">
      <c r="A30" s="218"/>
      <c r="B30" s="130" t="s">
        <v>179</v>
      </c>
      <c r="C30" s="286"/>
      <c r="D30" s="286"/>
      <c r="E30" s="286"/>
      <c r="F30" s="281"/>
      <c r="G30" s="278"/>
      <c r="H30" s="406"/>
      <c r="I30" s="406"/>
      <c r="J30" s="412"/>
      <c r="K30" s="405"/>
    </row>
    <row r="31" spans="1:11" x14ac:dyDescent="0.2">
      <c r="A31" s="218">
        <f>+A28+1</f>
        <v>15</v>
      </c>
      <c r="B31" s="297" t="s">
        <v>464</v>
      </c>
      <c r="C31" s="283">
        <f>+'Rate Base'!Q103</f>
        <v>344634123.46999997</v>
      </c>
      <c r="D31" s="283">
        <f>Adjustments!L36</f>
        <v>671.28233333333105</v>
      </c>
      <c r="E31" s="283">
        <f>C31+D31</f>
        <v>344634794.75233328</v>
      </c>
      <c r="F31" s="281"/>
      <c r="G31" s="278"/>
      <c r="H31" s="406"/>
      <c r="I31" s="406"/>
      <c r="J31" s="412"/>
      <c r="K31" s="405"/>
    </row>
    <row r="32" spans="1:11" x14ac:dyDescent="0.2">
      <c r="A32" s="218">
        <f>+A31+1</f>
        <v>16</v>
      </c>
      <c r="B32" s="297" t="s">
        <v>123</v>
      </c>
      <c r="C32" s="289">
        <f>+'Rate Base'!Q116</f>
        <v>-138174713.78</v>
      </c>
      <c r="D32" s="289">
        <f>Adjustments!L37</f>
        <v>0</v>
      </c>
      <c r="E32" s="289">
        <f>C32+D32</f>
        <v>-138174713.78</v>
      </c>
      <c r="F32" s="74"/>
      <c r="G32" s="278"/>
      <c r="H32" s="406"/>
      <c r="I32" s="406"/>
      <c r="J32" s="412"/>
      <c r="K32" s="405"/>
    </row>
    <row r="33" spans="1:11" x14ac:dyDescent="0.2">
      <c r="A33" s="218">
        <f>+A32+1</f>
        <v>17</v>
      </c>
      <c r="B33" s="297" t="s">
        <v>484</v>
      </c>
      <c r="C33" s="216">
        <f>+C31+C32</f>
        <v>206459409.68999997</v>
      </c>
      <c r="D33" s="216">
        <f>+D31+D32</f>
        <v>671.28233333333105</v>
      </c>
      <c r="E33" s="216">
        <f>+E31+E32</f>
        <v>206460080.97233328</v>
      </c>
      <c r="F33" s="216"/>
      <c r="G33" s="278"/>
      <c r="H33" s="406"/>
      <c r="I33" s="406"/>
      <c r="J33" s="412"/>
      <c r="K33" s="405"/>
    </row>
    <row r="34" spans="1:11" x14ac:dyDescent="0.2">
      <c r="A34" s="218"/>
      <c r="B34" s="130"/>
      <c r="C34" s="290"/>
      <c r="D34" s="290"/>
      <c r="E34" s="290"/>
      <c r="F34" s="74"/>
      <c r="G34" s="278"/>
      <c r="H34" s="406"/>
      <c r="I34" s="406"/>
      <c r="J34" s="412"/>
      <c r="K34" s="405"/>
    </row>
    <row r="35" spans="1:11" x14ac:dyDescent="0.2">
      <c r="A35" s="218">
        <f>+A33+1</f>
        <v>18</v>
      </c>
      <c r="B35" s="297" t="s">
        <v>468</v>
      </c>
      <c r="C35" s="290">
        <f>'e Working Cap'!D16</f>
        <v>909782.06725116214</v>
      </c>
      <c r="D35" s="216">
        <f>Adjustments!L41</f>
        <v>0</v>
      </c>
      <c r="E35" s="216">
        <f>C35+D35</f>
        <v>909782.06725116214</v>
      </c>
      <c r="F35" s="74"/>
      <c r="G35" s="278"/>
      <c r="H35" s="406"/>
      <c r="I35" s="406"/>
      <c r="J35" s="412"/>
      <c r="K35" s="405"/>
    </row>
    <row r="36" spans="1:11" x14ac:dyDescent="0.2">
      <c r="A36" s="218">
        <f>+A35+1</f>
        <v>19</v>
      </c>
      <c r="B36" s="90" t="s">
        <v>271</v>
      </c>
      <c r="C36" s="298">
        <f>+'Rate Base'!Q118</f>
        <v>1946972.17</v>
      </c>
      <c r="D36" s="216">
        <f>Adjustments!L42</f>
        <v>0</v>
      </c>
      <c r="E36" s="216">
        <f>C36+D36</f>
        <v>1946972.17</v>
      </c>
      <c r="F36" s="74"/>
      <c r="G36" s="278"/>
      <c r="H36" s="406"/>
      <c r="I36" s="406"/>
      <c r="J36" s="412"/>
      <c r="K36" s="405"/>
    </row>
    <row r="37" spans="1:11" x14ac:dyDescent="0.2">
      <c r="A37" s="218">
        <f>+A36+1</f>
        <v>20</v>
      </c>
      <c r="B37" s="71" t="s">
        <v>144</v>
      </c>
      <c r="C37" s="298">
        <f>+'Rate Base'!Q119</f>
        <v>-756955.64</v>
      </c>
      <c r="D37" s="216">
        <f>Adjustments!L43</f>
        <v>0</v>
      </c>
      <c r="E37" s="216">
        <f>C37+D37</f>
        <v>-756955.64</v>
      </c>
      <c r="F37" s="74"/>
      <c r="G37" s="278"/>
      <c r="H37" s="406"/>
      <c r="I37" s="406"/>
      <c r="J37" s="412"/>
      <c r="K37" s="405"/>
    </row>
    <row r="38" spans="1:11" x14ac:dyDescent="0.2">
      <c r="A38" s="218">
        <f>+A37+1</f>
        <v>21</v>
      </c>
      <c r="B38" s="90" t="s">
        <v>160</v>
      </c>
      <c r="C38" s="298">
        <f>+'Rate Base'!Q120</f>
        <v>17501.91</v>
      </c>
      <c r="D38" s="216">
        <f>Adjustments!L44</f>
        <v>0</v>
      </c>
      <c r="E38" s="216">
        <f>C38+D38</f>
        <v>17501.91</v>
      </c>
      <c r="F38" s="74"/>
      <c r="G38" s="278"/>
      <c r="H38" s="406"/>
      <c r="I38" s="406"/>
      <c r="J38" s="412"/>
      <c r="K38" s="405"/>
    </row>
    <row r="39" spans="1:11" x14ac:dyDescent="0.2">
      <c r="A39" s="218">
        <f>+A38+1</f>
        <v>22</v>
      </c>
      <c r="B39" s="90" t="s">
        <v>465</v>
      </c>
      <c r="C39" s="87">
        <f>+'DIT Rate Base'!I39</f>
        <v>-41147774.537751995</v>
      </c>
      <c r="D39" s="289">
        <f>Adjustments!L45</f>
        <v>0</v>
      </c>
      <c r="E39" s="289">
        <f>C39+D39</f>
        <v>-41147774.537751995</v>
      </c>
      <c r="F39" s="74"/>
      <c r="G39" s="278"/>
      <c r="H39" s="406"/>
      <c r="I39" s="406"/>
      <c r="J39" s="412"/>
      <c r="K39" s="405"/>
    </row>
    <row r="40" spans="1:11" x14ac:dyDescent="0.2">
      <c r="A40" s="218"/>
      <c r="C40" s="287"/>
      <c r="D40" s="287"/>
      <c r="E40" s="287"/>
      <c r="F40" s="281"/>
      <c r="G40" s="278"/>
      <c r="H40" s="406"/>
      <c r="I40" s="406"/>
      <c r="J40" s="412"/>
      <c r="K40" s="405"/>
    </row>
    <row r="41" spans="1:11" ht="13.5" thickBot="1" x14ac:dyDescent="0.25">
      <c r="A41" s="218">
        <f>+A39+1</f>
        <v>23</v>
      </c>
      <c r="B41" s="297" t="s">
        <v>187</v>
      </c>
      <c r="C41" s="285">
        <f>SUM(C33:C40)</f>
        <v>167428935.65949914</v>
      </c>
      <c r="D41" s="285">
        <f>SUM(D33:D39)</f>
        <v>671.28233333333105</v>
      </c>
      <c r="E41" s="285">
        <f>SUM(E33:E39)</f>
        <v>167429606.94183245</v>
      </c>
      <c r="F41" s="287"/>
      <c r="G41" s="278"/>
      <c r="H41" s="406"/>
      <c r="I41" s="406"/>
      <c r="J41" s="412"/>
      <c r="K41" s="405"/>
    </row>
    <row r="42" spans="1:11" ht="13.5" thickTop="1" x14ac:dyDescent="0.2">
      <c r="A42" s="218"/>
      <c r="C42" s="41"/>
      <c r="D42" s="41"/>
      <c r="E42" s="41"/>
      <c r="F42" s="74"/>
      <c r="G42" s="278"/>
      <c r="H42" s="406"/>
      <c r="I42" s="406"/>
      <c r="J42" s="406"/>
      <c r="K42" s="405"/>
    </row>
    <row r="43" spans="1:11" ht="13.5" thickBot="1" x14ac:dyDescent="0.25">
      <c r="A43" s="218">
        <f>+A41+1</f>
        <v>24</v>
      </c>
      <c r="B43" s="297" t="s">
        <v>192</v>
      </c>
      <c r="C43" s="43">
        <f>ROUND(+C28/C41,4)</f>
        <v>3.7199999999999997E-2</v>
      </c>
      <c r="D43" s="299"/>
      <c r="E43" s="43">
        <f>ROUND(+E28/E41,4)</f>
        <v>4.5199999999999997E-2</v>
      </c>
      <c r="F43" s="74"/>
      <c r="G43" s="278"/>
      <c r="H43" s="413"/>
      <c r="I43" s="414"/>
      <c r="J43" s="37"/>
    </row>
    <row r="44" spans="1:11" ht="13.5" thickTop="1" x14ac:dyDescent="0.2">
      <c r="A44" s="218"/>
      <c r="C44" s="31"/>
      <c r="D44" s="299"/>
      <c r="E44" s="31"/>
      <c r="F44" s="31"/>
      <c r="G44" s="278"/>
      <c r="H44" s="37"/>
      <c r="J44" s="37"/>
    </row>
    <row r="45" spans="1:11" ht="13.5" thickBot="1" x14ac:dyDescent="0.25">
      <c r="A45" s="218">
        <f>+A43+1</f>
        <v>25</v>
      </c>
      <c r="B45" s="297" t="s">
        <v>198</v>
      </c>
      <c r="C45" s="43">
        <f>ROUND(((+C43-'Cost of Cap'!$E$12-'Cost of Cap'!$E$13-'Cost of Cap'!$E$14)/'Cost of Cap'!$C$15),4)</f>
        <v>2.3900000000000001E-2</v>
      </c>
      <c r="D45" s="299"/>
      <c r="E45" s="43">
        <f>ROUND(((+E43-'Cost of Cap'!$E$12-'Cost of Cap'!$E$13-'Cost of Cap'!$E$14)/'Cost of Cap'!$C$15),4)</f>
        <v>4.1200000000000001E-2</v>
      </c>
      <c r="F45" s="37"/>
      <c r="G45" s="278"/>
      <c r="H45" s="37"/>
      <c r="J45" s="37"/>
    </row>
    <row r="46" spans="1:11" ht="13.5" thickTop="1" x14ac:dyDescent="0.2">
      <c r="A46" s="218"/>
      <c r="C46" s="37"/>
      <c r="D46" s="299"/>
      <c r="E46" s="37"/>
      <c r="F46" s="37"/>
      <c r="G46" s="278"/>
    </row>
    <row r="47" spans="1:11" x14ac:dyDescent="0.2">
      <c r="A47" s="218"/>
    </row>
    <row r="48" spans="1:11" x14ac:dyDescent="0.2">
      <c r="A48" s="218"/>
    </row>
    <row r="49" spans="1:1" x14ac:dyDescent="0.2">
      <c r="A49" s="218"/>
    </row>
    <row r="50" spans="1:1" x14ac:dyDescent="0.2">
      <c r="A50" s="218"/>
    </row>
    <row r="51" spans="1:1" x14ac:dyDescent="0.2">
      <c r="A51" s="218"/>
    </row>
  </sheetData>
  <phoneticPr fontId="0" type="noConversion"/>
  <printOptions horizontalCentered="1"/>
  <pageMargins left="0.5" right="0.5" top="0.5" bottom="0.5" header="0.25" footer="0.25"/>
  <pageSetup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2"/>
  </sheetPr>
  <dimension ref="A1:J132"/>
  <sheetViews>
    <sheetView showGridLines="0" topLeftCell="A7" zoomScaleNormal="100" workbookViewId="0">
      <selection activeCell="G29" sqref="G29"/>
    </sheetView>
  </sheetViews>
  <sheetFormatPr defaultColWidth="9.140625" defaultRowHeight="12.75" x14ac:dyDescent="0.2"/>
  <cols>
    <col min="1" max="1" width="4.7109375" style="297" customWidth="1"/>
    <col min="2" max="2" width="41.7109375" style="297" customWidth="1"/>
    <col min="3" max="5" width="13.7109375" style="298" customWidth="1"/>
    <col min="6" max="6" width="12.7109375" style="298" customWidth="1"/>
    <col min="7" max="7" width="12.28515625" style="298" customWidth="1"/>
    <col min="8" max="8" width="11.85546875" style="298" customWidth="1"/>
    <col min="9" max="9" width="11.5703125" style="298" customWidth="1"/>
    <col min="10" max="16384" width="9.140625" style="298"/>
  </cols>
  <sheetData>
    <row r="1" spans="1:7" s="297" customFormat="1" x14ac:dyDescent="0.2">
      <c r="A1" s="44" t="s">
        <v>0</v>
      </c>
      <c r="B1" s="44"/>
      <c r="C1" s="48"/>
      <c r="D1" s="48"/>
      <c r="E1" s="48"/>
      <c r="F1" s="48"/>
      <c r="G1" s="402"/>
    </row>
    <row r="2" spans="1:7" s="297" customFormat="1" x14ac:dyDescent="0.2">
      <c r="A2" s="44" t="s">
        <v>5</v>
      </c>
      <c r="B2" s="44"/>
      <c r="C2" s="48"/>
      <c r="D2" s="48"/>
      <c r="E2" s="48"/>
      <c r="F2" s="48"/>
      <c r="G2" s="63"/>
    </row>
    <row r="3" spans="1:7" s="297" customFormat="1" x14ac:dyDescent="0.2">
      <c r="A3" s="415" t="s">
        <v>519</v>
      </c>
      <c r="B3" s="44"/>
      <c r="C3" s="48"/>
      <c r="D3" s="48"/>
      <c r="E3" s="48"/>
      <c r="F3" s="48"/>
      <c r="G3" s="63"/>
    </row>
    <row r="4" spans="1:7" s="297" customFormat="1" x14ac:dyDescent="0.2">
      <c r="A4" s="44"/>
      <c r="B4" s="44"/>
      <c r="C4" s="49" t="s">
        <v>10</v>
      </c>
      <c r="D4" s="49" t="s">
        <v>11</v>
      </c>
      <c r="E4" s="49" t="s">
        <v>12</v>
      </c>
      <c r="G4" s="63"/>
    </row>
    <row r="5" spans="1:7" x14ac:dyDescent="0.2">
      <c r="A5" s="44" t="s">
        <v>15</v>
      </c>
      <c r="B5" s="44"/>
      <c r="C5" s="59"/>
      <c r="D5" s="59"/>
      <c r="E5" s="59"/>
      <c r="G5" s="63"/>
    </row>
    <row r="6" spans="1:7" x14ac:dyDescent="0.2">
      <c r="A6" s="44"/>
      <c r="B6" s="44"/>
      <c r="C6" s="46"/>
      <c r="D6" s="215"/>
      <c r="E6" s="215"/>
      <c r="G6" s="63"/>
    </row>
    <row r="7" spans="1:7" x14ac:dyDescent="0.2">
      <c r="A7" s="44"/>
      <c r="B7" s="44" t="s">
        <v>49</v>
      </c>
      <c r="C7" s="59"/>
      <c r="D7" s="59"/>
      <c r="E7" s="59"/>
      <c r="F7" s="301"/>
      <c r="G7" s="63"/>
    </row>
    <row r="8" spans="1:7" x14ac:dyDescent="0.2">
      <c r="A8" s="44"/>
      <c r="B8" s="416" t="s">
        <v>520</v>
      </c>
      <c r="C8" s="52">
        <f>D8+E8</f>
        <v>750421</v>
      </c>
      <c r="D8" s="417">
        <v>84650</v>
      </c>
      <c r="E8" s="417">
        <v>665771</v>
      </c>
      <c r="F8" s="301"/>
      <c r="G8" s="63"/>
    </row>
    <row r="9" spans="1:7" x14ac:dyDescent="0.2">
      <c r="A9" s="44"/>
      <c r="B9" s="416" t="s">
        <v>510</v>
      </c>
      <c r="C9" s="418">
        <f>D9+E9</f>
        <v>737873</v>
      </c>
      <c r="D9" s="419">
        <v>81842</v>
      </c>
      <c r="E9" s="419">
        <v>656031</v>
      </c>
      <c r="F9" s="301"/>
      <c r="G9" s="63"/>
    </row>
    <row r="10" spans="1:7" x14ac:dyDescent="0.2">
      <c r="A10" s="44"/>
      <c r="B10" s="44" t="s">
        <v>102</v>
      </c>
      <c r="C10" s="420">
        <f>AVERAGE(C8:C9)</f>
        <v>744147</v>
      </c>
      <c r="D10" s="183">
        <f>AVERAGE(D8:D9)</f>
        <v>83246</v>
      </c>
      <c r="E10" s="183">
        <f>AVERAGE(E8:E9)</f>
        <v>660901</v>
      </c>
      <c r="F10" s="301"/>
      <c r="G10" s="63"/>
    </row>
    <row r="11" spans="1:7" x14ac:dyDescent="0.2">
      <c r="A11" s="44"/>
      <c r="B11" s="44" t="s">
        <v>105</v>
      </c>
      <c r="C11" s="421"/>
      <c r="D11" s="274">
        <f>ROUND(D10/C10,4)</f>
        <v>0.1119</v>
      </c>
      <c r="E11" s="274">
        <f>1-D11</f>
        <v>0.8881</v>
      </c>
      <c r="F11" s="301"/>
      <c r="G11" s="63"/>
    </row>
    <row r="12" spans="1:7" x14ac:dyDescent="0.2">
      <c r="A12" s="44"/>
      <c r="B12" s="44"/>
      <c r="C12" s="59"/>
      <c r="D12" s="225"/>
      <c r="E12" s="225"/>
      <c r="F12" s="301"/>
      <c r="G12" s="63"/>
    </row>
    <row r="13" spans="1:7" x14ac:dyDescent="0.2">
      <c r="A13" s="44"/>
      <c r="B13" s="50" t="s">
        <v>116</v>
      </c>
      <c r="C13" s="59"/>
      <c r="D13" s="225"/>
      <c r="E13" s="225"/>
      <c r="F13" s="301"/>
      <c r="G13" s="63"/>
    </row>
    <row r="14" spans="1:7" x14ac:dyDescent="0.2">
      <c r="A14" s="44"/>
      <c r="B14" s="179" t="str">
        <f>B$8</f>
        <v>December 2018</v>
      </c>
      <c r="C14" s="52">
        <f>D14+E14</f>
        <v>680134</v>
      </c>
      <c r="D14" s="417">
        <v>77357</v>
      </c>
      <c r="E14" s="417">
        <v>602777</v>
      </c>
      <c r="F14" s="301"/>
      <c r="G14" s="63"/>
    </row>
    <row r="15" spans="1:7" x14ac:dyDescent="0.2">
      <c r="A15" s="44"/>
      <c r="B15" s="179" t="str">
        <f>+B9</f>
        <v>December 2017</v>
      </c>
      <c r="C15" s="418">
        <f>D15+E15</f>
        <v>668803</v>
      </c>
      <c r="D15" s="422">
        <v>74805</v>
      </c>
      <c r="E15" s="422">
        <v>593998</v>
      </c>
      <c r="F15" s="301"/>
      <c r="G15" s="63"/>
    </row>
    <row r="16" spans="1:7" x14ac:dyDescent="0.2">
      <c r="A16" s="44"/>
      <c r="B16" s="44" t="s">
        <v>102</v>
      </c>
      <c r="C16" s="420">
        <f>AVERAGE(C14:C15)</f>
        <v>674468.5</v>
      </c>
      <c r="D16" s="423">
        <f>+AVERAGE(D14:D15)</f>
        <v>76081</v>
      </c>
      <c r="E16" s="423">
        <f>+AVERAGE(E14:E15)</f>
        <v>598387.5</v>
      </c>
      <c r="F16" s="301"/>
      <c r="G16" s="63"/>
    </row>
    <row r="17" spans="1:7" x14ac:dyDescent="0.2">
      <c r="A17" s="44"/>
      <c r="B17" s="44" t="s">
        <v>139</v>
      </c>
      <c r="C17" s="52"/>
      <c r="D17" s="274">
        <f>ROUND(D16/C16,4)</f>
        <v>0.1128</v>
      </c>
      <c r="E17" s="274">
        <f>1-D17</f>
        <v>0.88719999999999999</v>
      </c>
      <c r="F17" s="301"/>
      <c r="G17" s="63"/>
    </row>
    <row r="18" spans="1:7" x14ac:dyDescent="0.2">
      <c r="A18" s="44"/>
      <c r="B18" s="44"/>
      <c r="C18" s="59"/>
      <c r="D18" s="225"/>
      <c r="E18" s="225"/>
      <c r="F18" s="301"/>
      <c r="G18" s="63"/>
    </row>
    <row r="19" spans="1:7" x14ac:dyDescent="0.2">
      <c r="A19" s="44"/>
      <c r="B19" s="50" t="s">
        <v>149</v>
      </c>
      <c r="C19" s="59"/>
      <c r="D19" s="225"/>
      <c r="E19" s="225"/>
      <c r="F19" s="301"/>
      <c r="G19" s="63"/>
    </row>
    <row r="20" spans="1:7" x14ac:dyDescent="0.2">
      <c r="A20" s="44"/>
      <c r="B20" s="179" t="str">
        <f>B$8</f>
        <v>December 2018</v>
      </c>
      <c r="C20" s="52">
        <f>D20+E20</f>
        <v>69087</v>
      </c>
      <c r="D20" s="417">
        <v>7192</v>
      </c>
      <c r="E20" s="417">
        <v>61895</v>
      </c>
      <c r="F20" s="301"/>
      <c r="G20" s="63"/>
    </row>
    <row r="21" spans="1:7" x14ac:dyDescent="0.2">
      <c r="A21" s="44"/>
      <c r="B21" s="179" t="str">
        <f>+B9</f>
        <v>December 2017</v>
      </c>
      <c r="C21" s="418">
        <f>D21+E21</f>
        <v>67881</v>
      </c>
      <c r="D21" s="422">
        <v>6937</v>
      </c>
      <c r="E21" s="422">
        <v>60944</v>
      </c>
      <c r="F21" s="301"/>
      <c r="G21" s="63"/>
    </row>
    <row r="22" spans="1:7" x14ac:dyDescent="0.2">
      <c r="A22" s="44"/>
      <c r="B22" s="44" t="s">
        <v>102</v>
      </c>
      <c r="C22" s="420">
        <f>AVERAGE(C20:C21)</f>
        <v>68484</v>
      </c>
      <c r="D22" s="423">
        <f>+AVERAGE(D20:D21)</f>
        <v>7064.5</v>
      </c>
      <c r="E22" s="423">
        <f>+AVERAGE(E20:E21)</f>
        <v>61419.5</v>
      </c>
      <c r="F22" s="301"/>
      <c r="G22" s="63"/>
    </row>
    <row r="23" spans="1:7" x14ac:dyDescent="0.2">
      <c r="A23" s="44"/>
      <c r="B23" s="44" t="s">
        <v>139</v>
      </c>
      <c r="C23" s="59"/>
      <c r="D23" s="274">
        <f>ROUND(D22/C22,4)</f>
        <v>0.1032</v>
      </c>
      <c r="E23" s="274">
        <f>1-D23</f>
        <v>0.89680000000000004</v>
      </c>
      <c r="F23" s="301"/>
      <c r="G23" s="63"/>
    </row>
    <row r="24" spans="1:7" x14ac:dyDescent="0.2">
      <c r="A24" s="44"/>
      <c r="B24" s="44"/>
      <c r="C24" s="59"/>
      <c r="D24" s="225"/>
      <c r="E24" s="225"/>
      <c r="F24" s="301"/>
      <c r="G24" s="63"/>
    </row>
    <row r="25" spans="1:7" x14ac:dyDescent="0.2">
      <c r="A25" s="44"/>
      <c r="B25" s="44" t="s">
        <v>166</v>
      </c>
      <c r="C25" s="59"/>
      <c r="D25" s="225"/>
      <c r="E25" s="225"/>
      <c r="F25" s="301"/>
      <c r="G25" s="63"/>
    </row>
    <row r="26" spans="1:7" x14ac:dyDescent="0.2">
      <c r="A26" s="44"/>
      <c r="B26" s="179" t="str">
        <f>B$8</f>
        <v>December 2018</v>
      </c>
      <c r="C26" s="52">
        <f>D26+E26</f>
        <v>1200</v>
      </c>
      <c r="D26" s="183">
        <f>D8-D14-D20</f>
        <v>101</v>
      </c>
      <c r="E26" s="183">
        <f>E8-E14-E20</f>
        <v>1099</v>
      </c>
      <c r="F26" s="301"/>
      <c r="G26" s="63"/>
    </row>
    <row r="27" spans="1:7" x14ac:dyDescent="0.2">
      <c r="A27" s="44"/>
      <c r="B27" s="179" t="str">
        <f>+B21</f>
        <v>December 2017</v>
      </c>
      <c r="C27" s="418">
        <f>D27+E27</f>
        <v>1189</v>
      </c>
      <c r="D27" s="419">
        <f>D9-D15-D21</f>
        <v>100</v>
      </c>
      <c r="E27" s="419">
        <f>E9-E15-E21</f>
        <v>1089</v>
      </c>
      <c r="F27" s="301"/>
      <c r="G27" s="63"/>
    </row>
    <row r="28" spans="1:7" x14ac:dyDescent="0.2">
      <c r="A28" s="44"/>
      <c r="B28" s="44" t="s">
        <v>102</v>
      </c>
      <c r="C28" s="420">
        <f>D28+E28</f>
        <v>1194.5</v>
      </c>
      <c r="D28" s="423">
        <f>+AVERAGE(D26:D27)</f>
        <v>100.5</v>
      </c>
      <c r="E28" s="423">
        <f>+AVERAGE(E26:E27)</f>
        <v>1094</v>
      </c>
      <c r="F28" s="301"/>
      <c r="G28" s="63"/>
    </row>
    <row r="29" spans="1:7" x14ac:dyDescent="0.2">
      <c r="A29" s="50"/>
      <c r="B29" s="44" t="s">
        <v>139</v>
      </c>
      <c r="C29" s="52"/>
      <c r="D29" s="274">
        <f>ROUND(D28/C28,4)</f>
        <v>8.4099999999999994E-2</v>
      </c>
      <c r="E29" s="274">
        <f>1-D29</f>
        <v>0.91590000000000005</v>
      </c>
      <c r="F29" s="301"/>
      <c r="G29" s="64"/>
    </row>
    <row r="30" spans="1:7" x14ac:dyDescent="0.2">
      <c r="A30" s="50"/>
      <c r="B30" s="44"/>
      <c r="C30" s="52"/>
      <c r="D30" s="424"/>
      <c r="E30" s="424"/>
      <c r="F30" s="301"/>
      <c r="G30" s="64"/>
    </row>
    <row r="31" spans="1:7" x14ac:dyDescent="0.2">
      <c r="A31" s="44"/>
      <c r="B31" s="50" t="s">
        <v>181</v>
      </c>
      <c r="C31" s="46"/>
      <c r="D31" s="215"/>
      <c r="E31" s="215"/>
      <c r="F31" s="301"/>
      <c r="G31" s="63"/>
    </row>
    <row r="32" spans="1:7" x14ac:dyDescent="0.2">
      <c r="A32" s="44"/>
      <c r="B32" s="179" t="str">
        <f>B$8</f>
        <v>December 2018</v>
      </c>
      <c r="C32" s="52">
        <f>D32+E32</f>
        <v>8318</v>
      </c>
      <c r="D32" s="417">
        <v>2103</v>
      </c>
      <c r="E32" s="425">
        <v>6215</v>
      </c>
      <c r="F32" s="301"/>
      <c r="G32" s="63"/>
    </row>
    <row r="33" spans="1:7" x14ac:dyDescent="0.2">
      <c r="A33" s="44"/>
      <c r="B33" s="179" t="str">
        <f>+B27</f>
        <v>December 2017</v>
      </c>
      <c r="C33" s="418">
        <f>D33+E33</f>
        <v>8119</v>
      </c>
      <c r="D33" s="422">
        <v>2040</v>
      </c>
      <c r="E33" s="422">
        <v>6079</v>
      </c>
      <c r="F33" s="301"/>
      <c r="G33" s="63"/>
    </row>
    <row r="34" spans="1:7" x14ac:dyDescent="0.2">
      <c r="A34" s="44"/>
      <c r="B34" s="44" t="s">
        <v>102</v>
      </c>
      <c r="C34" s="420">
        <f>D34+E34</f>
        <v>8218.5</v>
      </c>
      <c r="D34" s="423">
        <f>+AVERAGE(D32:D33)</f>
        <v>2071.5</v>
      </c>
      <c r="E34" s="423">
        <f>+AVERAGE(E32:E33)</f>
        <v>6147</v>
      </c>
      <c r="F34" s="301"/>
      <c r="G34" s="63"/>
    </row>
    <row r="35" spans="1:7" x14ac:dyDescent="0.2">
      <c r="A35" s="50"/>
      <c r="B35" s="44" t="s">
        <v>139</v>
      </c>
      <c r="C35" s="52"/>
      <c r="D35" s="274">
        <f>ROUND(D34/C34,4)</f>
        <v>0.25209999999999999</v>
      </c>
      <c r="E35" s="274">
        <f>1-D35</f>
        <v>0.74790000000000001</v>
      </c>
      <c r="F35" s="301"/>
      <c r="G35" s="64"/>
    </row>
    <row r="36" spans="1:7" x14ac:dyDescent="0.2">
      <c r="A36" s="50"/>
      <c r="B36" s="44"/>
      <c r="C36" s="52"/>
      <c r="D36" s="183"/>
      <c r="E36" s="183"/>
      <c r="F36" s="301"/>
      <c r="G36" s="64"/>
    </row>
    <row r="37" spans="1:7" x14ac:dyDescent="0.2">
      <c r="A37" s="44"/>
      <c r="B37" s="50" t="s">
        <v>193</v>
      </c>
      <c r="C37" s="46"/>
      <c r="D37" s="215"/>
      <c r="E37" s="215"/>
      <c r="F37" s="301"/>
      <c r="G37" s="63"/>
    </row>
    <row r="38" spans="1:7" x14ac:dyDescent="0.2">
      <c r="A38" s="44"/>
      <c r="B38" s="179" t="str">
        <f>B$8</f>
        <v>December 2018</v>
      </c>
      <c r="C38" s="52">
        <f>D38+E38</f>
        <v>533590</v>
      </c>
      <c r="D38" s="417">
        <v>82547</v>
      </c>
      <c r="E38" s="425">
        <v>451043</v>
      </c>
      <c r="F38" s="301"/>
      <c r="G38" s="63"/>
    </row>
    <row r="39" spans="1:7" x14ac:dyDescent="0.2">
      <c r="A39" s="44"/>
      <c r="B39" s="179" t="str">
        <f>+B33</f>
        <v>December 2017</v>
      </c>
      <c r="C39" s="418">
        <f>D39+E39</f>
        <v>524992</v>
      </c>
      <c r="D39" s="422">
        <v>79802</v>
      </c>
      <c r="E39" s="422">
        <v>445190</v>
      </c>
      <c r="F39" s="301"/>
      <c r="G39" s="63"/>
    </row>
    <row r="40" spans="1:7" x14ac:dyDescent="0.2">
      <c r="A40" s="44"/>
      <c r="B40" s="44" t="s">
        <v>102</v>
      </c>
      <c r="C40" s="420">
        <f>D40+E40</f>
        <v>529291</v>
      </c>
      <c r="D40" s="423">
        <f>+AVERAGE(D38:D39)</f>
        <v>81174.5</v>
      </c>
      <c r="E40" s="423">
        <f>+AVERAGE(E38:E39)</f>
        <v>448116.5</v>
      </c>
      <c r="F40" s="301"/>
      <c r="G40" s="63"/>
    </row>
    <row r="41" spans="1:7" x14ac:dyDescent="0.2">
      <c r="A41" s="50"/>
      <c r="B41" s="44" t="s">
        <v>139</v>
      </c>
      <c r="C41" s="52"/>
      <c r="D41" s="274">
        <f>ROUND(D40/C40,4)</f>
        <v>0.15340000000000001</v>
      </c>
      <c r="E41" s="274">
        <f>1-D41</f>
        <v>0.84660000000000002</v>
      </c>
      <c r="F41" s="301"/>
      <c r="G41" s="64"/>
    </row>
    <row r="42" spans="1:7" x14ac:dyDescent="0.2">
      <c r="A42" s="50"/>
      <c r="B42" s="44"/>
      <c r="C42" s="52"/>
      <c r="D42" s="225"/>
      <c r="E42" s="225"/>
      <c r="G42" s="64"/>
    </row>
    <row r="43" spans="1:7" x14ac:dyDescent="0.2">
      <c r="A43" s="44"/>
      <c r="B43" s="50" t="s">
        <v>206</v>
      </c>
      <c r="C43" s="46"/>
      <c r="D43" s="301"/>
      <c r="E43" s="301"/>
      <c r="G43" s="63"/>
    </row>
    <row r="44" spans="1:7" x14ac:dyDescent="0.2">
      <c r="A44" s="44"/>
      <c r="B44" s="179" t="str">
        <f>B$8</f>
        <v>December 2018</v>
      </c>
      <c r="C44" s="52">
        <f>D44+E44</f>
        <v>45081</v>
      </c>
      <c r="D44" s="417">
        <v>6976</v>
      </c>
      <c r="E44" s="425">
        <v>38105</v>
      </c>
      <c r="G44" s="63"/>
    </row>
    <row r="45" spans="1:7" x14ac:dyDescent="0.2">
      <c r="A45" s="44"/>
      <c r="B45" s="179" t="str">
        <f>+B39</f>
        <v>December 2017</v>
      </c>
      <c r="C45" s="418">
        <f>D45+E45</f>
        <v>44470</v>
      </c>
      <c r="D45" s="422">
        <v>6724</v>
      </c>
      <c r="E45" s="422">
        <v>37746</v>
      </c>
      <c r="G45" s="63"/>
    </row>
    <row r="46" spans="1:7" x14ac:dyDescent="0.2">
      <c r="A46" s="44"/>
      <c r="B46" s="44" t="s">
        <v>102</v>
      </c>
      <c r="C46" s="420">
        <f>D46+E46</f>
        <v>44775.5</v>
      </c>
      <c r="D46" s="423">
        <f>+AVERAGE(D44:D45)</f>
        <v>6850</v>
      </c>
      <c r="E46" s="423">
        <f>+AVERAGE(E44:E45)</f>
        <v>37925.5</v>
      </c>
      <c r="G46" s="63"/>
    </row>
    <row r="47" spans="1:7" x14ac:dyDescent="0.2">
      <c r="A47" s="44"/>
      <c r="B47" s="44" t="s">
        <v>139</v>
      </c>
      <c r="C47" s="46"/>
      <c r="D47" s="274">
        <f>ROUND(D46/C46,4)</f>
        <v>0.153</v>
      </c>
      <c r="E47" s="274">
        <f>1-D47</f>
        <v>0.84699999999999998</v>
      </c>
      <c r="G47" s="63"/>
    </row>
    <row r="48" spans="1:7" x14ac:dyDescent="0.2">
      <c r="A48" s="44"/>
      <c r="B48" s="44"/>
      <c r="C48" s="46"/>
      <c r="D48" s="225"/>
      <c r="E48" s="215"/>
      <c r="G48" s="63"/>
    </row>
    <row r="49" spans="1:10" x14ac:dyDescent="0.2">
      <c r="A49" s="44"/>
      <c r="B49" s="44"/>
      <c r="C49" s="46"/>
      <c r="D49" s="225"/>
      <c r="E49" s="215"/>
      <c r="G49" s="63"/>
    </row>
    <row r="50" spans="1:10" x14ac:dyDescent="0.2">
      <c r="A50" s="426" t="s">
        <v>521</v>
      </c>
      <c r="B50" s="44"/>
      <c r="C50" s="421"/>
      <c r="D50" s="59"/>
      <c r="E50" s="59"/>
      <c r="G50" s="65"/>
    </row>
    <row r="51" spans="1:10" x14ac:dyDescent="0.2">
      <c r="A51" s="44"/>
      <c r="B51" s="44"/>
      <c r="C51" s="59"/>
      <c r="D51" s="59"/>
      <c r="E51" s="59"/>
      <c r="G51" s="63"/>
    </row>
    <row r="52" spans="1:10" x14ac:dyDescent="0.2">
      <c r="A52" s="44"/>
      <c r="B52" s="44" t="s">
        <v>527</v>
      </c>
      <c r="C52" s="52">
        <f>D52+E52</f>
        <v>707286110</v>
      </c>
      <c r="D52" s="417">
        <v>74457613</v>
      </c>
      <c r="E52" s="417">
        <v>632828497</v>
      </c>
      <c r="G52" s="52"/>
      <c r="H52" s="52"/>
      <c r="I52" s="52"/>
      <c r="J52" s="420"/>
    </row>
    <row r="53" spans="1:10" x14ac:dyDescent="0.2">
      <c r="A53" s="44"/>
      <c r="B53" s="44" t="s">
        <v>139</v>
      </c>
      <c r="C53" s="59"/>
      <c r="D53" s="274">
        <f>ROUND(D52/C52,4)</f>
        <v>0.1053</v>
      </c>
      <c r="E53" s="274">
        <f>1-D53</f>
        <v>0.89470000000000005</v>
      </c>
      <c r="G53" s="59"/>
      <c r="H53" s="132"/>
      <c r="I53" s="132"/>
      <c r="J53" s="129"/>
    </row>
    <row r="54" spans="1:10" x14ac:dyDescent="0.2">
      <c r="A54" s="44"/>
      <c r="B54" s="44"/>
      <c r="C54" s="59"/>
      <c r="D54" s="59"/>
      <c r="E54" s="59"/>
      <c r="G54" s="59"/>
      <c r="H54" s="427"/>
      <c r="I54" s="421"/>
      <c r="J54" s="59"/>
    </row>
    <row r="55" spans="1:10" x14ac:dyDescent="0.2">
      <c r="A55" s="44"/>
      <c r="B55" s="44" t="s">
        <v>223</v>
      </c>
      <c r="C55" s="52">
        <f>D55+E55</f>
        <v>757920725</v>
      </c>
      <c r="D55" s="417">
        <v>75761489</v>
      </c>
      <c r="E55" s="417">
        <v>682159236</v>
      </c>
      <c r="G55" s="52"/>
      <c r="H55" s="52"/>
      <c r="I55" s="52"/>
      <c r="J55" s="428"/>
    </row>
    <row r="56" spans="1:10" x14ac:dyDescent="0.2">
      <c r="A56" s="44"/>
      <c r="B56" s="44" t="s">
        <v>139</v>
      </c>
      <c r="C56" s="46"/>
      <c r="D56" s="274">
        <f>ROUND(D55/C55,4)</f>
        <v>0.1</v>
      </c>
      <c r="E56" s="274">
        <f>1-D56</f>
        <v>0.9</v>
      </c>
      <c r="G56" s="46"/>
      <c r="H56" s="132"/>
      <c r="I56" s="132"/>
      <c r="J56" s="129"/>
    </row>
    <row r="57" spans="1:10" x14ac:dyDescent="0.2">
      <c r="A57" s="44"/>
      <c r="B57" s="44"/>
      <c r="C57" s="429"/>
      <c r="D57" s="215"/>
      <c r="E57" s="215"/>
      <c r="G57" s="430"/>
      <c r="I57" s="46"/>
      <c r="J57" s="431"/>
    </row>
    <row r="58" spans="1:10" x14ac:dyDescent="0.2">
      <c r="A58" s="44"/>
      <c r="B58" s="44" t="s">
        <v>224</v>
      </c>
      <c r="C58" s="52">
        <f>D58+E58</f>
        <v>1139020655</v>
      </c>
      <c r="D58" s="417">
        <v>96359078</v>
      </c>
      <c r="E58" s="417">
        <v>1042661577</v>
      </c>
      <c r="G58" s="52"/>
      <c r="H58" s="52"/>
      <c r="I58" s="52"/>
      <c r="J58" s="420"/>
    </row>
    <row r="59" spans="1:10" x14ac:dyDescent="0.2">
      <c r="A59" s="44"/>
      <c r="B59" s="44" t="s">
        <v>139</v>
      </c>
      <c r="C59" s="46"/>
      <c r="D59" s="274">
        <f>ROUND(D58/C58,4)</f>
        <v>8.4599999999999995E-2</v>
      </c>
      <c r="E59" s="274">
        <f>1-D59</f>
        <v>0.91539999999999999</v>
      </c>
      <c r="G59" s="46"/>
      <c r="H59" s="132"/>
      <c r="I59" s="132"/>
      <c r="J59" s="129"/>
    </row>
    <row r="60" spans="1:10" x14ac:dyDescent="0.2">
      <c r="A60" s="44"/>
      <c r="B60" s="44"/>
      <c r="C60" s="59"/>
      <c r="D60" s="59"/>
      <c r="E60" s="59"/>
      <c r="G60" s="63"/>
    </row>
    <row r="61" spans="1:10" hidden="1" x14ac:dyDescent="0.2">
      <c r="A61" s="44"/>
      <c r="B61" s="44"/>
      <c r="C61" s="59"/>
      <c r="D61" s="59"/>
      <c r="E61" s="59"/>
      <c r="G61" s="63"/>
    </row>
    <row r="62" spans="1:10" hidden="1" x14ac:dyDescent="0.2">
      <c r="A62" s="44"/>
      <c r="B62" s="44"/>
      <c r="C62" s="59"/>
      <c r="D62" s="59"/>
      <c r="E62" s="59"/>
      <c r="G62" s="63"/>
    </row>
    <row r="63" spans="1:10" x14ac:dyDescent="0.2">
      <c r="A63" s="44"/>
      <c r="B63" s="44"/>
      <c r="C63" s="59"/>
      <c r="D63" s="59"/>
      <c r="E63" s="59"/>
      <c r="G63" s="63"/>
    </row>
    <row r="64" spans="1:10" x14ac:dyDescent="0.2">
      <c r="A64" s="44"/>
      <c r="B64" s="44"/>
      <c r="C64" s="59"/>
      <c r="D64" s="59"/>
      <c r="E64" s="59"/>
      <c r="G64" s="63"/>
    </row>
    <row r="65" spans="1:7" x14ac:dyDescent="0.2">
      <c r="A65" s="44" t="s">
        <v>226</v>
      </c>
      <c r="B65" s="44"/>
      <c r="C65" s="59"/>
      <c r="D65" s="59"/>
      <c r="E65" s="59"/>
      <c r="G65" s="63"/>
    </row>
    <row r="66" spans="1:7" x14ac:dyDescent="0.2">
      <c r="A66" s="44"/>
      <c r="B66" s="44" t="s">
        <v>227</v>
      </c>
      <c r="C66" s="59"/>
      <c r="D66" s="432">
        <f>D97</f>
        <v>0.1177</v>
      </c>
      <c r="E66" s="274">
        <f>1-D66</f>
        <v>0.88229999999999997</v>
      </c>
      <c r="G66" s="63"/>
    </row>
    <row r="67" spans="1:7" x14ac:dyDescent="0.2">
      <c r="A67" s="44"/>
      <c r="B67" s="44" t="s">
        <v>229</v>
      </c>
      <c r="C67" s="59"/>
      <c r="D67" s="432">
        <v>0.1077</v>
      </c>
      <c r="E67" s="274">
        <f>1-D67</f>
        <v>0.89229999999999998</v>
      </c>
      <c r="G67" s="63"/>
    </row>
    <row r="68" spans="1:7" x14ac:dyDescent="0.2">
      <c r="A68" s="44"/>
      <c r="B68" s="44" t="s">
        <v>231</v>
      </c>
      <c r="C68" s="31"/>
      <c r="D68" s="433">
        <f>D11</f>
        <v>0.1119</v>
      </c>
      <c r="E68" s="434">
        <f>1-D68</f>
        <v>0.8881</v>
      </c>
      <c r="G68" s="63"/>
    </row>
    <row r="69" spans="1:7" x14ac:dyDescent="0.2">
      <c r="A69" s="44"/>
      <c r="B69" s="44"/>
      <c r="C69" s="59"/>
      <c r="D69" s="432"/>
      <c r="E69" s="59"/>
      <c r="G69" s="63"/>
    </row>
    <row r="70" spans="1:7" x14ac:dyDescent="0.2">
      <c r="A70" s="44"/>
      <c r="B70" s="44" t="s">
        <v>233</v>
      </c>
      <c r="C70" s="59"/>
      <c r="D70" s="432">
        <f>ROUND(AVERAGE(D66:D68),4)</f>
        <v>0.1124</v>
      </c>
      <c r="E70" s="432">
        <f>ROUND(AVERAGE(E66:E68),4)</f>
        <v>0.88759999999999994</v>
      </c>
      <c r="G70" s="63"/>
    </row>
    <row r="71" spans="1:7" x14ac:dyDescent="0.2">
      <c r="A71" s="44"/>
      <c r="B71" s="44"/>
      <c r="C71" s="59"/>
      <c r="D71" s="59"/>
      <c r="E71" s="59"/>
      <c r="G71" s="63"/>
    </row>
    <row r="72" spans="1:7" x14ac:dyDescent="0.2">
      <c r="A72" s="44"/>
      <c r="B72" s="44"/>
      <c r="C72" s="59"/>
      <c r="D72" s="59"/>
      <c r="E72" s="46"/>
      <c r="F72" s="59"/>
      <c r="G72" s="63"/>
    </row>
    <row r="73" spans="1:7" x14ac:dyDescent="0.2">
      <c r="A73" s="51" t="s">
        <v>236</v>
      </c>
      <c r="B73" s="51"/>
      <c r="C73" s="52"/>
      <c r="D73" s="52"/>
      <c r="E73" s="52"/>
      <c r="F73" s="52"/>
      <c r="G73" s="66"/>
    </row>
    <row r="74" spans="1:7" x14ac:dyDescent="0.2">
      <c r="A74" s="51"/>
      <c r="B74" s="51"/>
      <c r="C74" s="52"/>
      <c r="D74" s="52"/>
      <c r="E74" s="52"/>
      <c r="F74" s="52"/>
      <c r="G74" s="66"/>
    </row>
    <row r="75" spans="1:7" x14ac:dyDescent="0.2">
      <c r="A75" s="54" t="s">
        <v>522</v>
      </c>
      <c r="B75" s="51"/>
      <c r="C75" s="53" t="s">
        <v>10</v>
      </c>
      <c r="D75" s="53" t="s">
        <v>11</v>
      </c>
      <c r="E75" s="53" t="s">
        <v>12</v>
      </c>
      <c r="G75" s="68"/>
    </row>
    <row r="76" spans="1:7" x14ac:dyDescent="0.2">
      <c r="A76" s="44"/>
      <c r="B76" s="51"/>
      <c r="C76" s="52"/>
      <c r="D76" s="52"/>
      <c r="E76" s="52"/>
      <c r="G76" s="63"/>
    </row>
    <row r="77" spans="1:7" x14ac:dyDescent="0.2">
      <c r="A77" s="44"/>
      <c r="B77" s="51" t="s">
        <v>239</v>
      </c>
      <c r="C77" s="52">
        <f>D77+E77</f>
        <v>84795.27</v>
      </c>
      <c r="D77" s="435">
        <v>447</v>
      </c>
      <c r="E77" s="435">
        <v>84348.27</v>
      </c>
      <c r="F77" s="136"/>
      <c r="G77" s="63"/>
    </row>
    <row r="78" spans="1:7" x14ac:dyDescent="0.2">
      <c r="A78" s="44"/>
      <c r="B78" s="51" t="s">
        <v>241</v>
      </c>
      <c r="C78" s="52">
        <f>D78+E78</f>
        <v>675198</v>
      </c>
      <c r="D78" s="417"/>
      <c r="E78" s="417">
        <v>675198</v>
      </c>
      <c r="F78" s="136"/>
      <c r="G78" s="63"/>
    </row>
    <row r="79" spans="1:7" x14ac:dyDescent="0.2">
      <c r="A79" s="44"/>
      <c r="B79" s="51" t="s">
        <v>243</v>
      </c>
      <c r="C79" s="52">
        <f>D79+E79</f>
        <v>182352775.12999994</v>
      </c>
      <c r="D79" s="417">
        <v>1115001.07</v>
      </c>
      <c r="E79" s="417">
        <v>181237774.05999994</v>
      </c>
      <c r="F79" s="136"/>
      <c r="G79" s="63"/>
    </row>
    <row r="80" spans="1:7" x14ac:dyDescent="0.2">
      <c r="A80" s="44"/>
      <c r="B80" s="51" t="s">
        <v>244</v>
      </c>
      <c r="C80" s="52">
        <f>D80+E80</f>
        <v>2264469663.54</v>
      </c>
      <c r="D80" s="417">
        <v>292099080.66000003</v>
      </c>
      <c r="E80" s="417">
        <v>1972370582.8800001</v>
      </c>
      <c r="F80" s="136"/>
      <c r="G80" s="63"/>
    </row>
    <row r="81" spans="1:7" x14ac:dyDescent="0.2">
      <c r="A81" s="51"/>
      <c r="B81" s="51"/>
      <c r="C81" s="52"/>
      <c r="D81" s="52"/>
      <c r="E81" s="52"/>
      <c r="F81" s="67"/>
      <c r="G81" s="66"/>
    </row>
    <row r="82" spans="1:7" x14ac:dyDescent="0.2">
      <c r="A82" s="54" t="s">
        <v>523</v>
      </c>
      <c r="B82" s="51"/>
      <c r="C82" s="53" t="s">
        <v>10</v>
      </c>
      <c r="D82" s="53" t="s">
        <v>11</v>
      </c>
      <c r="E82" s="53" t="s">
        <v>12</v>
      </c>
      <c r="F82" s="47"/>
      <c r="G82" s="68"/>
    </row>
    <row r="83" spans="1:7" x14ac:dyDescent="0.2">
      <c r="A83" s="54"/>
      <c r="B83" s="51"/>
      <c r="C83" s="52"/>
      <c r="D83" s="52"/>
      <c r="E83" s="52"/>
      <c r="F83" s="299"/>
      <c r="G83" s="63"/>
    </row>
    <row r="84" spans="1:7" x14ac:dyDescent="0.2">
      <c r="A84" s="44"/>
      <c r="B84" s="51" t="s">
        <v>248</v>
      </c>
      <c r="C84" s="52">
        <f>D84+E84</f>
        <v>84795.27</v>
      </c>
      <c r="D84" s="435">
        <v>447</v>
      </c>
      <c r="E84" s="435">
        <v>84348.27</v>
      </c>
      <c r="F84" s="299"/>
      <c r="G84" s="63"/>
    </row>
    <row r="85" spans="1:7" x14ac:dyDescent="0.2">
      <c r="A85" s="44"/>
      <c r="B85" s="51" t="s">
        <v>241</v>
      </c>
      <c r="C85" s="52">
        <f>D85+E85</f>
        <v>675198</v>
      </c>
      <c r="D85" s="417"/>
      <c r="E85" s="417">
        <v>675198</v>
      </c>
      <c r="F85" s="299"/>
      <c r="G85" s="63"/>
    </row>
    <row r="86" spans="1:7" x14ac:dyDescent="0.2">
      <c r="A86" s="44"/>
      <c r="B86" s="51" t="s">
        <v>243</v>
      </c>
      <c r="C86" s="52">
        <f>D86+E86</f>
        <v>166587143.39999995</v>
      </c>
      <c r="D86" s="417">
        <v>1114673.6699999997</v>
      </c>
      <c r="E86" s="417">
        <v>165472469.72999996</v>
      </c>
      <c r="F86" s="299"/>
      <c r="G86" s="63"/>
    </row>
    <row r="87" spans="1:7" x14ac:dyDescent="0.2">
      <c r="A87" s="44"/>
      <c r="B87" s="51" t="s">
        <v>244</v>
      </c>
      <c r="C87" s="52">
        <f>D87+E87</f>
        <v>2161775493.0299997</v>
      </c>
      <c r="D87" s="417">
        <v>267685383.40000004</v>
      </c>
      <c r="E87" s="417">
        <v>1894090109.6299999</v>
      </c>
      <c r="F87" s="299"/>
      <c r="G87" s="63"/>
    </row>
    <row r="88" spans="1:7" x14ac:dyDescent="0.2">
      <c r="A88" s="51"/>
      <c r="B88" s="51"/>
      <c r="C88" s="52"/>
      <c r="D88" s="52"/>
      <c r="E88" s="52"/>
      <c r="F88" s="299"/>
      <c r="G88" s="66"/>
    </row>
    <row r="89" spans="1:7" x14ac:dyDescent="0.2">
      <c r="A89" s="54" t="s">
        <v>53</v>
      </c>
      <c r="B89" s="51"/>
      <c r="C89" s="53" t="s">
        <v>10</v>
      </c>
      <c r="D89" s="53" t="s">
        <v>11</v>
      </c>
      <c r="E89" s="53" t="s">
        <v>12</v>
      </c>
      <c r="G89" s="68"/>
    </row>
    <row r="90" spans="1:7" x14ac:dyDescent="0.2">
      <c r="A90" s="44"/>
      <c r="B90" s="51"/>
      <c r="C90" s="52"/>
      <c r="D90" s="52"/>
      <c r="E90" s="52"/>
      <c r="G90" s="63"/>
    </row>
    <row r="91" spans="1:7" x14ac:dyDescent="0.2">
      <c r="A91" s="44"/>
      <c r="B91" s="51" t="s">
        <v>239</v>
      </c>
      <c r="C91" s="52">
        <f>+E91+D91</f>
        <v>84795.27</v>
      </c>
      <c r="D91" s="52">
        <f t="shared" ref="D91:E94" si="0">(+D84+D77)/2</f>
        <v>447</v>
      </c>
      <c r="E91" s="52">
        <f t="shared" si="0"/>
        <v>84348.27</v>
      </c>
      <c r="G91" s="63"/>
    </row>
    <row r="92" spans="1:7" x14ac:dyDescent="0.2">
      <c r="A92" s="44"/>
      <c r="B92" s="51" t="s">
        <v>241</v>
      </c>
      <c r="C92" s="52">
        <f>+E92+D92</f>
        <v>675198</v>
      </c>
      <c r="D92" s="52">
        <f t="shared" si="0"/>
        <v>0</v>
      </c>
      <c r="E92" s="52">
        <f t="shared" si="0"/>
        <v>675198</v>
      </c>
      <c r="G92" s="63"/>
    </row>
    <row r="93" spans="1:7" x14ac:dyDescent="0.2">
      <c r="A93" s="44"/>
      <c r="B93" s="51" t="s">
        <v>243</v>
      </c>
      <c r="C93" s="52">
        <f>+E93+D93</f>
        <v>174469959.26499996</v>
      </c>
      <c r="D93" s="52">
        <f t="shared" si="0"/>
        <v>1114837.3699999999</v>
      </c>
      <c r="E93" s="52">
        <f t="shared" si="0"/>
        <v>173355121.89499995</v>
      </c>
      <c r="G93" s="63"/>
    </row>
    <row r="94" spans="1:7" x14ac:dyDescent="0.2">
      <c r="A94" s="44"/>
      <c r="B94" s="51" t="s">
        <v>244</v>
      </c>
      <c r="C94" s="52">
        <f>+E94+D94</f>
        <v>2213122578.2850003</v>
      </c>
      <c r="D94" s="52">
        <f t="shared" si="0"/>
        <v>279892232.03000003</v>
      </c>
      <c r="E94" s="52">
        <f t="shared" si="0"/>
        <v>1933230346.2550001</v>
      </c>
      <c r="G94" s="63"/>
    </row>
    <row r="95" spans="1:7" x14ac:dyDescent="0.2">
      <c r="A95" s="51"/>
      <c r="B95" s="51"/>
      <c r="C95" s="52"/>
      <c r="D95" s="52"/>
      <c r="E95" s="52"/>
      <c r="G95" s="66"/>
    </row>
    <row r="96" spans="1:7" x14ac:dyDescent="0.2">
      <c r="A96" s="51" t="s">
        <v>227</v>
      </c>
      <c r="B96" s="51"/>
      <c r="C96" s="52">
        <f>SUM(C91:C95)</f>
        <v>2388352530.8200002</v>
      </c>
      <c r="D96" s="52">
        <f>SUM(D91:D95)</f>
        <v>281007516.40000004</v>
      </c>
      <c r="E96" s="52">
        <f>SUM(E91:E95)</f>
        <v>2107345014.4200001</v>
      </c>
      <c r="G96" s="66"/>
    </row>
    <row r="97" spans="1:7" x14ac:dyDescent="0.2">
      <c r="A97" s="44"/>
      <c r="B97" s="44" t="s">
        <v>139</v>
      </c>
      <c r="C97" s="52"/>
      <c r="D97" s="132">
        <f>ROUND(D96/C96,4)</f>
        <v>0.1177</v>
      </c>
      <c r="E97" s="132">
        <f>1-D97</f>
        <v>0.88229999999999997</v>
      </c>
      <c r="G97" s="63"/>
    </row>
    <row r="98" spans="1:7" x14ac:dyDescent="0.2">
      <c r="A98" s="44"/>
      <c r="B98" s="44"/>
      <c r="C98" s="52"/>
      <c r="D98" s="132"/>
      <c r="E98" s="132"/>
      <c r="G98" s="63"/>
    </row>
    <row r="99" spans="1:7" x14ac:dyDescent="0.2">
      <c r="A99" s="44"/>
      <c r="B99" s="44"/>
      <c r="C99" s="52"/>
      <c r="D99" s="132"/>
      <c r="E99" s="132"/>
      <c r="G99" s="63"/>
    </row>
    <row r="100" spans="1:7" x14ac:dyDescent="0.2">
      <c r="A100" s="44"/>
      <c r="B100" s="44"/>
      <c r="C100" s="52"/>
      <c r="D100" s="132"/>
      <c r="E100" s="132"/>
      <c r="G100" s="63"/>
    </row>
    <row r="101" spans="1:7" x14ac:dyDescent="0.2">
      <c r="A101" s="44"/>
      <c r="B101" s="44"/>
      <c r="C101" s="52"/>
      <c r="D101" s="132"/>
      <c r="E101" s="132"/>
      <c r="G101" s="63"/>
    </row>
    <row r="102" spans="1:7" x14ac:dyDescent="0.2">
      <c r="A102" s="44"/>
      <c r="B102" s="51"/>
      <c r="C102" s="52"/>
      <c r="D102" s="52"/>
      <c r="E102" s="52"/>
      <c r="G102" s="63"/>
    </row>
    <row r="103" spans="1:7" x14ac:dyDescent="0.2">
      <c r="A103" s="55" t="s">
        <v>323</v>
      </c>
      <c r="B103" s="56"/>
      <c r="C103" s="49" t="s">
        <v>11</v>
      </c>
      <c r="D103" s="69" t="s">
        <v>12</v>
      </c>
      <c r="E103" s="57"/>
      <c r="G103" s="65"/>
    </row>
    <row r="104" spans="1:7" x14ac:dyDescent="0.2">
      <c r="A104" s="58"/>
      <c r="B104" s="48"/>
      <c r="C104" s="436"/>
      <c r="D104" s="59"/>
      <c r="E104" s="59"/>
      <c r="G104" s="45"/>
    </row>
    <row r="105" spans="1:7" x14ac:dyDescent="0.2">
      <c r="A105" s="58"/>
      <c r="B105" s="50" t="s">
        <v>72</v>
      </c>
      <c r="C105" s="62">
        <f>ROUND(D11,4)</f>
        <v>0.1119</v>
      </c>
      <c r="D105" s="62">
        <f t="shared" ref="D105:D115" si="1">1-C105</f>
        <v>0.8881</v>
      </c>
      <c r="E105" s="437"/>
      <c r="F105" s="438"/>
      <c r="G105" s="438"/>
    </row>
    <row r="106" spans="1:7" x14ac:dyDescent="0.2">
      <c r="A106" s="58"/>
      <c r="B106" s="50" t="s">
        <v>355</v>
      </c>
      <c r="C106" s="62">
        <f>ROUND(D17,4)</f>
        <v>0.1128</v>
      </c>
      <c r="D106" s="62">
        <f t="shared" si="1"/>
        <v>0.88719999999999999</v>
      </c>
      <c r="E106" s="437"/>
      <c r="F106" s="438"/>
      <c r="G106" s="438"/>
    </row>
    <row r="107" spans="1:7" x14ac:dyDescent="0.2">
      <c r="A107" s="58"/>
      <c r="B107" s="50" t="s">
        <v>356</v>
      </c>
      <c r="C107" s="62">
        <f>ROUND(D23,4)</f>
        <v>0.1032</v>
      </c>
      <c r="D107" s="62">
        <f t="shared" si="1"/>
        <v>0.89680000000000004</v>
      </c>
      <c r="E107" s="437"/>
      <c r="F107" s="438"/>
      <c r="G107" s="438"/>
    </row>
    <row r="108" spans="1:7" x14ac:dyDescent="0.2">
      <c r="A108" s="58"/>
      <c r="B108" s="50" t="s">
        <v>357</v>
      </c>
      <c r="C108" s="62">
        <f>ROUND(D29,4)</f>
        <v>8.4099999999999994E-2</v>
      </c>
      <c r="D108" s="62">
        <f t="shared" si="1"/>
        <v>0.91590000000000005</v>
      </c>
      <c r="E108" s="437"/>
      <c r="F108" s="438"/>
      <c r="G108" s="438"/>
    </row>
    <row r="109" spans="1:7" x14ac:dyDescent="0.2">
      <c r="A109" s="58"/>
      <c r="B109" s="50" t="s">
        <v>259</v>
      </c>
      <c r="C109" s="62">
        <f>ROUND(D35,4)</f>
        <v>0.25209999999999999</v>
      </c>
      <c r="D109" s="62">
        <f t="shared" si="1"/>
        <v>0.74790000000000001</v>
      </c>
      <c r="E109" s="437"/>
      <c r="F109" s="438"/>
      <c r="G109" s="438"/>
    </row>
    <row r="110" spans="1:7" x14ac:dyDescent="0.2">
      <c r="A110" s="58"/>
      <c r="B110" s="50" t="s">
        <v>136</v>
      </c>
      <c r="C110" s="62">
        <f>ROUND(D70,4)</f>
        <v>0.1124</v>
      </c>
      <c r="D110" s="62">
        <f t="shared" si="1"/>
        <v>0.88759999999999994</v>
      </c>
      <c r="E110" s="437"/>
      <c r="F110" s="438"/>
      <c r="G110" s="438"/>
    </row>
    <row r="111" spans="1:7" x14ac:dyDescent="0.2">
      <c r="A111" s="58"/>
      <c r="B111" s="50" t="s">
        <v>528</v>
      </c>
      <c r="C111" s="62">
        <f>ROUND(D53,4)</f>
        <v>0.1053</v>
      </c>
      <c r="D111" s="62">
        <f t="shared" si="1"/>
        <v>0.89470000000000005</v>
      </c>
      <c r="E111" s="437"/>
      <c r="F111" s="438"/>
      <c r="G111" s="438"/>
    </row>
    <row r="112" spans="1:7" x14ac:dyDescent="0.2">
      <c r="A112" s="58"/>
      <c r="B112" s="50" t="s">
        <v>260</v>
      </c>
      <c r="C112" s="62">
        <f>ROUND(D56,4)</f>
        <v>0.1</v>
      </c>
      <c r="D112" s="62">
        <f t="shared" si="1"/>
        <v>0.9</v>
      </c>
      <c r="E112" s="437"/>
      <c r="F112" s="438"/>
      <c r="G112" s="438"/>
    </row>
    <row r="113" spans="1:8" x14ac:dyDescent="0.2">
      <c r="A113" s="58"/>
      <c r="B113" s="50" t="s">
        <v>261</v>
      </c>
      <c r="C113" s="62">
        <f>ROUND(D59,4)</f>
        <v>8.4599999999999995E-2</v>
      </c>
      <c r="D113" s="62">
        <f t="shared" si="1"/>
        <v>0.91539999999999999</v>
      </c>
      <c r="E113" s="437"/>
      <c r="F113" s="438"/>
      <c r="G113" s="438"/>
    </row>
    <row r="114" spans="1:8" x14ac:dyDescent="0.2">
      <c r="A114" s="58"/>
      <c r="B114" s="50" t="s">
        <v>262</v>
      </c>
      <c r="C114" s="62">
        <f>ROUND((+C112+C113)/2,4)</f>
        <v>9.2299999999999993E-2</v>
      </c>
      <c r="D114" s="219">
        <f t="shared" si="1"/>
        <v>0.90769999999999995</v>
      </c>
      <c r="E114" s="437"/>
      <c r="F114" s="438"/>
      <c r="G114" s="438"/>
    </row>
    <row r="115" spans="1:8" x14ac:dyDescent="0.2">
      <c r="A115" s="58"/>
      <c r="B115" s="50" t="s">
        <v>358</v>
      </c>
      <c r="C115" s="62">
        <f>D41</f>
        <v>0.15340000000000001</v>
      </c>
      <c r="D115" s="62">
        <f t="shared" si="1"/>
        <v>0.84660000000000002</v>
      </c>
      <c r="E115" s="437"/>
      <c r="F115" s="438"/>
      <c r="G115" s="438"/>
    </row>
    <row r="116" spans="1:8" x14ac:dyDescent="0.2">
      <c r="A116" s="58"/>
      <c r="B116" s="50" t="s">
        <v>359</v>
      </c>
      <c r="C116" s="62">
        <f>ROUND(C115*0.8,5)</f>
        <v>0.12272</v>
      </c>
      <c r="D116" s="62">
        <f>ROUND(0.2+D115*0.8,4)</f>
        <v>0.87729999999999997</v>
      </c>
      <c r="E116" s="437"/>
      <c r="F116" s="438"/>
      <c r="G116" s="438"/>
    </row>
    <row r="117" spans="1:8" x14ac:dyDescent="0.2">
      <c r="A117" s="58"/>
      <c r="B117" s="50" t="s">
        <v>360</v>
      </c>
      <c r="C117" s="62">
        <f>D47</f>
        <v>0.153</v>
      </c>
      <c r="D117" s="62">
        <f>1-C117</f>
        <v>0.84699999999999998</v>
      </c>
      <c r="E117" s="437"/>
      <c r="F117" s="438"/>
      <c r="G117" s="438"/>
    </row>
    <row r="118" spans="1:8" x14ac:dyDescent="0.2">
      <c r="A118" s="58"/>
      <c r="B118" s="50" t="s">
        <v>36</v>
      </c>
      <c r="C118" s="309">
        <v>0.1043</v>
      </c>
      <c r="D118" s="62">
        <f t="shared" ref="D118:D125" si="2">1-C118</f>
        <v>0.89569999999999994</v>
      </c>
      <c r="E118" s="437"/>
      <c r="F118" s="438"/>
      <c r="G118" s="438"/>
    </row>
    <row r="119" spans="1:8" x14ac:dyDescent="0.2">
      <c r="A119" s="58"/>
      <c r="B119" s="50" t="s">
        <v>361</v>
      </c>
      <c r="C119" s="309">
        <v>0.13120000000000001</v>
      </c>
      <c r="D119" s="62">
        <f t="shared" si="2"/>
        <v>0.86880000000000002</v>
      </c>
      <c r="E119" s="437"/>
      <c r="F119" s="438"/>
      <c r="G119" s="438"/>
    </row>
    <row r="120" spans="1:8" x14ac:dyDescent="0.2">
      <c r="A120" s="58"/>
      <c r="B120" s="44" t="s">
        <v>201</v>
      </c>
      <c r="C120" s="309">
        <v>0.10765</v>
      </c>
      <c r="D120" s="62">
        <f t="shared" si="2"/>
        <v>0.89234999999999998</v>
      </c>
      <c r="E120" s="437"/>
      <c r="F120" s="438"/>
      <c r="G120" s="438"/>
    </row>
    <row r="121" spans="1:8" x14ac:dyDescent="0.2">
      <c r="A121" s="58"/>
      <c r="B121" s="48" t="s">
        <v>264</v>
      </c>
      <c r="C121" s="219">
        <v>0.30000000000000004</v>
      </c>
      <c r="D121" s="62">
        <f t="shared" si="2"/>
        <v>0.7</v>
      </c>
      <c r="E121" s="437"/>
      <c r="F121" s="438"/>
      <c r="G121" s="438"/>
    </row>
    <row r="122" spans="1:8" x14ac:dyDescent="0.2">
      <c r="A122" s="58"/>
      <c r="B122" s="48" t="s">
        <v>266</v>
      </c>
      <c r="C122" s="219">
        <v>0.12766</v>
      </c>
      <c r="D122" s="62">
        <f t="shared" si="2"/>
        <v>0.87234</v>
      </c>
      <c r="E122" s="437"/>
      <c r="F122" s="438"/>
      <c r="G122" s="438"/>
    </row>
    <row r="123" spans="1:8" x14ac:dyDescent="0.2">
      <c r="A123" s="58"/>
      <c r="B123" s="50" t="s">
        <v>267</v>
      </c>
      <c r="C123" s="219">
        <v>1</v>
      </c>
      <c r="D123" s="62">
        <f t="shared" si="2"/>
        <v>0</v>
      </c>
      <c r="E123" s="437"/>
      <c r="F123" s="438"/>
      <c r="G123" s="438"/>
    </row>
    <row r="124" spans="1:8" x14ac:dyDescent="0.2">
      <c r="A124" s="58"/>
      <c r="B124" s="50" t="s">
        <v>268</v>
      </c>
      <c r="C124" s="219">
        <v>0</v>
      </c>
      <c r="D124" s="62">
        <f t="shared" si="2"/>
        <v>1</v>
      </c>
      <c r="E124" s="437"/>
      <c r="F124" s="438"/>
      <c r="G124" s="438"/>
    </row>
    <row r="125" spans="1:8" x14ac:dyDescent="0.2">
      <c r="A125" s="58"/>
      <c r="B125" s="48" t="s">
        <v>269</v>
      </c>
      <c r="C125" s="62">
        <f>D97</f>
        <v>0.1177</v>
      </c>
      <c r="D125" s="62">
        <f t="shared" si="2"/>
        <v>0.88229999999999997</v>
      </c>
      <c r="E125" s="437"/>
      <c r="F125" s="438"/>
      <c r="G125" s="438"/>
    </row>
    <row r="126" spans="1:8" x14ac:dyDescent="0.2">
      <c r="A126" s="58"/>
      <c r="B126" s="48"/>
      <c r="C126" s="70"/>
      <c r="D126" s="59"/>
      <c r="E126" s="437"/>
      <c r="F126" s="70"/>
      <c r="G126" s="438"/>
    </row>
    <row r="127" spans="1:8" x14ac:dyDescent="0.2">
      <c r="A127" s="60"/>
      <c r="B127" s="61" t="s">
        <v>270</v>
      </c>
      <c r="C127" s="119">
        <f>ROUND(1-'Other Rev, Dep &amp; Other Tax'!B32,4)</f>
        <v>0.1132</v>
      </c>
      <c r="D127" s="309">
        <f>1-C127</f>
        <v>0.88680000000000003</v>
      </c>
      <c r="E127" s="437"/>
      <c r="F127" s="132"/>
      <c r="G127" s="438"/>
    </row>
    <row r="128" spans="1:8" x14ac:dyDescent="0.2">
      <c r="A128" s="60"/>
      <c r="B128" s="61" t="s">
        <v>238</v>
      </c>
      <c r="C128" s="62">
        <f>ROUND('Rate Base'!E145,4)</f>
        <v>0.12189999999999999</v>
      </c>
      <c r="D128" s="119">
        <f>1-C128</f>
        <v>0.87809999999999999</v>
      </c>
      <c r="E128" s="437"/>
      <c r="F128" s="438"/>
      <c r="G128" s="438"/>
      <c r="H128" s="439"/>
    </row>
    <row r="129" spans="7:7" x14ac:dyDescent="0.2">
      <c r="G129" s="45"/>
    </row>
    <row r="130" spans="7:7" x14ac:dyDescent="0.2">
      <c r="G130" s="45"/>
    </row>
    <row r="131" spans="7:7" x14ac:dyDescent="0.2">
      <c r="G131" s="45"/>
    </row>
    <row r="132" spans="7:7" x14ac:dyDescent="0.2">
      <c r="G132" s="63"/>
    </row>
  </sheetData>
  <phoneticPr fontId="0" type="noConversion"/>
  <printOptions horizontalCentered="1"/>
  <pageMargins left="0.5" right="0.5" top="0.5" bottom="0.5" header="0.25" footer="0.25"/>
  <pageSetup scale="99" fitToHeight="0" orientation="portrait" r:id="rId1"/>
  <headerFooter alignWithMargins="0"/>
  <rowBreaks count="2" manualBreakCount="2">
    <brk id="49" max="16383" man="1"/>
    <brk id="97" max="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R190"/>
  <sheetViews>
    <sheetView showGridLines="0" zoomScale="85" zoomScaleNormal="85" zoomScaleSheetLayoutView="85" workbookViewId="0">
      <selection activeCell="G29" sqref="G29"/>
    </sheetView>
  </sheetViews>
  <sheetFormatPr defaultColWidth="9.140625" defaultRowHeight="12.75" x14ac:dyDescent="0.2"/>
  <cols>
    <col min="1" max="1" width="8.7109375" style="292" customWidth="1"/>
    <col min="2" max="2" width="26.28515625" style="292" customWidth="1"/>
    <col min="3" max="3" width="10.7109375" style="292" customWidth="1"/>
    <col min="4" max="17" width="16.7109375" style="292" customWidth="1"/>
    <col min="18" max="18" width="17.28515625" style="292" customWidth="1"/>
    <col min="19" max="31" width="14.7109375" style="292" customWidth="1"/>
    <col min="32" max="16384" width="9.140625" style="292"/>
  </cols>
  <sheetData>
    <row r="1" spans="1:18" x14ac:dyDescent="0.2">
      <c r="A1" s="440" t="s">
        <v>0</v>
      </c>
    </row>
    <row r="2" spans="1:18" x14ac:dyDescent="0.2">
      <c r="A2" s="440" t="s">
        <v>328</v>
      </c>
    </row>
    <row r="3" spans="1:18" x14ac:dyDescent="0.2">
      <c r="A3" s="440" t="s">
        <v>513</v>
      </c>
    </row>
    <row r="4" spans="1:18" x14ac:dyDescent="0.2">
      <c r="A4" s="440" t="s">
        <v>238</v>
      </c>
    </row>
    <row r="5" spans="1:18" x14ac:dyDescent="0.2">
      <c r="A5" s="445"/>
      <c r="B5" s="445"/>
      <c r="C5" s="445"/>
      <c r="D5" s="441">
        <v>2017</v>
      </c>
      <c r="E5" s="441">
        <f>D5+1</f>
        <v>2018</v>
      </c>
      <c r="F5" s="441">
        <f>$E$5</f>
        <v>2018</v>
      </c>
      <c r="G5" s="441">
        <f t="shared" ref="G5:P5" si="0">$E$5</f>
        <v>2018</v>
      </c>
      <c r="H5" s="441">
        <f t="shared" si="0"/>
        <v>2018</v>
      </c>
      <c r="I5" s="441">
        <f t="shared" si="0"/>
        <v>2018</v>
      </c>
      <c r="J5" s="441">
        <f t="shared" si="0"/>
        <v>2018</v>
      </c>
      <c r="K5" s="441">
        <f t="shared" si="0"/>
        <v>2018</v>
      </c>
      <c r="L5" s="441">
        <f t="shared" si="0"/>
        <v>2018</v>
      </c>
      <c r="M5" s="441">
        <f t="shared" si="0"/>
        <v>2018</v>
      </c>
      <c r="N5" s="441">
        <f t="shared" si="0"/>
        <v>2018</v>
      </c>
      <c r="O5" s="441">
        <f t="shared" si="0"/>
        <v>2018</v>
      </c>
      <c r="P5" s="441">
        <f t="shared" si="0"/>
        <v>2018</v>
      </c>
      <c r="Q5" s="441" t="s">
        <v>512</v>
      </c>
      <c r="R5" s="441"/>
    </row>
    <row r="6" spans="1:18" s="135" customFormat="1" x14ac:dyDescent="0.2">
      <c r="A6" s="442"/>
      <c r="B6" s="134"/>
      <c r="C6" s="134"/>
      <c r="D6" s="446" t="s">
        <v>365</v>
      </c>
      <c r="E6" s="446" t="s">
        <v>366</v>
      </c>
      <c r="F6" s="446" t="s">
        <v>367</v>
      </c>
      <c r="G6" s="446" t="s">
        <v>368</v>
      </c>
      <c r="H6" s="446" t="s">
        <v>369</v>
      </c>
      <c r="I6" s="446" t="s">
        <v>25</v>
      </c>
      <c r="J6" s="446" t="s">
        <v>26</v>
      </c>
      <c r="K6" s="446" t="s">
        <v>27</v>
      </c>
      <c r="L6" s="446" t="s">
        <v>28</v>
      </c>
      <c r="M6" s="446" t="s">
        <v>29</v>
      </c>
      <c r="N6" s="446" t="s">
        <v>30</v>
      </c>
      <c r="O6" s="446" t="s">
        <v>31</v>
      </c>
      <c r="P6" s="446" t="s">
        <v>20</v>
      </c>
      <c r="Q6" s="446" t="s">
        <v>413</v>
      </c>
      <c r="R6" s="446"/>
    </row>
    <row r="7" spans="1:18" x14ac:dyDescent="0.2">
      <c r="A7" s="447" t="s">
        <v>362</v>
      </c>
      <c r="B7" s="447"/>
      <c r="C7" s="447"/>
      <c r="D7" s="448"/>
      <c r="E7" s="448"/>
      <c r="F7" s="448"/>
      <c r="G7" s="448"/>
      <c r="H7" s="448"/>
      <c r="I7" s="448"/>
      <c r="J7" s="448"/>
      <c r="K7" s="448"/>
      <c r="L7" s="448"/>
      <c r="M7" s="448"/>
      <c r="N7" s="448"/>
      <c r="O7" s="448"/>
      <c r="P7" s="448"/>
      <c r="Q7" s="448"/>
      <c r="R7" s="448"/>
    </row>
    <row r="8" spans="1:18" x14ac:dyDescent="0.2">
      <c r="A8" s="184"/>
      <c r="B8" s="184"/>
      <c r="C8" s="184"/>
      <c r="D8" s="449" t="s">
        <v>10</v>
      </c>
      <c r="E8" s="449" t="s">
        <v>10</v>
      </c>
      <c r="F8" s="449" t="s">
        <v>10</v>
      </c>
      <c r="G8" s="449" t="s">
        <v>10</v>
      </c>
      <c r="H8" s="449" t="s">
        <v>10</v>
      </c>
      <c r="I8" s="449" t="s">
        <v>10</v>
      </c>
      <c r="J8" s="449" t="s">
        <v>10</v>
      </c>
      <c r="K8" s="449" t="s">
        <v>10</v>
      </c>
      <c r="L8" s="449" t="s">
        <v>10</v>
      </c>
      <c r="M8" s="449" t="s">
        <v>10</v>
      </c>
      <c r="N8" s="449" t="s">
        <v>10</v>
      </c>
      <c r="O8" s="449" t="s">
        <v>10</v>
      </c>
      <c r="P8" s="449" t="s">
        <v>10</v>
      </c>
      <c r="Q8" s="449" t="s">
        <v>10</v>
      </c>
      <c r="R8" s="450" t="s">
        <v>283</v>
      </c>
    </row>
    <row r="9" spans="1:18" x14ac:dyDescent="0.2">
      <c r="A9" s="451" t="s">
        <v>50</v>
      </c>
      <c r="B9" s="184"/>
      <c r="C9" s="184"/>
      <c r="D9" s="296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R9" s="296"/>
    </row>
    <row r="10" spans="1:18" x14ac:dyDescent="0.2">
      <c r="A10" s="184"/>
      <c r="B10" s="184"/>
      <c r="C10" s="184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</row>
    <row r="11" spans="1:18" x14ac:dyDescent="0.2">
      <c r="A11" s="184" t="s">
        <v>248</v>
      </c>
      <c r="B11" s="184"/>
      <c r="C11" s="184" t="s">
        <v>284</v>
      </c>
      <c r="D11" s="321">
        <v>105175573.62</v>
      </c>
      <c r="E11" s="321">
        <v>105211286.91000001</v>
      </c>
      <c r="F11" s="321">
        <v>105976732.03000002</v>
      </c>
      <c r="G11" s="321">
        <v>105934961.19000001</v>
      </c>
      <c r="H11" s="321">
        <v>105959177.52000001</v>
      </c>
      <c r="I11" s="321">
        <v>105958907.17000002</v>
      </c>
      <c r="J11" s="321">
        <v>106339618.55000001</v>
      </c>
      <c r="K11" s="321">
        <v>106349582.44000001</v>
      </c>
      <c r="L11" s="321">
        <v>106337337.65000001</v>
      </c>
      <c r="M11" s="321">
        <v>110918039.63000001</v>
      </c>
      <c r="N11" s="321">
        <v>117106962.03000002</v>
      </c>
      <c r="O11" s="321">
        <v>117131354.41000001</v>
      </c>
      <c r="P11" s="321">
        <v>117067789.20000002</v>
      </c>
      <c r="Q11" s="101">
        <f t="shared" ref="Q11:Q16" si="1">ROUND(((D11/2)+SUM(E11:O11)+(P11/2))/12,2)</f>
        <v>108695470.08</v>
      </c>
      <c r="R11" s="183" t="s">
        <v>49</v>
      </c>
    </row>
    <row r="12" spans="1:18" x14ac:dyDescent="0.2">
      <c r="A12" s="184"/>
      <c r="B12" s="184"/>
      <c r="C12" s="184" t="s">
        <v>285</v>
      </c>
      <c r="D12" s="321">
        <v>84795.27</v>
      </c>
      <c r="E12" s="321">
        <v>84795.27</v>
      </c>
      <c r="F12" s="321">
        <v>84795.27</v>
      </c>
      <c r="G12" s="321">
        <v>84795.27</v>
      </c>
      <c r="H12" s="321">
        <v>84795.27</v>
      </c>
      <c r="I12" s="321">
        <v>84795.27</v>
      </c>
      <c r="J12" s="321">
        <v>84795.27</v>
      </c>
      <c r="K12" s="321">
        <v>84795.27</v>
      </c>
      <c r="L12" s="321">
        <v>84795.27</v>
      </c>
      <c r="M12" s="321">
        <v>84795.27</v>
      </c>
      <c r="N12" s="321">
        <v>84795.27</v>
      </c>
      <c r="O12" s="321">
        <v>84795.27</v>
      </c>
      <c r="P12" s="321">
        <v>84795.27</v>
      </c>
      <c r="Q12" s="101">
        <f t="shared" si="1"/>
        <v>84795.27</v>
      </c>
      <c r="R12" s="183" t="s">
        <v>145</v>
      </c>
    </row>
    <row r="13" spans="1:18" x14ac:dyDescent="0.2">
      <c r="A13" s="184" t="s">
        <v>241</v>
      </c>
      <c r="B13" s="184"/>
      <c r="C13" s="184"/>
      <c r="D13" s="321">
        <v>675198</v>
      </c>
      <c r="E13" s="321">
        <v>675198</v>
      </c>
      <c r="F13" s="321">
        <v>675198</v>
      </c>
      <c r="G13" s="321">
        <v>675198</v>
      </c>
      <c r="H13" s="321">
        <v>675198</v>
      </c>
      <c r="I13" s="321">
        <v>675198</v>
      </c>
      <c r="J13" s="321">
        <v>675198</v>
      </c>
      <c r="K13" s="321">
        <v>675198</v>
      </c>
      <c r="L13" s="321">
        <v>675198</v>
      </c>
      <c r="M13" s="321">
        <v>675198</v>
      </c>
      <c r="N13" s="321">
        <v>675198</v>
      </c>
      <c r="O13" s="321">
        <v>675198</v>
      </c>
      <c r="P13" s="321">
        <v>675198</v>
      </c>
      <c r="Q13" s="101">
        <f t="shared" si="1"/>
        <v>675198</v>
      </c>
      <c r="R13" s="183" t="s">
        <v>145</v>
      </c>
    </row>
    <row r="14" spans="1:18" x14ac:dyDescent="0.2">
      <c r="A14" s="184" t="s">
        <v>243</v>
      </c>
      <c r="B14" s="184"/>
      <c r="C14" s="184"/>
      <c r="D14" s="321">
        <v>166587143.39999998</v>
      </c>
      <c r="E14" s="321">
        <v>166646960.36000007</v>
      </c>
      <c r="F14" s="321">
        <v>166671736.09000003</v>
      </c>
      <c r="G14" s="321">
        <v>167823514.49000007</v>
      </c>
      <c r="H14" s="321">
        <v>167860782.08000004</v>
      </c>
      <c r="I14" s="321">
        <v>168195224.76000005</v>
      </c>
      <c r="J14" s="321">
        <v>168592916.40000004</v>
      </c>
      <c r="K14" s="321">
        <v>168666085.77000004</v>
      </c>
      <c r="L14" s="321">
        <v>168694326.55000007</v>
      </c>
      <c r="M14" s="321">
        <v>169634548.51000005</v>
      </c>
      <c r="N14" s="321">
        <v>182050579.46000004</v>
      </c>
      <c r="O14" s="321">
        <v>182332369.67000008</v>
      </c>
      <c r="P14" s="321">
        <v>182352775.13000005</v>
      </c>
      <c r="Q14" s="101">
        <f t="shared" si="1"/>
        <v>170969916.94999999</v>
      </c>
      <c r="R14" s="183" t="s">
        <v>145</v>
      </c>
    </row>
    <row r="15" spans="1:18" x14ac:dyDescent="0.2">
      <c r="A15" s="184" t="s">
        <v>244</v>
      </c>
      <c r="B15" s="184"/>
      <c r="C15" s="184"/>
      <c r="D15" s="321">
        <v>2161775493.0300002</v>
      </c>
      <c r="E15" s="321">
        <v>2168079145.4800005</v>
      </c>
      <c r="F15" s="321">
        <v>2171328431.1499996</v>
      </c>
      <c r="G15" s="321">
        <v>2183114102.3999996</v>
      </c>
      <c r="H15" s="321">
        <v>2187035911.79</v>
      </c>
      <c r="I15" s="321">
        <v>2194049822.2000003</v>
      </c>
      <c r="J15" s="321">
        <v>2203962401.0700002</v>
      </c>
      <c r="K15" s="321">
        <v>2209442463.2500005</v>
      </c>
      <c r="L15" s="321">
        <v>2217186171.1000004</v>
      </c>
      <c r="M15" s="321">
        <v>2226387112.1400003</v>
      </c>
      <c r="N15" s="321">
        <v>2249223707.1900001</v>
      </c>
      <c r="O15" s="321">
        <v>2255108336.0600009</v>
      </c>
      <c r="P15" s="321">
        <v>2264986007.1599994</v>
      </c>
      <c r="Q15" s="101">
        <f t="shared" si="1"/>
        <v>2206524862.8299999</v>
      </c>
      <c r="R15" s="183" t="s">
        <v>145</v>
      </c>
    </row>
    <row r="16" spans="1:18" x14ac:dyDescent="0.2">
      <c r="A16" s="184" t="s">
        <v>263</v>
      </c>
      <c r="B16" s="184"/>
      <c r="C16" s="184"/>
      <c r="D16" s="321">
        <v>203449575.97999999</v>
      </c>
      <c r="E16" s="321">
        <v>204764289.27000001</v>
      </c>
      <c r="F16" s="321">
        <v>204751538.32000002</v>
      </c>
      <c r="G16" s="321">
        <v>204997169.81</v>
      </c>
      <c r="H16" s="321">
        <v>205074607.44999999</v>
      </c>
      <c r="I16" s="321">
        <v>206035569.42999998</v>
      </c>
      <c r="J16" s="321">
        <v>211240927.18000004</v>
      </c>
      <c r="K16" s="321">
        <v>213172504.57999998</v>
      </c>
      <c r="L16" s="321">
        <v>213337417.52000001</v>
      </c>
      <c r="M16" s="321">
        <v>213584983.80999997</v>
      </c>
      <c r="N16" s="321">
        <v>228336678.70999998</v>
      </c>
      <c r="O16" s="321">
        <v>211646007.93000001</v>
      </c>
      <c r="P16" s="321">
        <v>213210436.51000002</v>
      </c>
      <c r="Q16" s="101">
        <f t="shared" si="1"/>
        <v>210439308.34999999</v>
      </c>
      <c r="R16" s="183" t="s">
        <v>326</v>
      </c>
    </row>
    <row r="17" spans="1:18" x14ac:dyDescent="0.2">
      <c r="A17" s="184"/>
      <c r="B17" s="184"/>
      <c r="C17" s="184"/>
      <c r="D17" s="321"/>
      <c r="E17" s="321"/>
      <c r="F17" s="321"/>
      <c r="G17" s="321"/>
      <c r="H17" s="321"/>
      <c r="I17" s="321"/>
      <c r="J17" s="321"/>
      <c r="K17" s="321"/>
      <c r="L17" s="321"/>
      <c r="M17" s="321"/>
      <c r="N17" s="321"/>
      <c r="O17" s="321"/>
      <c r="P17" s="321"/>
      <c r="Q17" s="296"/>
      <c r="R17" s="183"/>
    </row>
    <row r="18" spans="1:18" x14ac:dyDescent="0.2">
      <c r="A18" s="184" t="s">
        <v>286</v>
      </c>
      <c r="B18" s="184"/>
      <c r="C18" s="184"/>
      <c r="D18" s="321">
        <v>314220158.92999995</v>
      </c>
      <c r="E18" s="321">
        <v>314242930.54999995</v>
      </c>
      <c r="F18" s="321">
        <v>318058924.60000002</v>
      </c>
      <c r="G18" s="321">
        <v>318088443.40999997</v>
      </c>
      <c r="H18" s="321">
        <v>318113158</v>
      </c>
      <c r="I18" s="321">
        <v>318098137.30999994</v>
      </c>
      <c r="J18" s="321">
        <v>320408989.87</v>
      </c>
      <c r="K18" s="321">
        <v>320417502.39999998</v>
      </c>
      <c r="L18" s="321">
        <v>320416360.05999994</v>
      </c>
      <c r="M18" s="321">
        <v>321048969.29999995</v>
      </c>
      <c r="N18" s="321">
        <v>332946040.56999999</v>
      </c>
      <c r="O18" s="321">
        <v>333360830.77999997</v>
      </c>
      <c r="P18" s="321">
        <v>333651717.73000002</v>
      </c>
      <c r="Q18" s="101">
        <f>ROUND(((D18/2)+SUM(E18:O18)+(P18/2))/12,2)</f>
        <v>321594685.43000001</v>
      </c>
      <c r="R18" s="183" t="s">
        <v>287</v>
      </c>
    </row>
    <row r="19" spans="1:18" x14ac:dyDescent="0.2">
      <c r="A19" s="184" t="s">
        <v>265</v>
      </c>
      <c r="B19" s="184"/>
      <c r="C19" s="184"/>
      <c r="D19" s="321">
        <v>3790768.49</v>
      </c>
      <c r="E19" s="321">
        <v>3790768.49</v>
      </c>
      <c r="F19" s="321">
        <v>3790768.49</v>
      </c>
      <c r="G19" s="321">
        <v>3790768.49</v>
      </c>
      <c r="H19" s="321">
        <v>3790768.49</v>
      </c>
      <c r="I19" s="321">
        <v>3790768.49</v>
      </c>
      <c r="J19" s="321">
        <v>3790768.49</v>
      </c>
      <c r="K19" s="321">
        <v>3790768.49</v>
      </c>
      <c r="L19" s="321">
        <v>3790768.49</v>
      </c>
      <c r="M19" s="321">
        <v>3790768.49</v>
      </c>
      <c r="N19" s="321">
        <v>3790768.49</v>
      </c>
      <c r="O19" s="321">
        <v>3790768.49</v>
      </c>
      <c r="P19" s="321">
        <v>3790768.49</v>
      </c>
      <c r="Q19" s="101">
        <f>ROUND(((D19/2)+SUM(E19:O19)+(P19/2))/12,2)</f>
        <v>3790768.49</v>
      </c>
      <c r="R19" s="183" t="s">
        <v>73</v>
      </c>
    </row>
    <row r="20" spans="1:18" x14ac:dyDescent="0.2">
      <c r="A20" s="184"/>
      <c r="B20" s="184"/>
      <c r="C20" s="184"/>
      <c r="D20" s="321"/>
      <c r="E20" s="321"/>
      <c r="F20" s="321"/>
      <c r="G20" s="321"/>
      <c r="H20" s="321"/>
      <c r="I20" s="321"/>
      <c r="J20" s="321"/>
      <c r="K20" s="321"/>
      <c r="L20" s="321"/>
      <c r="M20" s="321"/>
      <c r="N20" s="321"/>
      <c r="O20" s="321"/>
      <c r="P20" s="321"/>
      <c r="Q20" s="296"/>
      <c r="R20" s="183"/>
    </row>
    <row r="21" spans="1:18" x14ac:dyDescent="0.2">
      <c r="A21" s="184" t="s">
        <v>524</v>
      </c>
      <c r="B21" s="445"/>
      <c r="C21" s="445"/>
      <c r="D21" s="321">
        <v>187536464.56</v>
      </c>
      <c r="E21" s="321">
        <v>187536464.56</v>
      </c>
      <c r="F21" s="321">
        <v>187536464.56</v>
      </c>
      <c r="G21" s="321">
        <v>187536464.56</v>
      </c>
      <c r="H21" s="321">
        <v>187536464.56</v>
      </c>
      <c r="I21" s="321">
        <v>187536464.56</v>
      </c>
      <c r="J21" s="321">
        <v>187536464.56</v>
      </c>
      <c r="K21" s="321">
        <v>187307385.01000002</v>
      </c>
      <c r="L21" s="321">
        <v>187307385.01000002</v>
      </c>
      <c r="M21" s="321">
        <v>187307385.01000002</v>
      </c>
      <c r="N21" s="321">
        <v>187307385.01000002</v>
      </c>
      <c r="O21" s="321">
        <v>187307385.01000002</v>
      </c>
      <c r="P21" s="321">
        <v>187307385.01000002</v>
      </c>
      <c r="Q21" s="101">
        <f>ROUND(((D21/2)+SUM(E21:O21)+(P21/2))/12,2)</f>
        <v>187431469.77000001</v>
      </c>
      <c r="R21" s="272" t="s">
        <v>145</v>
      </c>
    </row>
    <row r="22" spans="1:18" x14ac:dyDescent="0.2">
      <c r="A22" s="184"/>
      <c r="B22" s="184"/>
      <c r="C22" s="184"/>
      <c r="D22" s="296"/>
      <c r="E22" s="296"/>
      <c r="F22" s="296"/>
      <c r="G22" s="296"/>
      <c r="H22" s="296"/>
      <c r="I22" s="296"/>
      <c r="J22" s="296"/>
      <c r="K22" s="296"/>
      <c r="L22" s="296"/>
      <c r="M22" s="296"/>
      <c r="N22" s="296"/>
      <c r="O22" s="296"/>
      <c r="P22" s="296"/>
      <c r="Q22" s="296"/>
      <c r="R22" s="183"/>
    </row>
    <row r="23" spans="1:18" x14ac:dyDescent="0.2">
      <c r="A23" s="184" t="s">
        <v>525</v>
      </c>
      <c r="B23" s="184"/>
      <c r="C23" s="184"/>
      <c r="D23" s="296">
        <f>SUM(D11:D19)</f>
        <v>2955758706.7199998</v>
      </c>
      <c r="E23" s="296">
        <f t="shared" ref="E23:P23" si="2">SUM(E11:E19)</f>
        <v>2963495374.3299999</v>
      </c>
      <c r="F23" s="296">
        <f t="shared" si="2"/>
        <v>2971338123.9499993</v>
      </c>
      <c r="G23" s="296">
        <f t="shared" si="2"/>
        <v>2984508953.059999</v>
      </c>
      <c r="H23" s="296">
        <f t="shared" si="2"/>
        <v>2988594398.5999994</v>
      </c>
      <c r="I23" s="296">
        <f t="shared" si="2"/>
        <v>2996888422.6300001</v>
      </c>
      <c r="J23" s="296">
        <f t="shared" si="2"/>
        <v>3015095614.8299994</v>
      </c>
      <c r="K23" s="296">
        <f t="shared" si="2"/>
        <v>3022598900.2000003</v>
      </c>
      <c r="L23" s="296">
        <f t="shared" si="2"/>
        <v>3030522374.6400003</v>
      </c>
      <c r="M23" s="296">
        <f t="shared" si="2"/>
        <v>3046124415.1499996</v>
      </c>
      <c r="N23" s="296">
        <f t="shared" si="2"/>
        <v>3114214729.7200003</v>
      </c>
      <c r="O23" s="296">
        <f t="shared" si="2"/>
        <v>3104129660.6100006</v>
      </c>
      <c r="P23" s="296">
        <f t="shared" si="2"/>
        <v>3115819487.4899993</v>
      </c>
      <c r="Q23" s="296">
        <f>SUM(Q11:Q19)</f>
        <v>3022775005.3999996</v>
      </c>
      <c r="R23" s="183"/>
    </row>
    <row r="24" spans="1:18" x14ac:dyDescent="0.2">
      <c r="A24" s="184"/>
      <c r="B24" s="184"/>
      <c r="C24" s="184"/>
      <c r="D24" s="296"/>
      <c r="E24" s="296"/>
      <c r="F24" s="296"/>
      <c r="G24" s="296"/>
      <c r="H24" s="296"/>
      <c r="I24" s="296"/>
      <c r="J24" s="296"/>
      <c r="K24" s="296"/>
      <c r="L24" s="296"/>
      <c r="M24" s="296"/>
      <c r="N24" s="296"/>
      <c r="O24" s="296"/>
      <c r="P24" s="296"/>
      <c r="Q24" s="296"/>
      <c r="R24" s="183"/>
    </row>
    <row r="25" spans="1:18" x14ac:dyDescent="0.2">
      <c r="A25" s="451" t="s">
        <v>123</v>
      </c>
      <c r="B25" s="184"/>
      <c r="C25" s="184"/>
      <c r="D25" s="296"/>
      <c r="E25" s="296"/>
      <c r="F25" s="296"/>
      <c r="G25" s="296"/>
      <c r="H25" s="296"/>
      <c r="I25" s="296"/>
      <c r="J25" s="296"/>
      <c r="K25" s="296"/>
      <c r="L25" s="296"/>
      <c r="M25" s="296"/>
      <c r="N25" s="296"/>
      <c r="O25" s="296"/>
      <c r="P25" s="296"/>
      <c r="Q25" s="296"/>
      <c r="R25" s="301"/>
    </row>
    <row r="26" spans="1:18" x14ac:dyDescent="0.2">
      <c r="A26" s="184"/>
      <c r="B26" s="184"/>
      <c r="C26" s="184"/>
      <c r="D26" s="296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183"/>
    </row>
    <row r="27" spans="1:18" x14ac:dyDescent="0.2">
      <c r="A27" s="184" t="s">
        <v>248</v>
      </c>
      <c r="B27" s="184"/>
      <c r="C27" s="184"/>
      <c r="D27" s="321">
        <v>-63238775.020000003</v>
      </c>
      <c r="E27" s="321">
        <v>-63483063.810000002</v>
      </c>
      <c r="F27" s="321">
        <v>-63728791.130000003</v>
      </c>
      <c r="G27" s="321">
        <v>-63975818.310000002</v>
      </c>
      <c r="H27" s="321">
        <v>-64222813.810000002</v>
      </c>
      <c r="I27" s="321">
        <v>-64469852.410000004</v>
      </c>
      <c r="J27" s="321">
        <v>-64717574.100000001</v>
      </c>
      <c r="K27" s="321">
        <v>-64965997.539999999</v>
      </c>
      <c r="L27" s="321">
        <v>-65214416.660000004</v>
      </c>
      <c r="M27" s="321">
        <v>-65471040.090000004</v>
      </c>
      <c r="N27" s="321">
        <v>-65747003.960000001</v>
      </c>
      <c r="O27" s="321">
        <v>-66198671.390000008</v>
      </c>
      <c r="P27" s="321">
        <v>-66650464.830000006</v>
      </c>
      <c r="Q27" s="101">
        <f>ROUND(((D27/2)+SUM(E27:O27)+(P27/2))/12,2)</f>
        <v>-64761638.590000004</v>
      </c>
      <c r="R27" s="183" t="s">
        <v>49</v>
      </c>
    </row>
    <row r="28" spans="1:18" x14ac:dyDescent="0.2">
      <c r="A28" s="184" t="s">
        <v>241</v>
      </c>
      <c r="B28" s="184"/>
      <c r="C28" s="184"/>
      <c r="D28" s="321">
        <v>-691035.7</v>
      </c>
      <c r="E28" s="321">
        <v>-691035.69</v>
      </c>
      <c r="F28" s="321">
        <v>-691035.7</v>
      </c>
      <c r="G28" s="321">
        <v>-691035.7</v>
      </c>
      <c r="H28" s="321">
        <v>-691035.7</v>
      </c>
      <c r="I28" s="321">
        <v>-691035.71</v>
      </c>
      <c r="J28" s="321">
        <v>-691035.7</v>
      </c>
      <c r="K28" s="321">
        <v>-691035.7</v>
      </c>
      <c r="L28" s="321">
        <v>-691035.69</v>
      </c>
      <c r="M28" s="321">
        <v>-691035.69</v>
      </c>
      <c r="N28" s="321">
        <v>-691035.67999999993</v>
      </c>
      <c r="O28" s="321">
        <v>-691035.69</v>
      </c>
      <c r="P28" s="321">
        <v>-691035.69</v>
      </c>
      <c r="Q28" s="101">
        <f>ROUND(((D28/2)+SUM(E28:O28)+(P28/2))/12,2)</f>
        <v>-691035.7</v>
      </c>
      <c r="R28" s="183" t="s">
        <v>145</v>
      </c>
    </row>
    <row r="29" spans="1:18" x14ac:dyDescent="0.2">
      <c r="A29" s="184" t="s">
        <v>243</v>
      </c>
      <c r="B29" s="184"/>
      <c r="C29" s="184"/>
      <c r="D29" s="321">
        <v>-36441031.540000007</v>
      </c>
      <c r="E29" s="321">
        <v>-36857900.760000005</v>
      </c>
      <c r="F29" s="321">
        <v>-37276168.990000002</v>
      </c>
      <c r="G29" s="321">
        <v>-37694606.849999972</v>
      </c>
      <c r="H29" s="321">
        <v>-38115049.400000021</v>
      </c>
      <c r="I29" s="321">
        <v>-38535521.540000007</v>
      </c>
      <c r="J29" s="321">
        <v>-38957364.340000011</v>
      </c>
      <c r="K29" s="321">
        <v>-39379388.190000013</v>
      </c>
      <c r="L29" s="321">
        <v>-39801542.709999971</v>
      </c>
      <c r="M29" s="321">
        <v>-40224172.430000007</v>
      </c>
      <c r="N29" s="321">
        <v>-40661658.879999995</v>
      </c>
      <c r="O29" s="321">
        <v>-40944303.289999999</v>
      </c>
      <c r="P29" s="321">
        <v>-41227168.819999985</v>
      </c>
      <c r="Q29" s="101">
        <f>ROUND(((D29/2)+SUM(E29:O29)+(P29/2))/12,2)</f>
        <v>-38940148.130000003</v>
      </c>
      <c r="R29" s="183" t="s">
        <v>145</v>
      </c>
    </row>
    <row r="30" spans="1:18" x14ac:dyDescent="0.2">
      <c r="A30" s="184" t="s">
        <v>244</v>
      </c>
      <c r="B30" s="184"/>
      <c r="C30" s="184"/>
      <c r="D30" s="321">
        <v>-1001460545.9400001</v>
      </c>
      <c r="E30" s="321">
        <v>-1004738481.9</v>
      </c>
      <c r="F30" s="321">
        <v>-1008257483.3000001</v>
      </c>
      <c r="G30" s="321">
        <v>-1011729124.3700001</v>
      </c>
      <c r="H30" s="321">
        <v>-1015259307.63</v>
      </c>
      <c r="I30" s="321">
        <v>-1019060727.45</v>
      </c>
      <c r="J30" s="321">
        <v>-1022176196.7500004</v>
      </c>
      <c r="K30" s="321">
        <v>-1025018668.8299999</v>
      </c>
      <c r="L30" s="321">
        <v>-1028199174.58</v>
      </c>
      <c r="M30" s="321">
        <v>-1032025124.5699999</v>
      </c>
      <c r="N30" s="321">
        <v>-1034917359.5499998</v>
      </c>
      <c r="O30" s="321">
        <v>-1038774954.8099999</v>
      </c>
      <c r="P30" s="321">
        <v>-1042694699.6300001</v>
      </c>
      <c r="Q30" s="101">
        <f>ROUND(((D30/2)+SUM(E30:O30)+(P30/2))/12,2)</f>
        <v>-1021852852.21</v>
      </c>
      <c r="R30" s="183" t="s">
        <v>145</v>
      </c>
    </row>
    <row r="31" spans="1:18" x14ac:dyDescent="0.2">
      <c r="A31" s="184" t="s">
        <v>263</v>
      </c>
      <c r="B31" s="184"/>
      <c r="C31" s="184"/>
      <c r="D31" s="321">
        <v>-63488972.819999993</v>
      </c>
      <c r="E31" s="321">
        <v>-64426775.069999993</v>
      </c>
      <c r="F31" s="321">
        <v>-65015476.300000004</v>
      </c>
      <c r="G31" s="321">
        <v>-65719467.229999989</v>
      </c>
      <c r="H31" s="321">
        <v>-66633360.450000003</v>
      </c>
      <c r="I31" s="321">
        <v>-67190285.530000001</v>
      </c>
      <c r="J31" s="321">
        <v>-68123217.75999999</v>
      </c>
      <c r="K31" s="321">
        <v>-69117454.469999984</v>
      </c>
      <c r="L31" s="321">
        <v>-70114552.420000002</v>
      </c>
      <c r="M31" s="321">
        <v>-71001287.879999995</v>
      </c>
      <c r="N31" s="321">
        <v>-71634467.310000002</v>
      </c>
      <c r="O31" s="321">
        <v>-56883198.710000016</v>
      </c>
      <c r="P31" s="321">
        <v>-57514632.549999997</v>
      </c>
      <c r="Q31" s="101">
        <f>ROUND(((D31/2)+SUM(E31:O31)+(P31/2))/12,2)</f>
        <v>-66363445.479999997</v>
      </c>
      <c r="R31" s="183" t="s">
        <v>73</v>
      </c>
    </row>
    <row r="32" spans="1:18" x14ac:dyDescent="0.2">
      <c r="A32" s="184"/>
      <c r="B32" s="184"/>
      <c r="C32" s="184"/>
      <c r="D32" s="321"/>
      <c r="E32" s="321"/>
      <c r="F32" s="321"/>
      <c r="G32" s="321"/>
      <c r="H32" s="321"/>
      <c r="I32" s="321"/>
      <c r="J32" s="321"/>
      <c r="K32" s="321"/>
      <c r="L32" s="321"/>
      <c r="M32" s="321"/>
      <c r="N32" s="321"/>
      <c r="O32" s="321"/>
      <c r="P32" s="321"/>
      <c r="Q32" s="296"/>
      <c r="R32" s="183"/>
    </row>
    <row r="33" spans="1:18" x14ac:dyDescent="0.2">
      <c r="A33" s="184" t="s">
        <v>286</v>
      </c>
      <c r="B33" s="184"/>
      <c r="C33" s="184"/>
      <c r="D33" s="321">
        <v>-135042843.81</v>
      </c>
      <c r="E33" s="321">
        <v>-135668643.35999998</v>
      </c>
      <c r="F33" s="321">
        <v>-136299148.42000002</v>
      </c>
      <c r="G33" s="321">
        <v>-136931900.07999998</v>
      </c>
      <c r="H33" s="321">
        <v>-137565119.33999997</v>
      </c>
      <c r="I33" s="321">
        <v>-138197975.22</v>
      </c>
      <c r="J33" s="321">
        <v>-138833127.84</v>
      </c>
      <c r="K33" s="321">
        <v>-139469792.33999997</v>
      </c>
      <c r="L33" s="321">
        <v>-140106457.91</v>
      </c>
      <c r="M33" s="321">
        <v>-140744214.83999997</v>
      </c>
      <c r="N33" s="321">
        <v>-141397782.46000001</v>
      </c>
      <c r="O33" s="321">
        <v>-141944981.06</v>
      </c>
      <c r="P33" s="321">
        <v>-142496990.69</v>
      </c>
      <c r="Q33" s="101">
        <f>ROUND(((D33/2)+SUM(E33:O33)+(P33/2))/12,2)</f>
        <v>-138827421.68000001</v>
      </c>
      <c r="R33" s="183" t="s">
        <v>287</v>
      </c>
    </row>
    <row r="34" spans="1:18" x14ac:dyDescent="0.2">
      <c r="A34" s="184" t="s">
        <v>265</v>
      </c>
      <c r="B34" s="184"/>
      <c r="C34" s="184"/>
      <c r="D34" s="321">
        <v>-2131737.2400000002</v>
      </c>
      <c r="E34" s="321">
        <v>-2134381.66</v>
      </c>
      <c r="F34" s="321">
        <v>-2137026.17</v>
      </c>
      <c r="G34" s="321">
        <v>-2139670.6100000003</v>
      </c>
      <c r="H34" s="321">
        <v>-2142315.0499999998</v>
      </c>
      <c r="I34" s="321">
        <v>-2144959.4699999997</v>
      </c>
      <c r="J34" s="321">
        <v>-2147603.98</v>
      </c>
      <c r="K34" s="321">
        <v>-2150248.4299999997</v>
      </c>
      <c r="L34" s="321">
        <v>-2152892.8899999997</v>
      </c>
      <c r="M34" s="321">
        <v>-2155537.31</v>
      </c>
      <c r="N34" s="321">
        <v>-2158181.79</v>
      </c>
      <c r="O34" s="321">
        <v>-2164843.84</v>
      </c>
      <c r="P34" s="321">
        <v>-2171505.79</v>
      </c>
      <c r="Q34" s="101">
        <f>ROUND(((D34/2)+SUM(E34:O34)+(P34/2))/12,2)</f>
        <v>-2148273.56</v>
      </c>
      <c r="R34" s="183" t="s">
        <v>73</v>
      </c>
    </row>
    <row r="35" spans="1:18" x14ac:dyDescent="0.2">
      <c r="A35" s="184"/>
      <c r="B35" s="184"/>
      <c r="C35" s="184"/>
      <c r="D35" s="321"/>
      <c r="E35" s="321"/>
      <c r="F35" s="321"/>
      <c r="G35" s="321"/>
      <c r="H35" s="321"/>
      <c r="I35" s="321"/>
      <c r="J35" s="321"/>
      <c r="K35" s="321"/>
      <c r="L35" s="321"/>
      <c r="M35" s="321"/>
      <c r="N35" s="321"/>
      <c r="O35" s="321"/>
      <c r="P35" s="321"/>
      <c r="Q35" s="101"/>
      <c r="R35" s="183"/>
    </row>
    <row r="36" spans="1:18" x14ac:dyDescent="0.2">
      <c r="A36" s="184" t="s">
        <v>524</v>
      </c>
      <c r="B36" s="184"/>
      <c r="C36" s="184"/>
      <c r="D36" s="321">
        <v>-87779706.116985217</v>
      </c>
      <c r="E36" s="321">
        <v>-89232293.259200275</v>
      </c>
      <c r="F36" s="321">
        <v>-90487052.107011437</v>
      </c>
      <c r="G36" s="321">
        <v>-91852460.069502249</v>
      </c>
      <c r="H36" s="321">
        <v>-93126613.217974886</v>
      </c>
      <c r="I36" s="321">
        <v>-94418060.533664659</v>
      </c>
      <c r="J36" s="321">
        <v>-95595918.032171056</v>
      </c>
      <c r="K36" s="321">
        <v>-96926684.01365222</v>
      </c>
      <c r="L36" s="321">
        <v>-98419429.102177501</v>
      </c>
      <c r="M36" s="321">
        <v>-99835236.478867546</v>
      </c>
      <c r="N36" s="321">
        <v>-101215215.72834088</v>
      </c>
      <c r="O36" s="321">
        <v>-102899863.08794457</v>
      </c>
      <c r="P36" s="321">
        <v>-104463649.64881368</v>
      </c>
      <c r="Q36" s="101">
        <f>ROUND(((D36/2)+SUM(E36:O36)+(P36/2))/12,2)</f>
        <v>-95844208.629999995</v>
      </c>
      <c r="R36" s="272" t="s">
        <v>145</v>
      </c>
    </row>
    <row r="37" spans="1:18" x14ac:dyDescent="0.2">
      <c r="A37" s="184"/>
      <c r="B37" s="184"/>
      <c r="C37" s="184"/>
      <c r="D37" s="296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183"/>
    </row>
    <row r="38" spans="1:18" x14ac:dyDescent="0.2">
      <c r="A38" s="184" t="s">
        <v>526</v>
      </c>
      <c r="B38" s="184"/>
      <c r="C38" s="184"/>
      <c r="D38" s="296">
        <f>SUM(D27:D34)</f>
        <v>-1302494942.0699999</v>
      </c>
      <c r="E38" s="296">
        <f t="shared" ref="E38:P38" si="3">SUM(E27:E34)</f>
        <v>-1308000282.25</v>
      </c>
      <c r="F38" s="296">
        <f t="shared" si="3"/>
        <v>-1313405130.0100002</v>
      </c>
      <c r="G38" s="296">
        <f t="shared" si="3"/>
        <v>-1318881623.1499999</v>
      </c>
      <c r="H38" s="296">
        <f t="shared" si="3"/>
        <v>-1324629001.3799999</v>
      </c>
      <c r="I38" s="296">
        <f t="shared" si="3"/>
        <v>-1330290357.3300002</v>
      </c>
      <c r="J38" s="296">
        <f t="shared" si="3"/>
        <v>-1335646120.4700003</v>
      </c>
      <c r="K38" s="296">
        <f t="shared" si="3"/>
        <v>-1340792585.5</v>
      </c>
      <c r="L38" s="296">
        <f t="shared" si="3"/>
        <v>-1346280072.8600004</v>
      </c>
      <c r="M38" s="296">
        <f t="shared" si="3"/>
        <v>-1352312412.8099997</v>
      </c>
      <c r="N38" s="296">
        <f t="shared" si="3"/>
        <v>-1357207489.6299999</v>
      </c>
      <c r="O38" s="296">
        <f t="shared" si="3"/>
        <v>-1347601988.7899997</v>
      </c>
      <c r="P38" s="296">
        <f t="shared" si="3"/>
        <v>-1353446498</v>
      </c>
      <c r="Q38" s="101">
        <f>ROUND(((D38/2)+SUM(E38:O38)+(P38/2))/12,2)</f>
        <v>-1333584815.3499999</v>
      </c>
      <c r="R38" s="183"/>
    </row>
    <row r="39" spans="1:18" x14ac:dyDescent="0.2">
      <c r="A39" s="184"/>
      <c r="B39" s="184"/>
      <c r="C39" s="184"/>
      <c r="R39" s="183"/>
    </row>
    <row r="40" spans="1:18" x14ac:dyDescent="0.2">
      <c r="A40" s="184" t="s">
        <v>271</v>
      </c>
      <c r="B40" s="184"/>
      <c r="C40" s="184"/>
      <c r="D40" s="452">
        <f>+'Rate Base'!D166</f>
        <v>18488587.359999999</v>
      </c>
      <c r="E40" s="452">
        <f>+'Rate Base'!E166</f>
        <v>18486971.059999999</v>
      </c>
      <c r="F40" s="452">
        <f>+'Rate Base'!F166</f>
        <v>18484665.539999999</v>
      </c>
      <c r="G40" s="452">
        <f>+'Rate Base'!G166</f>
        <v>18482827.059999999</v>
      </c>
      <c r="H40" s="452">
        <f>+'Rate Base'!H166</f>
        <v>18480561.890000001</v>
      </c>
      <c r="I40" s="452">
        <f>+'Rate Base'!I166</f>
        <v>18478826.469999999</v>
      </c>
      <c r="J40" s="452">
        <f>+'Rate Base'!J166</f>
        <v>18478349.199999999</v>
      </c>
      <c r="K40" s="452">
        <f>+'Rate Base'!K166</f>
        <v>18501807.470000003</v>
      </c>
      <c r="L40" s="452">
        <f>+'Rate Base'!L166</f>
        <v>18500225.260000002</v>
      </c>
      <c r="M40" s="452">
        <f>+'Rate Base'!M166</f>
        <v>18498668.720000003</v>
      </c>
      <c r="N40" s="452">
        <f>+'Rate Base'!N166</f>
        <v>18497191.870000001</v>
      </c>
      <c r="O40" s="452">
        <f>+'Rate Base'!O166</f>
        <v>18495687.460000001</v>
      </c>
      <c r="P40" s="452">
        <f>+'Rate Base'!P166</f>
        <v>18494188.91</v>
      </c>
      <c r="Q40" s="101">
        <f>ROUND(((D40/2)+SUM(E40:O40)+(P40/2))/12,2)</f>
        <v>18489764.18</v>
      </c>
      <c r="R40" s="183" t="s">
        <v>287</v>
      </c>
    </row>
    <row r="41" spans="1:18" x14ac:dyDescent="0.2">
      <c r="A41" s="184" t="s">
        <v>144</v>
      </c>
      <c r="B41" s="184"/>
      <c r="C41" s="184"/>
      <c r="D41" s="453">
        <f>-'Rate Base'!D161</f>
        <v>-3965148.72</v>
      </c>
      <c r="E41" s="453">
        <f>-'Rate Base'!E161</f>
        <v>-4041490.49</v>
      </c>
      <c r="F41" s="453">
        <f>-'Rate Base'!F161</f>
        <v>-4107884.26</v>
      </c>
      <c r="G41" s="453">
        <f>-'Rate Base'!G161</f>
        <v>-4087078.22</v>
      </c>
      <c r="H41" s="453">
        <f>-'Rate Base'!H161</f>
        <v>-4163333.99</v>
      </c>
      <c r="I41" s="453">
        <f>-'Rate Base'!I161</f>
        <v>-4268622.26</v>
      </c>
      <c r="J41" s="453">
        <f>-'Rate Base'!J161</f>
        <v>-4367024.72</v>
      </c>
      <c r="K41" s="453">
        <f>-'Rate Base'!K161</f>
        <v>-4494193.72</v>
      </c>
      <c r="L41" s="453">
        <f>-'Rate Base'!L161</f>
        <v>-4608549.72</v>
      </c>
      <c r="M41" s="453">
        <f>-'Rate Base'!M161</f>
        <v>-4686796.24</v>
      </c>
      <c r="N41" s="453">
        <f>-'Rate Base'!N161</f>
        <v>-4206528.24</v>
      </c>
      <c r="O41" s="453">
        <f>-'Rate Base'!O161</f>
        <v>-4305650.57</v>
      </c>
      <c r="P41" s="453">
        <f>-'Rate Base'!P161</f>
        <v>-4410554.75</v>
      </c>
      <c r="Q41" s="101">
        <f>ROUND(((D41/2)+SUM(E41:O41)+(P41/2))/12,2)</f>
        <v>-4293750.3499999996</v>
      </c>
      <c r="R41" s="183" t="s">
        <v>145</v>
      </c>
    </row>
    <row r="42" spans="1:18" x14ac:dyDescent="0.2">
      <c r="A42" s="184" t="s">
        <v>160</v>
      </c>
      <c r="B42" s="184"/>
      <c r="C42" s="184"/>
      <c r="D42" s="292">
        <f>+'Rate Base'!D156</f>
        <v>279958.79999999981</v>
      </c>
      <c r="E42" s="292">
        <f>+'Rate Base'!E156</f>
        <v>257039.56999999983</v>
      </c>
      <c r="F42" s="292">
        <f>+'Rate Base'!F156</f>
        <v>233206.7200000002</v>
      </c>
      <c r="G42" s="292">
        <f>+'Rate Base'!G156</f>
        <v>209373.87000000011</v>
      </c>
      <c r="H42" s="292">
        <f>+'Rate Base'!H156</f>
        <v>201171.62000000011</v>
      </c>
      <c r="I42" s="292">
        <f>+'Rate Base'!I156</f>
        <v>177425.72999999998</v>
      </c>
      <c r="J42" s="292">
        <f>+'Rate Base'!J156</f>
        <v>156586.9299999997</v>
      </c>
      <c r="K42" s="292">
        <f>+'Rate Base'!K156</f>
        <v>134747.03000000026</v>
      </c>
      <c r="L42" s="292">
        <f>+'Rate Base'!L156</f>
        <v>112134.62000000011</v>
      </c>
      <c r="M42" s="292">
        <f>+'Rate Base'!M156</f>
        <v>89428.010000000242</v>
      </c>
      <c r="N42" s="292">
        <f>+'Rate Base'!N156</f>
        <v>66721.480000000447</v>
      </c>
      <c r="O42" s="292">
        <f>+'Rate Base'!O156</f>
        <v>63034.950000000186</v>
      </c>
      <c r="P42" s="292">
        <f>+'Rate Base'!P156</f>
        <v>59348.420000000391</v>
      </c>
      <c r="Q42" s="101">
        <f>ROUND(((D42/2)+SUM(E42:O42)+(P42/2))/12,2)</f>
        <v>155877.01</v>
      </c>
      <c r="R42" s="183" t="s">
        <v>288</v>
      </c>
    </row>
    <row r="43" spans="1:18" x14ac:dyDescent="0.2">
      <c r="A43" s="184"/>
      <c r="B43" s="184"/>
      <c r="C43" s="184"/>
      <c r="D43" s="296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</row>
    <row r="44" spans="1:18" x14ac:dyDescent="0.2">
      <c r="A44" s="454" t="s">
        <v>492</v>
      </c>
      <c r="B44" s="184"/>
      <c r="C44" s="184"/>
      <c r="D44" s="296">
        <f t="shared" ref="D44:Q44" si="4">+D23+D38+SUM(D40:D42)</f>
        <v>1668067162.0899999</v>
      </c>
      <c r="E44" s="296">
        <f t="shared" si="4"/>
        <v>1670197612.22</v>
      </c>
      <c r="F44" s="296">
        <f t="shared" si="4"/>
        <v>1672542981.9399991</v>
      </c>
      <c r="G44" s="296">
        <f t="shared" si="4"/>
        <v>1680232452.6199992</v>
      </c>
      <c r="H44" s="296">
        <f t="shared" si="4"/>
        <v>1678483796.7399995</v>
      </c>
      <c r="I44" s="296">
        <f t="shared" si="4"/>
        <v>1680985695.24</v>
      </c>
      <c r="J44" s="296">
        <f t="shared" si="4"/>
        <v>1693717405.7699993</v>
      </c>
      <c r="K44" s="296">
        <f t="shared" si="4"/>
        <v>1695948675.4800003</v>
      </c>
      <c r="L44" s="296">
        <f t="shared" si="4"/>
        <v>1698246111.9400001</v>
      </c>
      <c r="M44" s="296">
        <f t="shared" si="4"/>
        <v>1707713302.8299999</v>
      </c>
      <c r="N44" s="296">
        <f t="shared" si="4"/>
        <v>1771364625.2000003</v>
      </c>
      <c r="O44" s="296">
        <f t="shared" si="4"/>
        <v>1770780743.6600008</v>
      </c>
      <c r="P44" s="296">
        <f t="shared" si="4"/>
        <v>1776515972.0699992</v>
      </c>
      <c r="Q44" s="296">
        <f t="shared" si="4"/>
        <v>1703542080.8899996</v>
      </c>
    </row>
    <row r="45" spans="1:18" x14ac:dyDescent="0.2">
      <c r="A45" s="454"/>
      <c r="B45" s="184"/>
      <c r="C45" s="184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270"/>
      <c r="R45" s="271"/>
    </row>
    <row r="46" spans="1:18" x14ac:dyDescent="0.2">
      <c r="A46" s="454"/>
      <c r="B46" s="184"/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4"/>
      <c r="Q46" s="184"/>
    </row>
    <row r="47" spans="1:18" x14ac:dyDescent="0.2">
      <c r="A47" s="454"/>
      <c r="B47" s="184"/>
      <c r="C47" s="184"/>
      <c r="D47" s="296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</row>
    <row r="48" spans="1:18" x14ac:dyDescent="0.2">
      <c r="A48" s="455" t="s">
        <v>363</v>
      </c>
      <c r="B48" s="455"/>
      <c r="C48" s="455"/>
      <c r="D48" s="294">
        <f t="shared" ref="D48:Q48" si="5">+D5</f>
        <v>2017</v>
      </c>
      <c r="E48" s="294">
        <f t="shared" si="5"/>
        <v>2018</v>
      </c>
      <c r="F48" s="294">
        <f t="shared" si="5"/>
        <v>2018</v>
      </c>
      <c r="G48" s="294">
        <f t="shared" si="5"/>
        <v>2018</v>
      </c>
      <c r="H48" s="294">
        <f t="shared" si="5"/>
        <v>2018</v>
      </c>
      <c r="I48" s="294">
        <f t="shared" si="5"/>
        <v>2018</v>
      </c>
      <c r="J48" s="294">
        <f t="shared" si="5"/>
        <v>2018</v>
      </c>
      <c r="K48" s="294">
        <f t="shared" si="5"/>
        <v>2018</v>
      </c>
      <c r="L48" s="294">
        <f t="shared" si="5"/>
        <v>2018</v>
      </c>
      <c r="M48" s="294">
        <f t="shared" si="5"/>
        <v>2018</v>
      </c>
      <c r="N48" s="294">
        <f t="shared" si="5"/>
        <v>2018</v>
      </c>
      <c r="O48" s="294">
        <f t="shared" si="5"/>
        <v>2018</v>
      </c>
      <c r="P48" s="294">
        <f t="shared" si="5"/>
        <v>2018</v>
      </c>
      <c r="Q48" s="294" t="str">
        <f t="shared" si="5"/>
        <v>Dec 17 - Dec 18</v>
      </c>
      <c r="R48" s="294"/>
    </row>
    <row r="49" spans="1:18" x14ac:dyDescent="0.2">
      <c r="D49" s="456" t="str">
        <f t="shared" ref="D49:Q49" si="6">+D6</f>
        <v>Dec</v>
      </c>
      <c r="E49" s="456" t="str">
        <f t="shared" si="6"/>
        <v>Jan</v>
      </c>
      <c r="F49" s="456" t="str">
        <f t="shared" si="6"/>
        <v>Feb</v>
      </c>
      <c r="G49" s="456" t="str">
        <f t="shared" si="6"/>
        <v>Mar</v>
      </c>
      <c r="H49" s="456" t="str">
        <f t="shared" si="6"/>
        <v>Apr</v>
      </c>
      <c r="I49" s="456" t="str">
        <f t="shared" si="6"/>
        <v>May</v>
      </c>
      <c r="J49" s="456" t="str">
        <f t="shared" si="6"/>
        <v>June</v>
      </c>
      <c r="K49" s="456" t="str">
        <f t="shared" si="6"/>
        <v>July</v>
      </c>
      <c r="L49" s="456" t="str">
        <f t="shared" si="6"/>
        <v>August</v>
      </c>
      <c r="M49" s="456" t="str">
        <f t="shared" si="6"/>
        <v>September</v>
      </c>
      <c r="N49" s="456" t="str">
        <f t="shared" si="6"/>
        <v>October</v>
      </c>
      <c r="O49" s="456" t="str">
        <f t="shared" si="6"/>
        <v>November</v>
      </c>
      <c r="P49" s="456" t="str">
        <f t="shared" si="6"/>
        <v>December</v>
      </c>
      <c r="Q49" s="456" t="str">
        <f t="shared" si="6"/>
        <v>12 month average</v>
      </c>
      <c r="R49" s="294"/>
    </row>
    <row r="50" spans="1:18" x14ac:dyDescent="0.2">
      <c r="A50" s="451" t="s">
        <v>50</v>
      </c>
      <c r="B50" s="184"/>
      <c r="C50" s="184"/>
      <c r="D50" s="295" t="str">
        <f>+A48</f>
        <v>OREGON</v>
      </c>
      <c r="E50" s="295" t="str">
        <f>+D50</f>
        <v>OREGON</v>
      </c>
      <c r="F50" s="295" t="str">
        <f t="shared" ref="F50:P50" si="7">+E50</f>
        <v>OREGON</v>
      </c>
      <c r="G50" s="295" t="str">
        <f t="shared" si="7"/>
        <v>OREGON</v>
      </c>
      <c r="H50" s="295" t="str">
        <f t="shared" si="7"/>
        <v>OREGON</v>
      </c>
      <c r="I50" s="295" t="str">
        <f t="shared" si="7"/>
        <v>OREGON</v>
      </c>
      <c r="J50" s="295" t="str">
        <f t="shared" si="7"/>
        <v>OREGON</v>
      </c>
      <c r="K50" s="295" t="str">
        <f t="shared" si="7"/>
        <v>OREGON</v>
      </c>
      <c r="L50" s="295" t="str">
        <f t="shared" si="7"/>
        <v>OREGON</v>
      </c>
      <c r="M50" s="295" t="str">
        <f t="shared" si="7"/>
        <v>OREGON</v>
      </c>
      <c r="N50" s="295" t="str">
        <f t="shared" si="7"/>
        <v>OREGON</v>
      </c>
      <c r="O50" s="295" t="str">
        <f t="shared" si="7"/>
        <v>OREGON</v>
      </c>
      <c r="P50" s="295" t="str">
        <f t="shared" si="7"/>
        <v>OREGON</v>
      </c>
      <c r="Q50" s="295" t="str">
        <f>+P50</f>
        <v>OREGON</v>
      </c>
      <c r="R50" s="294"/>
    </row>
    <row r="51" spans="1:18" x14ac:dyDescent="0.2">
      <c r="A51" s="184"/>
      <c r="B51" s="184"/>
      <c r="C51" s="184"/>
      <c r="D51" s="296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</row>
    <row r="52" spans="1:18" x14ac:dyDescent="0.2">
      <c r="A52" s="184" t="s">
        <v>248</v>
      </c>
      <c r="B52" s="184"/>
      <c r="C52" s="184" t="s">
        <v>284</v>
      </c>
      <c r="D52" s="321">
        <v>93753506.324868008</v>
      </c>
      <c r="E52" s="321">
        <v>93438143.904771015</v>
      </c>
      <c r="F52" s="321">
        <v>94117935.715843007</v>
      </c>
      <c r="G52" s="321">
        <v>94080839.032839015</v>
      </c>
      <c r="H52" s="321">
        <v>94102345.555512011</v>
      </c>
      <c r="I52" s="321">
        <v>94102105.457677022</v>
      </c>
      <c r="J52" s="321">
        <v>94440215.234255016</v>
      </c>
      <c r="K52" s="321">
        <v>94449064.164964005</v>
      </c>
      <c r="L52" s="321">
        <v>94438189.566964999</v>
      </c>
      <c r="M52" s="321">
        <v>98506310.995403007</v>
      </c>
      <c r="N52" s="321">
        <v>104002692.97884302</v>
      </c>
      <c r="O52" s="321">
        <v>104024355.85152102</v>
      </c>
      <c r="P52" s="321">
        <v>103967903.58852002</v>
      </c>
      <c r="Q52" s="101">
        <f t="shared" ref="Q52:Q57" si="8">ROUND(((D52/2)+SUM(E52:O52)+(P52/2))/12,2)</f>
        <v>96546908.620000005</v>
      </c>
      <c r="R52" s="183" t="s">
        <v>49</v>
      </c>
    </row>
    <row r="53" spans="1:18" x14ac:dyDescent="0.2">
      <c r="A53" s="184"/>
      <c r="B53" s="184"/>
      <c r="C53" s="184" t="s">
        <v>285</v>
      </c>
      <c r="D53" s="321">
        <v>84348.27</v>
      </c>
      <c r="E53" s="321">
        <v>84348.27</v>
      </c>
      <c r="F53" s="321">
        <v>84348.27</v>
      </c>
      <c r="G53" s="321">
        <v>84348.27</v>
      </c>
      <c r="H53" s="321">
        <v>84348.27</v>
      </c>
      <c r="I53" s="321">
        <v>84348.27</v>
      </c>
      <c r="J53" s="321">
        <v>84348.27</v>
      </c>
      <c r="K53" s="321">
        <v>84348.27</v>
      </c>
      <c r="L53" s="321">
        <v>84348.27</v>
      </c>
      <c r="M53" s="321">
        <v>84348.27</v>
      </c>
      <c r="N53" s="321">
        <v>84348.27</v>
      </c>
      <c r="O53" s="321">
        <v>84348.27</v>
      </c>
      <c r="P53" s="321">
        <v>84348.27</v>
      </c>
      <c r="Q53" s="101">
        <f t="shared" si="8"/>
        <v>84348.27</v>
      </c>
      <c r="R53" s="183" t="s">
        <v>145</v>
      </c>
    </row>
    <row r="54" spans="1:18" x14ac:dyDescent="0.2">
      <c r="A54" s="184" t="s">
        <v>241</v>
      </c>
      <c r="B54" s="184"/>
      <c r="C54" s="184"/>
      <c r="D54" s="321">
        <v>675198</v>
      </c>
      <c r="E54" s="321">
        <v>675198</v>
      </c>
      <c r="F54" s="321">
        <v>675198</v>
      </c>
      <c r="G54" s="321">
        <v>675198</v>
      </c>
      <c r="H54" s="321">
        <v>675198</v>
      </c>
      <c r="I54" s="321">
        <v>675198</v>
      </c>
      <c r="J54" s="321">
        <v>675198</v>
      </c>
      <c r="K54" s="321">
        <v>675198</v>
      </c>
      <c r="L54" s="321">
        <v>675198</v>
      </c>
      <c r="M54" s="321">
        <v>675198</v>
      </c>
      <c r="N54" s="321">
        <v>675198</v>
      </c>
      <c r="O54" s="321">
        <v>675198</v>
      </c>
      <c r="P54" s="321">
        <v>675198</v>
      </c>
      <c r="Q54" s="101">
        <f t="shared" si="8"/>
        <v>675198</v>
      </c>
      <c r="R54" s="183" t="s">
        <v>145</v>
      </c>
    </row>
    <row r="55" spans="1:18" x14ac:dyDescent="0.2">
      <c r="A55" s="184" t="s">
        <v>243</v>
      </c>
      <c r="B55" s="184"/>
      <c r="C55" s="184"/>
      <c r="D55" s="321">
        <v>165472469.72999996</v>
      </c>
      <c r="E55" s="321">
        <v>165531959.28999996</v>
      </c>
      <c r="F55" s="321">
        <v>165556735.01999992</v>
      </c>
      <c r="G55" s="321">
        <v>166708513.41999996</v>
      </c>
      <c r="H55" s="321">
        <v>166745781.00999993</v>
      </c>
      <c r="I55" s="321">
        <v>167080223.68999994</v>
      </c>
      <c r="J55" s="321">
        <v>167477915.32999992</v>
      </c>
      <c r="K55" s="321">
        <v>167551084.69999993</v>
      </c>
      <c r="L55" s="321">
        <v>167579325.47999996</v>
      </c>
      <c r="M55" s="321">
        <v>168519547.43999994</v>
      </c>
      <c r="N55" s="321">
        <v>180935578.38999993</v>
      </c>
      <c r="O55" s="321">
        <v>181217368.59999996</v>
      </c>
      <c r="P55" s="321">
        <v>181237774.05999994</v>
      </c>
      <c r="Q55" s="101">
        <f t="shared" si="8"/>
        <v>169854929.52000001</v>
      </c>
      <c r="R55" s="183" t="s">
        <v>145</v>
      </c>
    </row>
    <row r="56" spans="1:18" x14ac:dyDescent="0.2">
      <c r="A56" s="184" t="s">
        <v>244</v>
      </c>
      <c r="B56" s="184"/>
      <c r="C56" s="184"/>
      <c r="D56" s="321">
        <v>1894090109.6299999</v>
      </c>
      <c r="E56" s="321">
        <v>1899432648.0699999</v>
      </c>
      <c r="F56" s="321">
        <v>1902322962.5299997</v>
      </c>
      <c r="G56" s="321">
        <v>1911449428.8499997</v>
      </c>
      <c r="H56" s="321">
        <v>1914332013.1099999</v>
      </c>
      <c r="I56" s="321">
        <v>1919515063.0999999</v>
      </c>
      <c r="J56" s="321">
        <v>1926032268.8299997</v>
      </c>
      <c r="K56" s="321">
        <v>1931481724.9899998</v>
      </c>
      <c r="L56" s="321">
        <v>1937309011.5700002</v>
      </c>
      <c r="M56" s="321">
        <v>1945089163.5800002</v>
      </c>
      <c r="N56" s="321">
        <v>1960387367.28</v>
      </c>
      <c r="O56" s="321">
        <v>1964259721.8</v>
      </c>
      <c r="P56" s="321">
        <v>1972774320.96</v>
      </c>
      <c r="Q56" s="101">
        <f t="shared" si="8"/>
        <v>1928753632.4200001</v>
      </c>
      <c r="R56" s="183" t="s">
        <v>145</v>
      </c>
    </row>
    <row r="57" spans="1:18" x14ac:dyDescent="0.2">
      <c r="A57" s="184" t="s">
        <v>263</v>
      </c>
      <c r="B57" s="184"/>
      <c r="C57" s="184"/>
      <c r="D57" s="321">
        <v>187604642.87014502</v>
      </c>
      <c r="E57" s="321">
        <v>182154428.13524503</v>
      </c>
      <c r="F57" s="321">
        <v>182143146.69420001</v>
      </c>
      <c r="G57" s="321">
        <v>182361205.240161</v>
      </c>
      <c r="H57" s="321">
        <v>182429974.005463</v>
      </c>
      <c r="I57" s="321">
        <v>183282734.11974001</v>
      </c>
      <c r="J57" s="321">
        <v>187904155.98647106</v>
      </c>
      <c r="K57" s="321">
        <v>189618642.49852803</v>
      </c>
      <c r="L57" s="321">
        <v>189765262.89553905</v>
      </c>
      <c r="M57" s="321">
        <v>189985925.24318802</v>
      </c>
      <c r="N57" s="321">
        <v>203290914.913495</v>
      </c>
      <c r="O57" s="321">
        <v>188456071.46625203</v>
      </c>
      <c r="P57" s="321">
        <v>189869805.899297</v>
      </c>
      <c r="Q57" s="101">
        <f t="shared" si="8"/>
        <v>187510807.13</v>
      </c>
      <c r="R57" s="183" t="s">
        <v>326</v>
      </c>
    </row>
    <row r="58" spans="1:18" x14ac:dyDescent="0.2">
      <c r="A58" s="184"/>
      <c r="B58" s="184"/>
      <c r="C58" s="184"/>
      <c r="D58" s="321"/>
      <c r="E58" s="321"/>
      <c r="F58" s="321"/>
      <c r="G58" s="321"/>
      <c r="H58" s="321"/>
      <c r="I58" s="321"/>
      <c r="J58" s="321"/>
      <c r="K58" s="321"/>
      <c r="L58" s="321"/>
      <c r="M58" s="321"/>
      <c r="N58" s="321"/>
      <c r="O58" s="321"/>
      <c r="P58" s="321"/>
      <c r="Q58" s="296"/>
      <c r="R58" s="183"/>
    </row>
    <row r="59" spans="1:18" x14ac:dyDescent="0.2">
      <c r="A59" s="184" t="s">
        <v>286</v>
      </c>
      <c r="B59" s="184"/>
      <c r="C59" s="184"/>
      <c r="D59" s="321">
        <v>288038562.13361692</v>
      </c>
      <c r="E59" s="321">
        <v>284628049.96308494</v>
      </c>
      <c r="F59" s="321">
        <v>288042219.83961999</v>
      </c>
      <c r="G59" s="321">
        <v>288068630.31892699</v>
      </c>
      <c r="H59" s="321">
        <v>288090742.46259999</v>
      </c>
      <c r="I59" s="321">
        <v>288077303.45125699</v>
      </c>
      <c r="J59" s="321">
        <v>290144823.23668903</v>
      </c>
      <c r="K59" s="321">
        <v>290152439.39727998</v>
      </c>
      <c r="L59" s="321">
        <v>290151417.34568197</v>
      </c>
      <c r="M59" s="321">
        <v>290717412.83270997</v>
      </c>
      <c r="N59" s="321">
        <v>301361722.49797904</v>
      </c>
      <c r="O59" s="321">
        <v>301732835.29886597</v>
      </c>
      <c r="P59" s="321">
        <v>301993091.85303104</v>
      </c>
      <c r="Q59" s="101">
        <f>ROUND(((D59/2)+SUM(E59:O59)+(P59/2))/12,2)</f>
        <v>291348618.63999999</v>
      </c>
      <c r="R59" s="183" t="s">
        <v>287</v>
      </c>
    </row>
    <row r="60" spans="1:18" x14ac:dyDescent="0.2">
      <c r="A60" s="184" t="s">
        <v>265</v>
      </c>
      <c r="B60" s="184"/>
      <c r="C60" s="184"/>
      <c r="D60" s="321">
        <v>3406763.6419630004</v>
      </c>
      <c r="E60" s="321">
        <v>3364686.111724</v>
      </c>
      <c r="F60" s="321">
        <v>3364686.111724</v>
      </c>
      <c r="G60" s="321">
        <v>3364686.111724</v>
      </c>
      <c r="H60" s="321">
        <v>3364686.111724</v>
      </c>
      <c r="I60" s="321">
        <v>3364686.111724</v>
      </c>
      <c r="J60" s="321">
        <v>3364686.111724</v>
      </c>
      <c r="K60" s="321">
        <v>3364686.111724</v>
      </c>
      <c r="L60" s="321">
        <v>3364686.111724</v>
      </c>
      <c r="M60" s="321">
        <v>3364686.111724</v>
      </c>
      <c r="N60" s="321">
        <v>3364686.111724</v>
      </c>
      <c r="O60" s="321">
        <v>3364686.111724</v>
      </c>
      <c r="P60" s="321">
        <v>3364686.111724</v>
      </c>
      <c r="Q60" s="101">
        <f>ROUND(((D60/2)+SUM(E60:O60)+(P60/2))/12,2)</f>
        <v>3366439.34</v>
      </c>
      <c r="R60" s="183" t="s">
        <v>73</v>
      </c>
    </row>
    <row r="61" spans="1:18" x14ac:dyDescent="0.2">
      <c r="A61" s="184"/>
      <c r="B61" s="184"/>
      <c r="C61" s="184"/>
      <c r="D61" s="321"/>
      <c r="E61" s="321"/>
      <c r="F61" s="321"/>
      <c r="G61" s="321"/>
      <c r="H61" s="321"/>
      <c r="I61" s="321"/>
      <c r="J61" s="321"/>
      <c r="K61" s="321"/>
      <c r="L61" s="321"/>
      <c r="M61" s="321"/>
      <c r="N61" s="321"/>
      <c r="O61" s="321"/>
      <c r="P61" s="321"/>
      <c r="Q61" s="296"/>
      <c r="R61" s="183"/>
    </row>
    <row r="62" spans="1:18" x14ac:dyDescent="0.2">
      <c r="A62" s="184" t="s">
        <v>524</v>
      </c>
      <c r="B62" s="184"/>
      <c r="C62" s="184"/>
      <c r="D62" s="321">
        <v>187536464.56</v>
      </c>
      <c r="E62" s="321">
        <f>E21</f>
        <v>187536464.56</v>
      </c>
      <c r="F62" s="321">
        <f t="shared" ref="F62:P62" si="9">F21</f>
        <v>187536464.56</v>
      </c>
      <c r="G62" s="321">
        <f t="shared" si="9"/>
        <v>187536464.56</v>
      </c>
      <c r="H62" s="321">
        <f t="shared" si="9"/>
        <v>187536464.56</v>
      </c>
      <c r="I62" s="321">
        <f t="shared" si="9"/>
        <v>187536464.56</v>
      </c>
      <c r="J62" s="321">
        <f t="shared" si="9"/>
        <v>187536464.56</v>
      </c>
      <c r="K62" s="321">
        <f t="shared" si="9"/>
        <v>187307385.01000002</v>
      </c>
      <c r="L62" s="321">
        <f t="shared" si="9"/>
        <v>187307385.01000002</v>
      </c>
      <c r="M62" s="321">
        <f t="shared" si="9"/>
        <v>187307385.01000002</v>
      </c>
      <c r="N62" s="321">
        <f t="shared" si="9"/>
        <v>187307385.01000002</v>
      </c>
      <c r="O62" s="321">
        <f t="shared" si="9"/>
        <v>187307385.01000002</v>
      </c>
      <c r="P62" s="321">
        <f t="shared" si="9"/>
        <v>187307385.01000002</v>
      </c>
      <c r="Q62" s="101">
        <f>ROUND(((D62/2)+SUM(E62:O62)+(P62/2))/12,2)</f>
        <v>187431469.77000001</v>
      </c>
      <c r="R62" s="272" t="s">
        <v>145</v>
      </c>
    </row>
    <row r="63" spans="1:18" x14ac:dyDescent="0.2">
      <c r="A63" s="184"/>
      <c r="B63" s="184"/>
      <c r="C63" s="184"/>
      <c r="D63" s="296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183"/>
    </row>
    <row r="64" spans="1:18" x14ac:dyDescent="0.2">
      <c r="A64" s="184" t="s">
        <v>525</v>
      </c>
      <c r="B64" s="184"/>
      <c r="C64" s="184"/>
      <c r="D64" s="296">
        <f>SUM(D52:D60)</f>
        <v>2633125600.6005926</v>
      </c>
      <c r="E64" s="296">
        <f t="shared" ref="E64:P64" si="10">SUM(E52:E60)</f>
        <v>2629309461.7448244</v>
      </c>
      <c r="F64" s="296">
        <f t="shared" si="10"/>
        <v>2636307232.1813869</v>
      </c>
      <c r="G64" s="296">
        <f t="shared" si="10"/>
        <v>2646792849.2436504</v>
      </c>
      <c r="H64" s="296">
        <f t="shared" si="10"/>
        <v>2649825088.5252991</v>
      </c>
      <c r="I64" s="296">
        <f t="shared" si="10"/>
        <v>2656181662.2003975</v>
      </c>
      <c r="J64" s="296">
        <f t="shared" si="10"/>
        <v>2670123610.9991388</v>
      </c>
      <c r="K64" s="296">
        <f t="shared" si="10"/>
        <v>2677377188.1324959</v>
      </c>
      <c r="L64" s="296">
        <f t="shared" si="10"/>
        <v>2683367439.2399101</v>
      </c>
      <c r="M64" s="296">
        <f t="shared" si="10"/>
        <v>2696942592.4730248</v>
      </c>
      <c r="N64" s="296">
        <f t="shared" si="10"/>
        <v>2754102508.4420409</v>
      </c>
      <c r="O64" s="296">
        <f t="shared" si="10"/>
        <v>2743814585.3983626</v>
      </c>
      <c r="P64" s="296">
        <f t="shared" si="10"/>
        <v>2753967128.7425718</v>
      </c>
      <c r="Q64" s="296">
        <f>SUM(Q52:Q60)</f>
        <v>2678140881.9400001</v>
      </c>
      <c r="R64" s="183"/>
    </row>
    <row r="65" spans="1:18" x14ac:dyDescent="0.2">
      <c r="A65" s="184"/>
      <c r="B65" s="184"/>
      <c r="C65" s="184"/>
      <c r="D65" s="296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183"/>
    </row>
    <row r="66" spans="1:18" x14ac:dyDescent="0.2">
      <c r="A66" s="451" t="s">
        <v>123</v>
      </c>
      <c r="B66" s="184"/>
      <c r="C66" s="184"/>
      <c r="D66" s="296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301"/>
    </row>
    <row r="67" spans="1:18" x14ac:dyDescent="0.2">
      <c r="A67" s="184"/>
      <c r="B67" s="184"/>
      <c r="C67" s="184"/>
      <c r="D67" s="296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183"/>
    </row>
    <row r="68" spans="1:18" x14ac:dyDescent="0.2">
      <c r="A68" s="184" t="s">
        <v>248</v>
      </c>
      <c r="B68" s="184"/>
      <c r="C68" s="184"/>
      <c r="D68" s="321">
        <v>-56371044.052827999</v>
      </c>
      <c r="E68" s="321">
        <v>-56379308.969661005</v>
      </c>
      <c r="F68" s="321">
        <v>-56597539.402553</v>
      </c>
      <c r="G68" s="321">
        <v>-56816924.241111003</v>
      </c>
      <c r="H68" s="321">
        <v>-57036280.944660999</v>
      </c>
      <c r="I68" s="321">
        <v>-57255675.925321005</v>
      </c>
      <c r="J68" s="321">
        <v>-57475677.55821</v>
      </c>
      <c r="K68" s="321">
        <v>-57696302.415274002</v>
      </c>
      <c r="L68" s="321">
        <v>-57916923.435746007</v>
      </c>
      <c r="M68" s="321">
        <v>-58144830.703929</v>
      </c>
      <c r="N68" s="321">
        <v>-58389914.216876</v>
      </c>
      <c r="O68" s="321">
        <v>-58791040.061459005</v>
      </c>
      <c r="P68" s="321">
        <v>-59192277.815523006</v>
      </c>
      <c r="Q68" s="101">
        <f>ROUND(((D68/2)+SUM(E68:O68)+(P68/2))/12,2)</f>
        <v>-57523506.57</v>
      </c>
      <c r="R68" s="183" t="s">
        <v>49</v>
      </c>
    </row>
    <row r="69" spans="1:18" x14ac:dyDescent="0.2">
      <c r="A69" s="184" t="s">
        <v>241</v>
      </c>
      <c r="B69" s="184"/>
      <c r="C69" s="184"/>
      <c r="D69" s="321">
        <v>-691035.75</v>
      </c>
      <c r="E69" s="321">
        <v>-691035.69</v>
      </c>
      <c r="F69" s="321">
        <v>-691035.7</v>
      </c>
      <c r="G69" s="321">
        <v>-691035.7</v>
      </c>
      <c r="H69" s="321">
        <v>-691035.7</v>
      </c>
      <c r="I69" s="321">
        <v>-691035.71</v>
      </c>
      <c r="J69" s="321">
        <v>-691035.7</v>
      </c>
      <c r="K69" s="321">
        <v>-691035.7</v>
      </c>
      <c r="L69" s="321">
        <v>-691035.69</v>
      </c>
      <c r="M69" s="321">
        <v>-691035.69</v>
      </c>
      <c r="N69" s="321">
        <v>-691035.67999999993</v>
      </c>
      <c r="O69" s="321">
        <v>-691035.69</v>
      </c>
      <c r="P69" s="321">
        <v>-691035.69</v>
      </c>
      <c r="Q69" s="101">
        <f>ROUND(((D69/2)+SUM(E69:O69)+(P69/2))/12,2)</f>
        <v>-691035.7</v>
      </c>
      <c r="R69" s="183" t="s">
        <v>145</v>
      </c>
    </row>
    <row r="70" spans="1:18" x14ac:dyDescent="0.2">
      <c r="A70" s="184" t="s">
        <v>243</v>
      </c>
      <c r="B70" s="184"/>
      <c r="C70" s="184"/>
      <c r="D70" s="321">
        <v>-36292975.600000009</v>
      </c>
      <c r="E70" s="321">
        <v>-36707940.310000017</v>
      </c>
      <c r="F70" s="321">
        <v>-37124303.740000002</v>
      </c>
      <c r="G70" s="321">
        <v>-37540836.789999969</v>
      </c>
      <c r="H70" s="321">
        <v>-37959374.560000017</v>
      </c>
      <c r="I70" s="321">
        <v>-38377941.920000002</v>
      </c>
      <c r="J70" s="321">
        <v>-38797879.920000024</v>
      </c>
      <c r="K70" s="321">
        <v>-39217998.970000014</v>
      </c>
      <c r="L70" s="321">
        <v>-39638248.719999991</v>
      </c>
      <c r="M70" s="321">
        <v>-40058973.62000002</v>
      </c>
      <c r="N70" s="321">
        <v>-40494555.299999997</v>
      </c>
      <c r="O70" s="321">
        <v>-40775452.869999997</v>
      </c>
      <c r="P70" s="321">
        <v>-41056571.589999996</v>
      </c>
      <c r="Q70" s="101">
        <f>ROUND(((D70/2)+SUM(E70:O70)+(P70/2))/12,2)</f>
        <v>-38780690.030000001</v>
      </c>
      <c r="R70" s="183" t="s">
        <v>145</v>
      </c>
    </row>
    <row r="71" spans="1:18" x14ac:dyDescent="0.2">
      <c r="A71" s="184" t="s">
        <v>244</v>
      </c>
      <c r="B71" s="184"/>
      <c r="C71" s="184"/>
      <c r="D71" s="321">
        <v>-894057389.80000031</v>
      </c>
      <c r="E71" s="321">
        <v>-896815786.27999997</v>
      </c>
      <c r="F71" s="321">
        <v>-899781618.62999988</v>
      </c>
      <c r="G71" s="321">
        <v>-902696168.8100003</v>
      </c>
      <c r="H71" s="321">
        <v>-905689096.3599999</v>
      </c>
      <c r="I71" s="321">
        <v>-908993049.42000008</v>
      </c>
      <c r="J71" s="321">
        <v>-911597566.44000006</v>
      </c>
      <c r="K71" s="321">
        <v>-914283887.07000005</v>
      </c>
      <c r="L71" s="321">
        <v>-916921956.99000013</v>
      </c>
      <c r="M71" s="321">
        <v>-920162824.5</v>
      </c>
      <c r="N71" s="321">
        <v>-922509975.73000002</v>
      </c>
      <c r="O71" s="321">
        <v>-925752660.31999993</v>
      </c>
      <c r="P71" s="321">
        <v>-929062592.48999989</v>
      </c>
      <c r="Q71" s="101">
        <f>ROUND(((D71/2)+SUM(E71:O71)+(P71/2))/12,2)</f>
        <v>-911397048.47000003</v>
      </c>
      <c r="R71" s="183" t="s">
        <v>145</v>
      </c>
    </row>
    <row r="72" spans="1:18" x14ac:dyDescent="0.2">
      <c r="A72" s="184" t="s">
        <v>263</v>
      </c>
      <c r="B72" s="184"/>
      <c r="C72" s="184"/>
      <c r="D72" s="321">
        <v>-57849355.954188004</v>
      </c>
      <c r="E72" s="321">
        <v>-58108215.249313995</v>
      </c>
      <c r="F72" s="321">
        <v>-58639016.404873997</v>
      </c>
      <c r="G72" s="321">
        <v>-59272148.928019986</v>
      </c>
      <c r="H72" s="321">
        <v>-60091590.996578</v>
      </c>
      <c r="I72" s="321">
        <v>-60594187.613611996</v>
      </c>
      <c r="J72" s="321">
        <v>-61430531.478467986</v>
      </c>
      <c r="K72" s="321">
        <v>-62321293.297785997</v>
      </c>
      <c r="L72" s="321">
        <v>-63214595.703503996</v>
      </c>
      <c r="M72" s="321">
        <v>-64009944.435009994</v>
      </c>
      <c r="N72" s="321">
        <v>-64580981.678433985</v>
      </c>
      <c r="O72" s="321">
        <v>-51499018.960776009</v>
      </c>
      <c r="P72" s="321">
        <v>-52070775.526049986</v>
      </c>
      <c r="Q72" s="101">
        <f>ROUND(((D72/2)+SUM(E72:O72)+(P72/2))/12,2)</f>
        <v>-59893465.869999997</v>
      </c>
      <c r="R72" s="183" t="s">
        <v>73</v>
      </c>
    </row>
    <row r="73" spans="1:18" x14ac:dyDescent="0.2">
      <c r="A73" s="184"/>
      <c r="B73" s="184"/>
      <c r="C73" s="184"/>
      <c r="D73" s="321"/>
      <c r="E73" s="321"/>
      <c r="F73" s="321"/>
      <c r="G73" s="321"/>
      <c r="H73" s="321"/>
      <c r="I73" s="321"/>
      <c r="J73" s="321"/>
      <c r="K73" s="321"/>
      <c r="L73" s="321"/>
      <c r="M73" s="321"/>
      <c r="N73" s="321"/>
      <c r="O73" s="321"/>
      <c r="P73" s="321"/>
      <c r="Q73" s="296"/>
      <c r="R73" s="183"/>
    </row>
    <row r="74" spans="1:18" x14ac:dyDescent="0.2">
      <c r="A74" s="184" t="s">
        <v>286</v>
      </c>
      <c r="B74" s="184"/>
      <c r="C74" s="184"/>
      <c r="D74" s="321">
        <v>-125136220.93173954</v>
      </c>
      <c r="E74" s="321">
        <v>-122217010.09807836</v>
      </c>
      <c r="F74" s="321">
        <v>-122786821.42608008</v>
      </c>
      <c r="G74" s="321">
        <v>-123358625.39917424</v>
      </c>
      <c r="H74" s="321">
        <v>-123930853.51327759</v>
      </c>
      <c r="I74" s="321">
        <v>-124502750.70634688</v>
      </c>
      <c r="J74" s="321">
        <v>-125076708.57651138</v>
      </c>
      <c r="K74" s="321">
        <v>-125652013.3184998</v>
      </c>
      <c r="L74" s="321">
        <v>-126227319.00574243</v>
      </c>
      <c r="M74" s="321">
        <v>-126803606.91609117</v>
      </c>
      <c r="N74" s="321">
        <v>-127394034.84382239</v>
      </c>
      <c r="O74" s="321">
        <v>-127887873.87119941</v>
      </c>
      <c r="P74" s="321">
        <v>-128386017.32762057</v>
      </c>
      <c r="Q74" s="101">
        <f>ROUND(((D74/2)+SUM(E74:O74)+(P74/2))/12,2)</f>
        <v>-125216561.40000001</v>
      </c>
      <c r="R74" s="183" t="s">
        <v>287</v>
      </c>
    </row>
    <row r="75" spans="1:18" x14ac:dyDescent="0.2">
      <c r="A75" s="184" t="s">
        <v>265</v>
      </c>
      <c r="B75" s="184"/>
      <c r="C75" s="184"/>
      <c r="D75" s="321">
        <v>-1915792.2575880003</v>
      </c>
      <c r="E75" s="321">
        <v>-1894477.161416</v>
      </c>
      <c r="F75" s="321">
        <v>-1896824.4284919999</v>
      </c>
      <c r="G75" s="321">
        <v>-1899171.6334360002</v>
      </c>
      <c r="H75" s="321">
        <v>-1901518.8383799996</v>
      </c>
      <c r="I75" s="321">
        <v>-1903866.0255719996</v>
      </c>
      <c r="J75" s="321">
        <v>-1906213.2926479999</v>
      </c>
      <c r="K75" s="321">
        <v>-1908560.5064679997</v>
      </c>
      <c r="L75" s="321">
        <v>-1910907.7291639997</v>
      </c>
      <c r="M75" s="321">
        <v>-1913254.9163559999</v>
      </c>
      <c r="N75" s="321">
        <v>-1915602.156804</v>
      </c>
      <c r="O75" s="321">
        <v>-1921515.3923839997</v>
      </c>
      <c r="P75" s="321">
        <v>-1927428.5392039998</v>
      </c>
      <c r="Q75" s="101">
        <f>ROUND(((D75/2)+SUM(E75:O75)+(P75/2))/12,2)</f>
        <v>-1907793.54</v>
      </c>
      <c r="R75" s="183" t="s">
        <v>73</v>
      </c>
    </row>
    <row r="76" spans="1:18" x14ac:dyDescent="0.2">
      <c r="A76" s="184"/>
      <c r="B76" s="184"/>
      <c r="C76" s="184"/>
      <c r="D76" s="321"/>
      <c r="E76" s="321"/>
      <c r="F76" s="321"/>
      <c r="G76" s="321"/>
      <c r="H76" s="321"/>
      <c r="I76" s="321"/>
      <c r="J76" s="321"/>
      <c r="K76" s="321"/>
      <c r="L76" s="321"/>
      <c r="M76" s="321"/>
      <c r="N76" s="321"/>
      <c r="O76" s="321"/>
      <c r="P76" s="321"/>
      <c r="Q76" s="296"/>
      <c r="R76" s="183"/>
    </row>
    <row r="77" spans="1:18" x14ac:dyDescent="0.2">
      <c r="A77" s="184" t="s">
        <v>524</v>
      </c>
      <c r="B77" s="184"/>
      <c r="C77" s="184"/>
      <c r="D77" s="322">
        <v>-87779706.116985217</v>
      </c>
      <c r="E77" s="322">
        <f>E36</f>
        <v>-89232293.259200275</v>
      </c>
      <c r="F77" s="322">
        <f t="shared" ref="F77:P77" si="11">F36</f>
        <v>-90487052.107011437</v>
      </c>
      <c r="G77" s="322">
        <f t="shared" si="11"/>
        <v>-91852460.069502249</v>
      </c>
      <c r="H77" s="322">
        <f t="shared" si="11"/>
        <v>-93126613.217974886</v>
      </c>
      <c r="I77" s="322">
        <f t="shared" si="11"/>
        <v>-94418060.533664659</v>
      </c>
      <c r="J77" s="322">
        <f t="shared" si="11"/>
        <v>-95595918.032171056</v>
      </c>
      <c r="K77" s="322">
        <f t="shared" si="11"/>
        <v>-96926684.01365222</v>
      </c>
      <c r="L77" s="322">
        <f t="shared" si="11"/>
        <v>-98419429.102177501</v>
      </c>
      <c r="M77" s="322">
        <f t="shared" si="11"/>
        <v>-99835236.478867546</v>
      </c>
      <c r="N77" s="322">
        <f t="shared" si="11"/>
        <v>-101215215.72834088</v>
      </c>
      <c r="O77" s="322">
        <f t="shared" si="11"/>
        <v>-102899863.08794457</v>
      </c>
      <c r="P77" s="322">
        <f t="shared" si="11"/>
        <v>-104463649.64881368</v>
      </c>
      <c r="Q77" s="101">
        <f>ROUND(((D77/2)+SUM(E77:O77)+(P77/2))/12,2)</f>
        <v>-95844208.629999995</v>
      </c>
      <c r="R77" s="272" t="s">
        <v>145</v>
      </c>
    </row>
    <row r="78" spans="1:18" x14ac:dyDescent="0.2">
      <c r="A78" s="184"/>
      <c r="B78" s="184"/>
      <c r="C78" s="184"/>
      <c r="D78" s="296"/>
      <c r="E78" s="296"/>
      <c r="F78" s="296"/>
      <c r="G78" s="296"/>
      <c r="H78" s="296"/>
      <c r="I78" s="296"/>
      <c r="J78" s="296"/>
      <c r="K78" s="296"/>
      <c r="L78" s="296"/>
      <c r="M78" s="296"/>
      <c r="N78" s="296"/>
      <c r="O78" s="296"/>
      <c r="P78" s="296"/>
      <c r="Q78" s="296"/>
      <c r="R78" s="183"/>
    </row>
    <row r="79" spans="1:18" x14ac:dyDescent="0.2">
      <c r="A79" s="184" t="s">
        <v>526</v>
      </c>
      <c r="B79" s="184"/>
      <c r="C79" s="184"/>
      <c r="D79" s="296">
        <f>SUM(D68:D75)</f>
        <v>-1172313814.3463438</v>
      </c>
      <c r="E79" s="296">
        <f t="shared" ref="E79:P79" si="12">SUM(E68:E75)</f>
        <v>-1172813773.7584693</v>
      </c>
      <c r="F79" s="296">
        <f t="shared" si="12"/>
        <v>-1177517159.7319989</v>
      </c>
      <c r="G79" s="296">
        <f t="shared" si="12"/>
        <v>-1182274911.5017414</v>
      </c>
      <c r="H79" s="296">
        <f t="shared" si="12"/>
        <v>-1187299750.9128966</v>
      </c>
      <c r="I79" s="296">
        <f t="shared" si="12"/>
        <v>-1192318507.320852</v>
      </c>
      <c r="J79" s="296">
        <f t="shared" si="12"/>
        <v>-1196975612.9658375</v>
      </c>
      <c r="K79" s="296">
        <f t="shared" si="12"/>
        <v>-1201771091.278028</v>
      </c>
      <c r="L79" s="296">
        <f t="shared" si="12"/>
        <v>-1206520987.2741563</v>
      </c>
      <c r="M79" s="296">
        <f t="shared" si="12"/>
        <v>-1211784470.7813864</v>
      </c>
      <c r="N79" s="296">
        <f t="shared" si="12"/>
        <v>-1215976099.6059365</v>
      </c>
      <c r="O79" s="296">
        <f t="shared" si="12"/>
        <v>-1207318597.1658185</v>
      </c>
      <c r="P79" s="296">
        <f t="shared" si="12"/>
        <v>-1212386698.9783974</v>
      </c>
      <c r="Q79" s="296">
        <f>SUM(Q68:Q75)</f>
        <v>-1195410101.5799999</v>
      </c>
      <c r="R79" s="183"/>
    </row>
    <row r="80" spans="1:18" x14ac:dyDescent="0.2">
      <c r="A80" s="184"/>
      <c r="B80" s="184"/>
      <c r="C80" s="184"/>
      <c r="R80" s="183"/>
    </row>
    <row r="81" spans="1:18" x14ac:dyDescent="0.2">
      <c r="A81" s="184" t="s">
        <v>271</v>
      </c>
      <c r="B81" s="184"/>
      <c r="C81" s="184"/>
      <c r="D81" s="296">
        <f t="shared" ref="D81:P81" si="13">+D40-D118</f>
        <v>16541739.109999999</v>
      </c>
      <c r="E81" s="296">
        <f t="shared" si="13"/>
        <v>16540293.009999998</v>
      </c>
      <c r="F81" s="296">
        <f t="shared" si="13"/>
        <v>16538230.26</v>
      </c>
      <c r="G81" s="296">
        <f t="shared" si="13"/>
        <v>16536585.369999999</v>
      </c>
      <c r="H81" s="296">
        <f t="shared" si="13"/>
        <v>16534558.720000001</v>
      </c>
      <c r="I81" s="296">
        <f t="shared" si="13"/>
        <v>16533006.039999999</v>
      </c>
      <c r="J81" s="296">
        <f t="shared" si="13"/>
        <v>16532579.029999999</v>
      </c>
      <c r="K81" s="296">
        <f t="shared" si="13"/>
        <v>16553567.140000002</v>
      </c>
      <c r="L81" s="296">
        <f t="shared" si="13"/>
        <v>16552151.540000001</v>
      </c>
      <c r="M81" s="296">
        <f t="shared" si="13"/>
        <v>16550758.900000002</v>
      </c>
      <c r="N81" s="296">
        <f t="shared" si="13"/>
        <v>16549437.57</v>
      </c>
      <c r="O81" s="296">
        <f t="shared" si="13"/>
        <v>16548091.57</v>
      </c>
      <c r="P81" s="296">
        <f t="shared" si="13"/>
        <v>16546750.82</v>
      </c>
      <c r="Q81" s="101">
        <f>ROUND(((D81/2)+SUM(E81:O81)+(P81/2))/12,2)</f>
        <v>16542792.01</v>
      </c>
      <c r="R81" s="183" t="s">
        <v>287</v>
      </c>
    </row>
    <row r="82" spans="1:18" x14ac:dyDescent="0.2">
      <c r="A82" s="184" t="s">
        <v>144</v>
      </c>
      <c r="B82" s="184"/>
      <c r="C82" s="184"/>
      <c r="D82" s="296">
        <f t="shared" ref="D82:P82" si="14">+D41-D119</f>
        <v>-3296312.12</v>
      </c>
      <c r="E82" s="296">
        <f t="shared" si="14"/>
        <v>-3358337.89</v>
      </c>
      <c r="F82" s="296">
        <f t="shared" si="14"/>
        <v>-3411638.6599999997</v>
      </c>
      <c r="G82" s="296">
        <f t="shared" si="14"/>
        <v>-3388560.62</v>
      </c>
      <c r="H82" s="296">
        <f t="shared" si="14"/>
        <v>-3449468.39</v>
      </c>
      <c r="I82" s="296">
        <f t="shared" si="14"/>
        <v>-3533135.6599999997</v>
      </c>
      <c r="J82" s="296">
        <f t="shared" si="14"/>
        <v>-3601401.1199999996</v>
      </c>
      <c r="K82" s="296">
        <f t="shared" si="14"/>
        <v>-3698590.1199999996</v>
      </c>
      <c r="L82" s="296">
        <f t="shared" si="14"/>
        <v>-3790101.1199999996</v>
      </c>
      <c r="M82" s="296">
        <f t="shared" si="14"/>
        <v>-3839570.64</v>
      </c>
      <c r="N82" s="296">
        <f t="shared" si="14"/>
        <v>-3418457.64</v>
      </c>
      <c r="O82" s="296">
        <f t="shared" si="14"/>
        <v>-3503296.97</v>
      </c>
      <c r="P82" s="296">
        <f t="shared" si="14"/>
        <v>-3601643.15</v>
      </c>
      <c r="Q82" s="101">
        <f>ROUND(((D82/2)+SUM(E82:O82)+(P82/2))/12,2)</f>
        <v>-3536794.71</v>
      </c>
      <c r="R82" s="183" t="s">
        <v>145</v>
      </c>
    </row>
    <row r="83" spans="1:18" x14ac:dyDescent="0.2">
      <c r="A83" s="184" t="s">
        <v>160</v>
      </c>
      <c r="B83" s="184"/>
      <c r="C83" s="184"/>
      <c r="D83" s="296">
        <f t="shared" ref="D83:P83" si="15">+D42-D120</f>
        <v>248939.36495999983</v>
      </c>
      <c r="E83" s="296">
        <f t="shared" si="15"/>
        <v>228148.32233199984</v>
      </c>
      <c r="F83" s="296">
        <f t="shared" si="15"/>
        <v>206994.28467200018</v>
      </c>
      <c r="G83" s="296">
        <f t="shared" si="15"/>
        <v>185840.24701200009</v>
      </c>
      <c r="H83" s="296">
        <f t="shared" si="15"/>
        <v>178559.92991200011</v>
      </c>
      <c r="I83" s="296">
        <f t="shared" si="15"/>
        <v>157483.07794799999</v>
      </c>
      <c r="J83" s="296">
        <f t="shared" si="15"/>
        <v>138986.55906799974</v>
      </c>
      <c r="K83" s="296">
        <f t="shared" si="15"/>
        <v>119601.46382800023</v>
      </c>
      <c r="L83" s="296">
        <f t="shared" si="15"/>
        <v>99530.688712000105</v>
      </c>
      <c r="M83" s="296">
        <f t="shared" si="15"/>
        <v>79376.301676000221</v>
      </c>
      <c r="N83" s="296">
        <f t="shared" si="15"/>
        <v>59221.985648000395</v>
      </c>
      <c r="O83" s="296">
        <f t="shared" si="15"/>
        <v>55949.821620000163</v>
      </c>
      <c r="P83" s="296">
        <f t="shared" si="15"/>
        <v>52677.657592000345</v>
      </c>
      <c r="Q83" s="101">
        <f>ROUND(((D83/2)+SUM(E83:O83)+(P83/2))/12,2)</f>
        <v>138375.1</v>
      </c>
      <c r="R83" s="183" t="s">
        <v>288</v>
      </c>
    </row>
    <row r="84" spans="1:18" x14ac:dyDescent="0.2">
      <c r="A84" s="184"/>
      <c r="B84" s="184"/>
      <c r="C84" s="184"/>
    </row>
    <row r="85" spans="1:18" x14ac:dyDescent="0.2">
      <c r="A85" s="454" t="s">
        <v>492</v>
      </c>
      <c r="B85" s="184"/>
      <c r="C85" s="184"/>
      <c r="D85" s="296">
        <f t="shared" ref="D85:P85" si="16">+D64+D79+SUM(D81:D83)</f>
        <v>1474306152.6092088</v>
      </c>
      <c r="E85" s="296">
        <f t="shared" si="16"/>
        <v>1469905791.4286871</v>
      </c>
      <c r="F85" s="296">
        <f t="shared" si="16"/>
        <v>1472123658.33406</v>
      </c>
      <c r="G85" s="296">
        <f t="shared" si="16"/>
        <v>1477851802.7389209</v>
      </c>
      <c r="H85" s="296">
        <f t="shared" si="16"/>
        <v>1475788987.8723145</v>
      </c>
      <c r="I85" s="296">
        <f t="shared" si="16"/>
        <v>1477020508.3374934</v>
      </c>
      <c r="J85" s="296">
        <f t="shared" si="16"/>
        <v>1486218162.5023694</v>
      </c>
      <c r="K85" s="296">
        <f t="shared" si="16"/>
        <v>1488580675.3382959</v>
      </c>
      <c r="L85" s="296">
        <f t="shared" si="16"/>
        <v>1489708033.0744658</v>
      </c>
      <c r="M85" s="296">
        <f t="shared" si="16"/>
        <v>1497948686.2533145</v>
      </c>
      <c r="N85" s="296">
        <f t="shared" si="16"/>
        <v>1551316610.7517524</v>
      </c>
      <c r="O85" s="296">
        <f t="shared" si="16"/>
        <v>1549596732.6541641</v>
      </c>
      <c r="P85" s="296">
        <f t="shared" si="16"/>
        <v>1554578215.0917664</v>
      </c>
      <c r="Q85" s="101">
        <f>ROUND(((D85/2)+SUM(E85:O85)+(P85/2))/12,2)</f>
        <v>1495875152.76</v>
      </c>
    </row>
    <row r="86" spans="1:18" x14ac:dyDescent="0.2">
      <c r="A86" s="454"/>
      <c r="B86" s="184"/>
      <c r="C86" s="184"/>
      <c r="D86" s="270"/>
      <c r="E86" s="270"/>
      <c r="F86" s="270"/>
      <c r="G86" s="270"/>
      <c r="H86" s="270"/>
      <c r="I86" s="270"/>
      <c r="J86" s="270"/>
      <c r="K86" s="270"/>
      <c r="L86" s="270"/>
      <c r="M86" s="270"/>
      <c r="N86" s="270"/>
      <c r="O86" s="270"/>
      <c r="P86" s="270"/>
      <c r="Q86" s="101"/>
      <c r="R86" s="271"/>
    </row>
    <row r="87" spans="1:18" x14ac:dyDescent="0.2">
      <c r="A87" s="454"/>
      <c r="B87" s="184"/>
      <c r="C87" s="184"/>
      <c r="D87" s="467"/>
      <c r="E87" s="467"/>
      <c r="F87" s="467"/>
      <c r="G87" s="467"/>
      <c r="H87" s="467"/>
      <c r="I87" s="467"/>
      <c r="J87" s="467"/>
      <c r="K87" s="467"/>
      <c r="L87" s="467"/>
      <c r="M87" s="467"/>
      <c r="N87" s="467"/>
      <c r="O87" s="467"/>
      <c r="P87" s="467"/>
      <c r="Q87" s="101"/>
    </row>
    <row r="88" spans="1:18" ht="13.5" thickBot="1" x14ac:dyDescent="0.25">
      <c r="A88" s="293"/>
      <c r="B88" s="293"/>
      <c r="C88" s="293"/>
      <c r="D88" s="293"/>
      <c r="E88" s="293"/>
      <c r="F88" s="293"/>
      <c r="G88" s="293"/>
      <c r="H88" s="293"/>
      <c r="I88" s="293"/>
      <c r="J88" s="293"/>
      <c r="K88" s="293"/>
      <c r="L88" s="293"/>
      <c r="M88" s="293"/>
      <c r="N88" s="293"/>
      <c r="O88" s="293"/>
      <c r="P88" s="293"/>
      <c r="Q88" s="293"/>
    </row>
    <row r="89" spans="1:18" x14ac:dyDescent="0.2">
      <c r="A89" s="455" t="s">
        <v>364</v>
      </c>
      <c r="B89" s="455"/>
      <c r="C89" s="455"/>
      <c r="D89" s="294">
        <f t="shared" ref="D89:Q89" si="17">+D5</f>
        <v>2017</v>
      </c>
      <c r="E89" s="294">
        <f t="shared" si="17"/>
        <v>2018</v>
      </c>
      <c r="F89" s="294">
        <f t="shared" si="17"/>
        <v>2018</v>
      </c>
      <c r="G89" s="294">
        <f t="shared" si="17"/>
        <v>2018</v>
      </c>
      <c r="H89" s="294">
        <f t="shared" si="17"/>
        <v>2018</v>
      </c>
      <c r="I89" s="294">
        <f t="shared" si="17"/>
        <v>2018</v>
      </c>
      <c r="J89" s="294">
        <f t="shared" si="17"/>
        <v>2018</v>
      </c>
      <c r="K89" s="294">
        <f t="shared" si="17"/>
        <v>2018</v>
      </c>
      <c r="L89" s="294">
        <f t="shared" si="17"/>
        <v>2018</v>
      </c>
      <c r="M89" s="294">
        <f t="shared" si="17"/>
        <v>2018</v>
      </c>
      <c r="N89" s="294">
        <f t="shared" si="17"/>
        <v>2018</v>
      </c>
      <c r="O89" s="294">
        <f t="shared" si="17"/>
        <v>2018</v>
      </c>
      <c r="P89" s="294">
        <f t="shared" si="17"/>
        <v>2018</v>
      </c>
      <c r="Q89" s="294" t="str">
        <f t="shared" si="17"/>
        <v>Dec 17 - Dec 18</v>
      </c>
    </row>
    <row r="90" spans="1:18" x14ac:dyDescent="0.2">
      <c r="D90" s="294" t="str">
        <f t="shared" ref="D90:Q90" si="18">+D6</f>
        <v>Dec</v>
      </c>
      <c r="E90" s="294" t="str">
        <f t="shared" si="18"/>
        <v>Jan</v>
      </c>
      <c r="F90" s="294" t="str">
        <f t="shared" si="18"/>
        <v>Feb</v>
      </c>
      <c r="G90" s="294" t="str">
        <f t="shared" si="18"/>
        <v>Mar</v>
      </c>
      <c r="H90" s="294" t="str">
        <f t="shared" si="18"/>
        <v>Apr</v>
      </c>
      <c r="I90" s="294" t="str">
        <f t="shared" si="18"/>
        <v>May</v>
      </c>
      <c r="J90" s="294" t="str">
        <f t="shared" si="18"/>
        <v>June</v>
      </c>
      <c r="K90" s="294" t="str">
        <f t="shared" si="18"/>
        <v>July</v>
      </c>
      <c r="L90" s="294" t="str">
        <f t="shared" si="18"/>
        <v>August</v>
      </c>
      <c r="M90" s="294" t="str">
        <f t="shared" si="18"/>
        <v>September</v>
      </c>
      <c r="N90" s="294" t="str">
        <f t="shared" si="18"/>
        <v>October</v>
      </c>
      <c r="O90" s="294" t="str">
        <f t="shared" si="18"/>
        <v>November</v>
      </c>
      <c r="P90" s="294" t="str">
        <f t="shared" si="18"/>
        <v>December</v>
      </c>
      <c r="Q90" s="294" t="str">
        <f t="shared" si="18"/>
        <v>12 month average</v>
      </c>
    </row>
    <row r="91" spans="1:18" x14ac:dyDescent="0.2">
      <c r="A91" s="451" t="s">
        <v>50</v>
      </c>
      <c r="B91" s="184"/>
      <c r="C91" s="184"/>
      <c r="D91" s="295" t="str">
        <f>+A89</f>
        <v>WASHINGTON</v>
      </c>
      <c r="E91" s="295" t="str">
        <f>+D91</f>
        <v>WASHINGTON</v>
      </c>
      <c r="F91" s="295" t="str">
        <f t="shared" ref="F91:P91" si="19">+E91</f>
        <v>WASHINGTON</v>
      </c>
      <c r="G91" s="295" t="str">
        <f t="shared" si="19"/>
        <v>WASHINGTON</v>
      </c>
      <c r="H91" s="295" t="str">
        <f t="shared" si="19"/>
        <v>WASHINGTON</v>
      </c>
      <c r="I91" s="295" t="str">
        <f t="shared" si="19"/>
        <v>WASHINGTON</v>
      </c>
      <c r="J91" s="295" t="str">
        <f t="shared" si="19"/>
        <v>WASHINGTON</v>
      </c>
      <c r="K91" s="295" t="str">
        <f t="shared" si="19"/>
        <v>WASHINGTON</v>
      </c>
      <c r="L91" s="295" t="str">
        <f t="shared" si="19"/>
        <v>WASHINGTON</v>
      </c>
      <c r="M91" s="295" t="str">
        <f t="shared" si="19"/>
        <v>WASHINGTON</v>
      </c>
      <c r="N91" s="295" t="str">
        <f t="shared" si="19"/>
        <v>WASHINGTON</v>
      </c>
      <c r="O91" s="295" t="str">
        <f t="shared" si="19"/>
        <v>WASHINGTON</v>
      </c>
      <c r="P91" s="295" t="str">
        <f t="shared" si="19"/>
        <v>WASHINGTON</v>
      </c>
      <c r="Q91" s="295" t="str">
        <f>+P91</f>
        <v>WASHINGTON</v>
      </c>
    </row>
    <row r="92" spans="1:18" x14ac:dyDescent="0.2">
      <c r="A92" s="184"/>
      <c r="B92" s="184"/>
      <c r="C92" s="184"/>
    </row>
    <row r="93" spans="1:18" x14ac:dyDescent="0.2">
      <c r="A93" s="184" t="s">
        <v>248</v>
      </c>
      <c r="B93" s="184"/>
      <c r="C93" s="184" t="s">
        <v>284</v>
      </c>
      <c r="D93" s="321">
        <v>11422067.295131996</v>
      </c>
      <c r="E93" s="321">
        <v>11773143.005228996</v>
      </c>
      <c r="F93" s="321">
        <v>11858796.314157009</v>
      </c>
      <c r="G93" s="321">
        <v>11854122.157160997</v>
      </c>
      <c r="H93" s="321">
        <v>11856831.964488</v>
      </c>
      <c r="I93" s="321">
        <v>11856801.712322995</v>
      </c>
      <c r="J93" s="321">
        <v>11899403.315744996</v>
      </c>
      <c r="K93" s="321">
        <v>11900518.275036007</v>
      </c>
      <c r="L93" s="321">
        <v>11899148.083035007</v>
      </c>
      <c r="M93" s="321">
        <v>12411728.634597003</v>
      </c>
      <c r="N93" s="321">
        <v>13104269.051156998</v>
      </c>
      <c r="O93" s="321">
        <v>13106998.558478996</v>
      </c>
      <c r="P93" s="321">
        <v>13099885.611479998</v>
      </c>
      <c r="Q93" s="101">
        <f t="shared" ref="Q93:Q98" si="20">ROUND(((D93/2)+SUM(E93:O93)+(P93/2))/12,2)</f>
        <v>12148561.460000001</v>
      </c>
      <c r="R93" s="183" t="s">
        <v>49</v>
      </c>
    </row>
    <row r="94" spans="1:18" x14ac:dyDescent="0.2">
      <c r="A94" s="184"/>
      <c r="B94" s="184"/>
      <c r="C94" s="184" t="s">
        <v>285</v>
      </c>
      <c r="D94" s="321">
        <v>447</v>
      </c>
      <c r="E94" s="321">
        <v>447</v>
      </c>
      <c r="F94" s="321">
        <v>447</v>
      </c>
      <c r="G94" s="321">
        <v>447</v>
      </c>
      <c r="H94" s="321">
        <v>447</v>
      </c>
      <c r="I94" s="321">
        <v>447</v>
      </c>
      <c r="J94" s="321">
        <v>447</v>
      </c>
      <c r="K94" s="321">
        <v>447</v>
      </c>
      <c r="L94" s="321">
        <v>447</v>
      </c>
      <c r="M94" s="321">
        <v>447</v>
      </c>
      <c r="N94" s="321">
        <v>447</v>
      </c>
      <c r="O94" s="321">
        <v>447</v>
      </c>
      <c r="P94" s="321">
        <v>447</v>
      </c>
      <c r="Q94" s="101">
        <f t="shared" si="20"/>
        <v>447</v>
      </c>
      <c r="R94" s="183" t="s">
        <v>145</v>
      </c>
    </row>
    <row r="95" spans="1:18" x14ac:dyDescent="0.2">
      <c r="A95" s="184" t="s">
        <v>241</v>
      </c>
      <c r="B95" s="184"/>
      <c r="C95" s="184"/>
      <c r="D95" s="321"/>
      <c r="E95" s="321"/>
      <c r="F95" s="321"/>
      <c r="G95" s="321"/>
      <c r="H95" s="321"/>
      <c r="I95" s="321"/>
      <c r="J95" s="321"/>
      <c r="K95" s="321"/>
      <c r="L95" s="321"/>
      <c r="M95" s="321"/>
      <c r="N95" s="321"/>
      <c r="O95" s="321"/>
      <c r="P95" s="321"/>
      <c r="Q95" s="101">
        <f t="shared" si="20"/>
        <v>0</v>
      </c>
      <c r="R95" s="183" t="s">
        <v>145</v>
      </c>
    </row>
    <row r="96" spans="1:18" x14ac:dyDescent="0.2">
      <c r="A96" s="184" t="s">
        <v>243</v>
      </c>
      <c r="B96" s="184"/>
      <c r="C96" s="184"/>
      <c r="D96" s="321">
        <v>1114673.6699999997</v>
      </c>
      <c r="E96" s="321">
        <v>1115001.07</v>
      </c>
      <c r="F96" s="321">
        <v>1115001.0699999996</v>
      </c>
      <c r="G96" s="321">
        <v>1115001.0699999996</v>
      </c>
      <c r="H96" s="321">
        <v>1115001.0699999996</v>
      </c>
      <c r="I96" s="321">
        <v>1115001.0699999996</v>
      </c>
      <c r="J96" s="321">
        <v>1115001.0699999996</v>
      </c>
      <c r="K96" s="321">
        <v>1115001.0699999996</v>
      </c>
      <c r="L96" s="321">
        <v>1115001.0699999996</v>
      </c>
      <c r="M96" s="321">
        <v>1115001.0699999996</v>
      </c>
      <c r="N96" s="321">
        <v>1115001.0699999996</v>
      </c>
      <c r="O96" s="321">
        <v>1115001.0699999996</v>
      </c>
      <c r="P96" s="321">
        <v>1115001.07</v>
      </c>
      <c r="Q96" s="101">
        <f t="shared" si="20"/>
        <v>1114987.43</v>
      </c>
      <c r="R96" s="183" t="s">
        <v>145</v>
      </c>
    </row>
    <row r="97" spans="1:18" x14ac:dyDescent="0.2">
      <c r="A97" s="184" t="s">
        <v>244</v>
      </c>
      <c r="B97" s="184"/>
      <c r="C97" s="184"/>
      <c r="D97" s="321">
        <v>267685383.40000004</v>
      </c>
      <c r="E97" s="321">
        <v>268646497.41000003</v>
      </c>
      <c r="F97" s="321">
        <v>269005468.62</v>
      </c>
      <c r="G97" s="321">
        <v>271664673.55000001</v>
      </c>
      <c r="H97" s="321">
        <v>272703898.68000001</v>
      </c>
      <c r="I97" s="321">
        <v>274534759.09999996</v>
      </c>
      <c r="J97" s="321">
        <v>277930132.24000007</v>
      </c>
      <c r="K97" s="321">
        <v>277960738.25999999</v>
      </c>
      <c r="L97" s="321">
        <v>279877159.53000003</v>
      </c>
      <c r="M97" s="321">
        <v>281297948.56</v>
      </c>
      <c r="N97" s="321">
        <v>288836339.91000003</v>
      </c>
      <c r="O97" s="321">
        <v>290848614.25999999</v>
      </c>
      <c r="P97" s="321">
        <v>292211686.19999999</v>
      </c>
      <c r="Q97" s="101">
        <f t="shared" si="20"/>
        <v>277771230.41000003</v>
      </c>
      <c r="R97" s="183" t="s">
        <v>145</v>
      </c>
    </row>
    <row r="98" spans="1:18" x14ac:dyDescent="0.2">
      <c r="A98" s="184" t="s">
        <v>263</v>
      </c>
      <c r="B98" s="184"/>
      <c r="C98" s="184"/>
      <c r="D98" s="321">
        <v>15844933.109854966</v>
      </c>
      <c r="E98" s="321">
        <v>22609861.134754986</v>
      </c>
      <c r="F98" s="321">
        <v>22608391.625800014</v>
      </c>
      <c r="G98" s="321">
        <v>22635964.569839001</v>
      </c>
      <c r="H98" s="321">
        <v>22644633.444536984</v>
      </c>
      <c r="I98" s="321">
        <v>22752835.310259968</v>
      </c>
      <c r="J98" s="321">
        <v>23336771.19352898</v>
      </c>
      <c r="K98" s="321">
        <v>23553862.08147195</v>
      </c>
      <c r="L98" s="321">
        <v>23572154.624460965</v>
      </c>
      <c r="M98" s="321">
        <v>23599058.566811949</v>
      </c>
      <c r="N98" s="321">
        <v>25045763.796504974</v>
      </c>
      <c r="O98" s="321">
        <v>23189936.463747978</v>
      </c>
      <c r="P98" s="321">
        <v>23340630.610703021</v>
      </c>
      <c r="Q98" s="101">
        <f t="shared" si="20"/>
        <v>22928501.219999999</v>
      </c>
      <c r="R98" s="183" t="s">
        <v>326</v>
      </c>
    </row>
    <row r="99" spans="1:18" x14ac:dyDescent="0.2">
      <c r="A99" s="184"/>
      <c r="B99" s="184"/>
      <c r="C99" s="184"/>
      <c r="D99" s="321"/>
      <c r="E99" s="321"/>
      <c r="F99" s="321"/>
      <c r="G99" s="321"/>
      <c r="H99" s="321"/>
      <c r="I99" s="321"/>
      <c r="J99" s="321"/>
      <c r="K99" s="321"/>
      <c r="L99" s="321"/>
      <c r="M99" s="321"/>
      <c r="N99" s="321"/>
      <c r="O99" s="321"/>
      <c r="P99" s="321"/>
      <c r="Q99" s="296"/>
      <c r="R99" s="183"/>
    </row>
    <row r="100" spans="1:18" x14ac:dyDescent="0.2">
      <c r="A100" s="184" t="s">
        <v>286</v>
      </c>
      <c r="B100" s="184"/>
      <c r="C100" s="184"/>
      <c r="D100" s="321">
        <v>26181596.796383023</v>
      </c>
      <c r="E100" s="321">
        <v>29614880.586915016</v>
      </c>
      <c r="F100" s="321">
        <v>30016704.76038003</v>
      </c>
      <c r="G100" s="321">
        <v>30019813.091072977</v>
      </c>
      <c r="H100" s="321">
        <v>30022415.537400007</v>
      </c>
      <c r="I100" s="321">
        <v>30020833.858742952</v>
      </c>
      <c r="J100" s="321">
        <v>30264166.633310974</v>
      </c>
      <c r="K100" s="321">
        <v>30265063.002719998</v>
      </c>
      <c r="L100" s="321">
        <v>30264942.714317977</v>
      </c>
      <c r="M100" s="321">
        <v>30331556.467289984</v>
      </c>
      <c r="N100" s="321">
        <v>31584318.072020948</v>
      </c>
      <c r="O100" s="321">
        <v>31627995.481133997</v>
      </c>
      <c r="P100" s="321">
        <v>31658625.87696898</v>
      </c>
      <c r="Q100" s="101">
        <f>ROUND(((D100/2)+SUM(E100:O100)+(P100/2))/12,2)</f>
        <v>30246066.800000001</v>
      </c>
      <c r="R100" s="183" t="s">
        <v>287</v>
      </c>
    </row>
    <row r="101" spans="1:18" x14ac:dyDescent="0.2">
      <c r="A101" s="184" t="s">
        <v>265</v>
      </c>
      <c r="B101" s="184"/>
      <c r="C101" s="184"/>
      <c r="D101" s="321">
        <v>384004.84803699981</v>
      </c>
      <c r="E101" s="321">
        <v>426082.37827600027</v>
      </c>
      <c r="F101" s="321">
        <v>426082.37827600027</v>
      </c>
      <c r="G101" s="321">
        <v>426082.37827600027</v>
      </c>
      <c r="H101" s="321">
        <v>426082.37827600027</v>
      </c>
      <c r="I101" s="321">
        <v>426082.37827600027</v>
      </c>
      <c r="J101" s="321">
        <v>426082.37827600027</v>
      </c>
      <c r="K101" s="321">
        <v>426082.37827600027</v>
      </c>
      <c r="L101" s="321">
        <v>426082.37827600027</v>
      </c>
      <c r="M101" s="321">
        <v>426082.37827600027</v>
      </c>
      <c r="N101" s="321">
        <v>426082.37827600027</v>
      </c>
      <c r="O101" s="321">
        <v>426082.37827600027</v>
      </c>
      <c r="P101" s="321">
        <v>426082.37827600027</v>
      </c>
      <c r="Q101" s="101">
        <f>ROUND(((D101/2)+SUM(E101:O101)+(P101/2))/12,2)</f>
        <v>424329.15</v>
      </c>
      <c r="R101" s="183" t="s">
        <v>73</v>
      </c>
    </row>
    <row r="102" spans="1:18" x14ac:dyDescent="0.2">
      <c r="A102" s="184"/>
      <c r="B102" s="184"/>
      <c r="C102" s="184"/>
      <c r="D102" s="296"/>
      <c r="E102" s="296"/>
      <c r="F102" s="296"/>
      <c r="G102" s="296"/>
      <c r="H102" s="296"/>
      <c r="I102" s="296"/>
      <c r="J102" s="296"/>
      <c r="K102" s="296"/>
      <c r="L102" s="296"/>
      <c r="M102" s="296"/>
      <c r="N102" s="296"/>
      <c r="O102" s="296"/>
      <c r="P102" s="296"/>
      <c r="Q102" s="296"/>
      <c r="R102" s="183"/>
    </row>
    <row r="103" spans="1:18" x14ac:dyDescent="0.2">
      <c r="A103" s="184" t="s">
        <v>525</v>
      </c>
      <c r="B103" s="184"/>
      <c r="C103" s="184"/>
      <c r="D103" s="296">
        <f>SUM(D93:D101)</f>
        <v>322633106.11940706</v>
      </c>
      <c r="E103" s="296">
        <f t="shared" ref="E103:P103" si="21">SUM(E93:E101)</f>
        <v>334185912.58517504</v>
      </c>
      <c r="F103" s="296">
        <f t="shared" si="21"/>
        <v>335030891.76861304</v>
      </c>
      <c r="G103" s="296">
        <f t="shared" si="21"/>
        <v>337716103.81634897</v>
      </c>
      <c r="H103" s="296">
        <f t="shared" si="21"/>
        <v>338769310.07470101</v>
      </c>
      <c r="I103" s="296">
        <f t="shared" si="21"/>
        <v>340706760.42960191</v>
      </c>
      <c r="J103" s="296">
        <f t="shared" si="21"/>
        <v>344972003.83086103</v>
      </c>
      <c r="K103" s="296">
        <f t="shared" si="21"/>
        <v>345221712.06750393</v>
      </c>
      <c r="L103" s="296">
        <f t="shared" si="21"/>
        <v>347154935.40008992</v>
      </c>
      <c r="M103" s="296">
        <f t="shared" si="21"/>
        <v>349181822.67697495</v>
      </c>
      <c r="N103" s="296">
        <f t="shared" si="21"/>
        <v>360112221.27795893</v>
      </c>
      <c r="O103" s="296">
        <f t="shared" si="21"/>
        <v>360315075.21163696</v>
      </c>
      <c r="P103" s="296">
        <f t="shared" si="21"/>
        <v>361852358.74742794</v>
      </c>
      <c r="Q103" s="296">
        <f>SUM(Q93:Q101)</f>
        <v>344634123.46999997</v>
      </c>
      <c r="R103" s="183"/>
    </row>
    <row r="104" spans="1:18" x14ac:dyDescent="0.2">
      <c r="A104" s="440"/>
      <c r="B104" s="440"/>
      <c r="C104" s="440"/>
      <c r="D104" s="296"/>
      <c r="E104" s="296"/>
      <c r="F104" s="296"/>
      <c r="G104" s="296"/>
      <c r="H104" s="296"/>
      <c r="I104" s="296"/>
      <c r="J104" s="296"/>
      <c r="K104" s="296"/>
      <c r="L104" s="296"/>
      <c r="M104" s="296"/>
      <c r="N104" s="296"/>
      <c r="O104" s="296"/>
      <c r="P104" s="296"/>
      <c r="Q104" s="296"/>
      <c r="R104" s="183"/>
    </row>
    <row r="105" spans="1:18" x14ac:dyDescent="0.2">
      <c r="A105" s="451" t="s">
        <v>123</v>
      </c>
      <c r="B105" s="184"/>
      <c r="C105" s="184"/>
      <c r="D105" s="296"/>
      <c r="E105" s="296"/>
      <c r="F105" s="296"/>
      <c r="G105" s="296"/>
      <c r="H105" s="296"/>
      <c r="I105" s="296"/>
      <c r="J105" s="296"/>
      <c r="K105" s="296"/>
      <c r="L105" s="296"/>
      <c r="M105" s="296"/>
      <c r="N105" s="296"/>
      <c r="O105" s="296"/>
      <c r="P105" s="296"/>
      <c r="Q105" s="296"/>
      <c r="R105" s="301"/>
    </row>
    <row r="106" spans="1:18" x14ac:dyDescent="0.2">
      <c r="A106" s="184"/>
      <c r="B106" s="184"/>
      <c r="C106" s="184"/>
      <c r="D106" s="296"/>
      <c r="E106" s="296"/>
      <c r="F106" s="296"/>
      <c r="G106" s="296"/>
      <c r="H106" s="296"/>
      <c r="I106" s="296"/>
      <c r="J106" s="296"/>
      <c r="K106" s="296"/>
      <c r="L106" s="296"/>
      <c r="M106" s="296"/>
      <c r="N106" s="296"/>
      <c r="O106" s="296"/>
      <c r="P106" s="296"/>
      <c r="Q106" s="296"/>
      <c r="R106" s="183"/>
    </row>
    <row r="107" spans="1:18" x14ac:dyDescent="0.2">
      <c r="A107" s="184" t="s">
        <v>248</v>
      </c>
      <c r="B107" s="184"/>
      <c r="C107" s="184"/>
      <c r="D107" s="321">
        <v>-6867730.9671720043</v>
      </c>
      <c r="E107" s="321">
        <v>-7103754.8403389975</v>
      </c>
      <c r="F107" s="321">
        <v>-7131251.7274470031</v>
      </c>
      <c r="G107" s="321">
        <v>-7158894.0688889995</v>
      </c>
      <c r="H107" s="321">
        <v>-7186532.8653390035</v>
      </c>
      <c r="I107" s="321">
        <v>-7214176.4846789986</v>
      </c>
      <c r="J107" s="321">
        <v>-7241896.5417900011</v>
      </c>
      <c r="K107" s="321">
        <v>-7269695.1247259974</v>
      </c>
      <c r="L107" s="321">
        <v>-7297493.2242539972</v>
      </c>
      <c r="M107" s="321">
        <v>-7326209.386071004</v>
      </c>
      <c r="N107" s="321">
        <v>-7357089.7431240007</v>
      </c>
      <c r="O107" s="321">
        <v>-7407631.3285410032</v>
      </c>
      <c r="P107" s="321">
        <v>-7458187.0144769996</v>
      </c>
      <c r="Q107" s="101">
        <f>ROUND(((D107/2)+SUM(E107:O107)+(P107/2))/12,2)</f>
        <v>-7238132.0300000003</v>
      </c>
      <c r="R107" s="183" t="s">
        <v>49</v>
      </c>
    </row>
    <row r="108" spans="1:18" x14ac:dyDescent="0.2">
      <c r="A108" s="184" t="s">
        <v>241</v>
      </c>
      <c r="B108" s="184"/>
      <c r="C108" s="184"/>
      <c r="D108" s="321">
        <v>0</v>
      </c>
      <c r="E108" s="321">
        <v>0</v>
      </c>
      <c r="F108" s="321">
        <v>0</v>
      </c>
      <c r="G108" s="321">
        <v>0</v>
      </c>
      <c r="H108" s="321">
        <v>0</v>
      </c>
      <c r="I108" s="321">
        <v>0</v>
      </c>
      <c r="J108" s="321">
        <v>0</v>
      </c>
      <c r="K108" s="321">
        <v>0</v>
      </c>
      <c r="L108" s="321">
        <v>0</v>
      </c>
      <c r="M108" s="321">
        <v>0</v>
      </c>
      <c r="N108" s="321">
        <v>0</v>
      </c>
      <c r="O108" s="321">
        <v>0</v>
      </c>
      <c r="P108" s="321">
        <v>0</v>
      </c>
      <c r="Q108" s="101"/>
      <c r="R108" s="183" t="s">
        <v>145</v>
      </c>
    </row>
    <row r="109" spans="1:18" x14ac:dyDescent="0.2">
      <c r="A109" s="184" t="s">
        <v>243</v>
      </c>
      <c r="B109" s="184"/>
      <c r="C109" s="184"/>
      <c r="D109" s="321">
        <v>-148055.94</v>
      </c>
      <c r="E109" s="321">
        <v>-149960.45000000001</v>
      </c>
      <c r="F109" s="321">
        <v>-151865.25</v>
      </c>
      <c r="G109" s="321">
        <v>-153770.06</v>
      </c>
      <c r="H109" s="321">
        <v>-155674.84</v>
      </c>
      <c r="I109" s="321">
        <v>-157579.62</v>
      </c>
      <c r="J109" s="321">
        <v>-159484.42000000001</v>
      </c>
      <c r="K109" s="321">
        <v>-161389.22</v>
      </c>
      <c r="L109" s="321">
        <v>-163293.99</v>
      </c>
      <c r="M109" s="321">
        <v>-165198.81</v>
      </c>
      <c r="N109" s="321">
        <v>-167103.57999999999</v>
      </c>
      <c r="O109" s="321">
        <v>-168850.42</v>
      </c>
      <c r="P109" s="321">
        <v>-170597.23</v>
      </c>
      <c r="Q109" s="101">
        <f>ROUND(((D109/2)+SUM(E109:O109)+(P109/2))/12,2)</f>
        <v>-159458.1</v>
      </c>
      <c r="R109" s="183" t="s">
        <v>145</v>
      </c>
    </row>
    <row r="110" spans="1:18" x14ac:dyDescent="0.2">
      <c r="A110" s="184" t="s">
        <v>244</v>
      </c>
      <c r="B110" s="184"/>
      <c r="C110" s="184"/>
      <c r="D110" s="321">
        <v>-107403156.14000002</v>
      </c>
      <c r="E110" s="321">
        <v>-107922695.62000002</v>
      </c>
      <c r="F110" s="321">
        <v>-108475864.66999999</v>
      </c>
      <c r="G110" s="321">
        <v>-109032955.55999999</v>
      </c>
      <c r="H110" s="321">
        <v>-109570211.27</v>
      </c>
      <c r="I110" s="321">
        <v>-110067678.03000002</v>
      </c>
      <c r="J110" s="321">
        <v>-110578630.31</v>
      </c>
      <c r="K110" s="321">
        <v>-110734781.75999999</v>
      </c>
      <c r="L110" s="321">
        <v>-111277217.59</v>
      </c>
      <c r="M110" s="321">
        <v>-111862300.07000002</v>
      </c>
      <c r="N110" s="321">
        <v>-112407383.81999999</v>
      </c>
      <c r="O110" s="321">
        <v>-113022294.48999998</v>
      </c>
      <c r="P110" s="321">
        <v>-113632107.14</v>
      </c>
      <c r="Q110" s="101">
        <f>ROUND(((D110/2)+SUM(E110:O110)+(P110/2))/12,2)</f>
        <v>-110455803.73999999</v>
      </c>
      <c r="R110" s="183" t="s">
        <v>145</v>
      </c>
    </row>
    <row r="111" spans="1:18" x14ac:dyDescent="0.2">
      <c r="A111" s="184" t="s">
        <v>263</v>
      </c>
      <c r="B111" s="184"/>
      <c r="C111" s="184"/>
      <c r="D111" s="321">
        <v>-5639616.8658119887</v>
      </c>
      <c r="E111" s="321">
        <v>-6318559.8206859976</v>
      </c>
      <c r="F111" s="321">
        <v>-6376459.8951260075</v>
      </c>
      <c r="G111" s="321">
        <v>-6447318.3019800037</v>
      </c>
      <c r="H111" s="321">
        <v>-6541769.4534220025</v>
      </c>
      <c r="I111" s="321">
        <v>-6596097.916388005</v>
      </c>
      <c r="J111" s="321">
        <v>-6692686.2815320045</v>
      </c>
      <c r="K111" s="321">
        <v>-6796161.1722139865</v>
      </c>
      <c r="L111" s="321">
        <v>-6899956.7164960057</v>
      </c>
      <c r="M111" s="321">
        <v>-6991343.4449900016</v>
      </c>
      <c r="N111" s="321">
        <v>-7053485.6315660179</v>
      </c>
      <c r="O111" s="321">
        <v>-5384179.7492240071</v>
      </c>
      <c r="P111" s="321">
        <v>-5443857.0239500105</v>
      </c>
      <c r="Q111" s="101">
        <f>ROUND(((D111/2)+SUM(E111:O111)+(P111/2))/12,2)</f>
        <v>-6469979.6100000003</v>
      </c>
      <c r="R111" s="183" t="s">
        <v>73</v>
      </c>
    </row>
    <row r="112" spans="1:18" x14ac:dyDescent="0.2">
      <c r="A112" s="184"/>
      <c r="B112" s="184"/>
      <c r="C112" s="184"/>
      <c r="D112" s="321"/>
      <c r="E112" s="321"/>
      <c r="F112" s="321"/>
      <c r="G112" s="321"/>
      <c r="H112" s="321"/>
      <c r="I112" s="321"/>
      <c r="J112" s="321"/>
      <c r="K112" s="321"/>
      <c r="L112" s="321"/>
      <c r="M112" s="321"/>
      <c r="N112" s="321"/>
      <c r="O112" s="321"/>
      <c r="P112" s="321"/>
      <c r="Q112" s="296"/>
      <c r="R112" s="183"/>
    </row>
    <row r="113" spans="1:18" x14ac:dyDescent="0.2">
      <c r="A113" s="184" t="s">
        <v>286</v>
      </c>
      <c r="B113" s="184"/>
      <c r="C113" s="184"/>
      <c r="D113" s="321">
        <v>-9906622.8782604635</v>
      </c>
      <c r="E113" s="321">
        <v>-13451633.261921629</v>
      </c>
      <c r="F113" s="321">
        <v>-13512326.993919939</v>
      </c>
      <c r="G113" s="321">
        <v>-13573274.68082574</v>
      </c>
      <c r="H113" s="321">
        <v>-13634265.826722383</v>
      </c>
      <c r="I113" s="321">
        <v>-13695224.513653114</v>
      </c>
      <c r="J113" s="321">
        <v>-13756419.263488621</v>
      </c>
      <c r="K113" s="321">
        <v>-13817779.02150017</v>
      </c>
      <c r="L113" s="321">
        <v>-13879138.904257566</v>
      </c>
      <c r="M113" s="321">
        <v>-13940607.9239088</v>
      </c>
      <c r="N113" s="321">
        <v>-14003747.616177619</v>
      </c>
      <c r="O113" s="321">
        <v>-14057107.188800588</v>
      </c>
      <c r="P113" s="321">
        <v>-14110973.362379432</v>
      </c>
      <c r="Q113" s="101">
        <f>ROUND(((D113/2)+SUM(E113:O113)+(P113/2))/12,2)</f>
        <v>-13610860.279999999</v>
      </c>
      <c r="R113" s="183" t="s">
        <v>287</v>
      </c>
    </row>
    <row r="114" spans="1:18" x14ac:dyDescent="0.2">
      <c r="A114" s="184" t="s">
        <v>265</v>
      </c>
      <c r="B114" s="184"/>
      <c r="C114" s="184"/>
      <c r="D114" s="321">
        <v>-215944.98241199995</v>
      </c>
      <c r="E114" s="321">
        <v>-239904.49858400016</v>
      </c>
      <c r="F114" s="321">
        <v>-240201.74150800006</v>
      </c>
      <c r="G114" s="321">
        <v>-240498.97656400013</v>
      </c>
      <c r="H114" s="321">
        <v>-240796.21162000019</v>
      </c>
      <c r="I114" s="321">
        <v>-241093.44442800013</v>
      </c>
      <c r="J114" s="321">
        <v>-241390.68735200004</v>
      </c>
      <c r="K114" s="321">
        <v>-241687.92353200004</v>
      </c>
      <c r="L114" s="321">
        <v>-241985.160836</v>
      </c>
      <c r="M114" s="321">
        <v>-242282.39364400017</v>
      </c>
      <c r="N114" s="321">
        <v>-242579.63319600001</v>
      </c>
      <c r="O114" s="321">
        <v>-243328.44761600019</v>
      </c>
      <c r="P114" s="321">
        <v>-244077.25079600024</v>
      </c>
      <c r="Q114" s="101">
        <f>ROUND(((D114/2)+SUM(E114:O114)+(P114/2))/12,2)</f>
        <v>-240480.02</v>
      </c>
      <c r="R114" s="183" t="s">
        <v>73</v>
      </c>
    </row>
    <row r="115" spans="1:18" x14ac:dyDescent="0.2">
      <c r="A115" s="184"/>
      <c r="B115" s="184"/>
      <c r="C115" s="184"/>
      <c r="D115" s="296"/>
      <c r="E115" s="296"/>
      <c r="F115" s="296"/>
      <c r="G115" s="296"/>
      <c r="H115" s="296"/>
      <c r="I115" s="296"/>
      <c r="J115" s="296"/>
      <c r="K115" s="296"/>
      <c r="L115" s="296"/>
      <c r="M115" s="296"/>
      <c r="N115" s="296"/>
      <c r="O115" s="296"/>
      <c r="P115" s="296"/>
      <c r="Q115" s="296"/>
      <c r="R115" s="183"/>
    </row>
    <row r="116" spans="1:18" x14ac:dyDescent="0.2">
      <c r="A116" s="184" t="s">
        <v>526</v>
      </c>
      <c r="B116" s="184"/>
      <c r="C116" s="184"/>
      <c r="D116" s="296">
        <f>SUM(D107:D114)</f>
        <v>-130181127.77365647</v>
      </c>
      <c r="E116" s="296">
        <f t="shared" ref="E116:Q116" si="22">SUM(E107:E114)</f>
        <v>-135186508.49153063</v>
      </c>
      <c r="F116" s="296">
        <f t="shared" si="22"/>
        <v>-135887970.27800095</v>
      </c>
      <c r="G116" s="296">
        <f t="shared" si="22"/>
        <v>-136606711.64825872</v>
      </c>
      <c r="H116" s="296">
        <f t="shared" si="22"/>
        <v>-137329250.46710339</v>
      </c>
      <c r="I116" s="296">
        <f t="shared" si="22"/>
        <v>-137971850.00914815</v>
      </c>
      <c r="J116" s="296">
        <f t="shared" si="22"/>
        <v>-138670507.50416261</v>
      </c>
      <c r="K116" s="296">
        <f t="shared" si="22"/>
        <v>-139021494.22197217</v>
      </c>
      <c r="L116" s="296">
        <f t="shared" si="22"/>
        <v>-139759085.58584359</v>
      </c>
      <c r="M116" s="296">
        <f t="shared" si="22"/>
        <v>-140527942.02861384</v>
      </c>
      <c r="N116" s="296">
        <f t="shared" si="22"/>
        <v>-141231390.02406365</v>
      </c>
      <c r="O116" s="296">
        <f t="shared" si="22"/>
        <v>-140283391.6241816</v>
      </c>
      <c r="P116" s="296">
        <f t="shared" si="22"/>
        <v>-141059799.02160242</v>
      </c>
      <c r="Q116" s="296">
        <f t="shared" si="22"/>
        <v>-138174713.78</v>
      </c>
      <c r="R116" s="183"/>
    </row>
    <row r="117" spans="1:18" x14ac:dyDescent="0.2">
      <c r="A117" s="184"/>
      <c r="B117" s="184"/>
      <c r="C117" s="184"/>
      <c r="R117" s="183"/>
    </row>
    <row r="118" spans="1:18" x14ac:dyDescent="0.2">
      <c r="A118" s="184" t="s">
        <v>271</v>
      </c>
      <c r="B118" s="184"/>
      <c r="C118" s="184"/>
      <c r="D118" s="452">
        <f>ROUND('Rate Base'!D166*'Allocation Factors'!$D$53,2)</f>
        <v>1946848.25</v>
      </c>
      <c r="E118" s="452">
        <f>ROUND('Rate Base'!E166*'Allocation Factors'!$D$53,2)</f>
        <v>1946678.05</v>
      </c>
      <c r="F118" s="452">
        <f>ROUND('Rate Base'!F166*'Allocation Factors'!$D$53,2)</f>
        <v>1946435.28</v>
      </c>
      <c r="G118" s="452">
        <f>ROUND('Rate Base'!G166*'Allocation Factors'!$D$53,2)</f>
        <v>1946241.69</v>
      </c>
      <c r="H118" s="452">
        <f>ROUND('Rate Base'!H166*'Allocation Factors'!$D$53,2)</f>
        <v>1946003.17</v>
      </c>
      <c r="I118" s="452">
        <f>ROUND('Rate Base'!I166*'Allocation Factors'!$D$53,2)</f>
        <v>1945820.43</v>
      </c>
      <c r="J118" s="452">
        <f>ROUND('Rate Base'!J166*'Allocation Factors'!$D$53,2)</f>
        <v>1945770.17</v>
      </c>
      <c r="K118" s="452">
        <f>ROUND('Rate Base'!K166*'Allocation Factors'!$D$53,2)</f>
        <v>1948240.33</v>
      </c>
      <c r="L118" s="452">
        <f>ROUND('Rate Base'!L166*'Allocation Factors'!$D$53,2)</f>
        <v>1948073.72</v>
      </c>
      <c r="M118" s="452">
        <f>ROUND('Rate Base'!M166*'Allocation Factors'!$D$53,2)</f>
        <v>1947909.82</v>
      </c>
      <c r="N118" s="452">
        <f>ROUND('Rate Base'!N166*'Allocation Factors'!$D$53,2)</f>
        <v>1947754.3</v>
      </c>
      <c r="O118" s="452">
        <f>ROUND('Rate Base'!O166*'Allocation Factors'!$D$53,2)</f>
        <v>1947595.89</v>
      </c>
      <c r="P118" s="452">
        <f>ROUND('Rate Base'!P166*'Allocation Factors'!$D$53,2)</f>
        <v>1947438.09</v>
      </c>
      <c r="Q118" s="101">
        <f>ROUND(((D118/2)+SUM(E118:O118)+(P118/2))/12,2)</f>
        <v>1946972.17</v>
      </c>
      <c r="R118" s="183" t="s">
        <v>287</v>
      </c>
    </row>
    <row r="119" spans="1:18" x14ac:dyDescent="0.2">
      <c r="A119" s="184" t="s">
        <v>144</v>
      </c>
      <c r="B119" s="184"/>
      <c r="C119" s="184"/>
      <c r="D119" s="453">
        <f>-'Rate Base'!D162</f>
        <v>-668836.60000000009</v>
      </c>
      <c r="E119" s="453">
        <f>-'Rate Base'!E162</f>
        <v>-683152.6</v>
      </c>
      <c r="F119" s="453">
        <f>-'Rate Base'!F162</f>
        <v>-696245.6</v>
      </c>
      <c r="G119" s="453">
        <f>-'Rate Base'!G162</f>
        <v>-698517.6</v>
      </c>
      <c r="H119" s="453">
        <f>-'Rate Base'!H162</f>
        <v>-713865.6</v>
      </c>
      <c r="I119" s="453">
        <f>-'Rate Base'!I162</f>
        <v>-735486.6</v>
      </c>
      <c r="J119" s="453">
        <f>-'Rate Base'!J162</f>
        <v>-765623.6</v>
      </c>
      <c r="K119" s="453">
        <f>-'Rate Base'!K162</f>
        <v>-795603.6</v>
      </c>
      <c r="L119" s="453">
        <f>-'Rate Base'!L162</f>
        <v>-818448.6</v>
      </c>
      <c r="M119" s="453">
        <f>-'Rate Base'!M162</f>
        <v>-847225.6</v>
      </c>
      <c r="N119" s="453">
        <f>-'Rate Base'!N162</f>
        <v>-788070.6</v>
      </c>
      <c r="O119" s="453">
        <f>-'Rate Base'!O162</f>
        <v>-802353.6</v>
      </c>
      <c r="P119" s="453">
        <f>-'Rate Base'!P162</f>
        <v>-808911.6</v>
      </c>
      <c r="Q119" s="101">
        <f>ROUND(((D119/2)+SUM(E119:O119)+(P119/2))/12,2)</f>
        <v>-756955.64</v>
      </c>
      <c r="R119" s="183" t="s">
        <v>145</v>
      </c>
    </row>
    <row r="120" spans="1:18" x14ac:dyDescent="0.2">
      <c r="A120" s="184" t="s">
        <v>160</v>
      </c>
      <c r="B120" s="184"/>
      <c r="C120" s="184"/>
      <c r="D120" s="453">
        <f>'Rate Base'!D155</f>
        <v>31019.435039999982</v>
      </c>
      <c r="E120" s="453">
        <f>'Rate Base'!E155</f>
        <v>28891.247667999982</v>
      </c>
      <c r="F120" s="453">
        <f>'Rate Base'!F155</f>
        <v>26212.435328000021</v>
      </c>
      <c r="G120" s="453">
        <f>'Rate Base'!G155</f>
        <v>23533.622988000014</v>
      </c>
      <c r="H120" s="453">
        <f>'Rate Base'!H155</f>
        <v>22611.690088000014</v>
      </c>
      <c r="I120" s="453">
        <f>'Rate Base'!I155</f>
        <v>19942.652051999998</v>
      </c>
      <c r="J120" s="453">
        <f>'Rate Base'!J155</f>
        <v>17600.370931999965</v>
      </c>
      <c r="K120" s="453">
        <f>'Rate Base'!K155</f>
        <v>15145.56617200003</v>
      </c>
      <c r="L120" s="453">
        <f>'Rate Base'!L155</f>
        <v>12603.931288000013</v>
      </c>
      <c r="M120" s="453">
        <f>'Rate Base'!M155</f>
        <v>10051.708324000027</v>
      </c>
      <c r="N120" s="453">
        <f>'Rate Base'!N155</f>
        <v>7499.4943520000506</v>
      </c>
      <c r="O120" s="453">
        <f>'Rate Base'!O155</f>
        <v>7085.128380000021</v>
      </c>
      <c r="P120" s="453">
        <f>'Rate Base'!P155</f>
        <v>6670.7624080000442</v>
      </c>
      <c r="Q120" s="101">
        <f>ROUND(((D120/2)+SUM(E120:O120)+(P120/2))/12,2)</f>
        <v>17501.91</v>
      </c>
      <c r="R120" s="183" t="s">
        <v>288</v>
      </c>
    </row>
    <row r="121" spans="1:18" x14ac:dyDescent="0.2">
      <c r="A121" s="184"/>
      <c r="B121" s="184"/>
      <c r="C121" s="184"/>
    </row>
    <row r="122" spans="1:18" x14ac:dyDescent="0.2">
      <c r="A122" s="454" t="s">
        <v>492</v>
      </c>
      <c r="B122" s="184"/>
      <c r="C122" s="184"/>
      <c r="D122" s="296">
        <f t="shared" ref="D122:Q122" si="23">+D103+D116+SUM(D118:D120)</f>
        <v>193761009.43079057</v>
      </c>
      <c r="E122" s="296">
        <f t="shared" si="23"/>
        <v>200291820.7913124</v>
      </c>
      <c r="F122" s="296">
        <f t="shared" si="23"/>
        <v>200419323.6059401</v>
      </c>
      <c r="G122" s="296">
        <f t="shared" si="23"/>
        <v>202380649.88107824</v>
      </c>
      <c r="H122" s="296">
        <f t="shared" si="23"/>
        <v>202694808.86768562</v>
      </c>
      <c r="I122" s="296">
        <f t="shared" si="23"/>
        <v>203965186.90250576</v>
      </c>
      <c r="J122" s="296">
        <f t="shared" si="23"/>
        <v>207499243.26763043</v>
      </c>
      <c r="K122" s="296">
        <f t="shared" si="23"/>
        <v>207368000.14170375</v>
      </c>
      <c r="L122" s="296">
        <f t="shared" si="23"/>
        <v>208538078.86553434</v>
      </c>
      <c r="M122" s="296">
        <f t="shared" si="23"/>
        <v>209764616.57668513</v>
      </c>
      <c r="N122" s="296">
        <f t="shared" si="23"/>
        <v>220048014.44824728</v>
      </c>
      <c r="O122" s="296">
        <f t="shared" si="23"/>
        <v>221184011.00583535</v>
      </c>
      <c r="P122" s="296">
        <f t="shared" si="23"/>
        <v>221937756.97823352</v>
      </c>
      <c r="Q122" s="296">
        <f t="shared" si="23"/>
        <v>207666928.12999997</v>
      </c>
    </row>
    <row r="123" spans="1:18" x14ac:dyDescent="0.2">
      <c r="A123" s="454"/>
      <c r="B123" s="184"/>
      <c r="C123" s="184"/>
      <c r="D123" s="270"/>
      <c r="E123" s="270"/>
      <c r="F123" s="270"/>
      <c r="G123" s="270"/>
      <c r="H123" s="270"/>
      <c r="I123" s="270"/>
      <c r="J123" s="270"/>
      <c r="K123" s="270"/>
      <c r="L123" s="270"/>
      <c r="M123" s="270"/>
      <c r="N123" s="270"/>
      <c r="O123" s="270"/>
      <c r="P123" s="270"/>
      <c r="Q123" s="270"/>
      <c r="R123" s="271"/>
    </row>
    <row r="124" spans="1:18" x14ac:dyDescent="0.2">
      <c r="A124" s="454"/>
      <c r="B124" s="184"/>
      <c r="C124" s="184"/>
      <c r="D124" s="184"/>
      <c r="E124" s="184"/>
      <c r="F124" s="184"/>
      <c r="G124" s="184"/>
      <c r="H124" s="184"/>
      <c r="I124" s="184"/>
      <c r="J124" s="184"/>
      <c r="K124" s="184"/>
      <c r="L124" s="184"/>
      <c r="M124" s="184"/>
      <c r="N124" s="184"/>
      <c r="O124" s="184"/>
      <c r="P124" s="184"/>
      <c r="Q124" s="184"/>
    </row>
    <row r="126" spans="1:18" x14ac:dyDescent="0.2">
      <c r="A126" s="457" t="s">
        <v>373</v>
      </c>
      <c r="B126" s="458"/>
      <c r="C126" s="458"/>
      <c r="D126" s="458"/>
      <c r="E126" s="458"/>
      <c r="F126" s="458"/>
    </row>
    <row r="127" spans="1:18" x14ac:dyDescent="0.2">
      <c r="A127" s="301"/>
      <c r="B127" s="301"/>
      <c r="C127" s="301"/>
      <c r="D127" s="205" t="s">
        <v>374</v>
      </c>
      <c r="E127" s="205" t="s">
        <v>375</v>
      </c>
      <c r="F127" s="205" t="s">
        <v>362</v>
      </c>
    </row>
    <row r="128" spans="1:18" x14ac:dyDescent="0.2">
      <c r="A128" s="301"/>
      <c r="B128" s="301"/>
      <c r="C128" s="301"/>
      <c r="D128" s="301"/>
      <c r="E128" s="301"/>
      <c r="F128" s="301"/>
    </row>
    <row r="129" spans="1:7" x14ac:dyDescent="0.2">
      <c r="A129" s="315" t="s">
        <v>301</v>
      </c>
      <c r="B129" s="301"/>
      <c r="C129" s="301"/>
      <c r="D129" s="301">
        <f>+Q64</f>
        <v>2678140881.9400001</v>
      </c>
      <c r="E129" s="301">
        <f>+Q103</f>
        <v>344634123.46999997</v>
      </c>
      <c r="F129" s="301">
        <f>+D129+E129</f>
        <v>3022775005.4099998</v>
      </c>
    </row>
    <row r="130" spans="1:7" x14ac:dyDescent="0.2">
      <c r="A130" s="115"/>
      <c r="B130" s="301"/>
      <c r="C130" s="301"/>
      <c r="D130" s="274">
        <f>1-E130</f>
        <v>0.88600000000000001</v>
      </c>
      <c r="E130" s="274">
        <f>ROUND(+E129/F129,4)</f>
        <v>0.114</v>
      </c>
      <c r="F130" s="301"/>
    </row>
    <row r="131" spans="1:7" x14ac:dyDescent="0.2">
      <c r="A131" s="115"/>
      <c r="B131" s="301"/>
      <c r="C131" s="301"/>
      <c r="D131" s="301"/>
      <c r="E131" s="301"/>
      <c r="F131" s="301"/>
    </row>
    <row r="132" spans="1:7" x14ac:dyDescent="0.2">
      <c r="A132" s="115" t="s">
        <v>302</v>
      </c>
      <c r="B132" s="301"/>
      <c r="C132" s="301"/>
      <c r="D132" s="101">
        <f>+Q79</f>
        <v>-1195410101.5799999</v>
      </c>
      <c r="E132" s="101">
        <f>+Q116</f>
        <v>-138174713.78</v>
      </c>
      <c r="F132" s="101">
        <f>+D132+E132</f>
        <v>-1333584815.3599999</v>
      </c>
    </row>
    <row r="133" spans="1:7" x14ac:dyDescent="0.2">
      <c r="A133" s="115"/>
      <c r="B133" s="301"/>
      <c r="C133" s="301"/>
      <c r="D133" s="274">
        <f>1-E133</f>
        <v>0.89639999999999997</v>
      </c>
      <c r="E133" s="274">
        <f>ROUND(+E132/F132,4)</f>
        <v>0.1036</v>
      </c>
      <c r="F133" s="301"/>
    </row>
    <row r="134" spans="1:7" x14ac:dyDescent="0.2">
      <c r="A134" s="115"/>
      <c r="B134" s="301"/>
      <c r="C134" s="301"/>
      <c r="D134" s="301"/>
      <c r="E134" s="301"/>
      <c r="F134" s="301"/>
    </row>
    <row r="135" spans="1:7" x14ac:dyDescent="0.2">
      <c r="A135" s="115" t="s">
        <v>303</v>
      </c>
      <c r="B135" s="301"/>
      <c r="C135" s="301"/>
      <c r="D135" s="301">
        <f>+Q83</f>
        <v>138375.1</v>
      </c>
      <c r="E135" s="301">
        <f>+Q120</f>
        <v>17501.91</v>
      </c>
      <c r="F135" s="301">
        <f>+D135+E135</f>
        <v>155877.01</v>
      </c>
    </row>
    <row r="136" spans="1:7" x14ac:dyDescent="0.2">
      <c r="A136" s="115"/>
      <c r="B136" s="301"/>
      <c r="C136" s="301"/>
      <c r="D136" s="274">
        <f>1-E136</f>
        <v>0.88771999999999995</v>
      </c>
      <c r="E136" s="274">
        <f>ROUND(+E135/F135,5)</f>
        <v>0.11228</v>
      </c>
      <c r="F136" s="301"/>
    </row>
    <row r="137" spans="1:7" x14ac:dyDescent="0.2">
      <c r="A137" s="115"/>
      <c r="B137" s="301"/>
      <c r="C137" s="301"/>
      <c r="D137" s="301"/>
      <c r="E137" s="301"/>
      <c r="F137" s="301"/>
    </row>
    <row r="138" spans="1:7" x14ac:dyDescent="0.2">
      <c r="A138" s="314" t="s">
        <v>304</v>
      </c>
      <c r="B138" s="301"/>
      <c r="C138" s="301"/>
      <c r="D138" s="101">
        <f>+Q82</f>
        <v>-3536794.71</v>
      </c>
      <c r="E138" s="101">
        <f>+Q119</f>
        <v>-756955.64</v>
      </c>
      <c r="F138" s="101">
        <f>+D138+E138</f>
        <v>-4293750.3499999996</v>
      </c>
    </row>
    <row r="139" spans="1:7" x14ac:dyDescent="0.2">
      <c r="A139" s="115"/>
      <c r="B139" s="301"/>
      <c r="C139" s="301"/>
      <c r="D139" s="274">
        <f>1-E139</f>
        <v>0.82370999999999994</v>
      </c>
      <c r="E139" s="274">
        <f>ROUND(+E138/F138,5)</f>
        <v>0.17629</v>
      </c>
      <c r="F139" s="301"/>
    </row>
    <row r="140" spans="1:7" x14ac:dyDescent="0.2">
      <c r="A140" s="301"/>
      <c r="B140" s="301"/>
      <c r="C140" s="301"/>
      <c r="D140" s="301"/>
      <c r="E140" s="301"/>
      <c r="F140" s="301"/>
    </row>
    <row r="141" spans="1:7" x14ac:dyDescent="0.2">
      <c r="A141" s="314" t="s">
        <v>313</v>
      </c>
      <c r="B141" s="301"/>
      <c r="C141" s="301"/>
      <c r="D141" s="101">
        <f>+P64-D64</f>
        <v>120841528.14197922</v>
      </c>
      <c r="E141" s="101">
        <f>+P103-D103</f>
        <v>39219252.628020883</v>
      </c>
      <c r="F141" s="101">
        <f>+D141+E141</f>
        <v>160060780.7700001</v>
      </c>
    </row>
    <row r="142" spans="1:7" x14ac:dyDescent="0.2">
      <c r="A142" s="115"/>
      <c r="B142" s="301"/>
      <c r="C142" s="301"/>
      <c r="D142" s="274">
        <f>1-E142</f>
        <v>0.75497000000000003</v>
      </c>
      <c r="E142" s="274">
        <f>ROUND(+E141/F141,5)</f>
        <v>0.24503</v>
      </c>
      <c r="F142" s="301"/>
    </row>
    <row r="143" spans="1:7" x14ac:dyDescent="0.2">
      <c r="A143" s="115"/>
      <c r="B143" s="301"/>
      <c r="C143" s="301"/>
      <c r="D143" s="301"/>
      <c r="E143" s="274"/>
      <c r="F143" s="301"/>
    </row>
    <row r="144" spans="1:7" x14ac:dyDescent="0.2">
      <c r="A144" s="459" t="s">
        <v>376</v>
      </c>
      <c r="B144" s="428"/>
      <c r="C144" s="428"/>
      <c r="D144" s="292">
        <f>Q85</f>
        <v>1495875152.76</v>
      </c>
      <c r="E144" s="292">
        <f>Q122</f>
        <v>207666928.12999997</v>
      </c>
      <c r="F144" s="101">
        <f>+D144+E144</f>
        <v>1703542080.8899999</v>
      </c>
      <c r="G144" s="440"/>
    </row>
    <row r="145" spans="1:18" x14ac:dyDescent="0.2">
      <c r="A145" s="301"/>
      <c r="B145" s="301"/>
      <c r="C145" s="301"/>
      <c r="D145" s="274">
        <f>1-E145</f>
        <v>0.87809999999999999</v>
      </c>
      <c r="E145" s="274">
        <f>ROUND(+E144/F144,5)</f>
        <v>0.12189999999999999</v>
      </c>
      <c r="F145" s="301"/>
    </row>
    <row r="150" spans="1:18" x14ac:dyDescent="0.2">
      <c r="A150" s="115" t="s">
        <v>314</v>
      </c>
      <c r="B150" s="115"/>
      <c r="D150" s="320" t="s">
        <v>20</v>
      </c>
      <c r="E150" s="320" t="s">
        <v>21</v>
      </c>
      <c r="F150" s="320" t="s">
        <v>22</v>
      </c>
      <c r="G150" s="320" t="s">
        <v>23</v>
      </c>
      <c r="H150" s="320" t="s">
        <v>24</v>
      </c>
      <c r="I150" s="320" t="s">
        <v>25</v>
      </c>
      <c r="J150" s="320" t="s">
        <v>26</v>
      </c>
      <c r="K150" s="320" t="s">
        <v>27</v>
      </c>
      <c r="L150" s="320" t="s">
        <v>28</v>
      </c>
      <c r="M150" s="320" t="s">
        <v>29</v>
      </c>
      <c r="N150" s="320" t="s">
        <v>30</v>
      </c>
      <c r="O150" s="320" t="s">
        <v>31</v>
      </c>
      <c r="P150" s="320" t="s">
        <v>20</v>
      </c>
      <c r="R150" s="301"/>
    </row>
    <row r="151" spans="1:18" x14ac:dyDescent="0.2">
      <c r="A151" s="115"/>
      <c r="B151" s="115"/>
      <c r="D151" s="460">
        <f t="shared" ref="D151:P151" si="24">+D5</f>
        <v>2017</v>
      </c>
      <c r="E151" s="460">
        <f t="shared" si="24"/>
        <v>2018</v>
      </c>
      <c r="F151" s="460">
        <f t="shared" si="24"/>
        <v>2018</v>
      </c>
      <c r="G151" s="460">
        <f t="shared" si="24"/>
        <v>2018</v>
      </c>
      <c r="H151" s="460">
        <f t="shared" si="24"/>
        <v>2018</v>
      </c>
      <c r="I151" s="460">
        <f t="shared" si="24"/>
        <v>2018</v>
      </c>
      <c r="J151" s="460">
        <f t="shared" si="24"/>
        <v>2018</v>
      </c>
      <c r="K151" s="460">
        <f t="shared" si="24"/>
        <v>2018</v>
      </c>
      <c r="L151" s="460">
        <f t="shared" si="24"/>
        <v>2018</v>
      </c>
      <c r="M151" s="460">
        <f t="shared" si="24"/>
        <v>2018</v>
      </c>
      <c r="N151" s="460">
        <f t="shared" si="24"/>
        <v>2018</v>
      </c>
      <c r="O151" s="460">
        <f t="shared" si="24"/>
        <v>2018</v>
      </c>
      <c r="P151" s="460">
        <f t="shared" si="24"/>
        <v>2018</v>
      </c>
      <c r="R151" s="301"/>
    </row>
    <row r="152" spans="1:18" x14ac:dyDescent="0.2">
      <c r="A152" s="461"/>
      <c r="B152" s="462"/>
      <c r="D152" s="463"/>
      <c r="E152" s="463"/>
      <c r="F152" s="463"/>
      <c r="G152" s="463"/>
      <c r="H152" s="463"/>
      <c r="I152" s="463"/>
      <c r="J152" s="463"/>
      <c r="K152" s="463"/>
      <c r="L152" s="463"/>
      <c r="M152" s="463"/>
      <c r="N152" s="463"/>
      <c r="O152" s="463"/>
      <c r="P152" s="463"/>
      <c r="R152" s="217"/>
    </row>
    <row r="153" spans="1:18" x14ac:dyDescent="0.2">
      <c r="A153" s="464" t="s">
        <v>489</v>
      </c>
      <c r="B153" s="464"/>
      <c r="D153" s="444"/>
      <c r="E153" s="444"/>
      <c r="F153" s="444"/>
      <c r="G153" s="444"/>
      <c r="H153" s="444"/>
      <c r="I153" s="444"/>
      <c r="J153" s="444"/>
      <c r="K153" s="444"/>
      <c r="L153" s="444"/>
      <c r="M153" s="444"/>
      <c r="N153" s="444"/>
      <c r="O153" s="444"/>
      <c r="P153" s="444"/>
      <c r="Q153" s="444"/>
      <c r="R153" s="101"/>
    </row>
    <row r="154" spans="1:18" x14ac:dyDescent="0.2">
      <c r="A154" s="461"/>
      <c r="B154" s="461"/>
      <c r="D154" s="444"/>
      <c r="E154" s="444"/>
      <c r="F154" s="444"/>
      <c r="G154" s="444"/>
      <c r="H154" s="444"/>
      <c r="I154" s="444"/>
      <c r="J154" s="444"/>
      <c r="K154" s="444"/>
      <c r="L154" s="444"/>
      <c r="M154" s="444"/>
      <c r="N154" s="444"/>
      <c r="O154" s="444"/>
      <c r="P154" s="444"/>
      <c r="Q154" s="444"/>
      <c r="R154" s="101"/>
    </row>
    <row r="155" spans="1:18" x14ac:dyDescent="0.2">
      <c r="A155" s="301" t="s">
        <v>372</v>
      </c>
      <c r="B155" s="115"/>
      <c r="D155" s="443">
        <v>31019.435039999982</v>
      </c>
      <c r="E155" s="443">
        <f>E156*'Allocation Factors'!$C$110</f>
        <v>28891.247667999982</v>
      </c>
      <c r="F155" s="443">
        <f>F156*'Allocation Factors'!$C$110</f>
        <v>26212.435328000021</v>
      </c>
      <c r="G155" s="443">
        <f>G156*'Allocation Factors'!$C$110</f>
        <v>23533.622988000014</v>
      </c>
      <c r="H155" s="443">
        <f>H156*'Allocation Factors'!$C$110</f>
        <v>22611.690088000014</v>
      </c>
      <c r="I155" s="443">
        <f>I156*'Allocation Factors'!$C$110</f>
        <v>19942.652051999998</v>
      </c>
      <c r="J155" s="443">
        <f>J156*'Allocation Factors'!$C$110</f>
        <v>17600.370931999965</v>
      </c>
      <c r="K155" s="443">
        <f>K156*'Allocation Factors'!$C$110</f>
        <v>15145.56617200003</v>
      </c>
      <c r="L155" s="443">
        <f>L156*'Allocation Factors'!$C$110</f>
        <v>12603.931288000013</v>
      </c>
      <c r="M155" s="443">
        <f>M156*'Allocation Factors'!$C$110</f>
        <v>10051.708324000027</v>
      </c>
      <c r="N155" s="443">
        <f>N156*'Allocation Factors'!$C$110</f>
        <v>7499.4943520000506</v>
      </c>
      <c r="O155" s="443">
        <f>O156*'Allocation Factors'!$C$110</f>
        <v>7085.128380000021</v>
      </c>
      <c r="P155" s="443">
        <f>P156*'Allocation Factors'!$C$110</f>
        <v>6670.7624080000442</v>
      </c>
      <c r="Q155" s="444"/>
      <c r="R155" s="101"/>
    </row>
    <row r="156" spans="1:18" x14ac:dyDescent="0.2">
      <c r="A156" s="301" t="s">
        <v>315</v>
      </c>
      <c r="B156" s="115"/>
      <c r="D156" s="443">
        <v>279958.79999999981</v>
      </c>
      <c r="E156" s="443">
        <v>257039.56999999983</v>
      </c>
      <c r="F156" s="443">
        <v>233206.7200000002</v>
      </c>
      <c r="G156" s="443">
        <v>209373.87000000011</v>
      </c>
      <c r="H156" s="443">
        <v>201171.62000000011</v>
      </c>
      <c r="I156" s="443">
        <v>177425.72999999998</v>
      </c>
      <c r="J156" s="443">
        <v>156586.9299999997</v>
      </c>
      <c r="K156" s="443">
        <v>134747.03000000026</v>
      </c>
      <c r="L156" s="443">
        <v>112134.62000000011</v>
      </c>
      <c r="M156" s="443">
        <v>89428.010000000242</v>
      </c>
      <c r="N156" s="301">
        <v>66721.480000000447</v>
      </c>
      <c r="O156" s="301">
        <v>63034.950000000186</v>
      </c>
      <c r="P156" s="301">
        <v>59348.420000000391</v>
      </c>
      <c r="Q156" s="444"/>
      <c r="R156" s="101"/>
    </row>
    <row r="157" spans="1:18" x14ac:dyDescent="0.2">
      <c r="A157" s="101"/>
      <c r="B157" s="101"/>
      <c r="D157" s="444"/>
      <c r="E157" s="444"/>
      <c r="F157" s="444"/>
      <c r="G157" s="444"/>
      <c r="H157" s="444"/>
      <c r="I157" s="444"/>
      <c r="J157" s="444"/>
      <c r="K157" s="444"/>
      <c r="L157" s="444"/>
      <c r="M157" s="444"/>
      <c r="N157" s="444"/>
      <c r="O157" s="444"/>
      <c r="P157" s="444"/>
      <c r="Q157" s="444"/>
      <c r="R157" s="101"/>
    </row>
    <row r="158" spans="1:18" x14ac:dyDescent="0.2">
      <c r="A158" s="115"/>
      <c r="B158" s="115"/>
      <c r="D158" s="301"/>
      <c r="E158" s="301"/>
      <c r="F158" s="301"/>
      <c r="G158" s="301"/>
      <c r="H158" s="301"/>
      <c r="I158" s="301"/>
      <c r="J158" s="301"/>
      <c r="K158" s="301"/>
      <c r="L158" s="301"/>
      <c r="M158" s="301"/>
      <c r="N158" s="301"/>
      <c r="O158" s="301"/>
      <c r="P158" s="301"/>
      <c r="Q158" s="301"/>
      <c r="R158" s="301"/>
    </row>
    <row r="159" spans="1:18" x14ac:dyDescent="0.2">
      <c r="A159" s="465" t="s">
        <v>488</v>
      </c>
      <c r="B159" s="465"/>
      <c r="D159" s="301"/>
      <c r="E159" s="301"/>
      <c r="F159" s="301"/>
      <c r="G159" s="301"/>
      <c r="H159" s="301"/>
      <c r="I159" s="301"/>
      <c r="J159" s="301"/>
      <c r="K159" s="301"/>
      <c r="L159" s="301"/>
      <c r="M159" s="301"/>
      <c r="N159" s="301"/>
      <c r="O159" s="301"/>
      <c r="P159" s="301"/>
      <c r="Q159" s="301"/>
      <c r="R159" s="301"/>
    </row>
    <row r="160" spans="1:18" x14ac:dyDescent="0.2">
      <c r="A160" s="115"/>
      <c r="B160" s="115"/>
      <c r="D160" s="301"/>
      <c r="E160" s="301"/>
      <c r="F160" s="301"/>
      <c r="G160" s="301"/>
      <c r="H160" s="301"/>
      <c r="I160" s="301"/>
      <c r="J160" s="301"/>
      <c r="K160" s="301"/>
      <c r="L160" s="301"/>
      <c r="M160" s="301"/>
      <c r="N160" s="301"/>
      <c r="O160" s="301"/>
      <c r="P160" s="301"/>
      <c r="Q160" s="301"/>
      <c r="R160" s="301"/>
    </row>
    <row r="161" spans="1:18" x14ac:dyDescent="0.2">
      <c r="A161" s="301" t="s">
        <v>490</v>
      </c>
      <c r="B161" s="215"/>
      <c r="D161" s="443">
        <v>3965148.72</v>
      </c>
      <c r="E161" s="443">
        <v>4041490.49</v>
      </c>
      <c r="F161" s="443">
        <v>4107884.26</v>
      </c>
      <c r="G161" s="443">
        <v>4087078.22</v>
      </c>
      <c r="H161" s="443">
        <v>4163333.99</v>
      </c>
      <c r="I161" s="443">
        <v>4268622.26</v>
      </c>
      <c r="J161" s="443">
        <v>4367024.72</v>
      </c>
      <c r="K161" s="443">
        <v>4494193.72</v>
      </c>
      <c r="L161" s="443">
        <v>4608549.72</v>
      </c>
      <c r="M161" s="443">
        <v>4686796.24</v>
      </c>
      <c r="N161" s="443">
        <v>4206528.24</v>
      </c>
      <c r="O161" s="443">
        <v>4305650.57</v>
      </c>
      <c r="P161" s="443">
        <v>4410554.75</v>
      </c>
      <c r="Q161" s="301"/>
      <c r="R161" s="301"/>
    </row>
    <row r="162" spans="1:18" x14ac:dyDescent="0.2">
      <c r="A162" s="301" t="s">
        <v>371</v>
      </c>
      <c r="B162" s="215"/>
      <c r="D162" s="443">
        <v>668836.60000000009</v>
      </c>
      <c r="E162" s="443">
        <v>683152.6</v>
      </c>
      <c r="F162" s="443">
        <v>696245.6</v>
      </c>
      <c r="G162" s="443">
        <v>698517.6</v>
      </c>
      <c r="H162" s="443">
        <v>713865.6</v>
      </c>
      <c r="I162" s="443">
        <v>735486.6</v>
      </c>
      <c r="J162" s="443">
        <v>765623.6</v>
      </c>
      <c r="K162" s="443">
        <v>795603.6</v>
      </c>
      <c r="L162" s="443">
        <v>818448.6</v>
      </c>
      <c r="M162" s="443">
        <v>847225.6</v>
      </c>
      <c r="N162" s="443">
        <v>788070.6</v>
      </c>
      <c r="O162" s="443">
        <v>802353.6</v>
      </c>
      <c r="P162" s="443">
        <v>808911.6</v>
      </c>
      <c r="Q162" s="301"/>
      <c r="R162" s="301"/>
    </row>
    <row r="163" spans="1:18" x14ac:dyDescent="0.2">
      <c r="A163" s="301"/>
      <c r="B163" s="215"/>
      <c r="D163" s="313"/>
      <c r="E163" s="313"/>
      <c r="F163" s="313"/>
      <c r="G163" s="313"/>
      <c r="H163" s="313"/>
      <c r="I163" s="313"/>
      <c r="J163" s="313"/>
      <c r="K163" s="313"/>
      <c r="L163" s="313"/>
      <c r="M163" s="313"/>
      <c r="N163" s="313"/>
      <c r="O163" s="313"/>
      <c r="P163" s="313"/>
      <c r="Q163" s="301"/>
      <c r="R163" s="301"/>
    </row>
    <row r="164" spans="1:18" x14ac:dyDescent="0.2">
      <c r="A164" s="301" t="s">
        <v>491</v>
      </c>
      <c r="B164" s="215"/>
      <c r="D164" s="443">
        <v>5087361.25</v>
      </c>
      <c r="E164" s="443">
        <v>4954916.37</v>
      </c>
      <c r="F164" s="443">
        <v>4983512.8099999996</v>
      </c>
      <c r="G164" s="443">
        <v>5003920.07</v>
      </c>
      <c r="H164" s="443">
        <v>4973561.62</v>
      </c>
      <c r="I164" s="443">
        <v>4947784.95</v>
      </c>
      <c r="J164" s="443">
        <v>4884692.32</v>
      </c>
      <c r="K164" s="443">
        <v>4804205.79</v>
      </c>
      <c r="L164" s="443">
        <v>4826895.63</v>
      </c>
      <c r="M164" s="443">
        <v>4800437.88</v>
      </c>
      <c r="N164" s="443">
        <v>4811486.88</v>
      </c>
      <c r="O164" s="443">
        <v>4830980.18</v>
      </c>
      <c r="P164" s="443">
        <v>4797146.57</v>
      </c>
      <c r="Q164" s="301"/>
      <c r="R164" s="301"/>
    </row>
    <row r="165" spans="1:18" x14ac:dyDescent="0.2">
      <c r="A165" s="301"/>
      <c r="B165" s="215"/>
      <c r="D165" s="313"/>
      <c r="E165" s="313"/>
      <c r="F165" s="313"/>
      <c r="G165" s="313"/>
      <c r="H165" s="313"/>
      <c r="I165" s="313"/>
      <c r="J165" s="313"/>
      <c r="K165" s="313"/>
      <c r="L165" s="313"/>
      <c r="M165" s="313"/>
      <c r="N165" s="313"/>
      <c r="O165" s="313"/>
      <c r="P165" s="313"/>
      <c r="Q165" s="301"/>
      <c r="R165" s="301"/>
    </row>
    <row r="166" spans="1:18" x14ac:dyDescent="0.2">
      <c r="A166" s="465" t="s">
        <v>370</v>
      </c>
      <c r="B166" s="466"/>
      <c r="D166" s="101">
        <v>18488587.359999999</v>
      </c>
      <c r="E166" s="101">
        <v>18486971.059999999</v>
      </c>
      <c r="F166" s="101">
        <v>18484665.539999999</v>
      </c>
      <c r="G166" s="101">
        <v>18482827.059999999</v>
      </c>
      <c r="H166" s="101">
        <v>18480561.890000001</v>
      </c>
      <c r="I166" s="101">
        <v>18478826.469999999</v>
      </c>
      <c r="J166" s="101">
        <v>18478349.199999999</v>
      </c>
      <c r="K166" s="101">
        <v>18501807.470000003</v>
      </c>
      <c r="L166" s="101">
        <v>18500225.260000002</v>
      </c>
      <c r="M166" s="101">
        <v>18498668.720000003</v>
      </c>
      <c r="N166" s="101">
        <v>18497191.870000001</v>
      </c>
      <c r="O166" s="101">
        <v>18495687.460000001</v>
      </c>
      <c r="P166" s="101">
        <v>18494188.91</v>
      </c>
      <c r="Q166" s="301"/>
      <c r="R166" s="301"/>
    </row>
    <row r="167" spans="1:18" x14ac:dyDescent="0.2">
      <c r="A167" s="301"/>
      <c r="B167" s="115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301"/>
      <c r="R167" s="301"/>
    </row>
    <row r="168" spans="1:18" x14ac:dyDescent="0.2">
      <c r="A168" s="215"/>
      <c r="B168" s="215"/>
      <c r="Q168" s="444"/>
      <c r="R168" s="101"/>
    </row>
    <row r="169" spans="1:18" x14ac:dyDescent="0.2">
      <c r="A169" s="215"/>
      <c r="B169" s="215"/>
      <c r="N169" s="101"/>
      <c r="O169" s="101"/>
      <c r="P169" s="101"/>
      <c r="Q169" s="444"/>
      <c r="R169" s="101"/>
    </row>
    <row r="170" spans="1:18" x14ac:dyDescent="0.2">
      <c r="N170" s="101"/>
      <c r="O170" s="101"/>
      <c r="P170" s="101"/>
    </row>
    <row r="171" spans="1:18" x14ac:dyDescent="0.2">
      <c r="D171" s="119"/>
      <c r="N171" s="101"/>
      <c r="O171" s="101"/>
      <c r="P171" s="101"/>
      <c r="Q171" s="101"/>
    </row>
    <row r="172" spans="1:18" x14ac:dyDescent="0.2">
      <c r="N172" s="101"/>
      <c r="O172" s="101"/>
      <c r="P172" s="101"/>
      <c r="Q172" s="101"/>
    </row>
    <row r="173" spans="1:18" x14ac:dyDescent="0.2">
      <c r="N173" s="101"/>
      <c r="O173" s="101"/>
      <c r="P173" s="101"/>
      <c r="Q173" s="101"/>
    </row>
    <row r="174" spans="1:18" x14ac:dyDescent="0.2">
      <c r="N174" s="101"/>
      <c r="O174" s="101"/>
      <c r="P174" s="101"/>
      <c r="Q174" s="101"/>
    </row>
    <row r="175" spans="1:18" x14ac:dyDescent="0.2">
      <c r="N175" s="101"/>
      <c r="O175" s="101"/>
      <c r="P175" s="101"/>
      <c r="Q175" s="101"/>
    </row>
    <row r="176" spans="1:18" x14ac:dyDescent="0.2">
      <c r="N176" s="101"/>
      <c r="O176" s="101"/>
      <c r="P176" s="101"/>
      <c r="Q176" s="101"/>
    </row>
    <row r="177" spans="14:17" x14ac:dyDescent="0.2">
      <c r="N177" s="101"/>
      <c r="O177" s="101"/>
      <c r="P177" s="101"/>
      <c r="Q177" s="101"/>
    </row>
    <row r="178" spans="14:17" x14ac:dyDescent="0.2">
      <c r="N178" s="101"/>
      <c r="O178" s="101"/>
      <c r="P178" s="101"/>
      <c r="Q178" s="101"/>
    </row>
    <row r="179" spans="14:17" x14ac:dyDescent="0.2">
      <c r="N179" s="101"/>
      <c r="O179" s="101"/>
      <c r="P179" s="101"/>
      <c r="Q179" s="101"/>
    </row>
    <row r="180" spans="14:17" x14ac:dyDescent="0.2">
      <c r="N180" s="101"/>
      <c r="O180" s="101"/>
      <c r="P180" s="101"/>
      <c r="Q180" s="101"/>
    </row>
    <row r="181" spans="14:17" x14ac:dyDescent="0.2">
      <c r="N181" s="101"/>
      <c r="O181" s="101"/>
      <c r="P181" s="101"/>
      <c r="Q181" s="101"/>
    </row>
    <row r="182" spans="14:17" x14ac:dyDescent="0.2">
      <c r="N182" s="101"/>
      <c r="O182" s="101"/>
      <c r="P182" s="101"/>
      <c r="Q182" s="101"/>
    </row>
    <row r="183" spans="14:17" x14ac:dyDescent="0.2">
      <c r="N183" s="101"/>
      <c r="O183" s="101"/>
      <c r="P183" s="101"/>
      <c r="Q183" s="101"/>
    </row>
    <row r="184" spans="14:17" x14ac:dyDescent="0.2">
      <c r="N184" s="101"/>
      <c r="O184" s="101"/>
      <c r="P184" s="101"/>
      <c r="Q184" s="101"/>
    </row>
    <row r="185" spans="14:17" x14ac:dyDescent="0.2">
      <c r="N185" s="101"/>
      <c r="O185" s="101"/>
      <c r="P185" s="101"/>
      <c r="Q185" s="101"/>
    </row>
    <row r="186" spans="14:17" x14ac:dyDescent="0.2">
      <c r="N186" s="101"/>
      <c r="O186" s="101"/>
      <c r="P186" s="101"/>
      <c r="Q186" s="101"/>
    </row>
    <row r="187" spans="14:17" x14ac:dyDescent="0.2">
      <c r="N187" s="101"/>
      <c r="O187" s="101"/>
      <c r="P187" s="101"/>
      <c r="Q187" s="101"/>
    </row>
    <row r="188" spans="14:17" x14ac:dyDescent="0.2">
      <c r="N188" s="101"/>
      <c r="O188" s="101"/>
      <c r="P188" s="101"/>
      <c r="Q188" s="101"/>
    </row>
    <row r="189" spans="14:17" x14ac:dyDescent="0.2">
      <c r="Q189" s="101"/>
    </row>
    <row r="190" spans="14:17" x14ac:dyDescent="0.2">
      <c r="Q190" s="101"/>
    </row>
  </sheetData>
  <phoneticPr fontId="6" type="noConversion"/>
  <printOptions horizontalCentered="1"/>
  <pageMargins left="0.5" right="0.5" top="0.5" bottom="0.5" header="0.25" footer="0.25"/>
  <pageSetup scale="47" fitToHeight="0" orientation="landscape" r:id="rId1"/>
  <headerFooter alignWithMargins="0"/>
  <rowBreaks count="3" manualBreakCount="3">
    <brk id="47" max="17" man="1"/>
    <brk id="88" max="17" man="1"/>
    <brk id="149" max="16" man="1"/>
  </rowBreaks>
  <colBreaks count="1" manualBreakCount="1">
    <brk id="18" max="15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1F0A6"/>
    <pageSetUpPr fitToPage="1"/>
  </sheetPr>
  <dimension ref="A1:W46"/>
  <sheetViews>
    <sheetView showGridLines="0" zoomScaleNormal="100" zoomScaleSheetLayoutView="85" workbookViewId="0">
      <selection activeCell="G29" sqref="G29"/>
    </sheetView>
  </sheetViews>
  <sheetFormatPr defaultRowHeight="12.75" x14ac:dyDescent="0.2"/>
  <cols>
    <col min="1" max="1" width="5.7109375" style="301" customWidth="1"/>
    <col min="2" max="7" width="14.7109375" style="101" customWidth="1"/>
    <col min="8" max="8" width="5.5703125" style="101" customWidth="1"/>
    <col min="9" max="9" width="16.7109375" style="101" customWidth="1"/>
    <col min="10" max="10" width="18.5703125" style="101" customWidth="1"/>
    <col min="11" max="11" width="5.7109375" style="101" customWidth="1"/>
    <col min="12" max="17" width="14.7109375" style="101" customWidth="1"/>
    <col min="18" max="16384" width="9.140625" style="301"/>
  </cols>
  <sheetData>
    <row r="1" spans="1:23" x14ac:dyDescent="0.2">
      <c r="A1" s="115" t="s">
        <v>0</v>
      </c>
    </row>
    <row r="2" spans="1:23" x14ac:dyDescent="0.2">
      <c r="A2" s="115" t="str">
        <f>+'Page 1'!A2</f>
        <v>Washington Annual Commission Basis Report</v>
      </c>
    </row>
    <row r="3" spans="1:23" x14ac:dyDescent="0.2">
      <c r="A3" s="115" t="str">
        <f>+'Page 1'!A3</f>
        <v>Twelve Months Ended December 31, 2018</v>
      </c>
    </row>
    <row r="4" spans="1:23" x14ac:dyDescent="0.2">
      <c r="A4" s="115"/>
    </row>
    <row r="5" spans="1:23" x14ac:dyDescent="0.2">
      <c r="A5" s="115"/>
    </row>
    <row r="6" spans="1:23" x14ac:dyDescent="0.2">
      <c r="A6" s="115" t="s">
        <v>298</v>
      </c>
    </row>
    <row r="7" spans="1:23" ht="13.5" thickBot="1" x14ac:dyDescent="0.25">
      <c r="A7" s="115"/>
    </row>
    <row r="8" spans="1:23" ht="13.5" thickBot="1" x14ac:dyDescent="0.2">
      <c r="A8" s="468">
        <v>1</v>
      </c>
      <c r="B8" s="469" t="s">
        <v>494</v>
      </c>
      <c r="C8" s="470"/>
      <c r="D8" s="470"/>
      <c r="E8" s="470"/>
      <c r="F8" s="470"/>
      <c r="G8" s="471">
        <f>+'Rate Base'!E133</f>
        <v>0.1036</v>
      </c>
    </row>
    <row r="9" spans="1:23" x14ac:dyDescent="0.15">
      <c r="A9" s="468">
        <f>+A8+1</f>
        <v>2</v>
      </c>
      <c r="B9" s="217"/>
      <c r="C9" s="217"/>
      <c r="D9" s="217"/>
      <c r="E9" s="217"/>
      <c r="F9" s="217"/>
      <c r="G9" s="472"/>
    </row>
    <row r="10" spans="1:23" x14ac:dyDescent="0.15">
      <c r="A10" s="468">
        <f t="shared" ref="A10:A42" si="0">+A9+1</f>
        <v>3</v>
      </c>
      <c r="B10" s="473" t="s">
        <v>506</v>
      </c>
      <c r="C10" s="102"/>
      <c r="D10" s="102"/>
      <c r="E10" s="102"/>
      <c r="F10" s="102"/>
      <c r="G10" s="102"/>
      <c r="H10" s="102"/>
      <c r="I10" s="102"/>
      <c r="J10" s="102"/>
    </row>
    <row r="11" spans="1:23" x14ac:dyDescent="0.15">
      <c r="A11" s="468">
        <f t="shared" si="0"/>
        <v>4</v>
      </c>
      <c r="I11" s="474"/>
      <c r="J11" s="474"/>
      <c r="K11" s="474"/>
    </row>
    <row r="12" spans="1:23" x14ac:dyDescent="0.15">
      <c r="A12" s="468">
        <f t="shared" si="0"/>
        <v>5</v>
      </c>
      <c r="B12" s="475"/>
      <c r="G12" s="476" t="s">
        <v>495</v>
      </c>
      <c r="H12" s="476"/>
      <c r="I12" s="474" t="s">
        <v>11</v>
      </c>
      <c r="J12" s="474" t="s">
        <v>12</v>
      </c>
      <c r="K12" s="476"/>
    </row>
    <row r="13" spans="1:23" x14ac:dyDescent="0.15">
      <c r="A13" s="468">
        <f t="shared" si="0"/>
        <v>6</v>
      </c>
      <c r="E13" s="477" t="s">
        <v>496</v>
      </c>
      <c r="F13" s="477" t="s">
        <v>497</v>
      </c>
      <c r="G13" s="478" t="s">
        <v>86</v>
      </c>
      <c r="H13" s="476"/>
      <c r="I13" s="478" t="s">
        <v>67</v>
      </c>
      <c r="J13" s="478" t="s">
        <v>67</v>
      </c>
      <c r="K13" s="476"/>
    </row>
    <row r="14" spans="1:23" x14ac:dyDescent="0.15">
      <c r="A14" s="468">
        <f t="shared" si="0"/>
        <v>7</v>
      </c>
      <c r="G14" s="476"/>
      <c r="H14" s="476"/>
      <c r="J14" s="476"/>
      <c r="K14" s="476"/>
    </row>
    <row r="15" spans="1:23" x14ac:dyDescent="0.15">
      <c r="A15" s="468">
        <f t="shared" si="0"/>
        <v>8</v>
      </c>
      <c r="B15" s="101" t="s">
        <v>498</v>
      </c>
      <c r="E15" s="101">
        <v>-356970635</v>
      </c>
      <c r="F15" s="101">
        <v>-73842204</v>
      </c>
      <c r="G15" s="101">
        <f>+SUM(E15:F15)</f>
        <v>-430812839</v>
      </c>
      <c r="I15" s="101">
        <f>+(E15+F15*0.35)*$G$8</f>
        <v>-39659676.103039995</v>
      </c>
      <c r="J15" s="101">
        <f>+G15-I15</f>
        <v>-391153162.89696002</v>
      </c>
    </row>
    <row r="16" spans="1:23" s="101" customFormat="1" x14ac:dyDescent="0.15">
      <c r="A16" s="468">
        <f t="shared" si="0"/>
        <v>9</v>
      </c>
      <c r="R16" s="301"/>
      <c r="S16" s="301"/>
      <c r="T16" s="301"/>
      <c r="U16" s="301"/>
      <c r="V16" s="301"/>
      <c r="W16" s="301"/>
    </row>
    <row r="17" spans="1:23" s="101" customFormat="1" x14ac:dyDescent="0.15">
      <c r="A17" s="468">
        <f t="shared" si="0"/>
        <v>10</v>
      </c>
      <c r="B17" s="101" t="s">
        <v>499</v>
      </c>
      <c r="E17" s="101">
        <v>-28042242</v>
      </c>
      <c r="F17" s="101">
        <v>-5874791</v>
      </c>
      <c r="G17" s="101">
        <f>+SUM(E17:F17)</f>
        <v>-33917033</v>
      </c>
      <c r="I17" s="101">
        <v>0</v>
      </c>
      <c r="J17" s="101">
        <f>+G17-I17</f>
        <v>-33917033</v>
      </c>
      <c r="R17" s="301"/>
      <c r="S17" s="301"/>
      <c r="T17" s="301"/>
      <c r="U17" s="301"/>
      <c r="V17" s="301"/>
      <c r="W17" s="301"/>
    </row>
    <row r="18" spans="1:23" s="101" customFormat="1" x14ac:dyDescent="0.15">
      <c r="A18" s="468">
        <f t="shared" si="0"/>
        <v>11</v>
      </c>
      <c r="R18" s="301"/>
      <c r="S18" s="301"/>
      <c r="T18" s="301"/>
      <c r="U18" s="301"/>
      <c r="V18" s="301"/>
      <c r="W18" s="301"/>
    </row>
    <row r="19" spans="1:23" s="101" customFormat="1" x14ac:dyDescent="0.15">
      <c r="A19" s="468">
        <f t="shared" si="0"/>
        <v>12</v>
      </c>
      <c r="B19" s="101" t="s">
        <v>500</v>
      </c>
      <c r="E19" s="102">
        <v>-13102128</v>
      </c>
      <c r="F19" s="102">
        <v>-1301866</v>
      </c>
      <c r="G19" s="102">
        <f>+SUM(E19:F19)</f>
        <v>-14403994</v>
      </c>
      <c r="I19" s="102">
        <f>+(E19+F19*0.35)*$G$8</f>
        <v>-1404586.1219599999</v>
      </c>
      <c r="J19" s="102">
        <f>+G19-I19</f>
        <v>-12999407.878040001</v>
      </c>
      <c r="R19" s="301"/>
      <c r="S19" s="301"/>
      <c r="T19" s="301"/>
      <c r="U19" s="301"/>
      <c r="V19" s="301"/>
      <c r="W19" s="301"/>
    </row>
    <row r="20" spans="1:23" s="101" customFormat="1" x14ac:dyDescent="0.15">
      <c r="A20" s="468">
        <f t="shared" si="0"/>
        <v>13</v>
      </c>
      <c r="E20" s="217"/>
      <c r="F20" s="217"/>
      <c r="G20" s="217"/>
      <c r="I20" s="217"/>
      <c r="J20" s="217"/>
      <c r="R20" s="301"/>
      <c r="S20" s="301"/>
      <c r="T20" s="301"/>
      <c r="U20" s="301"/>
      <c r="V20" s="301"/>
      <c r="W20" s="301"/>
    </row>
    <row r="21" spans="1:23" s="101" customFormat="1" x14ac:dyDescent="0.15">
      <c r="A21" s="468">
        <f t="shared" si="0"/>
        <v>14</v>
      </c>
      <c r="B21" s="461" t="s">
        <v>507</v>
      </c>
      <c r="E21" s="102">
        <f>+SUM(E15:E19)</f>
        <v>-398115005</v>
      </c>
      <c r="F21" s="102">
        <f>+SUM(F15:F19)</f>
        <v>-81018861</v>
      </c>
      <c r="G21" s="102">
        <f>SUM(G15:G19)</f>
        <v>-479133866</v>
      </c>
      <c r="I21" s="102">
        <f>SUM(I15:I19)</f>
        <v>-41064262.224999994</v>
      </c>
      <c r="J21" s="102">
        <f>SUM(J15:J19)</f>
        <v>-438069603.77500004</v>
      </c>
      <c r="R21" s="301"/>
      <c r="S21" s="301"/>
      <c r="T21" s="301"/>
      <c r="U21" s="301"/>
      <c r="V21" s="301"/>
      <c r="W21" s="301"/>
    </row>
    <row r="22" spans="1:23" s="101" customFormat="1" x14ac:dyDescent="0.15">
      <c r="A22" s="468">
        <f t="shared" si="0"/>
        <v>15</v>
      </c>
      <c r="R22" s="301"/>
      <c r="S22" s="301"/>
      <c r="T22" s="301"/>
      <c r="U22" s="301"/>
      <c r="V22" s="301"/>
      <c r="W22" s="301"/>
    </row>
    <row r="23" spans="1:23" s="101" customFormat="1" x14ac:dyDescent="0.15">
      <c r="A23" s="468">
        <f t="shared" si="0"/>
        <v>16</v>
      </c>
      <c r="R23" s="301"/>
      <c r="S23" s="301"/>
      <c r="T23" s="301"/>
      <c r="U23" s="301"/>
      <c r="V23" s="301"/>
      <c r="W23" s="301"/>
    </row>
    <row r="24" spans="1:23" s="101" customFormat="1" x14ac:dyDescent="0.15">
      <c r="A24" s="468">
        <f t="shared" si="0"/>
        <v>17</v>
      </c>
      <c r="B24" s="473" t="s">
        <v>514</v>
      </c>
      <c r="C24" s="102"/>
      <c r="D24" s="102"/>
      <c r="E24" s="102"/>
      <c r="F24" s="102"/>
      <c r="G24" s="102"/>
      <c r="H24" s="102"/>
      <c r="I24" s="102"/>
      <c r="J24" s="102"/>
      <c r="R24" s="301"/>
      <c r="S24" s="301"/>
      <c r="T24" s="301"/>
      <c r="U24" s="301"/>
      <c r="V24" s="301"/>
      <c r="W24" s="301"/>
    </row>
    <row r="25" spans="1:23" s="101" customFormat="1" x14ac:dyDescent="0.15">
      <c r="A25" s="468">
        <f t="shared" si="0"/>
        <v>18</v>
      </c>
      <c r="I25" s="474"/>
      <c r="J25" s="474"/>
      <c r="R25" s="301"/>
      <c r="S25" s="301"/>
      <c r="T25" s="301"/>
      <c r="U25" s="301"/>
      <c r="V25" s="301"/>
      <c r="W25" s="301"/>
    </row>
    <row r="26" spans="1:23" s="101" customFormat="1" x14ac:dyDescent="0.15">
      <c r="A26" s="468">
        <f t="shared" si="0"/>
        <v>19</v>
      </c>
      <c r="G26" s="476" t="s">
        <v>495</v>
      </c>
      <c r="H26" s="476"/>
      <c r="I26" s="474" t="s">
        <v>11</v>
      </c>
      <c r="J26" s="474" t="s">
        <v>12</v>
      </c>
      <c r="R26" s="301"/>
      <c r="S26" s="301"/>
      <c r="T26" s="301"/>
      <c r="U26" s="301"/>
      <c r="V26" s="301"/>
      <c r="W26" s="301"/>
    </row>
    <row r="27" spans="1:23" s="101" customFormat="1" x14ac:dyDescent="0.15">
      <c r="A27" s="468">
        <f t="shared" si="0"/>
        <v>20</v>
      </c>
      <c r="E27" s="477" t="s">
        <v>496</v>
      </c>
      <c r="F27" s="477" t="s">
        <v>497</v>
      </c>
      <c r="G27" s="478" t="s">
        <v>86</v>
      </c>
      <c r="H27" s="476"/>
      <c r="I27" s="478" t="s">
        <v>67</v>
      </c>
      <c r="J27" s="478" t="s">
        <v>67</v>
      </c>
      <c r="R27" s="301"/>
      <c r="S27" s="301"/>
      <c r="T27" s="301"/>
      <c r="U27" s="301"/>
      <c r="V27" s="301"/>
      <c r="W27" s="301"/>
    </row>
    <row r="28" spans="1:23" s="101" customFormat="1" x14ac:dyDescent="0.15">
      <c r="A28" s="468">
        <f t="shared" si="0"/>
        <v>21</v>
      </c>
      <c r="G28" s="476"/>
      <c r="H28" s="476"/>
      <c r="J28" s="476"/>
      <c r="R28" s="301"/>
      <c r="S28" s="301"/>
      <c r="T28" s="301"/>
      <c r="U28" s="301"/>
      <c r="V28" s="301"/>
      <c r="W28" s="301"/>
    </row>
    <row r="29" spans="1:23" s="101" customFormat="1" x14ac:dyDescent="0.15">
      <c r="A29" s="468">
        <f t="shared" si="0"/>
        <v>22</v>
      </c>
      <c r="B29" s="101" t="s">
        <v>498</v>
      </c>
      <c r="E29" s="101">
        <v>-375749305</v>
      </c>
      <c r="F29" s="101">
        <v>-62268085</v>
      </c>
      <c r="G29" s="101">
        <f>+SUM(E29:F29)</f>
        <v>-438017390</v>
      </c>
      <c r="I29" s="101">
        <v>-40303338.928843997</v>
      </c>
      <c r="J29" s="101">
        <v>-397714051.07115597</v>
      </c>
      <c r="R29" s="301"/>
      <c r="S29" s="301"/>
      <c r="T29" s="301"/>
      <c r="U29" s="301"/>
      <c r="V29" s="301"/>
      <c r="W29" s="301"/>
    </row>
    <row r="30" spans="1:23" s="101" customFormat="1" x14ac:dyDescent="0.15">
      <c r="A30" s="468">
        <f t="shared" si="0"/>
        <v>23</v>
      </c>
      <c r="R30" s="301"/>
      <c r="S30" s="301"/>
      <c r="T30" s="301"/>
      <c r="U30" s="301"/>
      <c r="V30" s="301"/>
      <c r="W30" s="301"/>
    </row>
    <row r="31" spans="1:23" s="101" customFormat="1" x14ac:dyDescent="0.15">
      <c r="A31" s="468">
        <f t="shared" si="0"/>
        <v>24</v>
      </c>
      <c r="B31" s="101" t="s">
        <v>499</v>
      </c>
      <c r="E31" s="101">
        <v>-26599176</v>
      </c>
      <c r="F31" s="101">
        <v>-4238338</v>
      </c>
      <c r="G31" s="101">
        <f>+SUM(E31:F31)</f>
        <v>-30837514</v>
      </c>
      <c r="I31" s="101">
        <v>0</v>
      </c>
      <c r="J31" s="101">
        <f>+G31-I31</f>
        <v>-30837514</v>
      </c>
      <c r="R31" s="301"/>
      <c r="S31" s="301"/>
      <c r="T31" s="301"/>
      <c r="U31" s="301"/>
      <c r="V31" s="301"/>
      <c r="W31" s="301"/>
    </row>
    <row r="32" spans="1:23" s="101" customFormat="1" x14ac:dyDescent="0.15">
      <c r="A32" s="468">
        <f t="shared" si="0"/>
        <v>25</v>
      </c>
      <c r="R32" s="301"/>
      <c r="S32" s="301"/>
      <c r="T32" s="301"/>
      <c r="U32" s="301"/>
      <c r="V32" s="301"/>
      <c r="W32" s="301"/>
    </row>
    <row r="33" spans="1:23" s="101" customFormat="1" x14ac:dyDescent="0.15">
      <c r="A33" s="468">
        <f>+A30+1</f>
        <v>24</v>
      </c>
      <c r="B33" s="101" t="s">
        <v>500</v>
      </c>
      <c r="E33" s="102">
        <v>-17571937</v>
      </c>
      <c r="F33" s="102">
        <v>-2188948</v>
      </c>
      <c r="G33" s="102">
        <f>+SUM(E33:F33)</f>
        <v>-19760885</v>
      </c>
      <c r="I33" s="102">
        <v>-927947.92166000011</v>
      </c>
      <c r="J33" s="102">
        <v>-18060492.112164002</v>
      </c>
      <c r="R33" s="301"/>
      <c r="S33" s="301"/>
      <c r="T33" s="301"/>
      <c r="U33" s="301"/>
      <c r="V33" s="301"/>
      <c r="W33" s="301"/>
    </row>
    <row r="34" spans="1:23" s="101" customFormat="1" x14ac:dyDescent="0.15">
      <c r="A34" s="468">
        <f t="shared" si="0"/>
        <v>25</v>
      </c>
      <c r="E34" s="217"/>
      <c r="F34" s="217"/>
      <c r="G34" s="217"/>
      <c r="I34" s="217"/>
      <c r="J34" s="217"/>
      <c r="R34" s="301"/>
      <c r="S34" s="301"/>
      <c r="T34" s="301"/>
      <c r="U34" s="301"/>
      <c r="V34" s="301"/>
      <c r="W34" s="301"/>
    </row>
    <row r="35" spans="1:23" s="101" customFormat="1" x14ac:dyDescent="0.15">
      <c r="A35" s="468">
        <f t="shared" si="0"/>
        <v>26</v>
      </c>
      <c r="B35" s="461" t="s">
        <v>515</v>
      </c>
      <c r="E35" s="102">
        <f>+SUM(E29:E33)</f>
        <v>-419920418</v>
      </c>
      <c r="F35" s="102">
        <f>+SUM(F29:F33)</f>
        <v>-68695371</v>
      </c>
      <c r="G35" s="102">
        <f>SUM(G29:G33)</f>
        <v>-488615789</v>
      </c>
      <c r="I35" s="102">
        <f>SUM(I29:I33)</f>
        <v>-41231286.850503996</v>
      </c>
      <c r="J35" s="102">
        <f>SUM(J29:J33)</f>
        <v>-446612057.18331999</v>
      </c>
      <c r="R35" s="301"/>
      <c r="S35" s="301"/>
      <c r="T35" s="301"/>
      <c r="U35" s="301"/>
      <c r="V35" s="301"/>
      <c r="W35" s="301"/>
    </row>
    <row r="36" spans="1:23" s="101" customFormat="1" x14ac:dyDescent="0.15">
      <c r="A36" s="468">
        <f t="shared" si="0"/>
        <v>27</v>
      </c>
      <c r="R36" s="301"/>
      <c r="S36" s="301"/>
      <c r="T36" s="301"/>
      <c r="U36" s="301"/>
      <c r="V36" s="301"/>
      <c r="W36" s="301"/>
    </row>
    <row r="37" spans="1:23" s="101" customFormat="1" ht="13.5" thickBot="1" x14ac:dyDescent="0.2">
      <c r="A37" s="468">
        <f t="shared" si="0"/>
        <v>28</v>
      </c>
      <c r="R37" s="301"/>
      <c r="S37" s="301"/>
      <c r="T37" s="301"/>
      <c r="U37" s="301"/>
      <c r="V37" s="301"/>
      <c r="W37" s="301"/>
    </row>
    <row r="38" spans="1:23" s="101" customFormat="1" x14ac:dyDescent="0.15">
      <c r="A38" s="468">
        <f t="shared" si="0"/>
        <v>29</v>
      </c>
      <c r="B38" s="479"/>
      <c r="C38" s="480"/>
      <c r="D38" s="480"/>
      <c r="E38" s="480"/>
      <c r="F38" s="480"/>
      <c r="G38" s="480"/>
      <c r="H38" s="480"/>
      <c r="I38" s="480"/>
      <c r="J38" s="481"/>
      <c r="R38" s="301"/>
      <c r="S38" s="301"/>
      <c r="T38" s="301"/>
      <c r="U38" s="301"/>
      <c r="V38" s="301"/>
      <c r="W38" s="301"/>
    </row>
    <row r="39" spans="1:23" s="101" customFormat="1" ht="13.5" thickBot="1" x14ac:dyDescent="0.2">
      <c r="A39" s="468">
        <f t="shared" si="0"/>
        <v>30</v>
      </c>
      <c r="B39" s="482" t="s">
        <v>534</v>
      </c>
      <c r="C39" s="217"/>
      <c r="D39" s="217"/>
      <c r="E39" s="217"/>
      <c r="F39" s="217"/>
      <c r="G39" s="217"/>
      <c r="H39" s="217"/>
      <c r="I39" s="483">
        <f>AVERAGE(I21,I35)</f>
        <v>-41147774.537751995</v>
      </c>
      <c r="J39" s="484">
        <f>AVERAGE(J21,J35)</f>
        <v>-442340830.47916001</v>
      </c>
      <c r="R39" s="301"/>
      <c r="S39" s="301"/>
      <c r="T39" s="301"/>
      <c r="U39" s="301"/>
      <c r="V39" s="301"/>
      <c r="W39" s="301"/>
    </row>
    <row r="40" spans="1:23" s="101" customFormat="1" ht="14.25" thickTop="1" thickBot="1" x14ac:dyDescent="0.2">
      <c r="A40" s="468">
        <f t="shared" si="0"/>
        <v>31</v>
      </c>
      <c r="B40" s="485"/>
      <c r="C40" s="486"/>
      <c r="D40" s="486"/>
      <c r="E40" s="486"/>
      <c r="F40" s="486"/>
      <c r="G40" s="486"/>
      <c r="H40" s="486"/>
      <c r="I40" s="486"/>
      <c r="J40" s="487"/>
      <c r="R40" s="301"/>
      <c r="S40" s="301"/>
      <c r="T40" s="301"/>
      <c r="U40" s="301"/>
      <c r="V40" s="301"/>
      <c r="W40" s="301"/>
    </row>
    <row r="41" spans="1:23" s="101" customFormat="1" x14ac:dyDescent="0.15">
      <c r="A41" s="468">
        <f t="shared" si="0"/>
        <v>32</v>
      </c>
      <c r="B41" s="217"/>
      <c r="C41" s="217"/>
      <c r="D41" s="217"/>
      <c r="E41" s="217"/>
      <c r="F41" s="217"/>
      <c r="G41" s="217"/>
      <c r="H41" s="217"/>
      <c r="I41" s="217"/>
      <c r="J41" s="217"/>
      <c r="R41" s="301"/>
      <c r="S41" s="301"/>
      <c r="T41" s="301"/>
      <c r="U41" s="301"/>
      <c r="V41" s="301"/>
      <c r="W41" s="301"/>
    </row>
    <row r="42" spans="1:23" s="101" customFormat="1" x14ac:dyDescent="0.15">
      <c r="A42" s="468">
        <f t="shared" si="0"/>
        <v>33</v>
      </c>
      <c r="B42" s="462"/>
      <c r="C42" s="217"/>
      <c r="D42" s="217"/>
      <c r="E42" s="217"/>
      <c r="F42" s="217"/>
      <c r="G42" s="217"/>
      <c r="H42" s="217"/>
      <c r="I42" s="488"/>
      <c r="J42" s="217"/>
      <c r="R42" s="301"/>
      <c r="S42" s="301"/>
      <c r="T42" s="301"/>
      <c r="U42" s="301"/>
      <c r="V42" s="301"/>
      <c r="W42" s="301"/>
    </row>
    <row r="43" spans="1:23" s="101" customFormat="1" x14ac:dyDescent="0.15">
      <c r="A43" s="468"/>
      <c r="R43" s="301"/>
      <c r="S43" s="301"/>
      <c r="T43" s="301"/>
      <c r="U43" s="301"/>
      <c r="V43" s="301"/>
      <c r="W43" s="301"/>
    </row>
    <row r="46" spans="1:23" x14ac:dyDescent="0.2">
      <c r="J46" s="225"/>
    </row>
  </sheetData>
  <pageMargins left="0.5" right="0.5" top="0.5" bottom="0.5" header="0.25" footer="0.25"/>
  <pageSetup scale="9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2"/>
  </sheetPr>
  <dimension ref="A1:L28"/>
  <sheetViews>
    <sheetView showGridLines="0" topLeftCell="A2" zoomScaleNormal="100" zoomScaleSheetLayoutView="100" workbookViewId="0">
      <selection activeCell="G29" sqref="G29"/>
    </sheetView>
  </sheetViews>
  <sheetFormatPr defaultColWidth="9.140625" defaultRowHeight="12.75" x14ac:dyDescent="0.2"/>
  <cols>
    <col min="1" max="1" width="4.7109375" style="115" customWidth="1"/>
    <col min="2" max="2" width="41.7109375" style="115" customWidth="1"/>
    <col min="3" max="3" width="12.7109375" style="301" customWidth="1"/>
    <col min="4" max="4" width="9.140625" style="301"/>
    <col min="5" max="5" width="17" style="301" bestFit="1" customWidth="1"/>
    <col min="6" max="6" width="9.140625" style="301"/>
    <col min="7" max="11" width="9.140625" style="162"/>
    <col min="12" max="12" width="16" style="162" bestFit="1" customWidth="1"/>
    <col min="13" max="16384" width="9.140625" style="301"/>
  </cols>
  <sheetData>
    <row r="1" spans="1:12" s="115" customFormat="1" x14ac:dyDescent="0.2">
      <c r="A1" s="115" t="s">
        <v>0</v>
      </c>
      <c r="G1" s="490"/>
      <c r="H1" s="490"/>
      <c r="I1" s="490"/>
      <c r="J1" s="490"/>
      <c r="K1" s="490"/>
      <c r="L1" s="490"/>
    </row>
    <row r="2" spans="1:12" s="115" customFormat="1" x14ac:dyDescent="0.2">
      <c r="A2" s="115" t="str">
        <f>+'Page 1'!A2</f>
        <v>Washington Annual Commission Basis Report</v>
      </c>
      <c r="G2" s="490"/>
      <c r="H2" s="490"/>
      <c r="I2" s="490"/>
      <c r="J2" s="490"/>
      <c r="K2" s="490"/>
      <c r="L2" s="490"/>
    </row>
    <row r="3" spans="1:12" s="115" customFormat="1" x14ac:dyDescent="0.2">
      <c r="A3" s="115" t="str">
        <f>+'Page 1'!A3</f>
        <v>Twelve Months Ended December 31, 2018</v>
      </c>
      <c r="G3" s="490"/>
      <c r="H3" s="490"/>
      <c r="I3" s="490"/>
      <c r="J3" s="490"/>
      <c r="K3" s="490"/>
      <c r="L3" s="490"/>
    </row>
    <row r="4" spans="1:12" s="115" customFormat="1" x14ac:dyDescent="0.2">
      <c r="A4" s="115" t="s">
        <v>327</v>
      </c>
      <c r="G4" s="490"/>
      <c r="H4" s="490"/>
      <c r="I4" s="490"/>
      <c r="J4" s="490"/>
      <c r="K4" s="490"/>
      <c r="L4" s="490"/>
    </row>
    <row r="5" spans="1:12" s="115" customFormat="1" x14ac:dyDescent="0.2">
      <c r="G5" s="490"/>
      <c r="H5" s="490"/>
      <c r="I5" s="490"/>
      <c r="J5" s="490"/>
      <c r="K5" s="490"/>
      <c r="L5" s="490"/>
    </row>
    <row r="6" spans="1:12" s="115" customFormat="1" x14ac:dyDescent="0.2">
      <c r="G6" s="490"/>
      <c r="H6" s="490"/>
      <c r="I6" s="490"/>
      <c r="J6" s="490"/>
      <c r="K6" s="490"/>
      <c r="L6" s="490"/>
    </row>
    <row r="7" spans="1:12" s="115" customFormat="1" x14ac:dyDescent="0.2">
      <c r="A7" s="117" t="s">
        <v>17</v>
      </c>
      <c r="G7" s="490"/>
      <c r="H7" s="490"/>
      <c r="I7" s="490"/>
      <c r="J7" s="490"/>
      <c r="K7" s="490"/>
      <c r="L7" s="490"/>
    </row>
    <row r="8" spans="1:12" s="115" customFormat="1" x14ac:dyDescent="0.2">
      <c r="A8" s="491" t="s">
        <v>46</v>
      </c>
      <c r="C8" s="491" t="s">
        <v>69</v>
      </c>
      <c r="G8" s="490"/>
      <c r="H8" s="490"/>
      <c r="I8" s="490"/>
      <c r="J8" s="490"/>
      <c r="K8" s="490"/>
      <c r="L8" s="490"/>
    </row>
    <row r="9" spans="1:12" s="115" customFormat="1" x14ac:dyDescent="0.2">
      <c r="A9" s="117"/>
      <c r="C9" s="492" t="s">
        <v>76</v>
      </c>
      <c r="G9" s="162"/>
      <c r="H9" s="490"/>
      <c r="I9" s="490"/>
      <c r="J9" s="490"/>
      <c r="K9" s="490"/>
      <c r="L9" s="489"/>
    </row>
    <row r="10" spans="1:12" x14ac:dyDescent="0.2">
      <c r="A10" s="117"/>
      <c r="L10" s="489"/>
    </row>
    <row r="11" spans="1:12" x14ac:dyDescent="0.2">
      <c r="A11" s="117">
        <v>1</v>
      </c>
      <c r="B11" s="115" t="s">
        <v>106</v>
      </c>
      <c r="C11" s="77">
        <f>'Page 1'!C13-'Page 1'!C19-'Page 1'!C22-'Page 1'!C23-'Page 1'!C24</f>
        <v>6949218.2060812023</v>
      </c>
      <c r="L11" s="489"/>
    </row>
    <row r="12" spans="1:12" x14ac:dyDescent="0.2">
      <c r="A12" s="117"/>
      <c r="L12" s="489"/>
    </row>
    <row r="13" spans="1:12" x14ac:dyDescent="0.2">
      <c r="A13" s="117">
        <v>2</v>
      </c>
      <c r="B13" s="115" t="s">
        <v>117</v>
      </c>
      <c r="C13" s="493">
        <f>'Page 1'!C41*'Cost of Cap'!C47</f>
        <v>4369895.2207129281</v>
      </c>
      <c r="L13" s="489"/>
    </row>
    <row r="14" spans="1:12" x14ac:dyDescent="0.2">
      <c r="A14" s="117"/>
      <c r="L14" s="489"/>
    </row>
    <row r="15" spans="1:12" x14ac:dyDescent="0.2">
      <c r="A15" s="117">
        <v>3</v>
      </c>
      <c r="B15" s="115" t="s">
        <v>130</v>
      </c>
      <c r="C15" s="301">
        <f>C11-C13</f>
        <v>2579322.9853682742</v>
      </c>
      <c r="G15" s="490"/>
      <c r="H15" s="490"/>
      <c r="I15" s="490"/>
      <c r="J15" s="490"/>
      <c r="K15" s="490"/>
      <c r="L15" s="494"/>
    </row>
    <row r="16" spans="1:12" x14ac:dyDescent="0.2">
      <c r="A16" s="117"/>
      <c r="D16" s="119"/>
    </row>
    <row r="17" spans="1:7" x14ac:dyDescent="0.2">
      <c r="A17" s="117">
        <v>4</v>
      </c>
      <c r="B17" s="115" t="s">
        <v>140</v>
      </c>
      <c r="C17" s="304">
        <v>857142.13639999996</v>
      </c>
      <c r="D17" s="432">
        <f>+'Allocation Factors'!C127</f>
        <v>0.1132</v>
      </c>
      <c r="E17" s="495" t="s">
        <v>280</v>
      </c>
    </row>
    <row r="18" spans="1:7" x14ac:dyDescent="0.2">
      <c r="A18" s="117"/>
      <c r="C18" s="224"/>
    </row>
    <row r="19" spans="1:7" x14ac:dyDescent="0.2">
      <c r="A19" s="117">
        <v>5</v>
      </c>
      <c r="B19" s="115" t="s">
        <v>150</v>
      </c>
      <c r="C19" s="301">
        <f>C15+C17</f>
        <v>3436465.1217682743</v>
      </c>
    </row>
    <row r="20" spans="1:7" x14ac:dyDescent="0.2">
      <c r="A20" s="117"/>
    </row>
    <row r="21" spans="1:7" x14ac:dyDescent="0.2">
      <c r="A21" s="117">
        <v>6</v>
      </c>
      <c r="B21" s="115" t="s">
        <v>155</v>
      </c>
      <c r="C21" s="120">
        <f>'Cost of Cap'!C50</f>
        <v>0.21</v>
      </c>
    </row>
    <row r="22" spans="1:7" x14ac:dyDescent="0.2">
      <c r="A22" s="117"/>
      <c r="C22" s="225"/>
    </row>
    <row r="23" spans="1:7" x14ac:dyDescent="0.2">
      <c r="A23" s="117">
        <v>7</v>
      </c>
      <c r="B23" s="115" t="s">
        <v>162</v>
      </c>
      <c r="C23" s="301">
        <f>C19*C21</f>
        <v>721657.67557133758</v>
      </c>
    </row>
    <row r="25" spans="1:7" x14ac:dyDescent="0.2">
      <c r="A25" s="117">
        <f>+A23+1</f>
        <v>8</v>
      </c>
      <c r="B25" s="115" t="s">
        <v>353</v>
      </c>
      <c r="C25" s="181">
        <f>-91.68*'Allocation Factors'!C110</f>
        <v>-10.304832000000001</v>
      </c>
      <c r="D25" s="115"/>
      <c r="G25" s="222"/>
    </row>
    <row r="27" spans="1:7" ht="13.5" thickBot="1" x14ac:dyDescent="0.25">
      <c r="A27" s="117">
        <f>+A25+1</f>
        <v>9</v>
      </c>
      <c r="B27" s="115" t="s">
        <v>354</v>
      </c>
      <c r="C27" s="133">
        <f>+C23+C25</f>
        <v>721647.37073933752</v>
      </c>
    </row>
    <row r="28" spans="1:7" ht="13.5" thickTop="1" x14ac:dyDescent="0.2"/>
  </sheetData>
  <phoneticPr fontId="0" type="noConversion"/>
  <printOptions horizontalCentered="1"/>
  <pageMargins left="0.5" right="0.5" top="0.5" bottom="0.5" header="0.25" footer="0.25"/>
  <pageSetup scale="9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626147EB2D1A946B1CDFD3FB17F8DB1" ma:contentTypeVersion="56" ma:contentTypeDescription="" ma:contentTypeScope="" ma:versionID="1027bd47ca2814b664d29ba848a236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190347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4C258A7-4368-41FF-99C4-CCB1032F5BB8}"/>
</file>

<file path=customXml/itemProps2.xml><?xml version="1.0" encoding="utf-8"?>
<ds:datastoreItem xmlns:ds="http://schemas.openxmlformats.org/officeDocument/2006/customXml" ds:itemID="{ADEC7CD5-0EA0-478B-B12A-5B891A3BAFE7}"/>
</file>

<file path=customXml/itemProps3.xml><?xml version="1.0" encoding="utf-8"?>
<ds:datastoreItem xmlns:ds="http://schemas.openxmlformats.org/officeDocument/2006/customXml" ds:itemID="{7FBF2E39-CA7A-4527-9E75-A723FC490492}"/>
</file>

<file path=customXml/itemProps4.xml><?xml version="1.0" encoding="utf-8"?>
<ds:datastoreItem xmlns:ds="http://schemas.openxmlformats.org/officeDocument/2006/customXml" ds:itemID="{5AB25E18-32FE-4F4B-B4E5-D18C954410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16</vt:i4>
      </vt:variant>
    </vt:vector>
  </HeadingPairs>
  <TitlesOfParts>
    <vt:vector size="36" baseType="lpstr">
      <vt:lpstr>Not filed</vt:lpstr>
      <vt:lpstr>Executive Summary</vt:lpstr>
      <vt:lpstr>Adj Narrative</vt:lpstr>
      <vt:lpstr>Sheet1</vt:lpstr>
      <vt:lpstr>Page 1</vt:lpstr>
      <vt:lpstr>Allocation Factors</vt:lpstr>
      <vt:lpstr>Rate Base</vt:lpstr>
      <vt:lpstr>DIT Rate Base</vt:lpstr>
      <vt:lpstr>Taxes</vt:lpstr>
      <vt:lpstr>Cost of Cap</vt:lpstr>
      <vt:lpstr>Adjustments</vt:lpstr>
      <vt:lpstr>a Rev &amp; Cost</vt:lpstr>
      <vt:lpstr>b Misc Revenues</vt:lpstr>
      <vt:lpstr>c Bonuses</vt:lpstr>
      <vt:lpstr>d Uncollectibles</vt:lpstr>
      <vt:lpstr>e Working Cap</vt:lpstr>
      <vt:lpstr>f Sales &amp; Mktg</vt:lpstr>
      <vt:lpstr>g Claims</vt:lpstr>
      <vt:lpstr>h Clearing</vt:lpstr>
      <vt:lpstr>Other Rev, Dep &amp; Other Tax</vt:lpstr>
      <vt:lpstr>Adjustments!Print_Area</vt:lpstr>
      <vt:lpstr>'Allocation Factors'!Print_Area</vt:lpstr>
      <vt:lpstr>'b Misc Revenues'!Print_Area</vt:lpstr>
      <vt:lpstr>'Cost of Cap'!Print_Area</vt:lpstr>
      <vt:lpstr>'d Uncollectibles'!Print_Area</vt:lpstr>
      <vt:lpstr>'DIT Rate Base'!Print_Area</vt:lpstr>
      <vt:lpstr>'e Working Cap'!Print_Area</vt:lpstr>
      <vt:lpstr>'Executive Summary'!Print_Area</vt:lpstr>
      <vt:lpstr>'f Sales &amp; Mktg'!Print_Area</vt:lpstr>
      <vt:lpstr>'g Claims'!Print_Area</vt:lpstr>
      <vt:lpstr>'h Clearing'!Print_Area</vt:lpstr>
      <vt:lpstr>'Other Rev, Dep &amp; Other Tax'!Print_Area</vt:lpstr>
      <vt:lpstr>'Rate Base'!Print_Area</vt:lpstr>
      <vt:lpstr>Taxes!Print_Area</vt:lpstr>
      <vt:lpstr>'Allocation Factors'!Print_Titles</vt:lpstr>
      <vt:lpstr>'Rate Base'!Print_Titles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Siores, Natasha</dc:creator>
  <cp:lastModifiedBy>Walker, Kyle T.</cp:lastModifiedBy>
  <cp:lastPrinted>2019-04-29T22:36:27Z</cp:lastPrinted>
  <dcterms:created xsi:type="dcterms:W3CDTF">2001-04-24T18:09:59Z</dcterms:created>
  <dcterms:modified xsi:type="dcterms:W3CDTF">2019-04-29T22:43:32Z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0x0101006E56B4D1795A2E4DB2F0B01679ED314A006626147EB2D1A946B1CDFD3FB17F8DB1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