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ms-file\dhaustveit\LRW\Friday Harbor WUTC Analysis\"/>
    </mc:Choice>
  </mc:AlternateContent>
  <bookViews>
    <workbookView xWindow="-110" yWindow="-110" windowWidth="23250" windowHeight="12570" tabRatio="946"/>
  </bookViews>
  <sheets>
    <sheet name="Assumptions" sheetId="14" r:id="rId1"/>
    <sheet name="Summary SJE P&amp;L" sheetId="1" r:id="rId2"/>
    <sheet name="Detail SJE P&amp;L" sheetId="3" r:id="rId3"/>
    <sheet name="Allocation %" sheetId="4" r:id="rId4"/>
    <sheet name="Pax Counts" sheetId="6" r:id="rId5"/>
    <sheet name="2019 SJE Vessel Exp Budget" sheetId="7" r:id="rId6"/>
    <sheet name="2019 Rev Summary Budget" sheetId="8" r:id="rId7"/>
    <sheet name="SJE Port Fee 2019 Budget" sheetId="9" r:id="rId8"/>
    <sheet name="Fuel Chart" sheetId="10" r:id="rId9"/>
    <sheet name="CC Bookings % of Ttl" sheetId="11" r:id="rId10"/>
  </sheets>
  <externalReferences>
    <externalReference r:id="rId11"/>
    <externalReference r:id="rId12"/>
    <externalReference r:id="rId13"/>
    <externalReference r:id="rId14"/>
  </externalReferences>
  <definedNames>
    <definedName name="DATA1">#REF!</definedName>
    <definedName name="DATA10">#REF!</definedName>
    <definedName name="DATA11">#REF!</definedName>
    <definedName name="DATA12">#REF!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graph">'Fuel Chart'!$E$5:$M$370</definedName>
    <definedName name="_xlnm.Print_Area" localSheetId="6">'2019 Rev Summary Budget'!$A$1:$N$19</definedName>
    <definedName name="_xlnm.Print_Area" localSheetId="5">'2019 SJE Vessel Exp Budget'!$A$1:$T$45</definedName>
    <definedName name="_xlnm.Print_Area" localSheetId="3">'Allocation %'!$A$1:$Q$29</definedName>
    <definedName name="_xlnm.Print_Area" localSheetId="0">Assumptions!$A$1:$O$27</definedName>
    <definedName name="_xlnm.Print_Area" localSheetId="2">'Detail SJE P&amp;L'!$A$1:$O$53</definedName>
    <definedName name="_xlnm.Print_Area" localSheetId="8">'Fuel Chart'!$Z$3:$AG$20</definedName>
    <definedName name="_xlnm.Print_Area" localSheetId="4">'Pax Counts'!$B$1:$J$21</definedName>
    <definedName name="_xlnm.Print_Area" localSheetId="7">'SJE Port Fee 2019 Budget'!$A$1:$O$10</definedName>
    <definedName name="_xlnm.Print_Area" localSheetId="1">'Summary SJE P&amp;L'!$A$1:$K$30</definedName>
    <definedName name="_xlnm.Print_Titles" localSheetId="8">'Fuel Chart'!$5:$5</definedName>
    <definedName name="TEST0">#REF!</definedName>
    <definedName name="TESTHKEY">#REF!</definedName>
    <definedName name="TESTKEYS">#REF!</definedName>
    <definedName name="TESTVKE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4" l="1"/>
  <c r="M12" i="4"/>
  <c r="M26" i="4"/>
  <c r="L5" i="4"/>
  <c r="M6" i="4"/>
  <c r="M5" i="4"/>
  <c r="M25" i="4"/>
  <c r="M27" i="4"/>
  <c r="G13" i="4"/>
  <c r="G15" i="4"/>
  <c r="H12" i="4"/>
  <c r="H26" i="4"/>
  <c r="G5" i="4"/>
  <c r="H6" i="4"/>
  <c r="H5" i="4"/>
  <c r="H25" i="4"/>
  <c r="H27" i="4"/>
  <c r="N5" i="4"/>
  <c r="I5" i="4"/>
  <c r="N12" i="4"/>
  <c r="I12" i="4"/>
  <c r="B12" i="4"/>
  <c r="B15" i="4"/>
  <c r="C12" i="4"/>
  <c r="D12" i="4"/>
  <c r="B26" i="4"/>
  <c r="B27" i="4"/>
  <c r="B29" i="4"/>
  <c r="J27" i="4"/>
  <c r="I27" i="4"/>
  <c r="O28" i="4"/>
  <c r="N28" i="4"/>
  <c r="J28" i="4"/>
  <c r="I28" i="4"/>
  <c r="E28" i="4"/>
  <c r="E27" i="4"/>
  <c r="G27" i="4"/>
  <c r="D15" i="11"/>
  <c r="C15" i="11"/>
  <c r="E15" i="11"/>
  <c r="N27" i="4"/>
  <c r="E14" i="11"/>
  <c r="E13" i="11"/>
  <c r="E12" i="11"/>
  <c r="E11" i="11"/>
  <c r="E10" i="11"/>
  <c r="E9" i="11"/>
  <c r="E8" i="11"/>
  <c r="E7" i="11"/>
  <c r="E6" i="11"/>
  <c r="E5" i="11"/>
  <c r="E4" i="11"/>
  <c r="E3" i="11"/>
  <c r="L25" i="4"/>
  <c r="AB11" i="10"/>
  <c r="AB12" i="10"/>
  <c r="AB13" i="10"/>
  <c r="AB14" i="10"/>
  <c r="H258" i="10"/>
  <c r="H259" i="10"/>
  <c r="AB15" i="10"/>
  <c r="AB16" i="10"/>
  <c r="AB22" i="10"/>
  <c r="E23" i="3"/>
  <c r="E27" i="3" s="1"/>
  <c r="E29" i="3" s="1"/>
  <c r="AC11" i="10"/>
  <c r="AC12" i="10"/>
  <c r="AC13" i="10"/>
  <c r="AC14" i="10"/>
  <c r="AC15" i="10"/>
  <c r="AC16" i="10"/>
  <c r="AC22" i="10"/>
  <c r="I23" i="3"/>
  <c r="D13" i="1" s="1"/>
  <c r="I16" i="6"/>
  <c r="I17" i="6"/>
  <c r="I18" i="6"/>
  <c r="M23" i="3"/>
  <c r="O6" i="7"/>
  <c r="N6" i="7"/>
  <c r="G6" i="7"/>
  <c r="F6" i="7"/>
  <c r="AA11" i="10"/>
  <c r="AA12" i="10"/>
  <c r="AA13" i="10"/>
  <c r="AA14" i="10"/>
  <c r="AA15" i="10"/>
  <c r="AA16" i="10"/>
  <c r="AA22" i="10"/>
  <c r="L21" i="4"/>
  <c r="M373" i="10"/>
  <c r="L373" i="10"/>
  <c r="K373" i="10"/>
  <c r="J373" i="10"/>
  <c r="I373" i="10"/>
  <c r="F373" i="10"/>
  <c r="X372" i="10"/>
  <c r="V372" i="10"/>
  <c r="U372" i="10"/>
  <c r="T372" i="10"/>
  <c r="S372" i="10"/>
  <c r="R372" i="10"/>
  <c r="Q372" i="10"/>
  <c r="P372" i="10"/>
  <c r="O372" i="10"/>
  <c r="N372" i="10"/>
  <c r="H370" i="10"/>
  <c r="H371" i="10"/>
  <c r="G359" i="10"/>
  <c r="G373" i="10"/>
  <c r="H342" i="10"/>
  <c r="H343" i="10"/>
  <c r="AF18" i="10"/>
  <c r="AD18" i="10"/>
  <c r="AC18" i="10"/>
  <c r="AA18" i="10"/>
  <c r="AF17" i="10"/>
  <c r="AC17" i="10"/>
  <c r="AB17" i="10"/>
  <c r="AA17" i="10"/>
  <c r="AF16" i="10"/>
  <c r="AF15" i="10"/>
  <c r="AF14" i="10"/>
  <c r="C13" i="10"/>
  <c r="C14" i="10"/>
  <c r="C15" i="10"/>
  <c r="C16" i="10"/>
  <c r="C17" i="10"/>
  <c r="C18" i="10"/>
  <c r="C19" i="10"/>
  <c r="AF13" i="10"/>
  <c r="C20" i="10"/>
  <c r="AF12" i="10"/>
  <c r="AF11" i="10"/>
  <c r="AF10" i="10"/>
  <c r="AC10" i="10"/>
  <c r="AB10" i="10"/>
  <c r="AA10" i="10"/>
  <c r="AF9" i="10"/>
  <c r="AD9" i="10"/>
  <c r="AC9" i="10"/>
  <c r="AB9" i="10"/>
  <c r="AA9" i="10"/>
  <c r="AF8" i="10"/>
  <c r="AD8" i="10"/>
  <c r="AC8" i="10"/>
  <c r="AB8" i="10"/>
  <c r="AA8" i="10"/>
  <c r="AF7" i="10"/>
  <c r="AD7" i="10"/>
  <c r="AC7" i="10"/>
  <c r="AB7" i="10"/>
  <c r="AA7" i="10"/>
  <c r="E7" i="10"/>
  <c r="E8" i="10"/>
  <c r="C7" i="10"/>
  <c r="C8" i="10"/>
  <c r="C9" i="10"/>
  <c r="C10" i="10"/>
  <c r="C11" i="10"/>
  <c r="C12" i="10"/>
  <c r="B6" i="10"/>
  <c r="K1" i="10"/>
  <c r="J1" i="10"/>
  <c r="I1" i="10"/>
  <c r="G1" i="10"/>
  <c r="F1" i="10"/>
  <c r="M20" i="4"/>
  <c r="J6" i="7"/>
  <c r="M6" i="7"/>
  <c r="I6" i="7"/>
  <c r="L6" i="7"/>
  <c r="H6" i="7"/>
  <c r="K6" i="7"/>
  <c r="M19" i="4"/>
  <c r="M21" i="4"/>
  <c r="AD20" i="10"/>
  <c r="AB18" i="10"/>
  <c r="AB20" i="10"/>
  <c r="AC20" i="10"/>
  <c r="AC24" i="10"/>
  <c r="H1" i="10"/>
  <c r="C27" i="10"/>
  <c r="C21" i="10"/>
  <c r="C22" i="10"/>
  <c r="C23" i="10"/>
  <c r="C24" i="10"/>
  <c r="C25" i="10"/>
  <c r="C26" i="10"/>
  <c r="E9" i="10"/>
  <c r="B8" i="10"/>
  <c r="AE24" i="10"/>
  <c r="AE20" i="10"/>
  <c r="AF20" i="10"/>
  <c r="B7" i="10"/>
  <c r="AA20" i="10"/>
  <c r="H373" i="10"/>
  <c r="P6" i="7"/>
  <c r="AB24" i="10"/>
  <c r="C28" i="10"/>
  <c r="C29" i="10"/>
  <c r="C30" i="10"/>
  <c r="C31" i="10"/>
  <c r="C32" i="10"/>
  <c r="C33" i="10"/>
  <c r="C34" i="10"/>
  <c r="E10" i="10"/>
  <c r="B9" i="10"/>
  <c r="E11" i="10"/>
  <c r="B10" i="10"/>
  <c r="C35" i="10"/>
  <c r="C36" i="10"/>
  <c r="C37" i="10"/>
  <c r="C38" i="10"/>
  <c r="C39" i="10"/>
  <c r="C40" i="10"/>
  <c r="C41" i="10"/>
  <c r="C48" i="10"/>
  <c r="C42" i="10"/>
  <c r="C43" i="10"/>
  <c r="C44" i="10"/>
  <c r="C45" i="10"/>
  <c r="C46" i="10"/>
  <c r="C47" i="10"/>
  <c r="B11" i="10"/>
  <c r="E12" i="10"/>
  <c r="E13" i="10"/>
  <c r="B12" i="10"/>
  <c r="C55" i="10"/>
  <c r="C49" i="10"/>
  <c r="C50" i="10"/>
  <c r="C51" i="10"/>
  <c r="C52" i="10"/>
  <c r="C53" i="10"/>
  <c r="C54" i="10"/>
  <c r="C62" i="10"/>
  <c r="C56" i="10"/>
  <c r="C57" i="10"/>
  <c r="C58" i="10"/>
  <c r="C59" i="10"/>
  <c r="C60" i="10"/>
  <c r="C61" i="10"/>
  <c r="B13" i="10"/>
  <c r="E14" i="10"/>
  <c r="C70" i="10"/>
  <c r="C63" i="10"/>
  <c r="C64" i="10"/>
  <c r="C66" i="10"/>
  <c r="C67" i="10"/>
  <c r="C68" i="10"/>
  <c r="C69" i="10"/>
  <c r="B14" i="10"/>
  <c r="E15" i="10"/>
  <c r="E16" i="10"/>
  <c r="B15" i="10"/>
  <c r="C77" i="10"/>
  <c r="C71" i="10"/>
  <c r="C72" i="10"/>
  <c r="C73" i="10"/>
  <c r="C74" i="10"/>
  <c r="C75" i="10"/>
  <c r="C76" i="10"/>
  <c r="C78" i="10"/>
  <c r="C79" i="10"/>
  <c r="C80" i="10"/>
  <c r="C81" i="10"/>
  <c r="C82" i="10"/>
  <c r="C83" i="10"/>
  <c r="C84" i="10"/>
  <c r="E17" i="10"/>
  <c r="B16" i="10"/>
  <c r="E18" i="10"/>
  <c r="B17" i="10"/>
  <c r="C85" i="10"/>
  <c r="C86" i="10"/>
  <c r="C87" i="10"/>
  <c r="C88" i="10"/>
  <c r="C89" i="10"/>
  <c r="C90" i="10"/>
  <c r="C91" i="10"/>
  <c r="C92" i="10"/>
  <c r="C93" i="10"/>
  <c r="C94" i="10"/>
  <c r="C95" i="10"/>
  <c r="C96" i="10"/>
  <c r="C97" i="10"/>
  <c r="C98" i="10"/>
  <c r="B18" i="10"/>
  <c r="E19" i="10"/>
  <c r="B19" i="10"/>
  <c r="E20" i="10"/>
  <c r="C105" i="10"/>
  <c r="C99" i="10"/>
  <c r="C100" i="10"/>
  <c r="C101" i="10"/>
  <c r="C102" i="10"/>
  <c r="C103" i="10"/>
  <c r="C104" i="10"/>
  <c r="C106" i="10"/>
  <c r="C107" i="10"/>
  <c r="C108" i="10"/>
  <c r="C109" i="10"/>
  <c r="C110" i="10"/>
  <c r="C111" i="10"/>
  <c r="C112" i="10"/>
  <c r="E21" i="10"/>
  <c r="B20" i="10"/>
  <c r="E22" i="10"/>
  <c r="B21" i="10"/>
  <c r="C113" i="10"/>
  <c r="C119" i="10"/>
  <c r="C126" i="10"/>
  <c r="C120" i="10"/>
  <c r="C114" i="10"/>
  <c r="C133" i="10"/>
  <c r="C127" i="10"/>
  <c r="C128" i="10"/>
  <c r="C129" i="10"/>
  <c r="C130" i="10"/>
  <c r="C131" i="10"/>
  <c r="C132" i="10"/>
  <c r="E23" i="10"/>
  <c r="B22" i="10"/>
  <c r="C121" i="10"/>
  <c r="C115" i="10"/>
  <c r="C140" i="10"/>
  <c r="C134" i="10"/>
  <c r="C135" i="10"/>
  <c r="C136" i="10"/>
  <c r="C137" i="10"/>
  <c r="C138" i="10"/>
  <c r="C139" i="10"/>
  <c r="E24" i="10"/>
  <c r="B23" i="10"/>
  <c r="C141" i="10"/>
  <c r="C142" i="10"/>
  <c r="C143" i="10"/>
  <c r="C144" i="10"/>
  <c r="C145" i="10"/>
  <c r="C146" i="10"/>
  <c r="C147" i="10"/>
  <c r="C122" i="10"/>
  <c r="C116" i="10"/>
  <c r="E25" i="10"/>
  <c r="B24" i="10"/>
  <c r="C117" i="10"/>
  <c r="C123" i="10"/>
  <c r="C154" i="10"/>
  <c r="C161" i="10"/>
  <c r="C148" i="10"/>
  <c r="B25" i="10"/>
  <c r="E26" i="10"/>
  <c r="C149" i="10"/>
  <c r="C155" i="10"/>
  <c r="C168" i="10"/>
  <c r="C162" i="10"/>
  <c r="C163" i="10"/>
  <c r="C164" i="10"/>
  <c r="C165" i="10"/>
  <c r="C166" i="10"/>
  <c r="C167" i="10"/>
  <c r="B26" i="10"/>
  <c r="E27" i="10"/>
  <c r="C124" i="10"/>
  <c r="C118" i="10"/>
  <c r="C125" i="10"/>
  <c r="C169" i="10"/>
  <c r="C170" i="10"/>
  <c r="C171" i="10"/>
  <c r="C172" i="10"/>
  <c r="C173" i="10"/>
  <c r="C174" i="10"/>
  <c r="C175" i="10"/>
  <c r="E28" i="10"/>
  <c r="B27" i="10"/>
  <c r="C156" i="10"/>
  <c r="C150" i="10"/>
  <c r="C157" i="10"/>
  <c r="C151" i="10"/>
  <c r="C182" i="10"/>
  <c r="C176" i="10"/>
  <c r="C177" i="10"/>
  <c r="C178" i="10"/>
  <c r="C179" i="10"/>
  <c r="C180" i="10"/>
  <c r="C181" i="10"/>
  <c r="E29" i="10"/>
  <c r="B28" i="10"/>
  <c r="C152" i="10"/>
  <c r="C158" i="10"/>
  <c r="B29" i="10"/>
  <c r="E30" i="10"/>
  <c r="C189" i="10"/>
  <c r="C196" i="10"/>
  <c r="C183" i="10"/>
  <c r="B30" i="10"/>
  <c r="E31" i="10"/>
  <c r="C184" i="10"/>
  <c r="C190" i="10"/>
  <c r="C197" i="10"/>
  <c r="C198" i="10"/>
  <c r="C199" i="10"/>
  <c r="C200" i="10"/>
  <c r="C201" i="10"/>
  <c r="C202" i="10"/>
  <c r="C203" i="10"/>
  <c r="C153" i="10"/>
  <c r="C160" i="10"/>
  <c r="C159" i="10"/>
  <c r="C204" i="10"/>
  <c r="C205" i="10"/>
  <c r="C206" i="10"/>
  <c r="C207" i="10"/>
  <c r="C208" i="10"/>
  <c r="C209" i="10"/>
  <c r="C210" i="10"/>
  <c r="E32" i="10"/>
  <c r="B31" i="10"/>
  <c r="C185" i="10"/>
  <c r="C191" i="10"/>
  <c r="C211" i="10"/>
  <c r="C212" i="10"/>
  <c r="C213" i="10"/>
  <c r="C214" i="10"/>
  <c r="C215" i="10"/>
  <c r="C216" i="10"/>
  <c r="C217" i="10"/>
  <c r="C192" i="10"/>
  <c r="C186" i="10"/>
  <c r="E33" i="10"/>
  <c r="B32" i="10"/>
  <c r="C224" i="10"/>
  <c r="C231" i="10"/>
  <c r="C218" i="10"/>
  <c r="C193" i="10"/>
  <c r="C187" i="10"/>
  <c r="B33" i="10"/>
  <c r="E34" i="10"/>
  <c r="B34" i="10"/>
  <c r="E35" i="10"/>
  <c r="C225" i="10"/>
  <c r="C219" i="10"/>
  <c r="C232" i="10"/>
  <c r="C233" i="10"/>
  <c r="C234" i="10"/>
  <c r="C235" i="10"/>
  <c r="C236" i="10"/>
  <c r="C237" i="10"/>
  <c r="C238" i="10"/>
  <c r="C194" i="10"/>
  <c r="C188" i="10"/>
  <c r="C195" i="10"/>
  <c r="C245" i="10"/>
  <c r="C239" i="10"/>
  <c r="C240" i="10"/>
  <c r="C241" i="10"/>
  <c r="C242" i="10"/>
  <c r="C243" i="10"/>
  <c r="C244" i="10"/>
  <c r="C220" i="10"/>
  <c r="C226" i="10"/>
  <c r="E36" i="10"/>
  <c r="B35" i="10"/>
  <c r="C227" i="10"/>
  <c r="C221" i="10"/>
  <c r="E37" i="10"/>
  <c r="B36" i="10"/>
  <c r="C252" i="10"/>
  <c r="C246" i="10"/>
  <c r="C247" i="10"/>
  <c r="C248" i="10"/>
  <c r="C249" i="10"/>
  <c r="C250" i="10"/>
  <c r="C251" i="10"/>
  <c r="E38" i="10"/>
  <c r="B37" i="10"/>
  <c r="C228" i="10"/>
  <c r="C222" i="10"/>
  <c r="C259" i="10"/>
  <c r="C266" i="10"/>
  <c r="C253" i="10"/>
  <c r="C260" i="10"/>
  <c r="C254" i="10"/>
  <c r="C229" i="10"/>
  <c r="C223" i="10"/>
  <c r="C230" i="10"/>
  <c r="C273" i="10"/>
  <c r="C267" i="10"/>
  <c r="C268" i="10"/>
  <c r="C269" i="10"/>
  <c r="C270" i="10"/>
  <c r="C271" i="10"/>
  <c r="C272" i="10"/>
  <c r="B38" i="10"/>
  <c r="E39" i="10"/>
  <c r="C261" i="10"/>
  <c r="C255" i="10"/>
  <c r="C280" i="10"/>
  <c r="C274" i="10"/>
  <c r="C275" i="10"/>
  <c r="C276" i="10"/>
  <c r="C277" i="10"/>
  <c r="C278" i="10"/>
  <c r="C279" i="10"/>
  <c r="E40" i="10"/>
  <c r="B39" i="10"/>
  <c r="C256" i="10"/>
  <c r="C262" i="10"/>
  <c r="C281" i="10"/>
  <c r="C282" i="10"/>
  <c r="C283" i="10"/>
  <c r="C284" i="10"/>
  <c r="C285" i="10"/>
  <c r="C286" i="10"/>
  <c r="C287" i="10"/>
  <c r="E41" i="10"/>
  <c r="B40" i="10"/>
  <c r="C288" i="10"/>
  <c r="C294" i="10"/>
  <c r="C301" i="10"/>
  <c r="B41" i="10"/>
  <c r="E42" i="10"/>
  <c r="C263" i="10"/>
  <c r="C257" i="10"/>
  <c r="C264" i="10"/>
  <c r="C258" i="10"/>
  <c r="C265" i="10"/>
  <c r="C308" i="10"/>
  <c r="C302" i="10"/>
  <c r="C303" i="10"/>
  <c r="C304" i="10"/>
  <c r="C305" i="10"/>
  <c r="C306" i="10"/>
  <c r="C307" i="10"/>
  <c r="C289" i="10"/>
  <c r="C295" i="10"/>
  <c r="B42" i="10"/>
  <c r="E43" i="10"/>
  <c r="E44" i="10"/>
  <c r="B43" i="10"/>
  <c r="C309" i="10"/>
  <c r="C310" i="10"/>
  <c r="C311" i="10"/>
  <c r="C312" i="10"/>
  <c r="C313" i="10"/>
  <c r="C314" i="10"/>
  <c r="C315" i="10"/>
  <c r="C296" i="10"/>
  <c r="C290" i="10"/>
  <c r="C297" i="10"/>
  <c r="C291" i="10"/>
  <c r="C316" i="10"/>
  <c r="C317" i="10"/>
  <c r="C318" i="10"/>
  <c r="C319" i="10"/>
  <c r="C320" i="10"/>
  <c r="C321" i="10"/>
  <c r="C322" i="10"/>
  <c r="E45" i="10"/>
  <c r="B44" i="10"/>
  <c r="C329" i="10"/>
  <c r="C336" i="10"/>
  <c r="C323" i="10"/>
  <c r="C292" i="10"/>
  <c r="C298" i="10"/>
  <c r="B45" i="10"/>
  <c r="E46" i="10"/>
  <c r="B46" i="10"/>
  <c r="E47" i="10"/>
  <c r="C324" i="10"/>
  <c r="C330" i="10"/>
  <c r="C337" i="10"/>
  <c r="C338" i="10"/>
  <c r="C339" i="10"/>
  <c r="C340" i="10"/>
  <c r="C341" i="10"/>
  <c r="C342" i="10"/>
  <c r="C343" i="10"/>
  <c r="C293" i="10"/>
  <c r="C300" i="10"/>
  <c r="C299" i="10"/>
  <c r="C325" i="10"/>
  <c r="C331" i="10"/>
  <c r="C350" i="10"/>
  <c r="C344" i="10"/>
  <c r="C345" i="10"/>
  <c r="C346" i="10"/>
  <c r="C347" i="10"/>
  <c r="C348" i="10"/>
  <c r="C349" i="10"/>
  <c r="E48" i="10"/>
  <c r="B47" i="10"/>
  <c r="C351" i="10"/>
  <c r="C352" i="10"/>
  <c r="C353" i="10"/>
  <c r="C354" i="10"/>
  <c r="C355" i="10"/>
  <c r="C356" i="10"/>
  <c r="C357" i="10"/>
  <c r="E49" i="10"/>
  <c r="B48" i="10"/>
  <c r="C332" i="10"/>
  <c r="C326" i="10"/>
  <c r="C358" i="10"/>
  <c r="C364" i="10"/>
  <c r="B49" i="10"/>
  <c r="E50" i="10"/>
  <c r="C333" i="10"/>
  <c r="C327" i="10"/>
  <c r="B50" i="10"/>
  <c r="E51" i="10"/>
  <c r="C328" i="10"/>
  <c r="C335" i="10"/>
  <c r="C334" i="10"/>
  <c r="C359" i="10"/>
  <c r="C365" i="10"/>
  <c r="E52" i="10"/>
  <c r="B51" i="10"/>
  <c r="C360" i="10"/>
  <c r="C366" i="10"/>
  <c r="C367" i="10"/>
  <c r="C361" i="10"/>
  <c r="E53" i="10"/>
  <c r="B52" i="10"/>
  <c r="C368" i="10"/>
  <c r="C362" i="10"/>
  <c r="E54" i="10"/>
  <c r="B53" i="10"/>
  <c r="C363" i="10"/>
  <c r="C370" i="10"/>
  <c r="C369" i="10"/>
  <c r="B54" i="10"/>
  <c r="E55" i="10"/>
  <c r="E56" i="10"/>
  <c r="B55" i="10"/>
  <c r="E57" i="10"/>
  <c r="B56" i="10"/>
  <c r="B57" i="10"/>
  <c r="E58" i="10"/>
  <c r="B58" i="10"/>
  <c r="E59" i="10"/>
  <c r="E60" i="10"/>
  <c r="B59" i="10"/>
  <c r="E61" i="10"/>
  <c r="B60" i="10"/>
  <c r="E62" i="10"/>
  <c r="B61" i="10"/>
  <c r="E63" i="10"/>
  <c r="B62" i="10"/>
  <c r="B63" i="10"/>
  <c r="E64" i="10"/>
  <c r="E66" i="10"/>
  <c r="B64" i="10"/>
  <c r="E67" i="10"/>
  <c r="B66" i="10"/>
  <c r="E68" i="10"/>
  <c r="B67" i="10"/>
  <c r="B68" i="10"/>
  <c r="E69" i="10"/>
  <c r="E70" i="10"/>
  <c r="B69" i="10"/>
  <c r="E71" i="10"/>
  <c r="B70" i="10"/>
  <c r="E72" i="10"/>
  <c r="B71" i="10"/>
  <c r="B72" i="10"/>
  <c r="E73" i="10"/>
  <c r="E74" i="10"/>
  <c r="B73" i="10"/>
  <c r="E75" i="10"/>
  <c r="B74" i="10"/>
  <c r="B75" i="10"/>
  <c r="E76" i="10"/>
  <c r="B76" i="10"/>
  <c r="E77" i="10"/>
  <c r="E78" i="10"/>
  <c r="B77" i="10"/>
  <c r="E79" i="10"/>
  <c r="B78" i="10"/>
  <c r="B79" i="10"/>
  <c r="E80" i="10"/>
  <c r="B80" i="10"/>
  <c r="E81" i="10"/>
  <c r="E82" i="10"/>
  <c r="B81" i="10"/>
  <c r="B82" i="10"/>
  <c r="E83" i="10"/>
  <c r="E84" i="10"/>
  <c r="B83" i="10"/>
  <c r="B84" i="10"/>
  <c r="E85" i="10"/>
  <c r="E86" i="10"/>
  <c r="B85" i="10"/>
  <c r="B86" i="10"/>
  <c r="E87" i="10"/>
  <c r="E88" i="10"/>
  <c r="B87" i="10"/>
  <c r="B88" i="10"/>
  <c r="E89" i="10"/>
  <c r="E90" i="10"/>
  <c r="B89" i="10"/>
  <c r="E91" i="10"/>
  <c r="B90" i="10"/>
  <c r="E92" i="10"/>
  <c r="B91" i="10"/>
  <c r="B92" i="10"/>
  <c r="E93" i="10"/>
  <c r="E94" i="10"/>
  <c r="B93" i="10"/>
  <c r="E95" i="10"/>
  <c r="B94" i="10"/>
  <c r="E96" i="10"/>
  <c r="B95" i="10"/>
  <c r="B96" i="10"/>
  <c r="E97" i="10"/>
  <c r="E98" i="10"/>
  <c r="B97" i="10"/>
  <c r="E99" i="10"/>
  <c r="B98" i="10"/>
  <c r="E100" i="10"/>
  <c r="B99" i="10"/>
  <c r="B100" i="10"/>
  <c r="E101" i="10"/>
  <c r="E102" i="10"/>
  <c r="B101" i="10"/>
  <c r="E103" i="10"/>
  <c r="B102" i="10"/>
  <c r="E104" i="10"/>
  <c r="B103" i="10"/>
  <c r="B104" i="10"/>
  <c r="E105" i="10"/>
  <c r="E106" i="10"/>
  <c r="B105" i="10"/>
  <c r="E107" i="10"/>
  <c r="B106" i="10"/>
  <c r="E108" i="10"/>
  <c r="B107" i="10"/>
  <c r="B108" i="10"/>
  <c r="E109" i="10"/>
  <c r="E110" i="10"/>
  <c r="B109" i="10"/>
  <c r="E111" i="10"/>
  <c r="B110" i="10"/>
  <c r="E112" i="10"/>
  <c r="B111" i="10"/>
  <c r="B112" i="10"/>
  <c r="E113" i="10"/>
  <c r="E114" i="10"/>
  <c r="B113" i="10"/>
  <c r="E115" i="10"/>
  <c r="B114" i="10"/>
  <c r="E116" i="10"/>
  <c r="B115" i="10"/>
  <c r="B116" i="10"/>
  <c r="E117" i="10"/>
  <c r="E118" i="10"/>
  <c r="B117" i="10"/>
  <c r="E119" i="10"/>
  <c r="B118" i="10"/>
  <c r="E120" i="10"/>
  <c r="B119" i="10"/>
  <c r="B120" i="10"/>
  <c r="E121" i="10"/>
  <c r="E122" i="10"/>
  <c r="B121" i="10"/>
  <c r="E123" i="10"/>
  <c r="B122" i="10"/>
  <c r="B123" i="10"/>
  <c r="E124" i="10"/>
  <c r="B124" i="10"/>
  <c r="E125" i="10"/>
  <c r="E126" i="10"/>
  <c r="B125" i="10"/>
  <c r="E127" i="10"/>
  <c r="B126" i="10"/>
  <c r="E128" i="10"/>
  <c r="B127" i="10"/>
  <c r="B128" i="10"/>
  <c r="E129" i="10"/>
  <c r="E130" i="10"/>
  <c r="B129" i="10"/>
  <c r="B130" i="10"/>
  <c r="E131" i="10"/>
  <c r="E132" i="10"/>
  <c r="B131" i="10"/>
  <c r="B132" i="10"/>
  <c r="E133" i="10"/>
  <c r="E134" i="10"/>
  <c r="B133" i="10"/>
  <c r="E135" i="10"/>
  <c r="B134" i="10"/>
  <c r="E136" i="10"/>
  <c r="B135" i="10"/>
  <c r="B136" i="10"/>
  <c r="E137" i="10"/>
  <c r="E138" i="10"/>
  <c r="B137" i="10"/>
  <c r="E139" i="10"/>
  <c r="B138" i="10"/>
  <c r="B139" i="10"/>
  <c r="E140" i="10"/>
  <c r="B140" i="10"/>
  <c r="E141" i="10"/>
  <c r="E142" i="10"/>
  <c r="B141" i="10"/>
  <c r="E143" i="10"/>
  <c r="B142" i="10"/>
  <c r="E144" i="10"/>
  <c r="B143" i="10"/>
  <c r="B144" i="10"/>
  <c r="E145" i="10"/>
  <c r="E146" i="10"/>
  <c r="B145" i="10"/>
  <c r="E147" i="10"/>
  <c r="B146" i="10"/>
  <c r="E148" i="10"/>
  <c r="B147" i="10"/>
  <c r="B148" i="10"/>
  <c r="E149" i="10"/>
  <c r="E150" i="10"/>
  <c r="B149" i="10"/>
  <c r="E151" i="10"/>
  <c r="B150" i="10"/>
  <c r="E152" i="10"/>
  <c r="B151" i="10"/>
  <c r="B152" i="10"/>
  <c r="E153" i="10"/>
  <c r="E154" i="10"/>
  <c r="B153" i="10"/>
  <c r="E155" i="10"/>
  <c r="B154" i="10"/>
  <c r="E156" i="10"/>
  <c r="B155" i="10"/>
  <c r="B156" i="10"/>
  <c r="E157" i="10"/>
  <c r="E158" i="10"/>
  <c r="B157" i="10"/>
  <c r="E159" i="10"/>
  <c r="B158" i="10"/>
  <c r="E160" i="10"/>
  <c r="B159" i="10"/>
  <c r="B160" i="10"/>
  <c r="E161" i="10"/>
  <c r="E162" i="10"/>
  <c r="B161" i="10"/>
  <c r="B162" i="10"/>
  <c r="E163" i="10"/>
  <c r="E164" i="10"/>
  <c r="B163" i="10"/>
  <c r="B164" i="10"/>
  <c r="E165" i="10"/>
  <c r="E166" i="10"/>
  <c r="B165" i="10"/>
  <c r="E167" i="10"/>
  <c r="B166" i="10"/>
  <c r="E168" i="10"/>
  <c r="B167" i="10"/>
  <c r="B168" i="10"/>
  <c r="E169" i="10"/>
  <c r="E170" i="10"/>
  <c r="B169" i="10"/>
  <c r="E171" i="10"/>
  <c r="B170" i="10"/>
  <c r="E172" i="10"/>
  <c r="B171" i="10"/>
  <c r="B172" i="10"/>
  <c r="E173" i="10"/>
  <c r="E174" i="10"/>
  <c r="B173" i="10"/>
  <c r="E175" i="10"/>
  <c r="B174" i="10"/>
  <c r="E176" i="10"/>
  <c r="B175" i="10"/>
  <c r="B176" i="10"/>
  <c r="E177" i="10"/>
  <c r="E178" i="10"/>
  <c r="B177" i="10"/>
  <c r="E179" i="10"/>
  <c r="B178" i="10"/>
  <c r="E180" i="10"/>
  <c r="B179" i="10"/>
  <c r="B180" i="10"/>
  <c r="E181" i="10"/>
  <c r="E182" i="10"/>
  <c r="B181" i="10"/>
  <c r="E183" i="10"/>
  <c r="B182" i="10"/>
  <c r="E184" i="10"/>
  <c r="B183" i="10"/>
  <c r="B184" i="10"/>
  <c r="E185" i="10"/>
  <c r="E186" i="10"/>
  <c r="B185" i="10"/>
  <c r="E187" i="10"/>
  <c r="B186" i="10"/>
  <c r="B187" i="10"/>
  <c r="E188" i="10"/>
  <c r="B188" i="10"/>
  <c r="E189" i="10"/>
  <c r="E190" i="10"/>
  <c r="B189" i="10"/>
  <c r="E191" i="10"/>
  <c r="B190" i="10"/>
  <c r="B191" i="10"/>
  <c r="E192" i="10"/>
  <c r="B192" i="10"/>
  <c r="E193" i="10"/>
  <c r="E194" i="10"/>
  <c r="B193" i="10"/>
  <c r="E195" i="10"/>
  <c r="B194" i="10"/>
  <c r="B195" i="10"/>
  <c r="E196" i="10"/>
  <c r="B196" i="10"/>
  <c r="E197" i="10"/>
  <c r="E198" i="10"/>
  <c r="B197" i="10"/>
  <c r="E199" i="10"/>
  <c r="B198" i="10"/>
  <c r="B199" i="10"/>
  <c r="E200" i="10"/>
  <c r="B200" i="10"/>
  <c r="E201" i="10"/>
  <c r="E202" i="10"/>
  <c r="B201" i="10"/>
  <c r="B202" i="10"/>
  <c r="E203" i="10"/>
  <c r="B203" i="10"/>
  <c r="E204" i="10"/>
  <c r="E205" i="10"/>
  <c r="B204" i="10"/>
  <c r="E206" i="10"/>
  <c r="B205" i="10"/>
  <c r="E207" i="10"/>
  <c r="B206" i="10"/>
  <c r="B207" i="10"/>
  <c r="E208" i="10"/>
  <c r="E209" i="10"/>
  <c r="B208" i="10"/>
  <c r="B209" i="10"/>
  <c r="E210" i="10"/>
  <c r="E211" i="10"/>
  <c r="B210" i="10"/>
  <c r="B211" i="10"/>
  <c r="E212" i="10"/>
  <c r="E213" i="10"/>
  <c r="B212" i="10"/>
  <c r="E214" i="10"/>
  <c r="B213" i="10"/>
  <c r="B214" i="10"/>
  <c r="E215" i="10"/>
  <c r="B215" i="10"/>
  <c r="E216" i="10"/>
  <c r="E217" i="10"/>
  <c r="B216" i="10"/>
  <c r="E218" i="10"/>
  <c r="B217" i="10"/>
  <c r="E219" i="10"/>
  <c r="B218" i="10"/>
  <c r="B219" i="10"/>
  <c r="E220" i="10"/>
  <c r="E221" i="10"/>
  <c r="B220" i="10"/>
  <c r="B221" i="10"/>
  <c r="E222" i="10"/>
  <c r="E223" i="10"/>
  <c r="B222" i="10"/>
  <c r="B223" i="10"/>
  <c r="E224" i="10"/>
  <c r="E225" i="10"/>
  <c r="B224" i="10"/>
  <c r="E226" i="10"/>
  <c r="B225" i="10"/>
  <c r="E227" i="10"/>
  <c r="B226" i="10"/>
  <c r="B227" i="10"/>
  <c r="E228" i="10"/>
  <c r="E229" i="10"/>
  <c r="B228" i="10"/>
  <c r="E230" i="10"/>
  <c r="B229" i="10"/>
  <c r="E231" i="10"/>
  <c r="B230" i="10"/>
  <c r="B231" i="10"/>
  <c r="E232" i="10"/>
  <c r="E233" i="10"/>
  <c r="B232" i="10"/>
  <c r="E234" i="10"/>
  <c r="B233" i="10"/>
  <c r="B234" i="10"/>
  <c r="E235" i="10"/>
  <c r="B235" i="10"/>
  <c r="E236" i="10"/>
  <c r="E237" i="10"/>
  <c r="B236" i="10"/>
  <c r="E238" i="10"/>
  <c r="B237" i="10"/>
  <c r="E239" i="10"/>
  <c r="B238" i="10"/>
  <c r="B239" i="10"/>
  <c r="E240" i="10"/>
  <c r="E241" i="10"/>
  <c r="B240" i="10"/>
  <c r="B241" i="10"/>
  <c r="E242" i="10"/>
  <c r="E243" i="10"/>
  <c r="B242" i="10"/>
  <c r="B243" i="10"/>
  <c r="E244" i="10"/>
  <c r="E245" i="10"/>
  <c r="B244" i="10"/>
  <c r="E246" i="10"/>
  <c r="B245" i="10"/>
  <c r="B246" i="10"/>
  <c r="E247" i="10"/>
  <c r="B247" i="10"/>
  <c r="E248" i="10"/>
  <c r="E249" i="10"/>
  <c r="B248" i="10"/>
  <c r="E250" i="10"/>
  <c r="B249" i="10"/>
  <c r="E251" i="10"/>
  <c r="B250" i="10"/>
  <c r="B251" i="10"/>
  <c r="E252" i="10"/>
  <c r="E253" i="10"/>
  <c r="B252" i="10"/>
  <c r="B253" i="10"/>
  <c r="E254" i="10"/>
  <c r="E255" i="10"/>
  <c r="B254" i="10"/>
  <c r="B255" i="10"/>
  <c r="E256" i="10"/>
  <c r="E257" i="10"/>
  <c r="B256" i="10"/>
  <c r="E258" i="10"/>
  <c r="B257" i="10"/>
  <c r="B258" i="10"/>
  <c r="E259" i="10"/>
  <c r="E260" i="10"/>
  <c r="B259" i="10"/>
  <c r="E261" i="10"/>
  <c r="B260" i="10"/>
  <c r="E262" i="10"/>
  <c r="B261" i="10"/>
  <c r="B262" i="10"/>
  <c r="E263" i="10"/>
  <c r="B263" i="10"/>
  <c r="E264" i="10"/>
  <c r="E265" i="10"/>
  <c r="B264" i="10"/>
  <c r="E266" i="10"/>
  <c r="B265" i="10"/>
  <c r="B266" i="10"/>
  <c r="E267" i="10"/>
  <c r="B267" i="10"/>
  <c r="E268" i="10"/>
  <c r="E269" i="10"/>
  <c r="B268" i="10"/>
  <c r="E270" i="10"/>
  <c r="B269" i="10"/>
  <c r="E271" i="10"/>
  <c r="B270" i="10"/>
  <c r="B271" i="10"/>
  <c r="E272" i="10"/>
  <c r="E273" i="10"/>
  <c r="B272" i="10"/>
  <c r="E274" i="10"/>
  <c r="B273" i="10"/>
  <c r="B274" i="10"/>
  <c r="E275" i="10"/>
  <c r="B275" i="10"/>
  <c r="E276" i="10"/>
  <c r="E277" i="10"/>
  <c r="B276" i="10"/>
  <c r="E278" i="10"/>
  <c r="B277" i="10"/>
  <c r="E279" i="10"/>
  <c r="B278" i="10"/>
  <c r="B279" i="10"/>
  <c r="E280" i="10"/>
  <c r="E281" i="10"/>
  <c r="B280" i="10"/>
  <c r="E282" i="10"/>
  <c r="B281" i="10"/>
  <c r="B282" i="10"/>
  <c r="E283" i="10"/>
  <c r="B283" i="10"/>
  <c r="E284" i="10"/>
  <c r="E285" i="10"/>
  <c r="B284" i="10"/>
  <c r="E286" i="10"/>
  <c r="B285" i="10"/>
  <c r="B286" i="10"/>
  <c r="E287" i="10"/>
  <c r="B287" i="10"/>
  <c r="E288" i="10"/>
  <c r="E289" i="10"/>
  <c r="B288" i="10"/>
  <c r="E290" i="10"/>
  <c r="B289" i="10"/>
  <c r="B290" i="10"/>
  <c r="E291" i="10"/>
  <c r="B291" i="10"/>
  <c r="E292" i="10"/>
  <c r="E293" i="10"/>
  <c r="B292" i="10"/>
  <c r="E294" i="10"/>
  <c r="B293" i="10"/>
  <c r="B294" i="10"/>
  <c r="E295" i="10"/>
  <c r="B295" i="10"/>
  <c r="E296" i="10"/>
  <c r="E297" i="10"/>
  <c r="B296" i="10"/>
  <c r="E298" i="10"/>
  <c r="B297" i="10"/>
  <c r="B298" i="10"/>
  <c r="E299" i="10"/>
  <c r="B299" i="10"/>
  <c r="E300" i="10"/>
  <c r="E301" i="10"/>
  <c r="B300" i="10"/>
  <c r="E302" i="10"/>
  <c r="B301" i="10"/>
  <c r="E303" i="10"/>
  <c r="B302" i="10"/>
  <c r="B303" i="10"/>
  <c r="E304" i="10"/>
  <c r="E305" i="10"/>
  <c r="B304" i="10"/>
  <c r="E306" i="10"/>
  <c r="B305" i="10"/>
  <c r="B306" i="10"/>
  <c r="E307" i="10"/>
  <c r="B307" i="10"/>
  <c r="E308" i="10"/>
  <c r="E309" i="10"/>
  <c r="B308" i="10"/>
  <c r="E310" i="10"/>
  <c r="B309" i="10"/>
  <c r="E311" i="10"/>
  <c r="B310" i="10"/>
  <c r="B311" i="10"/>
  <c r="E312" i="10"/>
  <c r="E313" i="10"/>
  <c r="B312" i="10"/>
  <c r="E314" i="10"/>
  <c r="B313" i="10"/>
  <c r="B314" i="10"/>
  <c r="E315" i="10"/>
  <c r="B315" i="10"/>
  <c r="E316" i="10"/>
  <c r="E317" i="10"/>
  <c r="B316" i="10"/>
  <c r="E318" i="10"/>
  <c r="B317" i="10"/>
  <c r="B318" i="10"/>
  <c r="E319" i="10"/>
  <c r="B319" i="10"/>
  <c r="E320" i="10"/>
  <c r="E321" i="10"/>
  <c r="B320" i="10"/>
  <c r="E322" i="10"/>
  <c r="B321" i="10"/>
  <c r="B322" i="10"/>
  <c r="E323" i="10"/>
  <c r="B323" i="10"/>
  <c r="E324" i="10"/>
  <c r="E325" i="10"/>
  <c r="B324" i="10"/>
  <c r="E326" i="10"/>
  <c r="B325" i="10"/>
  <c r="B326" i="10"/>
  <c r="E327" i="10"/>
  <c r="B327" i="10"/>
  <c r="E328" i="10"/>
  <c r="E329" i="10"/>
  <c r="B328" i="10"/>
  <c r="E330" i="10"/>
  <c r="B329" i="10"/>
  <c r="B330" i="10"/>
  <c r="E331" i="10"/>
  <c r="B331" i="10"/>
  <c r="E332" i="10"/>
  <c r="E333" i="10"/>
  <c r="B332" i="10"/>
  <c r="E334" i="10"/>
  <c r="B333" i="10"/>
  <c r="E335" i="10"/>
  <c r="B334" i="10"/>
  <c r="B335" i="10"/>
  <c r="E336" i="10"/>
  <c r="E337" i="10"/>
  <c r="B336" i="10"/>
  <c r="E338" i="10"/>
  <c r="B337" i="10"/>
  <c r="B338" i="10"/>
  <c r="E339" i="10"/>
  <c r="B339" i="10"/>
  <c r="E340" i="10"/>
  <c r="E341" i="10"/>
  <c r="B340" i="10"/>
  <c r="E342" i="10"/>
  <c r="B341" i="10"/>
  <c r="E343" i="10"/>
  <c r="B342" i="10"/>
  <c r="E344" i="10"/>
  <c r="B343" i="10"/>
  <c r="B344" i="10"/>
  <c r="E345" i="10"/>
  <c r="B345" i="10"/>
  <c r="E346" i="10"/>
  <c r="E347" i="10"/>
  <c r="B346" i="10"/>
  <c r="E348" i="10"/>
  <c r="B347" i="10"/>
  <c r="E349" i="10"/>
  <c r="B348" i="10"/>
  <c r="B349" i="10"/>
  <c r="E350" i="10"/>
  <c r="E351" i="10"/>
  <c r="B350" i="10"/>
  <c r="E352" i="10"/>
  <c r="B351" i="10"/>
  <c r="B352" i="10"/>
  <c r="E353" i="10"/>
  <c r="B353" i="10"/>
  <c r="E354" i="10"/>
  <c r="E355" i="10"/>
  <c r="B354" i="10"/>
  <c r="E356" i="10"/>
  <c r="B355" i="10"/>
  <c r="E357" i="10"/>
  <c r="B356" i="10"/>
  <c r="B357" i="10"/>
  <c r="E358" i="10"/>
  <c r="E359" i="10"/>
  <c r="B358" i="10"/>
  <c r="E360" i="10"/>
  <c r="B359" i="10"/>
  <c r="E361" i="10"/>
  <c r="B360" i="10"/>
  <c r="E362" i="10"/>
  <c r="B361" i="10"/>
  <c r="B362" i="10"/>
  <c r="E363" i="10"/>
  <c r="E364" i="10"/>
  <c r="B363" i="10"/>
  <c r="E365" i="10"/>
  <c r="B364" i="10"/>
  <c r="B365" i="10"/>
  <c r="E366" i="10"/>
  <c r="B366" i="10"/>
  <c r="E367" i="10"/>
  <c r="E368" i="10"/>
  <c r="B367" i="10"/>
  <c r="E369" i="10"/>
  <c r="B368" i="10"/>
  <c r="E370" i="10"/>
  <c r="B369" i="10"/>
  <c r="B370" i="10"/>
  <c r="E371" i="10"/>
  <c r="B371" i="10"/>
  <c r="D9" i="9"/>
  <c r="E9" i="9"/>
  <c r="F9" i="9"/>
  <c r="G9" i="9"/>
  <c r="H9" i="9"/>
  <c r="I9" i="9"/>
  <c r="J9" i="9"/>
  <c r="K9" i="9"/>
  <c r="L9" i="9"/>
  <c r="M9" i="9"/>
  <c r="N9" i="9"/>
  <c r="O9" i="9"/>
  <c r="L18" i="3" s="1"/>
  <c r="C9" i="9"/>
  <c r="M7" i="8"/>
  <c r="L7" i="8"/>
  <c r="K7" i="8"/>
  <c r="J7" i="8"/>
  <c r="I7" i="8"/>
  <c r="H7" i="8"/>
  <c r="G7" i="8"/>
  <c r="G18" i="8" s="1"/>
  <c r="F7" i="8"/>
  <c r="E7" i="8"/>
  <c r="D7" i="8"/>
  <c r="C7" i="8"/>
  <c r="B7" i="8"/>
  <c r="M6" i="8"/>
  <c r="L6" i="8"/>
  <c r="L18" i="8" s="1"/>
  <c r="K6" i="8"/>
  <c r="J6" i="8"/>
  <c r="I6" i="8"/>
  <c r="I18" i="8" s="1"/>
  <c r="H6" i="8"/>
  <c r="H18" i="8" s="1"/>
  <c r="G6" i="8"/>
  <c r="F6" i="8"/>
  <c r="F18" i="8" s="1"/>
  <c r="E6" i="8"/>
  <c r="E18" i="8" s="1"/>
  <c r="D6" i="8"/>
  <c r="C6" i="8"/>
  <c r="N6" i="8" s="1"/>
  <c r="B6" i="8"/>
  <c r="B18" i="8" s="1"/>
  <c r="P1" i="7"/>
  <c r="J7" i="7"/>
  <c r="F7" i="7"/>
  <c r="P2" i="7"/>
  <c r="O2" i="7"/>
  <c r="N2" i="7"/>
  <c r="M2" i="7"/>
  <c r="L2" i="7"/>
  <c r="K2" i="7"/>
  <c r="J2" i="7"/>
  <c r="I2" i="7"/>
  <c r="H2" i="7"/>
  <c r="G2" i="7"/>
  <c r="F2" i="7"/>
  <c r="E2" i="7"/>
  <c r="D2" i="7"/>
  <c r="M7" i="7"/>
  <c r="E5" i="1"/>
  <c r="H5" i="1" s="1"/>
  <c r="K5" i="1" s="1"/>
  <c r="F15" i="6"/>
  <c r="F17" i="6" s="1"/>
  <c r="F14" i="6"/>
  <c r="F13" i="6"/>
  <c r="F12" i="6"/>
  <c r="F11" i="6"/>
  <c r="F10" i="6"/>
  <c r="F9" i="6"/>
  <c r="F8" i="6"/>
  <c r="F7" i="6"/>
  <c r="F6" i="6"/>
  <c r="F5" i="6"/>
  <c r="F4" i="6"/>
  <c r="F16" i="6" s="1"/>
  <c r="E17" i="6"/>
  <c r="N7" i="7"/>
  <c r="M18" i="8"/>
  <c r="F19" i="6"/>
  <c r="L23" i="3"/>
  <c r="G7" i="7"/>
  <c r="K7" i="7"/>
  <c r="O7" i="7"/>
  <c r="D7" i="7"/>
  <c r="H7" i="7"/>
  <c r="L7" i="7"/>
  <c r="E7" i="7"/>
  <c r="I7" i="7"/>
  <c r="P7" i="7"/>
  <c r="L24" i="3"/>
  <c r="E12" i="6"/>
  <c r="E5" i="6"/>
  <c r="E10" i="6"/>
  <c r="E6" i="6"/>
  <c r="E19" i="6" s="1"/>
  <c r="E7" i="6"/>
  <c r="E11" i="6"/>
  <c r="E9" i="6"/>
  <c r="E13" i="6"/>
  <c r="E4" i="6"/>
  <c r="E14" i="6"/>
  <c r="D15" i="6"/>
  <c r="D17" i="6" s="1"/>
  <c r="D10" i="6"/>
  <c r="D11" i="6"/>
  <c r="D14" i="6"/>
  <c r="D12" i="6"/>
  <c r="D13" i="6"/>
  <c r="E8" i="6"/>
  <c r="D4" i="6"/>
  <c r="D8" i="6"/>
  <c r="D5" i="6"/>
  <c r="D7" i="6"/>
  <c r="D19" i="6" s="1"/>
  <c r="D9" i="6"/>
  <c r="D6" i="6"/>
  <c r="M7" i="4"/>
  <c r="L8" i="4"/>
  <c r="H7" i="4"/>
  <c r="G8" i="4"/>
  <c r="H8" i="4"/>
  <c r="I3" i="3"/>
  <c r="M8" i="4"/>
  <c r="M3" i="3"/>
  <c r="M14" i="4"/>
  <c r="M13" i="4"/>
  <c r="H14" i="4"/>
  <c r="H13" i="4"/>
  <c r="I25" i="4"/>
  <c r="M15" i="4"/>
  <c r="M4" i="3"/>
  <c r="I4" i="3"/>
  <c r="I24" i="3"/>
  <c r="H15" i="4"/>
  <c r="J25" i="4"/>
  <c r="E13" i="1"/>
  <c r="H13" i="1" s="1"/>
  <c r="K13" i="1" s="1"/>
  <c r="H19" i="3"/>
  <c r="H15" i="3"/>
  <c r="H11" i="3"/>
  <c r="D19" i="3"/>
  <c r="D15" i="3"/>
  <c r="D11" i="3"/>
  <c r="H46" i="3"/>
  <c r="H41" i="3"/>
  <c r="L26" i="4"/>
  <c r="L29" i="4"/>
  <c r="L47" i="3"/>
  <c r="G26" i="4"/>
  <c r="G29" i="4"/>
  <c r="H47" i="3"/>
  <c r="H49" i="3"/>
  <c r="B21" i="4"/>
  <c r="C20" i="4"/>
  <c r="B7" i="4"/>
  <c r="P7" i="4"/>
  <c r="B6" i="4"/>
  <c r="P6" i="4" s="1"/>
  <c r="B5" i="4"/>
  <c r="P5" i="4"/>
  <c r="L46" i="3"/>
  <c r="D46" i="3"/>
  <c r="I44" i="3"/>
  <c r="D17" i="1"/>
  <c r="E44" i="3"/>
  <c r="C17" i="1"/>
  <c r="D36" i="3"/>
  <c r="D41" i="3"/>
  <c r="L27" i="3"/>
  <c r="H27" i="3"/>
  <c r="D27" i="3"/>
  <c r="M25" i="3"/>
  <c r="E15" i="1"/>
  <c r="H15" i="1" s="1"/>
  <c r="K15" i="1" s="1"/>
  <c r="I25" i="3"/>
  <c r="D15" i="1"/>
  <c r="E25" i="3"/>
  <c r="C15" i="1"/>
  <c r="H20" i="3"/>
  <c r="D20" i="3"/>
  <c r="I18" i="3"/>
  <c r="E18" i="3"/>
  <c r="C9" i="1"/>
  <c r="I10" i="3"/>
  <c r="E10" i="3"/>
  <c r="M24" i="3"/>
  <c r="E14" i="1"/>
  <c r="H14" i="1" s="1"/>
  <c r="K14" i="1" s="1"/>
  <c r="D47" i="3"/>
  <c r="D49" i="3"/>
  <c r="D29" i="3"/>
  <c r="D30" i="3"/>
  <c r="H29" i="3"/>
  <c r="H30" i="3"/>
  <c r="H50" i="3"/>
  <c r="H51" i="3"/>
  <c r="C8" i="1"/>
  <c r="E11" i="3"/>
  <c r="E19" i="3"/>
  <c r="E20" i="3"/>
  <c r="D9" i="1"/>
  <c r="I19" i="3"/>
  <c r="D8" i="1"/>
  <c r="I11" i="3"/>
  <c r="C19" i="4"/>
  <c r="C21" i="4"/>
  <c r="N25" i="4"/>
  <c r="C14" i="4"/>
  <c r="C5" i="4"/>
  <c r="I48" i="3"/>
  <c r="D21" i="1"/>
  <c r="I46" i="3"/>
  <c r="D19" i="1"/>
  <c r="I45" i="3"/>
  <c r="D18" i="1"/>
  <c r="I41" i="3"/>
  <c r="D16" i="1"/>
  <c r="N26" i="4"/>
  <c r="O26" i="4"/>
  <c r="I26" i="4"/>
  <c r="M27" i="3"/>
  <c r="O25" i="4"/>
  <c r="O29" i="4"/>
  <c r="N29" i="4"/>
  <c r="M47" i="3" s="1"/>
  <c r="E20" i="1" s="1"/>
  <c r="J26" i="4"/>
  <c r="J29" i="4"/>
  <c r="I29" i="4"/>
  <c r="I47" i="3"/>
  <c r="I49" i="3"/>
  <c r="D50" i="3"/>
  <c r="D51" i="3"/>
  <c r="I20" i="3"/>
  <c r="C13" i="4"/>
  <c r="C15" i="4"/>
  <c r="D14" i="1"/>
  <c r="M41" i="3"/>
  <c r="E16" i="1"/>
  <c r="H16" i="1" s="1"/>
  <c r="K16" i="1" s="1"/>
  <c r="M46" i="3"/>
  <c r="E19" i="1"/>
  <c r="H19" i="1" s="1"/>
  <c r="K19" i="1" s="1"/>
  <c r="M48" i="3"/>
  <c r="E21" i="1"/>
  <c r="H21" i="1" s="1"/>
  <c r="K21" i="1" s="1"/>
  <c r="M45" i="3"/>
  <c r="E18" i="1"/>
  <c r="H18" i="1" s="1"/>
  <c r="K18" i="1" s="1"/>
  <c r="E4" i="3"/>
  <c r="E24" i="3"/>
  <c r="C26" i="4"/>
  <c r="D26" i="4"/>
  <c r="E26" i="4"/>
  <c r="D20" i="1"/>
  <c r="I30" i="4" s="1"/>
  <c r="D28" i="4"/>
  <c r="D27" i="4"/>
  <c r="C14" i="1"/>
  <c r="O27" i="4"/>
  <c r="D13" i="7"/>
  <c r="E13" i="7"/>
  <c r="F13" i="7"/>
  <c r="G13" i="7"/>
  <c r="H13" i="7"/>
  <c r="I13" i="7"/>
  <c r="J13" i="7"/>
  <c r="K13" i="7"/>
  <c r="L13" i="7"/>
  <c r="M13" i="7"/>
  <c r="N13" i="7"/>
  <c r="O13" i="7"/>
  <c r="O44" i="7"/>
  <c r="N44" i="7"/>
  <c r="M44" i="7"/>
  <c r="L44" i="7"/>
  <c r="K44" i="7"/>
  <c r="J44" i="7"/>
  <c r="I44" i="7"/>
  <c r="H44" i="7"/>
  <c r="G44" i="7"/>
  <c r="F44" i="7"/>
  <c r="P44" i="7" s="1"/>
  <c r="E44" i="7"/>
  <c r="D44" i="7"/>
  <c r="O43" i="7"/>
  <c r="N43" i="7"/>
  <c r="M43" i="7"/>
  <c r="L43" i="7"/>
  <c r="K43" i="7"/>
  <c r="J43" i="7"/>
  <c r="I43" i="7"/>
  <c r="H43" i="7"/>
  <c r="G43" i="7"/>
  <c r="F43" i="7"/>
  <c r="P43" i="7" s="1"/>
  <c r="E43" i="7"/>
  <c r="D43" i="7"/>
  <c r="O42" i="7"/>
  <c r="N42" i="7"/>
  <c r="M42" i="7"/>
  <c r="L42" i="7"/>
  <c r="K42" i="7"/>
  <c r="J42" i="7"/>
  <c r="I42" i="7"/>
  <c r="H42" i="7"/>
  <c r="G42" i="7"/>
  <c r="F42" i="7"/>
  <c r="P42" i="7" s="1"/>
  <c r="E42" i="7"/>
  <c r="D42" i="7"/>
  <c r="O41" i="7"/>
  <c r="N41" i="7"/>
  <c r="M41" i="7"/>
  <c r="L41" i="7"/>
  <c r="K41" i="7"/>
  <c r="J41" i="7"/>
  <c r="I41" i="7"/>
  <c r="H41" i="7"/>
  <c r="G41" i="7"/>
  <c r="F41" i="7"/>
  <c r="E41" i="7"/>
  <c r="D41" i="7"/>
  <c r="O40" i="7"/>
  <c r="N40" i="7"/>
  <c r="M40" i="7"/>
  <c r="L40" i="7"/>
  <c r="K40" i="7"/>
  <c r="J40" i="7"/>
  <c r="I40" i="7"/>
  <c r="H40" i="7"/>
  <c r="G40" i="7"/>
  <c r="F40" i="7"/>
  <c r="P40" i="7" s="1"/>
  <c r="E40" i="7"/>
  <c r="D40" i="7"/>
  <c r="O39" i="7"/>
  <c r="N39" i="7"/>
  <c r="M39" i="7"/>
  <c r="L39" i="7"/>
  <c r="K39" i="7"/>
  <c r="J39" i="7"/>
  <c r="I39" i="7"/>
  <c r="H39" i="7"/>
  <c r="G39" i="7"/>
  <c r="F39" i="7"/>
  <c r="P39" i="7" s="1"/>
  <c r="E39" i="7"/>
  <c r="D39" i="7"/>
  <c r="O38" i="7"/>
  <c r="N38" i="7"/>
  <c r="M38" i="7"/>
  <c r="L38" i="7"/>
  <c r="K38" i="7"/>
  <c r="J38" i="7"/>
  <c r="I38" i="7"/>
  <c r="H38" i="7"/>
  <c r="G38" i="7"/>
  <c r="F38" i="7"/>
  <c r="P38" i="7" s="1"/>
  <c r="E38" i="7"/>
  <c r="D38" i="7"/>
  <c r="O37" i="7"/>
  <c r="N37" i="7"/>
  <c r="M37" i="7"/>
  <c r="L37" i="7"/>
  <c r="K37" i="7"/>
  <c r="J37" i="7"/>
  <c r="I37" i="7"/>
  <c r="H37" i="7"/>
  <c r="G37" i="7"/>
  <c r="F37" i="7"/>
  <c r="E37" i="7"/>
  <c r="D37" i="7"/>
  <c r="O36" i="7"/>
  <c r="N36" i="7"/>
  <c r="M36" i="7"/>
  <c r="L36" i="7"/>
  <c r="K36" i="7"/>
  <c r="J36" i="7"/>
  <c r="I36" i="7"/>
  <c r="H36" i="7"/>
  <c r="G36" i="7"/>
  <c r="F36" i="7"/>
  <c r="P36" i="7" s="1"/>
  <c r="E36" i="7"/>
  <c r="D36" i="7"/>
  <c r="O35" i="7"/>
  <c r="N35" i="7"/>
  <c r="M35" i="7"/>
  <c r="L35" i="7"/>
  <c r="K35" i="7"/>
  <c r="J35" i="7"/>
  <c r="I35" i="7"/>
  <c r="H35" i="7"/>
  <c r="G35" i="7"/>
  <c r="F35" i="7"/>
  <c r="P35" i="7" s="1"/>
  <c r="E35" i="7"/>
  <c r="D35" i="7"/>
  <c r="O34" i="7"/>
  <c r="N34" i="7"/>
  <c r="M34" i="7"/>
  <c r="L34" i="7"/>
  <c r="K34" i="7"/>
  <c r="J34" i="7"/>
  <c r="I34" i="7"/>
  <c r="H34" i="7"/>
  <c r="G34" i="7"/>
  <c r="F34" i="7"/>
  <c r="P34" i="7" s="1"/>
  <c r="E34" i="7"/>
  <c r="D34" i="7"/>
  <c r="O33" i="7"/>
  <c r="N33" i="7"/>
  <c r="M33" i="7"/>
  <c r="L33" i="7"/>
  <c r="K33" i="7"/>
  <c r="J33" i="7"/>
  <c r="I33" i="7"/>
  <c r="H33" i="7"/>
  <c r="G33" i="7"/>
  <c r="F33" i="7"/>
  <c r="E33" i="7"/>
  <c r="D33" i="7"/>
  <c r="O32" i="7"/>
  <c r="N32" i="7"/>
  <c r="M32" i="7"/>
  <c r="L32" i="7"/>
  <c r="K32" i="7"/>
  <c r="J32" i="7"/>
  <c r="I32" i="7"/>
  <c r="H32" i="7"/>
  <c r="G32" i="7"/>
  <c r="F32" i="7"/>
  <c r="E32" i="7"/>
  <c r="D32" i="7"/>
  <c r="O31" i="7"/>
  <c r="N31" i="7"/>
  <c r="M31" i="7"/>
  <c r="L31" i="7"/>
  <c r="K31" i="7"/>
  <c r="J31" i="7"/>
  <c r="I31" i="7"/>
  <c r="H31" i="7"/>
  <c r="G31" i="7"/>
  <c r="F31" i="7"/>
  <c r="P31" i="7" s="1"/>
  <c r="E31" i="7"/>
  <c r="D31" i="7"/>
  <c r="O30" i="7"/>
  <c r="N30" i="7"/>
  <c r="M30" i="7"/>
  <c r="L30" i="7"/>
  <c r="K30" i="7"/>
  <c r="J30" i="7"/>
  <c r="I30" i="7"/>
  <c r="H30" i="7"/>
  <c r="G30" i="7"/>
  <c r="F30" i="7"/>
  <c r="P30" i="7" s="1"/>
  <c r="E30" i="7"/>
  <c r="D30" i="7"/>
  <c r="O29" i="7"/>
  <c r="N29" i="7"/>
  <c r="M29" i="7"/>
  <c r="L29" i="7"/>
  <c r="K29" i="7"/>
  <c r="J29" i="7"/>
  <c r="I29" i="7"/>
  <c r="H29" i="7"/>
  <c r="G29" i="7"/>
  <c r="F29" i="7"/>
  <c r="E29" i="7"/>
  <c r="D29" i="7"/>
  <c r="O28" i="7"/>
  <c r="N28" i="7"/>
  <c r="M28" i="7"/>
  <c r="L28" i="7"/>
  <c r="K28" i="7"/>
  <c r="J28" i="7"/>
  <c r="I28" i="7"/>
  <c r="H28" i="7"/>
  <c r="G28" i="7"/>
  <c r="F28" i="7"/>
  <c r="P28" i="7" s="1"/>
  <c r="E28" i="7"/>
  <c r="D28" i="7"/>
  <c r="O27" i="7"/>
  <c r="N27" i="7"/>
  <c r="M27" i="7"/>
  <c r="L27" i="7"/>
  <c r="K27" i="7"/>
  <c r="J27" i="7"/>
  <c r="I27" i="7"/>
  <c r="H27" i="7"/>
  <c r="G27" i="7"/>
  <c r="F27" i="7"/>
  <c r="P27" i="7" s="1"/>
  <c r="E27" i="7"/>
  <c r="D27" i="7"/>
  <c r="O26" i="7"/>
  <c r="N26" i="7"/>
  <c r="M26" i="7"/>
  <c r="L26" i="7"/>
  <c r="K26" i="7"/>
  <c r="J26" i="7"/>
  <c r="I26" i="7"/>
  <c r="H26" i="7"/>
  <c r="G26" i="7"/>
  <c r="F26" i="7"/>
  <c r="P26" i="7" s="1"/>
  <c r="E26" i="7"/>
  <c r="D26" i="7"/>
  <c r="O25" i="7"/>
  <c r="N25" i="7"/>
  <c r="M25" i="7"/>
  <c r="L25" i="7"/>
  <c r="K25" i="7"/>
  <c r="J25" i="7"/>
  <c r="I25" i="7"/>
  <c r="H25" i="7"/>
  <c r="G25" i="7"/>
  <c r="F25" i="7"/>
  <c r="E25" i="7"/>
  <c r="D25" i="7"/>
  <c r="O24" i="7"/>
  <c r="N24" i="7"/>
  <c r="M24" i="7"/>
  <c r="L24" i="7"/>
  <c r="K24" i="7"/>
  <c r="J24" i="7"/>
  <c r="I24" i="7"/>
  <c r="H24" i="7"/>
  <c r="G24" i="7"/>
  <c r="F24" i="7"/>
  <c r="E24" i="7"/>
  <c r="P24" i="7" s="1"/>
  <c r="D24" i="7"/>
  <c r="O23" i="7"/>
  <c r="N23" i="7"/>
  <c r="M23" i="7"/>
  <c r="L23" i="7"/>
  <c r="K23" i="7"/>
  <c r="J23" i="7"/>
  <c r="I23" i="7"/>
  <c r="H23" i="7"/>
  <c r="G23" i="7"/>
  <c r="F23" i="7"/>
  <c r="P23" i="7" s="1"/>
  <c r="E23" i="7"/>
  <c r="D23" i="7"/>
  <c r="O22" i="7"/>
  <c r="N22" i="7"/>
  <c r="M22" i="7"/>
  <c r="L22" i="7"/>
  <c r="K22" i="7"/>
  <c r="J22" i="7"/>
  <c r="I22" i="7"/>
  <c r="H22" i="7"/>
  <c r="G22" i="7"/>
  <c r="F22" i="7"/>
  <c r="P22" i="7" s="1"/>
  <c r="E22" i="7"/>
  <c r="D22" i="7"/>
  <c r="O21" i="7"/>
  <c r="N21" i="7"/>
  <c r="M21" i="7"/>
  <c r="L21" i="7"/>
  <c r="K21" i="7"/>
  <c r="J21" i="7"/>
  <c r="I21" i="7"/>
  <c r="H21" i="7"/>
  <c r="G21" i="7"/>
  <c r="F21" i="7"/>
  <c r="E21" i="7"/>
  <c r="D21" i="7"/>
  <c r="O20" i="7"/>
  <c r="N20" i="7"/>
  <c r="M20" i="7"/>
  <c r="L20" i="7"/>
  <c r="K20" i="7"/>
  <c r="J20" i="7"/>
  <c r="I20" i="7"/>
  <c r="H20" i="7"/>
  <c r="G20" i="7"/>
  <c r="F20" i="7"/>
  <c r="P20" i="7" s="1"/>
  <c r="E20" i="7"/>
  <c r="D20" i="7"/>
  <c r="O19" i="7"/>
  <c r="N19" i="7"/>
  <c r="M19" i="7"/>
  <c r="L19" i="7"/>
  <c r="K19" i="7"/>
  <c r="J19" i="7"/>
  <c r="I19" i="7"/>
  <c r="H19" i="7"/>
  <c r="G19" i="7"/>
  <c r="F19" i="7"/>
  <c r="P19" i="7" s="1"/>
  <c r="E19" i="7"/>
  <c r="D19" i="7"/>
  <c r="O18" i="7"/>
  <c r="N18" i="7"/>
  <c r="M18" i="7"/>
  <c r="L18" i="7"/>
  <c r="K18" i="7"/>
  <c r="J18" i="7"/>
  <c r="I18" i="7"/>
  <c r="H18" i="7"/>
  <c r="G18" i="7"/>
  <c r="F18" i="7"/>
  <c r="P18" i="7" s="1"/>
  <c r="E18" i="7"/>
  <c r="D18" i="7"/>
  <c r="O17" i="7"/>
  <c r="N17" i="7"/>
  <c r="M17" i="7"/>
  <c r="L17" i="7"/>
  <c r="K17" i="7"/>
  <c r="J17" i="7"/>
  <c r="I17" i="7"/>
  <c r="H17" i="7"/>
  <c r="G17" i="7"/>
  <c r="F17" i="7"/>
  <c r="E17" i="7"/>
  <c r="D17" i="7"/>
  <c r="O16" i="7"/>
  <c r="N16" i="7"/>
  <c r="M16" i="7"/>
  <c r="L16" i="7"/>
  <c r="K16" i="7"/>
  <c r="J16" i="7"/>
  <c r="I16" i="7"/>
  <c r="H16" i="7"/>
  <c r="G16" i="7"/>
  <c r="F16" i="7"/>
  <c r="E16" i="7"/>
  <c r="D16" i="7"/>
  <c r="O15" i="7"/>
  <c r="N15" i="7"/>
  <c r="M15" i="7"/>
  <c r="L15" i="7"/>
  <c r="K15" i="7"/>
  <c r="J15" i="7"/>
  <c r="I15" i="7"/>
  <c r="H15" i="7"/>
  <c r="G15" i="7"/>
  <c r="F15" i="7"/>
  <c r="P15" i="7" s="1"/>
  <c r="E15" i="7"/>
  <c r="D15" i="7"/>
  <c r="O14" i="7"/>
  <c r="N14" i="7"/>
  <c r="M14" i="7"/>
  <c r="L14" i="7"/>
  <c r="K14" i="7"/>
  <c r="J14" i="7"/>
  <c r="I14" i="7"/>
  <c r="H14" i="7"/>
  <c r="G14" i="7"/>
  <c r="F14" i="7"/>
  <c r="P14" i="7" s="1"/>
  <c r="E14" i="7"/>
  <c r="D14" i="7"/>
  <c r="O12" i="7"/>
  <c r="N12" i="7"/>
  <c r="N45" i="7" s="1"/>
  <c r="M12" i="7"/>
  <c r="M45" i="7" s="1"/>
  <c r="L12" i="7"/>
  <c r="K12" i="7"/>
  <c r="J12" i="7"/>
  <c r="I12" i="7"/>
  <c r="H12" i="7"/>
  <c r="G12" i="7"/>
  <c r="F12" i="7"/>
  <c r="F45" i="7" s="1"/>
  <c r="E12" i="7"/>
  <c r="D12" i="7"/>
  <c r="O11" i="7"/>
  <c r="O45" i="7"/>
  <c r="N11" i="7"/>
  <c r="M11" i="7"/>
  <c r="L11" i="7"/>
  <c r="L45" i="7" s="1"/>
  <c r="K11" i="7"/>
  <c r="K45" i="7"/>
  <c r="J11" i="7"/>
  <c r="I11" i="7"/>
  <c r="I45" i="7" s="1"/>
  <c r="H11" i="7"/>
  <c r="H45" i="7"/>
  <c r="G11" i="7"/>
  <c r="G45" i="7" s="1"/>
  <c r="F11" i="7"/>
  <c r="E11" i="7"/>
  <c r="E45" i="7" s="1"/>
  <c r="D11" i="7"/>
  <c r="D45" i="7"/>
  <c r="P11" i="7"/>
  <c r="P32" i="7"/>
  <c r="I27" i="3" l="1"/>
  <c r="I29" i="3" s="1"/>
  <c r="D11" i="1"/>
  <c r="C13" i="1"/>
  <c r="D5" i="4"/>
  <c r="C7" i="4"/>
  <c r="B8" i="4"/>
  <c r="C6" i="4"/>
  <c r="C25" i="4" s="1"/>
  <c r="D23" i="1"/>
  <c r="D25" i="1" s="1"/>
  <c r="D26" i="1" s="1"/>
  <c r="C11" i="1"/>
  <c r="E30" i="3"/>
  <c r="I50" i="3"/>
  <c r="I51" i="3" s="1"/>
  <c r="I30" i="3"/>
  <c r="N30" i="4"/>
  <c r="H20" i="1"/>
  <c r="K20" i="1" s="1"/>
  <c r="D18" i="8"/>
  <c r="P13" i="7"/>
  <c r="L44" i="3" s="1"/>
  <c r="F18" i="6"/>
  <c r="F20" i="6" s="1"/>
  <c r="E6" i="1" s="1"/>
  <c r="H6" i="1" s="1"/>
  <c r="K6" i="1" s="1"/>
  <c r="P12" i="7"/>
  <c r="P17" i="7"/>
  <c r="P21" i="7"/>
  <c r="P25" i="7"/>
  <c r="P29" i="7"/>
  <c r="P33" i="7"/>
  <c r="P37" i="7"/>
  <c r="P41" i="7"/>
  <c r="E16" i="6"/>
  <c r="E18" i="6" s="1"/>
  <c r="E20" i="6" s="1"/>
  <c r="D6" i="1" s="1"/>
  <c r="K18" i="8"/>
  <c r="N7" i="8"/>
  <c r="L14" i="3" s="1"/>
  <c r="L15" i="3" s="1"/>
  <c r="J18" i="8"/>
  <c r="J45" i="7"/>
  <c r="P45" i="7" s="1"/>
  <c r="P16" i="7"/>
  <c r="D16" i="6"/>
  <c r="D18" i="6" s="1"/>
  <c r="D20" i="6" s="1"/>
  <c r="C6" i="1" s="1"/>
  <c r="C18" i="8"/>
  <c r="M18" i="3"/>
  <c r="L19" i="3"/>
  <c r="M44" i="3"/>
  <c r="L49" i="3"/>
  <c r="L10" i="3"/>
  <c r="C27" i="4" l="1"/>
  <c r="D25" i="4"/>
  <c r="E3" i="3"/>
  <c r="C8" i="4"/>
  <c r="D31" i="1"/>
  <c r="N18" i="8"/>
  <c r="E17" i="1"/>
  <c r="M49" i="3"/>
  <c r="L11" i="3"/>
  <c r="L20" i="3" s="1"/>
  <c r="L29" i="3" s="1"/>
  <c r="M10" i="3"/>
  <c r="M19" i="3"/>
  <c r="E9" i="1"/>
  <c r="H9" i="1" s="1"/>
  <c r="K9" i="1" s="1"/>
  <c r="E46" i="3" l="1"/>
  <c r="C19" i="1" s="1"/>
  <c r="E48" i="3"/>
  <c r="C21" i="1" s="1"/>
  <c r="E41" i="3"/>
  <c r="C16" i="1" s="1"/>
  <c r="E45" i="3"/>
  <c r="E25" i="4"/>
  <c r="E29" i="4" s="1"/>
  <c r="D29" i="4"/>
  <c r="E23" i="1"/>
  <c r="H17" i="1"/>
  <c r="L30" i="3"/>
  <c r="L50" i="3"/>
  <c r="L51" i="3" s="1"/>
  <c r="E8" i="1"/>
  <c r="K8" i="1" s="1"/>
  <c r="K11" i="1" s="1"/>
  <c r="M11" i="3"/>
  <c r="M20" i="3" s="1"/>
  <c r="M29" i="3" s="1"/>
  <c r="C18" i="1" l="1"/>
  <c r="E47" i="3"/>
  <c r="C20" i="1" s="1"/>
  <c r="C23" i="1" s="1"/>
  <c r="C25" i="1" s="1"/>
  <c r="H23" i="1"/>
  <c r="K17" i="1"/>
  <c r="K23" i="1" s="1"/>
  <c r="K25" i="1" s="1"/>
  <c r="K26" i="1" s="1"/>
  <c r="E11" i="1"/>
  <c r="E25" i="1" s="1"/>
  <c r="E26" i="1" s="1"/>
  <c r="H8" i="1"/>
  <c r="H11" i="1" s="1"/>
  <c r="H25" i="1" s="1"/>
  <c r="H26" i="1" s="1"/>
  <c r="M30" i="3"/>
  <c r="M50" i="3"/>
  <c r="M51" i="3" s="1"/>
  <c r="D30" i="4" l="1"/>
  <c r="C26" i="1"/>
  <c r="E49" i="3"/>
  <c r="E50" i="3" s="1"/>
  <c r="E51" i="3" s="1"/>
  <c r="E31" i="1"/>
  <c r="C31" i="1" l="1"/>
</calcChain>
</file>

<file path=xl/comments1.xml><?xml version="1.0" encoding="utf-8"?>
<comments xmlns="http://schemas.openxmlformats.org/spreadsheetml/2006/main">
  <authors>
    <author>Ty Huff</author>
  </authors>
  <commentList>
    <comment ref="A9" authorId="0" shapeId="0">
      <text>
        <r>
          <rPr>
            <b/>
            <sz val="9"/>
            <color indexed="81"/>
            <rFont val="Tahoma"/>
            <family val="2"/>
          </rPr>
          <t>Ty Huff:</t>
        </r>
        <r>
          <rPr>
            <sz val="9"/>
            <color indexed="81"/>
            <rFont val="Tahoma"/>
            <family val="2"/>
          </rPr>
          <t xml:space="preserve">
Included in Other Revenue in Financial statements.  </t>
        </r>
        <r>
          <rPr>
            <b/>
            <sz val="9"/>
            <color indexed="81"/>
            <rFont val="Tahoma"/>
            <family val="2"/>
          </rPr>
          <t>DO NOT INCLUDE IN FARES TOO</t>
        </r>
      </text>
    </comment>
  </commentList>
</comments>
</file>

<file path=xl/sharedStrings.xml><?xml version="1.0" encoding="utf-8"?>
<sst xmlns="http://schemas.openxmlformats.org/spreadsheetml/2006/main" count="755" uniqueCount="283">
  <si>
    <t>PAX</t>
  </si>
  <si>
    <t>Revenue</t>
  </si>
  <si>
    <t>Fuel</t>
  </si>
  <si>
    <t>Charter Fee</t>
  </si>
  <si>
    <t>Total Revenue</t>
  </si>
  <si>
    <t>Total Expenses</t>
  </si>
  <si>
    <t>Profit percent</t>
  </si>
  <si>
    <t>Operating Days</t>
  </si>
  <si>
    <t>Ticket Sales</t>
  </si>
  <si>
    <t>Port Fee</t>
  </si>
  <si>
    <t>Regulated</t>
  </si>
  <si>
    <t>Statement of Revenue &amp; Expenses</t>
  </si>
  <si>
    <t>Allocation</t>
  </si>
  <si>
    <t>Unaudited, Non-GAAP</t>
  </si>
  <si>
    <t>Sales</t>
  </si>
  <si>
    <t>Clipper Navigation, Inc.</t>
  </si>
  <si>
    <t>Passengers</t>
  </si>
  <si>
    <t>Account Description</t>
  </si>
  <si>
    <t>Category</t>
  </si>
  <si>
    <t>REVENUE</t>
  </si>
  <si>
    <t>Fare Revenue:</t>
  </si>
  <si>
    <t>Sales vessels - PAX</t>
  </si>
  <si>
    <t>Total Fare Revenue</t>
  </si>
  <si>
    <t>Hotel, Tour, Interline Sales:</t>
  </si>
  <si>
    <t>Excursions:</t>
  </si>
  <si>
    <t>Total Hotel, Tour, Interline Sales:</t>
  </si>
  <si>
    <t>Other Revenue:</t>
  </si>
  <si>
    <t>Total Other Revenue</t>
  </si>
  <si>
    <t xml:space="preserve">      TOTAL REVENUE</t>
  </si>
  <si>
    <t>COST OF SALES</t>
  </si>
  <si>
    <t>Charter vessels</t>
  </si>
  <si>
    <t>Transfers and transport</t>
  </si>
  <si>
    <t>Purchase - GROUP FOOD TOURS</t>
  </si>
  <si>
    <t xml:space="preserve">      TOTAL COST OF SALES</t>
  </si>
  <si>
    <t>GROSS MARGIN</t>
  </si>
  <si>
    <t xml:space="preserve">   Gross Margin %</t>
  </si>
  <si>
    <t>ENGINEERING EXPENSES</t>
  </si>
  <si>
    <t>Lubricants</t>
  </si>
  <si>
    <t>ENGINEERING EXPENSE</t>
  </si>
  <si>
    <t>Disposal, waste and rubbish - vessels</t>
  </si>
  <si>
    <t>Electric</t>
  </si>
  <si>
    <t>Nautical Equipment</t>
  </si>
  <si>
    <t>Toilets/Sanitary + techn. Equipm.</t>
  </si>
  <si>
    <t>Consumer goods deck</t>
  </si>
  <si>
    <t>Consumables</t>
  </si>
  <si>
    <t>Expenses for work safety</t>
  </si>
  <si>
    <t>TOTAL ENGINEERING EXPENSES</t>
  </si>
  <si>
    <t>OPERATING EXPENSES</t>
  </si>
  <si>
    <t>Mooring</t>
  </si>
  <si>
    <t xml:space="preserve">Legal consulting fees </t>
  </si>
  <si>
    <t>TOTAL OPERATING EXPENSES</t>
  </si>
  <si>
    <t>Excursions</t>
  </si>
  <si>
    <t>Sea to FH Fares</t>
  </si>
  <si>
    <t>Port Fees</t>
  </si>
  <si>
    <t>Whale Watch/Excursions</t>
  </si>
  <si>
    <t>Net Revenue</t>
  </si>
  <si>
    <t>Sea to FH</t>
  </si>
  <si>
    <t>Sea to WB</t>
  </si>
  <si>
    <t>Seattle/Friday Harbour hours</t>
  </si>
  <si>
    <t>Whale Watch/Sea Life Search hours</t>
  </si>
  <si>
    <t>Engineering</t>
  </si>
  <si>
    <t>Legal</t>
  </si>
  <si>
    <t>Transfers and Transport</t>
  </si>
  <si>
    <t>2019 Budget</t>
  </si>
  <si>
    <t>January</t>
  </si>
  <si>
    <t>February</t>
  </si>
  <si>
    <t xml:space="preserve">March </t>
  </si>
  <si>
    <t xml:space="preserve">April </t>
  </si>
  <si>
    <t>May</t>
  </si>
  <si>
    <t>June</t>
  </si>
  <si>
    <t>July</t>
  </si>
  <si>
    <t>August</t>
  </si>
  <si>
    <t>Sept</t>
  </si>
  <si>
    <t>Oct</t>
  </si>
  <si>
    <t>Nov</t>
  </si>
  <si>
    <t>Dec</t>
  </si>
  <si>
    <t>Gray Whales</t>
  </si>
  <si>
    <t>Langely</t>
  </si>
  <si>
    <t>Sales - EXCURSIONS (Whale Watching)</t>
  </si>
  <si>
    <t>Langley</t>
  </si>
  <si>
    <t>Actual</t>
  </si>
  <si>
    <t>Budget</t>
  </si>
  <si>
    <t>Subtotal excl Langley</t>
  </si>
  <si>
    <t>Total Pax excl GW &amp; L</t>
  </si>
  <si>
    <t>Acct Number</t>
  </si>
  <si>
    <t>Dept Number</t>
  </si>
  <si>
    <t>Total Year</t>
  </si>
  <si>
    <t>COGS</t>
  </si>
  <si>
    <t>Fuel Expense</t>
  </si>
  <si>
    <t>Charter</t>
  </si>
  <si>
    <t>Expenses by Boat</t>
  </si>
  <si>
    <t>Annual Shipyard Items</t>
  </si>
  <si>
    <t>DNV Surveys</t>
  </si>
  <si>
    <t>Docking/Moorage Fees</t>
  </si>
  <si>
    <t>Lighting Supplies</t>
  </si>
  <si>
    <t>Deck Supplies</t>
  </si>
  <si>
    <t>Filters</t>
  </si>
  <si>
    <t>Liferafts &amp; Rescue Boat</t>
  </si>
  <si>
    <t>Consumable Stores</t>
  </si>
  <si>
    <t>Lubricants and Fluids Expense</t>
  </si>
  <si>
    <t>Auxiliary Generator</t>
  </si>
  <si>
    <t>Bilge System</t>
  </si>
  <si>
    <t>Compressed Air System</t>
  </si>
  <si>
    <t>Deck Machinery</t>
  </si>
  <si>
    <t>HVAC System</t>
  </si>
  <si>
    <t>Hydraulic Systems</t>
  </si>
  <si>
    <t>MDS System</t>
  </si>
  <si>
    <t>Reduction Gear, Shaft &amp; Seal</t>
  </si>
  <si>
    <t>Sewage System</t>
  </si>
  <si>
    <t>Steering System</t>
  </si>
  <si>
    <t>Safety Systems</t>
  </si>
  <si>
    <t>Regulatory Fees</t>
  </si>
  <si>
    <t>R&amp;M - Electrical Other</t>
  </si>
  <si>
    <t>Hull - R&amp;M</t>
  </si>
  <si>
    <t>R &amp; M Main Engines</t>
  </si>
  <si>
    <t>Fire Detection Systems</t>
  </si>
  <si>
    <t>Safety Supplies</t>
  </si>
  <si>
    <t>Bilge Pumpout and Waste Disposal</t>
  </si>
  <si>
    <t>Shipboard A/C</t>
  </si>
  <si>
    <t>Shipboard D/C</t>
  </si>
  <si>
    <t>Interior Improvements</t>
  </si>
  <si>
    <t>Lavatory</t>
  </si>
  <si>
    <t>Other Interiors</t>
  </si>
  <si>
    <t>Seats</t>
  </si>
  <si>
    <t>Wheelhouse Electronics</t>
  </si>
  <si>
    <t>Total Operating Costs</t>
  </si>
  <si>
    <t>Jan</t>
  </si>
  <si>
    <t>Feb</t>
  </si>
  <si>
    <t>Mar</t>
  </si>
  <si>
    <t>Apr</t>
  </si>
  <si>
    <t>Jun</t>
  </si>
  <si>
    <t>Jul</t>
  </si>
  <si>
    <t>Aug</t>
  </si>
  <si>
    <t>Total</t>
  </si>
  <si>
    <t>Fare Revenue-Victoria</t>
  </si>
  <si>
    <t>Fare Rev-San Juan</t>
  </si>
  <si>
    <t>Whale Watching</t>
  </si>
  <si>
    <t>On-Board Sales (inc. OBTours)</t>
  </si>
  <si>
    <t>Comfort Class Upgrade (Revel)</t>
  </si>
  <si>
    <t>Luggage</t>
  </si>
  <si>
    <t>Café &amp; Beverage Sales</t>
  </si>
  <si>
    <t>Hotel Sales</t>
  </si>
  <si>
    <t>Interline</t>
  </si>
  <si>
    <t>Tours (exc. OB)</t>
  </si>
  <si>
    <t>Other Revenue</t>
  </si>
  <si>
    <t>2019 Revenue</t>
  </si>
  <si>
    <t>AGREE TO VESSEL BUDGET INPUTS</t>
  </si>
  <si>
    <t># of Sailings per Schedule</t>
  </si>
  <si>
    <t>Port Fee Revenue - $/Segment</t>
  </si>
  <si>
    <t>EBIT</t>
  </si>
  <si>
    <t>Max</t>
  </si>
  <si>
    <t>Enter daily price from Maxum Petroleum, Saturday and Sunday equal Friday's price</t>
  </si>
  <si>
    <t>OPIS HI SUL AVG</t>
  </si>
  <si>
    <t>Enter "Pier 15 Discount Price" into spreadsheet</t>
  </si>
  <si>
    <t>Month</t>
  </si>
  <si>
    <t>Day of Week</t>
  </si>
  <si>
    <t>Week</t>
  </si>
  <si>
    <t>Day</t>
  </si>
  <si>
    <t>$/gallon</t>
  </si>
  <si>
    <t>AVG MTD</t>
  </si>
  <si>
    <t>Sep</t>
  </si>
  <si>
    <t>YTD</t>
  </si>
  <si>
    <t>5% increase</t>
  </si>
  <si>
    <t>Average</t>
  </si>
  <si>
    <t>YoY incr (YTD)</t>
  </si>
  <si>
    <t>Fuel Price</t>
  </si>
  <si>
    <t>Budget Assumption - 2019</t>
  </si>
  <si>
    <t>Regulatory Fees, Licenses &amp; Permits</t>
  </si>
  <si>
    <t>Other Taxes (B&amp;O, City of Seattle, Property Taxes)</t>
  </si>
  <si>
    <t>% of Sales</t>
  </si>
  <si>
    <t>Engine Hours Allocation for Fuel Exp</t>
  </si>
  <si>
    <t>Port Costs based on Actual Pax Counts</t>
  </si>
  <si>
    <t>Revenue breakout used for Sales/Mgmt</t>
  </si>
  <si>
    <t>% of Ttl Hrs</t>
  </si>
  <si>
    <t>% of Ttl Port Costs</t>
  </si>
  <si>
    <t>2017 - Revenue</t>
  </si>
  <si>
    <t>2017 - Port Costs</t>
  </si>
  <si>
    <t>2017 - Engine Hours</t>
  </si>
  <si>
    <t>Management Fees (6.7%)</t>
  </si>
  <si>
    <t>2018 - Port Costs</t>
  </si>
  <si>
    <t>2019 - Port Costs</t>
  </si>
  <si>
    <t>2019 - Engine Hours</t>
  </si>
  <si>
    <t>% Incr v 2017</t>
  </si>
  <si>
    <t>Gray Whales &amp; Langely</t>
  </si>
  <si>
    <t>Notes</t>
  </si>
  <si>
    <t>May - Oct Avg</t>
  </si>
  <si>
    <t>Fuel Price Assumption (5% over LY)</t>
  </si>
  <si>
    <t>Gallons burned per hour</t>
  </si>
  <si>
    <t>Allocations</t>
  </si>
  <si>
    <t>JAN</t>
  </si>
  <si>
    <t>FEB</t>
  </si>
  <si>
    <t>MAR</t>
  </si>
  <si>
    <t>APR</t>
  </si>
  <si>
    <t>MAY</t>
  </si>
  <si>
    <t>JUN</t>
  </si>
  <si>
    <t>JUL</t>
  </si>
  <si>
    <t>AUG</t>
  </si>
  <si>
    <t>SEPT</t>
  </si>
  <si>
    <t>OCT</t>
  </si>
  <si>
    <t>NOV</t>
  </si>
  <si>
    <t>DEC</t>
  </si>
  <si>
    <t>TOTAL</t>
  </si>
  <si>
    <t>Sales - PORT FEES (Based on PAX Count &amp; # of Departures)</t>
  </si>
  <si>
    <t xml:space="preserve">Split </t>
  </si>
  <si>
    <t>2018 - Revenue</t>
  </si>
  <si>
    <t>2019 - Revenue</t>
  </si>
  <si>
    <r>
      <t xml:space="preserve">Whale Watch </t>
    </r>
    <r>
      <rPr>
        <i/>
        <sz val="10"/>
        <rFont val="Calibri"/>
        <family val="2"/>
        <scheme val="minor"/>
      </rPr>
      <t>(sub set of FH PAX)</t>
    </r>
  </si>
  <si>
    <t>Total Exp of settlements with afficliated companies</t>
  </si>
  <si>
    <t>2017 - Affilliated Co's Expenses</t>
  </si>
  <si>
    <t>2018 - Affilliated Co's Expenses</t>
  </si>
  <si>
    <t>Port</t>
  </si>
  <si>
    <t>Reservations (Call Center)</t>
  </si>
  <si>
    <t>Call Center- Total Reservations</t>
  </si>
  <si>
    <t>Call Center FH Reservations</t>
  </si>
  <si>
    <t>Percentage of Call Center Reservations which are FH</t>
  </si>
  <si>
    <r>
      <rPr>
        <b/>
        <sz val="11"/>
        <color theme="1"/>
        <rFont val="Calibri"/>
        <family val="2"/>
        <scheme val="minor"/>
      </rPr>
      <t>Mgmt Fee</t>
    </r>
    <r>
      <rPr>
        <sz val="11"/>
        <color theme="1"/>
        <rFont val="Calibri"/>
        <family val="2"/>
        <scheme val="minor"/>
      </rPr>
      <t xml:space="preserve"> includes Executives, Accounting, HR, and IT depts.  6.7% of their salaries, wages, benefits &amp; taxes is being allocated to this business.  The split between regulated and excursions is based on % of sales.  2019 costs are significantly lower due to leaner staffing</t>
    </r>
  </si>
  <si>
    <r>
      <rPr>
        <b/>
        <sz val="11"/>
        <color theme="1"/>
        <rFont val="Calibri"/>
        <family val="2"/>
        <scheme val="minor"/>
      </rPr>
      <t>Reservation</t>
    </r>
    <r>
      <rPr>
        <sz val="11"/>
        <color theme="1"/>
        <rFont val="Calibri"/>
        <family val="2"/>
        <scheme val="minor"/>
      </rPr>
      <t xml:space="preserve"> dept includes agent's salaries, wages, benefits and taxes.  Approximately 15.6% of the total reservations taken are specific to Seattle to FH business (Regulated portion)</t>
    </r>
  </si>
  <si>
    <r>
      <rPr>
        <b/>
        <sz val="11"/>
        <color theme="1"/>
        <rFont val="Calibri"/>
        <family val="2"/>
        <scheme val="minor"/>
      </rPr>
      <t>Marketing</t>
    </r>
    <r>
      <rPr>
        <sz val="11"/>
        <color theme="1"/>
        <rFont val="Calibri"/>
        <family val="2"/>
        <scheme val="minor"/>
      </rPr>
      <t>: Less than 2% of the total Marketing budget is allocated to this business.  Of that, approximately $7k/year is spent on the regulated piece.</t>
    </r>
  </si>
  <si>
    <t>15.5% incr over 2017 due to incr in operating days; Trend reflects incrase use of transportation only business</t>
  </si>
  <si>
    <t>41.2% increase over 2017 reflective of increased passenger counts and # of departures</t>
  </si>
  <si>
    <t>10% decr from 2017 reflects state of whale watching industry</t>
  </si>
  <si>
    <t>Check</t>
  </si>
  <si>
    <t>Total Hours</t>
  </si>
  <si>
    <t>Marketing</t>
  </si>
  <si>
    <t>2017 Actual</t>
  </si>
  <si>
    <t>2018 Actual</t>
  </si>
  <si>
    <t>Bunker (Fuel)</t>
  </si>
  <si>
    <t>NOTES</t>
  </si>
  <si>
    <t>2019 Fare Revenue - Seattle to Friday Harbor - Linked to Revenue Summary 2019 Budget Tab</t>
  </si>
  <si>
    <t>2019 Whale Watching excursion - linked to Revenue Summary 2019 Budget Tab</t>
  </si>
  <si>
    <t>2019 Port Fees are based on passenger counts and # of departures.  Linked to SJC Port Fee 2019 Budget</t>
  </si>
  <si>
    <r>
      <rPr>
        <b/>
        <sz val="11"/>
        <color theme="1"/>
        <rFont val="Calibri"/>
        <family val="2"/>
        <scheme val="minor"/>
      </rPr>
      <t>Mooring Expense</t>
    </r>
    <r>
      <rPr>
        <sz val="11"/>
        <color theme="1"/>
        <rFont val="Calibri"/>
        <family val="2"/>
        <scheme val="minor"/>
      </rPr>
      <t xml:space="preserve"> is based on passenger count and # of departures.  2019 number is linked to the 2019 SJC Vessel Expense Budget tab.  Allocation is 100% regulated route</t>
    </r>
  </si>
  <si>
    <r>
      <t xml:space="preserve">Allocation of </t>
    </r>
    <r>
      <rPr>
        <b/>
        <sz val="11"/>
        <color theme="1"/>
        <rFont val="Calibri"/>
        <family val="2"/>
        <scheme val="minor"/>
      </rPr>
      <t>legal fees</t>
    </r>
    <r>
      <rPr>
        <sz val="11"/>
        <color theme="1"/>
        <rFont val="Calibri"/>
        <family val="2"/>
        <scheme val="minor"/>
      </rPr>
      <t xml:space="preserve"> is based on actuals when known and/or % of sales regulated route / whalewatching excursion</t>
    </r>
  </si>
  <si>
    <r>
      <t xml:space="preserve">Allocation of </t>
    </r>
    <r>
      <rPr>
        <b/>
        <sz val="11"/>
        <color theme="1"/>
        <rFont val="Calibri"/>
        <family val="2"/>
        <scheme val="minor"/>
      </rPr>
      <t>Other Taxes</t>
    </r>
    <r>
      <rPr>
        <sz val="11"/>
        <color theme="1"/>
        <rFont val="Calibri"/>
        <family val="2"/>
        <scheme val="minor"/>
      </rPr>
      <t xml:space="preserve">  is based on actuals when known and/or % of sales regulated route / whalewatching excursion</t>
    </r>
  </si>
  <si>
    <r>
      <t xml:space="preserve">Allocation of </t>
    </r>
    <r>
      <rPr>
        <b/>
        <sz val="11"/>
        <color theme="1"/>
        <rFont val="Calibri"/>
        <family val="2"/>
        <scheme val="minor"/>
      </rPr>
      <t>Engineering Expenses</t>
    </r>
    <r>
      <rPr>
        <sz val="11"/>
        <color theme="1"/>
        <rFont val="Calibri"/>
        <family val="2"/>
        <scheme val="minor"/>
      </rPr>
      <t xml:space="preserve"> is based on % of sales regulated route / whalewatching excursion </t>
    </r>
  </si>
  <si>
    <t>Allocations explained on the Allocation % Tab</t>
  </si>
  <si>
    <t>For the Twelve Months Ending December 31,</t>
  </si>
  <si>
    <t xml:space="preserve">Mooring </t>
  </si>
  <si>
    <t>Jones Act</t>
  </si>
  <si>
    <t>Assumptions &amp; Key Callouts</t>
  </si>
  <si>
    <t>Charter Agreement</t>
  </si>
  <si>
    <t>Passenger Counts</t>
  </si>
  <si>
    <t>Seattle to San Juan Islands (Regulated Route)</t>
  </si>
  <si>
    <t>The San Juan vessel operates March thru December.  The regulated route (Seattle to the San Juan Islands / Friday Harbor Port) operates May - October.  Passenger Count totals exclude Langley and Gray Whales (March, April, November and December).</t>
  </si>
  <si>
    <r>
      <rPr>
        <b/>
        <sz val="11"/>
        <color theme="1"/>
        <rFont val="Calibri"/>
        <family val="2"/>
        <scheme val="minor"/>
      </rPr>
      <t>Fuel</t>
    </r>
    <r>
      <rPr>
        <sz val="11"/>
        <color theme="1"/>
        <rFont val="Calibri"/>
        <family val="2"/>
        <scheme val="minor"/>
      </rPr>
      <t xml:space="preserve"> is calculated using the following methodology:  # of operating days in the month x # of hours of operation x 150 Gallons burned per hour x Budgeted fuel price = $2.46 (5% over prior year 12 month average).  Monthly detail is provided in the 2019 SJC Vessel Exp Budget tab.  Engine hours shown on the Allocation % tab.  Fuel Price is shown on the Fuel Chart tab.  Operating Days shown on the Pax Counts tab.</t>
    </r>
  </si>
  <si>
    <t>Mooring Expense</t>
  </si>
  <si>
    <r>
      <rPr>
        <b/>
        <sz val="11"/>
        <color theme="1"/>
        <rFont val="Calibri"/>
        <family val="2"/>
        <scheme val="minor"/>
      </rPr>
      <t>Port Costs</t>
    </r>
    <r>
      <rPr>
        <sz val="11"/>
        <color theme="1"/>
        <rFont val="Calibri"/>
        <family val="2"/>
        <scheme val="minor"/>
      </rPr>
      <t xml:space="preserve"> are approximately $18k / mo.  This is the San Juan Express' portion of the rent for the terminal / berth from CNI</t>
    </r>
  </si>
  <si>
    <r>
      <rPr>
        <b/>
        <sz val="10"/>
        <color theme="1"/>
        <rFont val="Calibri"/>
        <family val="2"/>
        <scheme val="minor"/>
      </rPr>
      <t>Fuel</t>
    </r>
    <r>
      <rPr>
        <sz val="10"/>
        <color theme="1"/>
        <rFont val="Calibri"/>
        <family val="2"/>
        <scheme val="minor"/>
      </rPr>
      <t xml:space="preserve"> costs are calculated by taking the # of operating days in the month x # of hours of operation x 150 Gallons burned per hour x budgeted fuel price = $2.46 (5% over prior year 12 month average).  </t>
    </r>
  </si>
  <si>
    <r>
      <rPr>
        <b/>
        <sz val="10"/>
        <color theme="1"/>
        <rFont val="Calibri"/>
        <family val="2"/>
        <scheme val="minor"/>
      </rPr>
      <t>Management Fees</t>
    </r>
    <r>
      <rPr>
        <sz val="10"/>
        <color theme="1"/>
        <rFont val="Calibri"/>
        <family val="2"/>
        <scheme val="minor"/>
      </rPr>
      <t xml:space="preserve">:  Executives, Accounting, Human Resources and IT departments.  6.7% of their salaries, wages, benefits &amp; taxes are being allocated to this business.  The split between the regulated portion and excursions is based on % of sales.  </t>
    </r>
  </si>
  <si>
    <r>
      <rPr>
        <b/>
        <sz val="10"/>
        <color theme="1"/>
        <rFont val="Calibri"/>
        <family val="2"/>
        <scheme val="minor"/>
      </rPr>
      <t>Reservation Department</t>
    </r>
    <r>
      <rPr>
        <sz val="10"/>
        <color theme="1"/>
        <rFont val="Calibri"/>
        <family val="2"/>
        <scheme val="minor"/>
      </rPr>
      <t xml:space="preserve">:  Includes agent's salaries, wages, benefits and taxes.  Approximately 15.6% of the total reservations taken are specific to the domestic route between Seattle and the Port of Friday Harbor (Regulated portion). </t>
    </r>
  </si>
  <si>
    <r>
      <rPr>
        <b/>
        <sz val="10"/>
        <color theme="1"/>
        <rFont val="Calibri"/>
        <family val="2"/>
        <scheme val="minor"/>
      </rPr>
      <t>Marketing</t>
    </r>
    <r>
      <rPr>
        <sz val="10"/>
        <color theme="1"/>
        <rFont val="Calibri"/>
        <family val="2"/>
        <scheme val="minor"/>
      </rPr>
      <t xml:space="preserve">:  Less than 2% of the total Marketing budget is allocated to this business.  Of that, approximately $7k/year is spent on the regulated route. </t>
    </r>
  </si>
  <si>
    <t xml:space="preserve">The Passenger Vessel Services Act, which is related to and commonly referred to as the “Jones Act,” places restrictions on the coastwise movement of people. It is this act that prohibits commercial passenger vessels from allowing passengers to board at one U.S. port and debark at another U.S. port.  Vessels wishing to provide this service must meet the Jones Act criteria for construction in the U.S. and per the Jones Act, may neither be owned or operated by an entity with more than 25% foreign ownership.  Further, the Jones Act requires that the crew of such a vessel be made up entirely of US citizens or permanent residents.  
</t>
  </si>
  <si>
    <t>San Juan Express Summary P&amp;L</t>
  </si>
  <si>
    <t>Days of Operation / 2018 Anomalous Year</t>
  </si>
  <si>
    <t>In 2018, the San Juan Vessel experienced numerous mechanical problems, including: a broken engine, a broken reduction gear, cracked hull and a bad sewage pump.  As a result, it was taken out of operation for 62 days between July and September 2018.</t>
  </si>
  <si>
    <t xml:space="preserve">There are two methodologies used for allocating costs:  % of Revenue and Passenger Counts. </t>
  </si>
  <si>
    <t xml:space="preserve">Based on passenger counts and the number of departures.  </t>
  </si>
  <si>
    <r>
      <t xml:space="preserve">Proportion of Expenses Charged by Affiliated Companies </t>
    </r>
    <r>
      <rPr>
        <sz val="10"/>
        <color theme="1"/>
        <rFont val="Calibri"/>
        <family val="2"/>
        <scheme val="minor"/>
      </rPr>
      <t>includes</t>
    </r>
  </si>
  <si>
    <t>2019-est*</t>
  </si>
  <si>
    <t>*2019 Estimate - Proforma P&amp;L results before rate adjustment</t>
  </si>
  <si>
    <t xml:space="preserve">Proportion of Expenses Charged by Affiliated Companies </t>
  </si>
  <si>
    <r>
      <rPr>
        <b/>
        <sz val="11"/>
        <color theme="1"/>
        <rFont val="Calibri"/>
        <family val="2"/>
        <scheme val="minor"/>
      </rPr>
      <t>Proportion of expenses charged by affiliated companies</t>
    </r>
    <r>
      <rPr>
        <sz val="11"/>
        <color theme="1"/>
        <rFont val="Calibri"/>
        <family val="2"/>
        <scheme val="minor"/>
      </rPr>
      <t xml:space="preserve"> are broken out and explained in the Allocation % tab</t>
    </r>
  </si>
  <si>
    <t>Proportion of Expenses charged by Affiliated Companies</t>
  </si>
  <si>
    <t>SJE VESSEL BUDGET 2019</t>
  </si>
  <si>
    <t>San Juan Express</t>
  </si>
  <si>
    <t>San Juan Express Detail P&amp;L</t>
  </si>
  <si>
    <t>2019 Est*</t>
  </si>
  <si>
    <t>Clipper Navigation - San Juan Express</t>
  </si>
  <si>
    <t>SAP GL#</t>
  </si>
  <si>
    <r>
      <rPr>
        <b/>
        <sz val="10"/>
        <color theme="1"/>
        <rFont val="Calibri"/>
        <family val="2"/>
        <scheme val="minor"/>
      </rPr>
      <t>Port Costs</t>
    </r>
    <r>
      <rPr>
        <sz val="10"/>
        <color theme="1"/>
        <rFont val="Calibri"/>
        <family val="2"/>
        <scheme val="minor"/>
      </rPr>
      <t>: are approximately $18k / month.  This is the San Juan Express portion of the rent for the terminal / berth from Clipper Navigation Inc.  We have been notified by the Port of Seattle that our moorage lease rates will be increased on or about May 1, 2019.  We have not been informed of the amount of the increase at this point and thus are not seeking to reflect the prospective increased cost in proposed rates.</t>
    </r>
  </si>
  <si>
    <t>In response to the 2016 FRS acquisition of Clipper and in an attempt to separate all costs specific to the maintenance and operation of the San Juan Clipper, an estimate of $750k  was made to establish the initial charter fee.  Actual costs of operation were significantly higher and the charter fee was adjusted to an annual amount of $1.65M from July of 2017 forward.  This change resulted in a prorated annual charter fee of $1.2M  in 2017.  The full effect of the increase was realized for 2018, resulting in a charter rate of $1.650M.  Extensive maintenance costs incurred in 2018 drove an additional increase in charter fees in 2019 to $1.953M.  Each annual charter fee is then broken into a daily rate.  2018 appears low due to the significant number of days it did not operate as a result of maintenance issues identified in the summary tab.  Charter Fee includes safe manning on the vessel, engineering/maintenance of the vessel and insurance costs of the vessel</t>
  </si>
  <si>
    <t>(10% Rate increase)</t>
  </si>
  <si>
    <t>(36.1% Rate increase)</t>
  </si>
  <si>
    <t>2019 Proforma**</t>
  </si>
  <si>
    <t>*</t>
  </si>
  <si>
    <t>**</t>
  </si>
  <si>
    <t>2019 Estimate - Proforma P&amp;L results before rate adjustment</t>
  </si>
  <si>
    <t>2019 Proforma Profit ***</t>
  </si>
  <si>
    <t>***</t>
  </si>
  <si>
    <t>2019 Proforma - SJE P&amp;L after rate adjustment of 10%</t>
  </si>
  <si>
    <t>2019 Proforma profit - SJE P&amp;L assuming a 36.1% increase in rates to realize a 7% EBIT.</t>
  </si>
  <si>
    <r>
      <rPr>
        <b/>
        <sz val="11"/>
        <color theme="1"/>
        <rFont val="Calibri"/>
        <family val="2"/>
        <scheme val="minor"/>
      </rPr>
      <t>Charter Fees</t>
    </r>
    <r>
      <rPr>
        <sz val="11"/>
        <color theme="1"/>
        <rFont val="Calibri"/>
        <family val="2"/>
        <scheme val="minor"/>
      </rPr>
      <t>: In response to the 2016 FRS acquisition of Clipper and in an attempt to separate all costs specific to the maintenance and operation of the San Juan Clipper, an estimate of $750k  was made to establish the initial charter fee.  Actual costs of operation were significantly higher and the charter fee was adjusted to an annual amount of $1.65M from July of 2017 forward.  This change resulted in an annual charter fee of $1.2M  in 2017.  The full effect of the increase was realized for 2018, resulting in a charter rate of $1.650M.  Extensive maintenance costs incurred in 2018 drove an additional increase in charter fees in 2019 to $1.953M.  Each annual charter fee is then broken into a daily rate.  2018 appears low due to the significant number of days it did not operate as a result of maintenance issues identified in the summary tab.  Charter Fee includes safe manning on the vessel, engineering/maintenance of the vessel and insurance costs of the vessel</t>
    </r>
  </si>
  <si>
    <r>
      <t xml:space="preserve">Allocation of </t>
    </r>
    <r>
      <rPr>
        <b/>
        <sz val="11"/>
        <color theme="1"/>
        <rFont val="Calibri"/>
        <family val="2"/>
        <scheme val="minor"/>
      </rPr>
      <t>Regulatory fees, licenses &amp; permits</t>
    </r>
    <r>
      <rPr>
        <sz val="11"/>
        <color theme="1"/>
        <rFont val="Calibri"/>
        <family val="2"/>
        <scheme val="minor"/>
      </rPr>
      <t xml:space="preserve"> is based on the actual when known and/or % of sales regulated route / whalewatching excursion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</si>
</sst>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0_);_(* \(#,##0.0\);_(* &quot;-&quot;??_);_(@_)"/>
    <numFmt numFmtId="167" formatCode="_(* #,##0_);_(* \(#,##0\);_(* &quot;-&quot;??_);_(@_)"/>
    <numFmt numFmtId="168" formatCode="0_);\(0\)"/>
    <numFmt numFmtId="169" formatCode="mmm\-yyyy"/>
    <numFmt numFmtId="170" formatCode="_(* #,##0.000_);_(* \(#,##0.000\);_(* &quot;-&quot;??_);_(@_)"/>
    <numFmt numFmtId="171" formatCode="&quot;$&quot;#,##0.00"/>
    <numFmt numFmtId="172" formatCode="dddd"/>
    <numFmt numFmtId="173" formatCode="mm/dd/yy;@"/>
    <numFmt numFmtId="174" formatCode="0.000"/>
    <numFmt numFmtId="175" formatCode="0.0000"/>
    <numFmt numFmtId="176" formatCode="#,##0.0000"/>
    <numFmt numFmtId="177" formatCode="_(* #,##0.0_);_(* \(#,##0.0\);_(* &quot;-&quot;?_);_(@_)"/>
  </numFmts>
  <fonts count="6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8.85"/>
      <color rgb="FF000000"/>
      <name val="Arial"/>
      <family val="2"/>
    </font>
    <font>
      <b/>
      <sz val="10"/>
      <name val="Arial"/>
      <family val="2"/>
    </font>
    <font>
      <sz val="11"/>
      <color rgb="FF0000FF"/>
      <name val="Calibri"/>
      <family val="2"/>
      <scheme val="minor"/>
    </font>
    <font>
      <sz val="10"/>
      <color rgb="FF0000FF"/>
      <name val="Arial"/>
      <family val="2"/>
    </font>
    <font>
      <b/>
      <sz val="11"/>
      <name val="Calibri"/>
      <family val="2"/>
      <scheme val="minor"/>
    </font>
    <font>
      <sz val="11"/>
      <color rgb="FFFF0000"/>
      <name val="Calibri"/>
      <family val="2"/>
      <scheme val="minor"/>
    </font>
    <font>
      <b/>
      <u/>
      <sz val="11"/>
      <color theme="1"/>
      <name val="Calibri"/>
      <family val="2"/>
      <scheme val="minor"/>
    </font>
    <font>
      <i/>
      <sz val="10"/>
      <color theme="1"/>
      <name val="Calibri"/>
      <family val="2"/>
      <scheme val="minor"/>
    </font>
    <font>
      <b/>
      <sz val="10"/>
      <color indexed="12"/>
      <name val="Book Antiqua"/>
      <family val="1"/>
    </font>
    <font>
      <b/>
      <sz val="10"/>
      <name val="Book Antiqua"/>
      <family val="1"/>
    </font>
    <font>
      <sz val="10"/>
      <color indexed="0"/>
      <name val="Arial"/>
      <family val="2"/>
    </font>
    <font>
      <b/>
      <sz val="10"/>
      <color rgb="FFFF0000"/>
      <name val="Arial"/>
      <family val="2"/>
    </font>
    <font>
      <b/>
      <u/>
      <sz val="10"/>
      <name val="Book Antiqua"/>
      <family val="1"/>
    </font>
    <font>
      <sz val="10"/>
      <color indexed="12"/>
      <name val="Book Antiqua"/>
      <family val="1"/>
    </font>
    <font>
      <sz val="9"/>
      <name val="Arial"/>
      <family val="2"/>
    </font>
    <font>
      <sz val="10"/>
      <name val="Book Antiqua"/>
      <family val="1"/>
    </font>
    <font>
      <b/>
      <sz val="9"/>
      <name val="Arial"/>
      <family val="2"/>
    </font>
    <font>
      <sz val="10"/>
      <name val="Arial"/>
      <family val="2"/>
    </font>
    <font>
      <b/>
      <sz val="10"/>
      <color theme="0"/>
      <name val="Calibri"/>
      <family val="2"/>
      <scheme val="minor"/>
    </font>
    <font>
      <sz val="10"/>
      <name val="Calibri"/>
      <family val="2"/>
      <scheme val="minor"/>
    </font>
    <font>
      <b/>
      <sz val="10"/>
      <color rgb="FFFF0000"/>
      <name val="Calibri"/>
      <family val="2"/>
      <scheme val="minor"/>
    </font>
    <font>
      <b/>
      <sz val="10"/>
      <name val="Calibri"/>
      <family val="2"/>
      <scheme val="minor"/>
    </font>
    <font>
      <b/>
      <sz val="10"/>
      <color indexed="12"/>
      <name val="Arial"/>
      <family val="2"/>
    </font>
    <font>
      <b/>
      <sz val="10"/>
      <color rgb="FF0000FF"/>
      <name val="Arial"/>
      <family val="2"/>
    </font>
    <font>
      <b/>
      <sz val="9"/>
      <color indexed="81"/>
      <name val="Tahoma"/>
      <family val="2"/>
    </font>
    <font>
      <sz val="9"/>
      <color indexed="81"/>
      <name val="Tahoma"/>
      <family val="2"/>
    </font>
    <font>
      <sz val="11"/>
      <color theme="0"/>
      <name val="Calibri"/>
      <family val="2"/>
      <scheme val="minor"/>
    </font>
    <font>
      <sz val="11"/>
      <name val="Calibri"/>
      <family val="2"/>
      <scheme val="minor"/>
    </font>
    <font>
      <u/>
      <sz val="11"/>
      <color theme="1"/>
      <name val="Calibri"/>
      <family val="2"/>
      <scheme val="minor"/>
    </font>
    <font>
      <b/>
      <sz val="11"/>
      <color rgb="FF000000"/>
      <name val="Calibri"/>
      <family val="2"/>
      <scheme val="minor"/>
    </font>
    <font>
      <sz val="11"/>
      <color indexed="8"/>
      <name val="Calibri"/>
      <family val="2"/>
      <scheme val="minor"/>
    </font>
    <font>
      <b/>
      <sz val="11"/>
      <color indexed="8"/>
      <name val="Calibri"/>
      <family val="2"/>
      <scheme val="minor"/>
    </font>
    <font>
      <sz val="11"/>
      <color rgb="FF0070C0"/>
      <name val="Calibri"/>
      <family val="2"/>
      <scheme val="minor"/>
    </font>
    <font>
      <sz val="11"/>
      <color rgb="FF000000"/>
      <name val="Calibri"/>
      <family val="2"/>
      <scheme val="minor"/>
    </font>
    <font>
      <i/>
      <sz val="10.5"/>
      <color theme="1"/>
      <name val="Calibri"/>
      <family val="2"/>
      <scheme val="minor"/>
    </font>
    <font>
      <i/>
      <u/>
      <sz val="10.5"/>
      <color theme="1"/>
      <name val="Calibri"/>
      <family val="2"/>
      <scheme val="minor"/>
    </font>
    <font>
      <i/>
      <sz val="10.5"/>
      <name val="Calibri"/>
      <family val="2"/>
      <scheme val="minor"/>
    </font>
    <font>
      <sz val="10.5"/>
      <color theme="1"/>
      <name val="Calibri"/>
      <family val="2"/>
      <scheme val="minor"/>
    </font>
    <font>
      <b/>
      <sz val="10"/>
      <color theme="0"/>
      <name val="Arial"/>
      <family val="2"/>
    </font>
    <font>
      <sz val="10"/>
      <color theme="0"/>
      <name val="Arial"/>
      <family val="2"/>
    </font>
    <font>
      <i/>
      <sz val="10"/>
      <name val="Arial"/>
      <family val="2"/>
    </font>
    <font>
      <sz val="11"/>
      <color rgb="FF1F497D"/>
      <name val="Calibri"/>
      <family val="2"/>
      <scheme val="minor"/>
    </font>
    <font>
      <b/>
      <sz val="11"/>
      <color theme="0"/>
      <name val="Calibri"/>
      <family val="2"/>
      <scheme val="minor"/>
    </font>
    <font>
      <b/>
      <u/>
      <sz val="10"/>
      <name val="Arial"/>
      <family val="2"/>
    </font>
    <font>
      <u/>
      <sz val="10"/>
      <name val="Arial"/>
      <family val="2"/>
    </font>
    <font>
      <sz val="10"/>
      <color theme="1"/>
      <name val="Arial"/>
      <family val="2"/>
    </font>
    <font>
      <b/>
      <sz val="11"/>
      <name val="Arial"/>
      <family val="2"/>
    </font>
    <font>
      <sz val="10"/>
      <color theme="1"/>
      <name val="Calibri"/>
      <family val="2"/>
      <scheme val="minor"/>
    </font>
    <font>
      <sz val="11"/>
      <color theme="1"/>
      <name val="Arial"/>
      <family val="2"/>
    </font>
    <font>
      <b/>
      <sz val="11"/>
      <color theme="1"/>
      <name val="Arial"/>
      <family val="2"/>
    </font>
    <font>
      <i/>
      <sz val="10"/>
      <name val="Calibri"/>
      <family val="2"/>
      <scheme val="minor"/>
    </font>
    <font>
      <b/>
      <u/>
      <sz val="11"/>
      <name val="Calibri"/>
      <family val="2"/>
      <scheme val="minor"/>
    </font>
    <font>
      <i/>
      <u/>
      <sz val="10.5"/>
      <name val="Calibri"/>
      <family val="2"/>
      <scheme val="minor"/>
    </font>
    <font>
      <sz val="11"/>
      <color theme="0" tint="-0.14999847407452621"/>
      <name val="Calibri"/>
      <family val="2"/>
      <scheme val="minor"/>
    </font>
    <font>
      <b/>
      <u/>
      <sz val="11"/>
      <color indexed="8"/>
      <name val="Calibri"/>
      <family val="2"/>
      <scheme val="minor"/>
    </font>
    <font>
      <b/>
      <sz val="10"/>
      <color theme="1"/>
      <name val="Calibri"/>
      <family val="2"/>
      <scheme val="minor"/>
    </font>
    <font>
      <b/>
      <i/>
      <sz val="11"/>
      <color rgb="FFFF0000"/>
      <name val="Calibri"/>
      <family val="2"/>
      <scheme val="minor"/>
    </font>
    <font>
      <i/>
      <sz val="11"/>
      <color rgb="FFFF0000"/>
      <name val="Calibri"/>
      <family val="2"/>
      <scheme val="minor"/>
    </font>
    <font>
      <i/>
      <sz val="11"/>
      <color rgb="FF0070C0"/>
      <name val="Calibri"/>
      <family val="2"/>
      <scheme val="minor"/>
    </font>
    <font>
      <b/>
      <u/>
      <sz val="11"/>
      <color rgb="FF0070C0"/>
      <name val="Calibri"/>
      <family val="2"/>
      <scheme val="minor"/>
    </font>
    <font>
      <b/>
      <sz val="11"/>
      <color rgb="FF0070C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1"/>
        <bgColor indexed="64"/>
      </patternFill>
    </fill>
  </fills>
  <borders count="3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indexed="64"/>
      </right>
      <top style="thin">
        <color theme="0"/>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dotted">
        <color auto="1"/>
      </right>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lignment vertical="top"/>
    </xf>
    <xf numFmtId="0" fontId="5" fillId="0" borderId="0" applyAlignment="0"/>
    <xf numFmtId="0" fontId="4" fillId="0" borderId="0"/>
    <xf numFmtId="0" fontId="15" fillId="0" borderId="0"/>
    <xf numFmtId="43" fontId="4" fillId="0" borderId="0" applyFont="0" applyFill="0" applyBorder="0" applyAlignment="0" applyProtection="0"/>
    <xf numFmtId="0" fontId="22" fillId="0" borderId="0"/>
    <xf numFmtId="9" fontId="4" fillId="0" borderId="0" applyFont="0" applyFill="0" applyBorder="0" applyAlignment="0" applyProtection="0"/>
    <xf numFmtId="44" fontId="4" fillId="0" borderId="0" applyFont="0" applyFill="0" applyBorder="0" applyAlignment="0" applyProtection="0"/>
  </cellStyleXfs>
  <cellXfs count="337">
    <xf numFmtId="0" fontId="0" fillId="0" borderId="0" xfId="0"/>
    <xf numFmtId="44" fontId="0" fillId="0" borderId="0" xfId="2" applyFont="1"/>
    <xf numFmtId="164" fontId="0" fillId="0" borderId="0" xfId="2" applyNumberFormat="1" applyFont="1"/>
    <xf numFmtId="165" fontId="0" fillId="0" borderId="0" xfId="3" applyNumberFormat="1" applyFont="1"/>
    <xf numFmtId="167" fontId="0" fillId="0" borderId="0" xfId="1" applyNumberFormat="1" applyFont="1"/>
    <xf numFmtId="0" fontId="0" fillId="0" borderId="0" xfId="0" applyAlignment="1">
      <alignment horizontal="right"/>
    </xf>
    <xf numFmtId="167" fontId="0" fillId="0" borderId="0" xfId="0" applyNumberFormat="1"/>
    <xf numFmtId="0" fontId="2" fillId="0" borderId="0" xfId="0" applyFont="1"/>
    <xf numFmtId="0" fontId="2" fillId="0" borderId="1" xfId="0" applyFont="1" applyBorder="1"/>
    <xf numFmtId="164" fontId="2" fillId="0" borderId="1" xfId="2" applyNumberFormat="1" applyFont="1" applyBorder="1"/>
    <xf numFmtId="0" fontId="2" fillId="0" borderId="2" xfId="0" applyFont="1" applyBorder="1"/>
    <xf numFmtId="164" fontId="2" fillId="0" borderId="2" xfId="2" applyNumberFormat="1" applyFont="1" applyBorder="1"/>
    <xf numFmtId="10" fontId="0" fillId="0" borderId="0" xfId="3" applyNumberFormat="1" applyFont="1"/>
    <xf numFmtId="165" fontId="4" fillId="0" borderId="0" xfId="3" applyNumberFormat="1" applyFont="1"/>
    <xf numFmtId="0" fontId="9" fillId="0" borderId="0" xfId="0" applyFont="1"/>
    <xf numFmtId="0" fontId="11" fillId="0" borderId="0" xfId="0" applyFont="1"/>
    <xf numFmtId="0" fontId="11" fillId="0" borderId="0" xfId="0" applyFont="1" applyAlignment="1">
      <alignment horizontal="center"/>
    </xf>
    <xf numFmtId="0" fontId="0" fillId="0" borderId="0" xfId="0" applyAlignment="1">
      <alignment horizontal="left"/>
    </xf>
    <xf numFmtId="164" fontId="2" fillId="0" borderId="0" xfId="2" applyNumberFormat="1" applyFont="1"/>
    <xf numFmtId="0" fontId="0" fillId="0" borderId="0" xfId="0" applyAlignment="1">
      <alignment horizontal="center"/>
    </xf>
    <xf numFmtId="0" fontId="0" fillId="0" borderId="3" xfId="0" applyBorder="1" applyAlignment="1">
      <alignment horizontal="center"/>
    </xf>
    <xf numFmtId="0" fontId="10" fillId="0" borderId="0" xfId="0" applyFont="1"/>
    <xf numFmtId="0" fontId="0" fillId="3" borderId="0" xfId="0" applyFill="1" applyAlignment="1">
      <alignment horizontal="center"/>
    </xf>
    <xf numFmtId="167" fontId="0" fillId="0" borderId="0" xfId="1" applyNumberFormat="1" applyFont="1" applyAlignment="1">
      <alignment horizontal="left"/>
    </xf>
    <xf numFmtId="167" fontId="0" fillId="0" borderId="3" xfId="1" applyNumberFormat="1" applyFont="1" applyBorder="1" applyAlignment="1">
      <alignment horizontal="left"/>
    </xf>
    <xf numFmtId="167" fontId="0" fillId="0" borderId="7" xfId="1" applyNumberFormat="1" applyFont="1" applyBorder="1" applyAlignment="1">
      <alignment horizontal="left"/>
    </xf>
    <xf numFmtId="167" fontId="0" fillId="0" borderId="8" xfId="1" applyNumberFormat="1" applyFont="1" applyBorder="1" applyAlignment="1">
      <alignment horizontal="left"/>
    </xf>
    <xf numFmtId="167" fontId="0" fillId="0" borderId="9" xfId="1" applyNumberFormat="1" applyFont="1" applyBorder="1" applyAlignment="1">
      <alignment horizontal="left"/>
    </xf>
    <xf numFmtId="0" fontId="2" fillId="0" borderId="0" xfId="0" applyFont="1" applyAlignment="1">
      <alignment horizontal="center"/>
    </xf>
    <xf numFmtId="0" fontId="12" fillId="0" borderId="0" xfId="0" applyFont="1"/>
    <xf numFmtId="0" fontId="13" fillId="0" borderId="0" xfId="6" applyFont="1" applyAlignment="1">
      <alignment horizontal="left"/>
    </xf>
    <xf numFmtId="0" fontId="13" fillId="0" borderId="0" xfId="6" applyFont="1" applyAlignment="1">
      <alignment horizontal="center"/>
    </xf>
    <xf numFmtId="0" fontId="6" fillId="0" borderId="0" xfId="6" applyFont="1" applyAlignment="1">
      <alignment horizontal="center"/>
    </xf>
    <xf numFmtId="0" fontId="14" fillId="0" borderId="0" xfId="6" applyFont="1" applyAlignment="1">
      <alignment horizontal="center"/>
    </xf>
    <xf numFmtId="0" fontId="4" fillId="0" borderId="0" xfId="6"/>
    <xf numFmtId="0" fontId="16" fillId="0" borderId="0" xfId="7" applyFont="1" applyAlignment="1">
      <alignment horizontal="left"/>
    </xf>
    <xf numFmtId="0" fontId="17" fillId="0" borderId="0" xfId="6" applyFont="1"/>
    <xf numFmtId="0" fontId="18" fillId="0" borderId="0" xfId="6" applyFont="1"/>
    <xf numFmtId="0" fontId="14" fillId="0" borderId="0" xfId="6" applyFont="1"/>
    <xf numFmtId="169" fontId="14" fillId="0" borderId="3" xfId="6" applyNumberFormat="1" applyFont="1" applyBorder="1" applyAlignment="1">
      <alignment horizontal="center"/>
    </xf>
    <xf numFmtId="0" fontId="14" fillId="5" borderId="3" xfId="6" applyFont="1" applyFill="1" applyBorder="1" applyAlignment="1">
      <alignment horizontal="center"/>
    </xf>
    <xf numFmtId="0" fontId="19" fillId="0" borderId="0" xfId="6" applyFont="1"/>
    <xf numFmtId="41" fontId="20" fillId="5" borderId="0" xfId="6" applyNumberFormat="1" applyFont="1" applyFill="1"/>
    <xf numFmtId="169" fontId="14" fillId="0" borderId="0" xfId="6" applyNumberFormat="1" applyFont="1" applyAlignment="1">
      <alignment horizontal="center"/>
    </xf>
    <xf numFmtId="167" fontId="20" fillId="0" borderId="0" xfId="1" applyNumberFormat="1" applyFont="1"/>
    <xf numFmtId="43" fontId="14" fillId="2" borderId="0" xfId="1" applyFont="1" applyFill="1" applyAlignment="1">
      <alignment horizontal="center"/>
    </xf>
    <xf numFmtId="0" fontId="6" fillId="0" borderId="0" xfId="6" applyFont="1"/>
    <xf numFmtId="0" fontId="4" fillId="6" borderId="0" xfId="6" applyFill="1"/>
    <xf numFmtId="0" fontId="21" fillId="0" borderId="0" xfId="6" applyFont="1"/>
    <xf numFmtId="0" fontId="14" fillId="0" borderId="0" xfId="8" applyNumberFormat="1" applyFont="1" applyAlignment="1">
      <alignment horizontal="center"/>
    </xf>
    <xf numFmtId="0" fontId="4" fillId="0" borderId="0" xfId="8" applyNumberFormat="1"/>
    <xf numFmtId="0" fontId="3" fillId="0" borderId="0" xfId="6" applyFont="1" applyAlignment="1">
      <alignment vertical="top"/>
    </xf>
    <xf numFmtId="41" fontId="14" fillId="0" borderId="1" xfId="6" applyNumberFormat="1" applyFont="1" applyBorder="1"/>
    <xf numFmtId="41" fontId="14" fillId="5" borderId="1" xfId="6" applyNumberFormat="1" applyFont="1" applyFill="1" applyBorder="1"/>
    <xf numFmtId="43" fontId="4" fillId="0" borderId="0" xfId="6" applyNumberFormat="1"/>
    <xf numFmtId="0" fontId="22" fillId="0" borderId="0" xfId="9"/>
    <xf numFmtId="165" fontId="0" fillId="0" borderId="0" xfId="10" applyNumberFormat="1" applyFont="1"/>
    <xf numFmtId="0" fontId="16" fillId="0" borderId="0" xfId="9" applyFont="1"/>
    <xf numFmtId="167" fontId="0" fillId="0" borderId="0" xfId="8" applyNumberFormat="1" applyFont="1"/>
    <xf numFmtId="0" fontId="23" fillId="7" borderId="10" xfId="9" applyFont="1" applyFill="1" applyBorder="1"/>
    <xf numFmtId="0" fontId="23" fillId="7" borderId="11" xfId="9" applyFont="1" applyFill="1" applyBorder="1" applyAlignment="1">
      <alignment horizontal="center"/>
    </xf>
    <xf numFmtId="0" fontId="23" fillId="7" borderId="12" xfId="9" applyFont="1" applyFill="1" applyBorder="1" applyAlignment="1">
      <alignment horizontal="center"/>
    </xf>
    <xf numFmtId="0" fontId="24" fillId="0" borderId="13" xfId="9" applyFont="1" applyBorder="1" applyAlignment="1">
      <alignment horizontal="left" indent="1"/>
    </xf>
    <xf numFmtId="164" fontId="24" fillId="0" borderId="0" xfId="11" applyNumberFormat="1" applyFont="1"/>
    <xf numFmtId="164" fontId="24" fillId="0" borderId="14" xfId="11" applyNumberFormat="1" applyFont="1" applyBorder="1"/>
    <xf numFmtId="164" fontId="25" fillId="0" borderId="6" xfId="11" applyNumberFormat="1" applyFont="1" applyBorder="1"/>
    <xf numFmtId="0" fontId="4" fillId="0" borderId="0" xfId="9" applyFont="1"/>
    <xf numFmtId="0" fontId="24" fillId="0" borderId="15" xfId="9" applyFont="1" applyBorder="1" applyAlignment="1">
      <alignment horizontal="left" indent="1"/>
    </xf>
    <xf numFmtId="0" fontId="6" fillId="0" borderId="0" xfId="9" applyFont="1"/>
    <xf numFmtId="0" fontId="26" fillId="0" borderId="16" xfId="9" applyFont="1" applyBorder="1"/>
    <xf numFmtId="164" fontId="26" fillId="0" borderId="17" xfId="11" applyNumberFormat="1" applyFont="1" applyBorder="1"/>
    <xf numFmtId="164" fontId="26" fillId="0" borderId="18" xfId="11" applyNumberFormat="1" applyFont="1" applyBorder="1"/>
    <xf numFmtId="164" fontId="26" fillId="0" borderId="19" xfId="11" applyNumberFormat="1" applyFont="1" applyBorder="1"/>
    <xf numFmtId="164" fontId="6" fillId="0" borderId="0" xfId="9" applyNumberFormat="1" applyFont="1"/>
    <xf numFmtId="0" fontId="24" fillId="0" borderId="0" xfId="9" applyFont="1"/>
    <xf numFmtId="9" fontId="0" fillId="0" borderId="0" xfId="10" applyFont="1"/>
    <xf numFmtId="0" fontId="27" fillId="0" borderId="0" xfId="6" applyFont="1"/>
    <xf numFmtId="43" fontId="0" fillId="0" borderId="0" xfId="8" applyFont="1"/>
    <xf numFmtId="16" fontId="4" fillId="0" borderId="0" xfId="6" applyNumberFormat="1"/>
    <xf numFmtId="0" fontId="4" fillId="6" borderId="22" xfId="6" applyFill="1" applyBorder="1"/>
    <xf numFmtId="0" fontId="4" fillId="6" borderId="23" xfId="6" applyFill="1" applyBorder="1" applyAlignment="1">
      <alignment horizontal="center"/>
    </xf>
    <xf numFmtId="0" fontId="4" fillId="6" borderId="14" xfId="6" applyFill="1" applyBorder="1"/>
    <xf numFmtId="0" fontId="4" fillId="6" borderId="24" xfId="6" applyFill="1" applyBorder="1"/>
    <xf numFmtId="0" fontId="6" fillId="6" borderId="22" xfId="6" applyFont="1" applyFill="1" applyBorder="1"/>
    <xf numFmtId="0" fontId="28" fillId="6" borderId="24" xfId="6" applyFont="1" applyFill="1" applyBorder="1"/>
    <xf numFmtId="0" fontId="4" fillId="6" borderId="25" xfId="6" applyFill="1" applyBorder="1"/>
    <xf numFmtId="0" fontId="4" fillId="6" borderId="26" xfId="6" applyFill="1" applyBorder="1"/>
    <xf numFmtId="0" fontId="4" fillId="6" borderId="27" xfId="6" applyFill="1" applyBorder="1"/>
    <xf numFmtId="44" fontId="8" fillId="4" borderId="0" xfId="11" applyFont="1" applyFill="1"/>
    <xf numFmtId="44" fontId="0" fillId="0" borderId="0" xfId="11" applyFont="1"/>
    <xf numFmtId="44" fontId="8" fillId="0" borderId="0" xfId="11" applyFont="1"/>
    <xf numFmtId="167" fontId="1" fillId="0" borderId="0" xfId="1" applyNumberFormat="1"/>
    <xf numFmtId="2" fontId="4" fillId="0" borderId="0" xfId="6" applyNumberFormat="1"/>
    <xf numFmtId="43" fontId="4" fillId="0" borderId="0" xfId="8"/>
    <xf numFmtId="170" fontId="4" fillId="0" borderId="0" xfId="8" applyNumberFormat="1"/>
    <xf numFmtId="171" fontId="4" fillId="2" borderId="0" xfId="6" applyNumberFormat="1" applyFill="1"/>
    <xf numFmtId="0" fontId="4" fillId="2" borderId="0" xfId="6" applyFill="1"/>
    <xf numFmtId="171" fontId="4" fillId="0" borderId="0" xfId="6" applyNumberFormat="1"/>
    <xf numFmtId="1" fontId="4" fillId="0" borderId="0" xfId="6" applyNumberFormat="1"/>
    <xf numFmtId="1" fontId="4" fillId="0" borderId="0" xfId="6" applyNumberFormat="1" applyAlignment="1">
      <alignment horizontal="center"/>
    </xf>
    <xf numFmtId="171" fontId="4" fillId="0" borderId="0" xfId="6" applyNumberFormat="1" applyAlignment="1">
      <alignment horizontal="center"/>
    </xf>
    <xf numFmtId="172" fontId="4" fillId="0" borderId="0" xfId="6" applyNumberFormat="1"/>
    <xf numFmtId="173" fontId="4" fillId="0" borderId="0" xfId="6" applyNumberFormat="1"/>
    <xf numFmtId="4" fontId="4" fillId="0" borderId="0" xfId="6" applyNumberFormat="1"/>
    <xf numFmtId="174" fontId="4" fillId="0" borderId="0" xfId="6" applyNumberFormat="1"/>
    <xf numFmtId="175" fontId="4" fillId="0" borderId="0" xfId="6" applyNumberFormat="1"/>
    <xf numFmtId="2" fontId="4" fillId="0" borderId="0" xfId="8" applyNumberFormat="1"/>
    <xf numFmtId="2" fontId="6" fillId="0" borderId="0" xfId="6" applyNumberFormat="1" applyFont="1"/>
    <xf numFmtId="43" fontId="6" fillId="0" borderId="0" xfId="8" applyFont="1"/>
    <xf numFmtId="4" fontId="6" fillId="0" borderId="0" xfId="6" applyNumberFormat="1" applyFont="1"/>
    <xf numFmtId="2" fontId="6" fillId="0" borderId="0" xfId="8" applyNumberFormat="1" applyFont="1"/>
    <xf numFmtId="2" fontId="4" fillId="0" borderId="0" xfId="8" applyNumberFormat="1" applyAlignment="1">
      <alignment horizontal="right"/>
    </xf>
    <xf numFmtId="2" fontId="4" fillId="8" borderId="0" xfId="6" applyNumberFormat="1" applyFill="1"/>
    <xf numFmtId="171" fontId="6" fillId="0" borderId="0" xfId="6" applyNumberFormat="1" applyFont="1"/>
    <xf numFmtId="2" fontId="4" fillId="0" borderId="0" xfId="6" applyNumberFormat="1" applyAlignment="1">
      <alignment vertical="center" wrapText="1"/>
    </xf>
    <xf numFmtId="176" fontId="4" fillId="0" borderId="0" xfId="6" applyNumberFormat="1"/>
    <xf numFmtId="0" fontId="0" fillId="0" borderId="0" xfId="0" applyAlignment="1">
      <alignment wrapText="1"/>
    </xf>
    <xf numFmtId="167" fontId="9" fillId="0" borderId="0" xfId="1" applyNumberFormat="1" applyFont="1"/>
    <xf numFmtId="0" fontId="32" fillId="0" borderId="0" xfId="0" applyFont="1"/>
    <xf numFmtId="166" fontId="7" fillId="0" borderId="0" xfId="1" applyNumberFormat="1" applyFont="1"/>
    <xf numFmtId="165" fontId="32" fillId="0" borderId="0" xfId="3" applyNumberFormat="1" applyFont="1"/>
    <xf numFmtId="166" fontId="9" fillId="0" borderId="0" xfId="0" applyNumberFormat="1" applyFont="1"/>
    <xf numFmtId="9" fontId="32" fillId="0" borderId="0" xfId="3" applyFont="1"/>
    <xf numFmtId="167" fontId="1" fillId="0" borderId="3" xfId="1" applyNumberFormat="1" applyBorder="1"/>
    <xf numFmtId="0" fontId="33" fillId="0" borderId="0" xfId="0" applyFont="1" applyAlignment="1">
      <alignment horizontal="center"/>
    </xf>
    <xf numFmtId="166" fontId="1" fillId="0" borderId="0" xfId="1" applyNumberFormat="1"/>
    <xf numFmtId="166" fontId="1" fillId="0" borderId="3" xfId="1" applyNumberFormat="1" applyBorder="1"/>
    <xf numFmtId="0" fontId="1" fillId="0" borderId="0" xfId="0" applyFont="1"/>
    <xf numFmtId="165" fontId="1" fillId="0" borderId="0" xfId="3" applyNumberFormat="1"/>
    <xf numFmtId="0" fontId="9" fillId="0" borderId="3" xfId="1" applyNumberFormat="1" applyFont="1" applyBorder="1" applyAlignment="1">
      <alignment horizontal="center"/>
    </xf>
    <xf numFmtId="167" fontId="1" fillId="0" borderId="0" xfId="0" applyNumberFormat="1" applyFont="1"/>
    <xf numFmtId="168" fontId="34" fillId="0" borderId="0" xfId="1" applyNumberFormat="1" applyFont="1"/>
    <xf numFmtId="0" fontId="35" fillId="0" borderId="0" xfId="4" applyFont="1" applyAlignment="1"/>
    <xf numFmtId="0" fontId="36" fillId="0" borderId="0" xfId="4" applyFont="1" applyAlignment="1"/>
    <xf numFmtId="167" fontId="35" fillId="0" borderId="0" xfId="1" applyNumberFormat="1" applyFont="1"/>
    <xf numFmtId="168" fontId="35" fillId="0" borderId="0" xfId="1" applyNumberFormat="1" applyFont="1"/>
    <xf numFmtId="168" fontId="34" fillId="0" borderId="0" xfId="1" applyNumberFormat="1" applyFont="1" applyAlignment="1">
      <alignment horizontal="left"/>
    </xf>
    <xf numFmtId="167" fontId="37" fillId="0" borderId="0" xfId="1" applyNumberFormat="1" applyFont="1"/>
    <xf numFmtId="167" fontId="37" fillId="0" borderId="0" xfId="0" applyNumberFormat="1" applyFont="1"/>
    <xf numFmtId="167" fontId="9" fillId="0" borderId="1" xfId="1" applyNumberFormat="1" applyFont="1" applyBorder="1"/>
    <xf numFmtId="0" fontId="1" fillId="0" borderId="3" xfId="0" applyFont="1" applyBorder="1"/>
    <xf numFmtId="167" fontId="1" fillId="0" borderId="1" xfId="1" applyNumberFormat="1" applyBorder="1"/>
    <xf numFmtId="168" fontId="38" fillId="0" borderId="0" xfId="1" applyNumberFormat="1" applyFont="1" applyAlignment="1">
      <alignment horizontal="left"/>
    </xf>
    <xf numFmtId="9" fontId="1" fillId="0" borderId="0" xfId="3"/>
    <xf numFmtId="0" fontId="39" fillId="0" borderId="0" xfId="0" applyFont="1" applyAlignment="1">
      <alignment horizontal="center"/>
    </xf>
    <xf numFmtId="0" fontId="40" fillId="0" borderId="0" xfId="0" applyFont="1" applyAlignment="1">
      <alignment horizontal="center"/>
    </xf>
    <xf numFmtId="165" fontId="39" fillId="0" borderId="0" xfId="3" applyNumberFormat="1" applyFont="1" applyAlignment="1">
      <alignment horizontal="center"/>
    </xf>
    <xf numFmtId="165" fontId="41" fillId="0" borderId="0" xfId="0" applyNumberFormat="1" applyFont="1" applyAlignment="1">
      <alignment horizontal="center"/>
    </xf>
    <xf numFmtId="0" fontId="40" fillId="0" borderId="0" xfId="0" applyFont="1" applyAlignment="1">
      <alignment horizontal="center" wrapText="1"/>
    </xf>
    <xf numFmtId="165" fontId="41" fillId="0" borderId="0" xfId="3" applyNumberFormat="1" applyFont="1" applyAlignment="1">
      <alignment horizontal="center"/>
    </xf>
    <xf numFmtId="9" fontId="41" fillId="0" borderId="0" xfId="3" applyFont="1" applyAlignment="1">
      <alignment horizontal="center"/>
    </xf>
    <xf numFmtId="0" fontId="41" fillId="0" borderId="0" xfId="0" applyFont="1" applyAlignment="1">
      <alignment horizontal="center"/>
    </xf>
    <xf numFmtId="167" fontId="0" fillId="0" borderId="28" xfId="1" applyNumberFormat="1" applyFont="1" applyBorder="1"/>
    <xf numFmtId="0" fontId="0" fillId="0" borderId="0" xfId="0" quotePrefix="1"/>
    <xf numFmtId="10" fontId="0" fillId="0" borderId="0" xfId="0" applyNumberFormat="1" applyAlignment="1">
      <alignment horizontal="center"/>
    </xf>
    <xf numFmtId="10" fontId="0" fillId="0" borderId="0" xfId="3" applyNumberFormat="1" applyFont="1" applyAlignment="1">
      <alignment horizontal="center"/>
    </xf>
    <xf numFmtId="0" fontId="43" fillId="0" borderId="0" xfId="6" applyFont="1" applyAlignment="1">
      <alignment horizontal="center"/>
    </xf>
    <xf numFmtId="0" fontId="43" fillId="0" borderId="0" xfId="6" applyFont="1"/>
    <xf numFmtId="0" fontId="44" fillId="0" borderId="0" xfId="6" applyFont="1"/>
    <xf numFmtId="2" fontId="44" fillId="0" borderId="0" xfId="6" applyNumberFormat="1" applyFont="1"/>
    <xf numFmtId="0" fontId="0" fillId="0" borderId="2" xfId="0" applyBorder="1" applyAlignment="1">
      <alignment horizontal="center"/>
    </xf>
    <xf numFmtId="167" fontId="0" fillId="0" borderId="1" xfId="0" applyNumberFormat="1" applyBorder="1"/>
    <xf numFmtId="167" fontId="2" fillId="0" borderId="2" xfId="0" applyNumberFormat="1" applyFont="1" applyBorder="1"/>
    <xf numFmtId="0" fontId="4" fillId="0" borderId="0" xfId="6" applyAlignment="1">
      <alignment horizontal="center"/>
    </xf>
    <xf numFmtId="8" fontId="4" fillId="0" borderId="0" xfId="6" applyNumberFormat="1"/>
    <xf numFmtId="164" fontId="1" fillId="0" borderId="0" xfId="2" applyNumberFormat="1"/>
    <xf numFmtId="167" fontId="10" fillId="0" borderId="0" xfId="1" applyNumberFormat="1" applyFont="1"/>
    <xf numFmtId="171" fontId="45" fillId="0" borderId="0" xfId="6" applyNumberFormat="1" applyFont="1"/>
    <xf numFmtId="177" fontId="0" fillId="0" borderId="0" xfId="0" applyNumberFormat="1"/>
    <xf numFmtId="0" fontId="48" fillId="0" borderId="0" xfId="6" applyFont="1" applyAlignment="1">
      <alignment horizontal="center"/>
    </xf>
    <xf numFmtId="0" fontId="49" fillId="0" borderId="0" xfId="6" applyFont="1" applyAlignment="1">
      <alignment horizontal="left"/>
    </xf>
    <xf numFmtId="9" fontId="0" fillId="0" borderId="0" xfId="3" applyFont="1" applyAlignment="1">
      <alignment horizontal="left"/>
    </xf>
    <xf numFmtId="9" fontId="1" fillId="0" borderId="0" xfId="3" applyAlignment="1">
      <alignment horizontal="left"/>
    </xf>
    <xf numFmtId="167" fontId="9" fillId="0" borderId="2" xfId="1" applyNumberFormat="1" applyFont="1" applyBorder="1"/>
    <xf numFmtId="0" fontId="0" fillId="0" borderId="28" xfId="0" applyBorder="1" applyAlignment="1">
      <alignment wrapText="1"/>
    </xf>
    <xf numFmtId="0" fontId="0" fillId="0" borderId="28" xfId="0" applyBorder="1"/>
    <xf numFmtId="165" fontId="0" fillId="0" borderId="28" xfId="0" applyNumberFormat="1" applyBorder="1"/>
    <xf numFmtId="165" fontId="10" fillId="0" borderId="0" xfId="0" applyNumberFormat="1" applyFont="1"/>
    <xf numFmtId="167" fontId="10" fillId="0" borderId="0" xfId="0" applyNumberFormat="1" applyFont="1"/>
    <xf numFmtId="165" fontId="0" fillId="4" borderId="28" xfId="0" applyNumberFormat="1" applyFill="1" applyBorder="1"/>
    <xf numFmtId="0" fontId="52" fillId="0" borderId="0" xfId="0" applyFont="1"/>
    <xf numFmtId="0" fontId="4" fillId="0" borderId="0" xfId="0" applyFont="1"/>
    <xf numFmtId="166" fontId="44" fillId="0" borderId="0" xfId="1" applyNumberFormat="1" applyFont="1"/>
    <xf numFmtId="165" fontId="44" fillId="0" borderId="0" xfId="3" applyNumberFormat="1" applyFont="1"/>
    <xf numFmtId="166" fontId="43" fillId="0" borderId="0" xfId="0" applyNumberFormat="1" applyFont="1"/>
    <xf numFmtId="9" fontId="44" fillId="0" borderId="0" xfId="3" applyFont="1"/>
    <xf numFmtId="0" fontId="44" fillId="0" borderId="0" xfId="0" applyFont="1"/>
    <xf numFmtId="0" fontId="31" fillId="0" borderId="0" xfId="0" applyFont="1" applyAlignment="1">
      <alignment wrapText="1"/>
    </xf>
    <xf numFmtId="0" fontId="31" fillId="0" borderId="0" xfId="0" applyFont="1"/>
    <xf numFmtId="167" fontId="31" fillId="0" borderId="0" xfId="1" applyNumberFormat="1" applyFont="1"/>
    <xf numFmtId="165" fontId="31" fillId="0" borderId="0" xfId="3" applyNumberFormat="1" applyFont="1"/>
    <xf numFmtId="167" fontId="43" fillId="0" borderId="0" xfId="1" applyNumberFormat="1" applyFont="1"/>
    <xf numFmtId="165" fontId="44" fillId="0" borderId="0" xfId="0" applyNumberFormat="1" applyFont="1"/>
    <xf numFmtId="167" fontId="47" fillId="0" borderId="0" xfId="1" applyNumberFormat="1" applyFont="1"/>
    <xf numFmtId="165" fontId="47" fillId="0" borderId="0" xfId="3" applyNumberFormat="1" applyFont="1"/>
    <xf numFmtId="165" fontId="31" fillId="0" borderId="0" xfId="0" applyNumberFormat="1" applyFont="1"/>
    <xf numFmtId="167" fontId="31" fillId="0" borderId="0" xfId="0" applyNumberFormat="1" applyFont="1"/>
    <xf numFmtId="167" fontId="3" fillId="0" borderId="0" xfId="1" applyNumberFormat="1" applyFont="1" applyAlignment="1">
      <alignment vertical="top"/>
    </xf>
    <xf numFmtId="0" fontId="51" fillId="0" borderId="0" xfId="1" applyNumberFormat="1" applyFont="1" applyAlignment="1">
      <alignment horizontal="center" vertical="top"/>
    </xf>
    <xf numFmtId="0" fontId="54" fillId="0" borderId="0" xfId="0" applyFont="1" applyAlignment="1">
      <alignment horizontal="center"/>
    </xf>
    <xf numFmtId="0" fontId="53" fillId="0" borderId="0" xfId="0" applyFont="1"/>
    <xf numFmtId="167" fontId="52" fillId="0" borderId="0" xfId="1" applyNumberFormat="1" applyFont="1" applyAlignment="1">
      <alignment vertical="top"/>
    </xf>
    <xf numFmtId="167" fontId="50" fillId="0" borderId="0" xfId="1" applyNumberFormat="1" applyFont="1" applyAlignment="1">
      <alignment vertical="top"/>
    </xf>
    <xf numFmtId="167" fontId="50" fillId="0" borderId="0" xfId="0" applyNumberFormat="1" applyFont="1"/>
    <xf numFmtId="167" fontId="6" fillId="0" borderId="0" xfId="1" applyNumberFormat="1" applyFont="1" applyAlignment="1">
      <alignment vertical="top"/>
    </xf>
    <xf numFmtId="0" fontId="50" fillId="0" borderId="0" xfId="0" applyFont="1"/>
    <xf numFmtId="167" fontId="50" fillId="0" borderId="0" xfId="1" applyNumberFormat="1" applyFont="1"/>
    <xf numFmtId="9" fontId="50" fillId="0" borderId="0" xfId="3" applyFont="1" applyAlignment="1">
      <alignment vertical="top"/>
    </xf>
    <xf numFmtId="167" fontId="53" fillId="0" borderId="0" xfId="1" applyNumberFormat="1" applyFont="1"/>
    <xf numFmtId="0" fontId="6" fillId="0" borderId="0" xfId="0" applyFont="1"/>
    <xf numFmtId="0" fontId="0" fillId="0" borderId="0" xfId="2" applyNumberFormat="1" applyFont="1" applyAlignment="1">
      <alignment horizontal="center"/>
    </xf>
    <xf numFmtId="0" fontId="0" fillId="0" borderId="0" xfId="0" applyAlignment="1">
      <alignment horizontal="left" vertical="center" indent="9"/>
    </xf>
    <xf numFmtId="0" fontId="46" fillId="0" borderId="0" xfId="0" applyFont="1"/>
    <xf numFmtId="165" fontId="32" fillId="0" borderId="0" xfId="0" applyNumberFormat="1" applyFont="1"/>
    <xf numFmtId="167" fontId="2" fillId="0" borderId="0" xfId="1" applyNumberFormat="1" applyFont="1"/>
    <xf numFmtId="165" fontId="2" fillId="0" borderId="0" xfId="3" applyNumberFormat="1" applyFont="1"/>
    <xf numFmtId="167" fontId="2" fillId="0" borderId="0" xfId="0" applyNumberFormat="1" applyFont="1"/>
    <xf numFmtId="165" fontId="0" fillId="0" borderId="0" xfId="0" applyNumberFormat="1"/>
    <xf numFmtId="3" fontId="0" fillId="0" borderId="0" xfId="0" applyNumberFormat="1"/>
    <xf numFmtId="167" fontId="42" fillId="0" borderId="0" xfId="1" applyNumberFormat="1" applyFont="1" applyAlignment="1">
      <alignment horizontal="center"/>
    </xf>
    <xf numFmtId="0" fontId="0" fillId="0" borderId="0" xfId="0" applyAlignment="1">
      <alignment horizontal="center" vertical="center"/>
    </xf>
    <xf numFmtId="167" fontId="1" fillId="0" borderId="0" xfId="1" applyNumberFormat="1" applyAlignment="1">
      <alignment horizontal="center" vertical="center"/>
    </xf>
    <xf numFmtId="167" fontId="0" fillId="0" borderId="0" xfId="0" applyNumberFormat="1" applyAlignment="1">
      <alignment horizontal="center" vertical="center"/>
    </xf>
    <xf numFmtId="165" fontId="39" fillId="0" borderId="0" xfId="0" applyNumberFormat="1" applyFont="1" applyAlignment="1">
      <alignment horizontal="center" vertical="center"/>
    </xf>
    <xf numFmtId="167" fontId="0" fillId="0" borderId="0" xfId="1" applyNumberFormat="1" applyFont="1" applyAlignment="1">
      <alignment horizontal="center" vertical="center"/>
    </xf>
    <xf numFmtId="0" fontId="31" fillId="0" borderId="0" xfId="0" applyFont="1" applyAlignment="1">
      <alignment horizontal="center" vertical="center"/>
    </xf>
    <xf numFmtId="167" fontId="31" fillId="0" borderId="0" xfId="0" applyNumberFormat="1" applyFont="1" applyAlignment="1">
      <alignment horizontal="center" vertical="center"/>
    </xf>
    <xf numFmtId="165" fontId="31" fillId="0" borderId="0" xfId="3" applyNumberFormat="1" applyFont="1" applyAlignment="1">
      <alignment horizontal="center" vertical="center"/>
    </xf>
    <xf numFmtId="167" fontId="2" fillId="0" borderId="0" xfId="1" applyNumberFormat="1" applyFont="1" applyAlignment="1">
      <alignment horizontal="center" vertical="center"/>
    </xf>
    <xf numFmtId="165" fontId="39" fillId="0" borderId="0" xfId="3" applyNumberFormat="1" applyFont="1" applyAlignment="1">
      <alignment horizontal="center" vertical="center"/>
    </xf>
    <xf numFmtId="167" fontId="2" fillId="0" borderId="0" xfId="0" applyNumberFormat="1" applyFont="1" applyAlignment="1">
      <alignment horizontal="center" vertical="center"/>
    </xf>
    <xf numFmtId="165" fontId="2" fillId="0" borderId="0" xfId="3" applyNumberFormat="1" applyFont="1" applyAlignment="1">
      <alignment horizontal="center" vertical="center"/>
    </xf>
    <xf numFmtId="167" fontId="2" fillId="0" borderId="0" xfId="0" applyNumberFormat="1" applyFont="1" applyAlignment="1">
      <alignment horizontal="left" vertical="center"/>
    </xf>
    <xf numFmtId="0" fontId="9" fillId="0" borderId="0" xfId="0" applyFont="1" applyAlignment="1">
      <alignment horizontal="left" vertical="center"/>
    </xf>
    <xf numFmtId="165" fontId="0" fillId="0" borderId="0" xfId="3" applyNumberFormat="1" applyFont="1" applyAlignment="1">
      <alignment vertical="center"/>
    </xf>
    <xf numFmtId="0" fontId="56" fillId="0" borderId="0" xfId="0" applyFont="1"/>
    <xf numFmtId="0" fontId="11" fillId="0" borderId="0" xfId="4" applyFont="1" applyAlignment="1"/>
    <xf numFmtId="165" fontId="39" fillId="0" borderId="3" xfId="3" applyNumberFormat="1" applyFont="1" applyBorder="1" applyAlignment="1">
      <alignment horizontal="center"/>
    </xf>
    <xf numFmtId="165" fontId="41" fillId="0" borderId="3" xfId="3" applyNumberFormat="1" applyFont="1" applyBorder="1" applyAlignment="1">
      <alignment horizontal="center"/>
    </xf>
    <xf numFmtId="0" fontId="57" fillId="0" borderId="0" xfId="0" applyFont="1" applyAlignment="1">
      <alignment horizontal="center"/>
    </xf>
    <xf numFmtId="0" fontId="33" fillId="0" borderId="0" xfId="0" applyFont="1"/>
    <xf numFmtId="9" fontId="0" fillId="0" borderId="0" xfId="3" applyFont="1"/>
    <xf numFmtId="167" fontId="0" fillId="0" borderId="3" xfId="0" applyNumberFormat="1" applyBorder="1" applyAlignment="1">
      <alignment horizontal="center" vertical="center"/>
    </xf>
    <xf numFmtId="167" fontId="0" fillId="0" borderId="3" xfId="1" applyNumberFormat="1" applyFont="1" applyBorder="1" applyAlignment="1">
      <alignment horizontal="center" vertical="center"/>
    </xf>
    <xf numFmtId="165" fontId="1" fillId="0" borderId="0" xfId="3" applyNumberFormat="1" applyAlignment="1">
      <alignment horizontal="center" vertical="center"/>
    </xf>
    <xf numFmtId="0" fontId="0" fillId="0" borderId="30" xfId="0" applyBorder="1" applyAlignment="1">
      <alignment wrapText="1"/>
    </xf>
    <xf numFmtId="0" fontId="58" fillId="0" borderId="0" xfId="0" applyFont="1" applyAlignment="1">
      <alignment horizontal="right" indent="2"/>
    </xf>
    <xf numFmtId="0" fontId="32" fillId="0" borderId="0" xfId="0" applyFont="1" applyAlignment="1">
      <alignment horizontal="left" indent="2"/>
    </xf>
    <xf numFmtId="0" fontId="9" fillId="0" borderId="0" xfId="0" applyFont="1" applyAlignment="1">
      <alignment horizontal="left"/>
    </xf>
    <xf numFmtId="0" fontId="32" fillId="0" borderId="0" xfId="0" applyFont="1" applyAlignment="1">
      <alignment horizontal="left" wrapText="1" indent="2"/>
    </xf>
    <xf numFmtId="0" fontId="0" fillId="0" borderId="0" xfId="0" applyAlignment="1">
      <alignment horizontal="left" vertical="center" indent="2"/>
    </xf>
    <xf numFmtId="165" fontId="0" fillId="0" borderId="0" xfId="3" applyNumberFormat="1" applyFont="1" applyAlignment="1">
      <alignment horizontal="left" vertical="center" indent="2"/>
    </xf>
    <xf numFmtId="165" fontId="0" fillId="0" borderId="0" xfId="3" applyNumberFormat="1" applyFont="1" applyAlignment="1">
      <alignment horizontal="left" vertical="center" wrapText="1" indent="2"/>
    </xf>
    <xf numFmtId="167" fontId="58" fillId="0" borderId="0" xfId="0" applyNumberFormat="1" applyFont="1"/>
    <xf numFmtId="0" fontId="58" fillId="0" borderId="0" xfId="0" applyFont="1"/>
    <xf numFmtId="0" fontId="34" fillId="0" borderId="0" xfId="5" applyFont="1"/>
    <xf numFmtId="0" fontId="34" fillId="0" borderId="0" xfId="5" applyFont="1" applyAlignment="1">
      <alignment horizontal="left"/>
    </xf>
    <xf numFmtId="167" fontId="34" fillId="0" borderId="0" xfId="5" applyNumberFormat="1" applyFont="1" applyAlignment="1">
      <alignment horizontal="left"/>
    </xf>
    <xf numFmtId="0" fontId="59" fillId="0" borderId="0" xfId="4" applyFont="1" applyAlignment="1"/>
    <xf numFmtId="168" fontId="59" fillId="0" borderId="0" xfId="1" applyNumberFormat="1" applyFont="1"/>
    <xf numFmtId="168" fontId="35" fillId="0" borderId="0" xfId="1" applyNumberFormat="1" applyFont="1" applyAlignment="1">
      <alignment vertical="center"/>
    </xf>
    <xf numFmtId="0" fontId="35" fillId="0" borderId="0" xfId="4" applyFont="1" applyAlignment="1">
      <alignment vertical="center"/>
    </xf>
    <xf numFmtId="0" fontId="34" fillId="0" borderId="0" xfId="5" applyFont="1" applyAlignment="1">
      <alignment horizontal="left" vertical="center"/>
    </xf>
    <xf numFmtId="167" fontId="1" fillId="0" borderId="0" xfId="1" applyNumberFormat="1" applyAlignment="1">
      <alignment vertical="center"/>
    </xf>
    <xf numFmtId="0" fontId="1" fillId="0" borderId="0" xfId="0" applyFont="1" applyAlignment="1">
      <alignment vertical="center"/>
    </xf>
    <xf numFmtId="167" fontId="37" fillId="0" borderId="0" xfId="1" applyNumberFormat="1" applyFont="1" applyAlignment="1">
      <alignment vertical="center"/>
    </xf>
    <xf numFmtId="0" fontId="0" fillId="0" borderId="33" xfId="0" applyBorder="1"/>
    <xf numFmtId="0" fontId="0" fillId="0" borderId="34" xfId="0" applyBorder="1"/>
    <xf numFmtId="0" fontId="0" fillId="0" borderId="30" xfId="0" applyBorder="1" applyAlignment="1">
      <alignment vertical="top" wrapText="1"/>
    </xf>
    <xf numFmtId="168" fontId="1" fillId="0" borderId="0" xfId="1" applyNumberFormat="1" applyAlignment="1">
      <alignment vertical="center"/>
    </xf>
    <xf numFmtId="0" fontId="1" fillId="0" borderId="0" xfId="5" applyFont="1" applyAlignment="1">
      <alignment horizontal="left" vertical="center"/>
    </xf>
    <xf numFmtId="0" fontId="0" fillId="0" borderId="0" xfId="0" applyAlignment="1">
      <alignment vertical="center"/>
    </xf>
    <xf numFmtId="0" fontId="0" fillId="0" borderId="33" xfId="0" applyBorder="1" applyAlignment="1">
      <alignment wrapText="1"/>
    </xf>
    <xf numFmtId="0" fontId="34" fillId="0" borderId="0" xfId="5" applyFont="1" applyAlignment="1">
      <alignment vertical="center"/>
    </xf>
    <xf numFmtId="167" fontId="1" fillId="0" borderId="0" xfId="0" applyNumberFormat="1" applyFont="1" applyAlignment="1">
      <alignment vertical="center"/>
    </xf>
    <xf numFmtId="167" fontId="35" fillId="5" borderId="0" xfId="1" applyNumberFormat="1" applyFont="1" applyFill="1"/>
    <xf numFmtId="165" fontId="1" fillId="5" borderId="0" xfId="3" applyNumberFormat="1" applyFill="1"/>
    <xf numFmtId="164" fontId="58" fillId="0" borderId="0" xfId="2" applyNumberFormat="1" applyFont="1"/>
    <xf numFmtId="0" fontId="11" fillId="0" borderId="0" xfId="2" applyNumberFormat="1" applyFont="1" applyAlignment="1">
      <alignment horizontal="center"/>
    </xf>
    <xf numFmtId="0" fontId="60" fillId="0" borderId="0" xfId="0" applyFont="1"/>
    <xf numFmtId="0" fontId="52" fillId="0" borderId="0" xfId="0" applyFont="1" applyAlignment="1">
      <alignment vertical="top"/>
    </xf>
    <xf numFmtId="0" fontId="0" fillId="0" borderId="30" xfId="0" applyFont="1" applyBorder="1" applyAlignment="1">
      <alignment wrapText="1"/>
    </xf>
    <xf numFmtId="167" fontId="0" fillId="0" borderId="3" xfId="1" applyNumberFormat="1" applyFont="1" applyFill="1" applyBorder="1" applyAlignment="1">
      <alignment horizontal="left"/>
    </xf>
    <xf numFmtId="0" fontId="60" fillId="0" borderId="0" xfId="0" applyFont="1" applyAlignment="1">
      <alignment horizontal="center"/>
    </xf>
    <xf numFmtId="0" fontId="52" fillId="0" borderId="0" xfId="0" applyFont="1" applyAlignment="1">
      <alignment horizontal="left" wrapText="1"/>
    </xf>
    <xf numFmtId="0" fontId="52" fillId="0" borderId="0" xfId="0" applyFont="1" applyAlignment="1">
      <alignment horizontal="left" vertical="top" wrapText="1"/>
    </xf>
    <xf numFmtId="0" fontId="52" fillId="0" borderId="0" xfId="0" applyFont="1" applyAlignment="1">
      <alignment vertical="top" wrapText="1"/>
    </xf>
    <xf numFmtId="0" fontId="0" fillId="0" borderId="0" xfId="0" applyAlignment="1">
      <alignment horizontal="center"/>
    </xf>
    <xf numFmtId="0" fontId="2" fillId="0" borderId="0" xfId="0" applyFont="1" applyAlignment="1">
      <alignment horizontal="center"/>
    </xf>
    <xf numFmtId="167" fontId="4" fillId="0" borderId="0" xfId="1" quotePrefix="1" applyNumberFormat="1" applyFont="1" applyAlignment="1">
      <alignment horizontal="center" vertical="top"/>
    </xf>
    <xf numFmtId="167" fontId="4" fillId="0" borderId="0" xfId="1" applyNumberFormat="1" applyFont="1" applyAlignment="1">
      <alignment horizontal="center" vertical="top"/>
    </xf>
    <xf numFmtId="167" fontId="35" fillId="5" borderId="0" xfId="1" applyNumberFormat="1" applyFont="1" applyFill="1" applyAlignment="1">
      <alignment horizontal="center"/>
    </xf>
    <xf numFmtId="0" fontId="0" fillId="0" borderId="33" xfId="0" applyBorder="1" applyAlignment="1">
      <alignment vertical="center"/>
    </xf>
    <xf numFmtId="0" fontId="1" fillId="0" borderId="35" xfId="0" applyFont="1" applyBorder="1" applyAlignment="1">
      <alignment vertical="center"/>
    </xf>
    <xf numFmtId="0" fontId="1" fillId="0" borderId="34" xfId="0" applyFont="1" applyBorder="1" applyAlignment="1">
      <alignment vertical="center"/>
    </xf>
    <xf numFmtId="0" fontId="0" fillId="0" borderId="33" xfId="0" applyBorder="1" applyAlignment="1">
      <alignment horizontal="left" vertical="center"/>
    </xf>
    <xf numFmtId="0" fontId="1" fillId="0" borderId="35" xfId="0" applyFont="1" applyBorder="1" applyAlignment="1">
      <alignment horizontal="left" vertical="center"/>
    </xf>
    <xf numFmtId="0" fontId="1" fillId="0" borderId="34" xfId="0" applyFont="1" applyBorder="1" applyAlignment="1">
      <alignment horizontal="left" vertical="center"/>
    </xf>
    <xf numFmtId="167" fontId="9" fillId="0" borderId="4" xfId="1" quotePrefix="1" applyNumberFormat="1" applyFont="1" applyBorder="1" applyAlignment="1">
      <alignment horizontal="center" vertical="center"/>
    </xf>
    <xf numFmtId="167" fontId="9" fillId="0" borderId="5" xfId="1" applyNumberFormat="1" applyFont="1" applyBorder="1" applyAlignment="1">
      <alignment horizontal="center" vertical="center"/>
    </xf>
    <xf numFmtId="0" fontId="52" fillId="0" borderId="0" xfId="0" applyFont="1" applyAlignment="1">
      <alignment horizontal="center"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2" fillId="0" borderId="4" xfId="0" applyFont="1" applyBorder="1" applyAlignment="1">
      <alignment horizontal="center" wrapText="1"/>
    </xf>
    <xf numFmtId="0" fontId="2" fillId="0" borderId="29" xfId="0" applyFont="1" applyBorder="1" applyAlignment="1">
      <alignment horizontal="center" wrapText="1"/>
    </xf>
    <xf numFmtId="0" fontId="2" fillId="0" borderId="5" xfId="0" applyFont="1" applyBorder="1" applyAlignment="1">
      <alignment horizontal="center" wrapText="1"/>
    </xf>
    <xf numFmtId="165" fontId="0" fillId="0" borderId="0" xfId="0" applyNumberFormat="1" applyAlignment="1">
      <alignment horizontal="right" vertical="center"/>
    </xf>
    <xf numFmtId="0" fontId="0" fillId="0" borderId="0" xfId="0" applyAlignment="1">
      <alignment horizontal="right" vertical="center"/>
    </xf>
    <xf numFmtId="0" fontId="4" fillId="2" borderId="20" xfId="6" applyFill="1" applyBorder="1" applyAlignment="1">
      <alignment horizontal="center"/>
    </xf>
    <xf numFmtId="0" fontId="4" fillId="2" borderId="1" xfId="6" applyFill="1" applyBorder="1" applyAlignment="1">
      <alignment horizontal="center"/>
    </xf>
    <xf numFmtId="0" fontId="4" fillId="2" borderId="21" xfId="6" applyFill="1" applyBorder="1" applyAlignment="1">
      <alignment horizontal="center"/>
    </xf>
    <xf numFmtId="0" fontId="36" fillId="0" borderId="0" xfId="4" applyFont="1" applyAlignment="1">
      <alignment horizontal="center"/>
    </xf>
    <xf numFmtId="44" fontId="61" fillId="0" borderId="0" xfId="0" applyNumberFormat="1" applyFont="1"/>
    <xf numFmtId="164" fontId="62" fillId="0" borderId="0" xfId="0" applyNumberFormat="1" applyFont="1" applyAlignment="1">
      <alignment horizontal="left" indent="1"/>
    </xf>
    <xf numFmtId="0" fontId="62" fillId="0" borderId="0" xfId="0" applyFont="1" applyAlignment="1">
      <alignment horizontal="left" indent="1"/>
    </xf>
    <xf numFmtId="0" fontId="37" fillId="0" borderId="0" xfId="0" applyFont="1"/>
    <xf numFmtId="0" fontId="63" fillId="0" borderId="0" xfId="0" applyFont="1"/>
    <xf numFmtId="165" fontId="37" fillId="0" borderId="0" xfId="3" applyNumberFormat="1" applyFont="1"/>
    <xf numFmtId="0" fontId="62" fillId="0" borderId="0" xfId="0" applyFont="1"/>
    <xf numFmtId="164" fontId="10" fillId="0" borderId="0" xfId="2" applyNumberFormat="1" applyFont="1"/>
    <xf numFmtId="0" fontId="64" fillId="0" borderId="0" xfId="0" applyFont="1" applyAlignment="1">
      <alignment horizontal="center"/>
    </xf>
    <xf numFmtId="164" fontId="65" fillId="0" borderId="0" xfId="0" applyNumberFormat="1" applyFont="1"/>
    <xf numFmtId="164" fontId="37" fillId="0" borderId="0" xfId="0" applyNumberFormat="1" applyFont="1" applyAlignment="1">
      <alignment horizontal="left" indent="1"/>
    </xf>
    <xf numFmtId="0" fontId="37" fillId="0" borderId="0" xfId="0" applyFont="1" applyAlignment="1">
      <alignment horizontal="left" indent="1"/>
    </xf>
    <xf numFmtId="44" fontId="37" fillId="0" borderId="1" xfId="0" applyNumberFormat="1" applyFont="1" applyBorder="1" applyAlignment="1">
      <alignment horizontal="left" indent="1"/>
    </xf>
    <xf numFmtId="164" fontId="65" fillId="0" borderId="1" xfId="2" applyNumberFormat="1" applyFont="1" applyBorder="1"/>
    <xf numFmtId="164" fontId="65" fillId="0" borderId="2" xfId="2" applyNumberFormat="1" applyFont="1" applyBorder="1"/>
    <xf numFmtId="0" fontId="62" fillId="0" borderId="3" xfId="2" applyNumberFormat="1" applyFont="1" applyBorder="1" applyAlignment="1">
      <alignment horizontal="center"/>
    </xf>
    <xf numFmtId="167" fontId="62" fillId="0" borderId="0" xfId="1" applyNumberFormat="1" applyFont="1"/>
    <xf numFmtId="164" fontId="62" fillId="0" borderId="0" xfId="2" applyNumberFormat="1" applyFont="1"/>
    <xf numFmtId="44" fontId="62" fillId="0" borderId="1" xfId="0" applyNumberFormat="1" applyFont="1" applyBorder="1" applyAlignment="1">
      <alignment horizontal="left" indent="1"/>
    </xf>
    <xf numFmtId="164" fontId="61" fillId="0" borderId="1" xfId="2" applyNumberFormat="1" applyFont="1" applyBorder="1"/>
    <xf numFmtId="164" fontId="61" fillId="0" borderId="2" xfId="2" applyNumberFormat="1" applyFont="1" applyBorder="1"/>
    <xf numFmtId="165" fontId="62" fillId="0" borderId="0" xfId="3" applyNumberFormat="1" applyFont="1"/>
    <xf numFmtId="0" fontId="37" fillId="0" borderId="0" xfId="0" applyFont="1" applyAlignment="1">
      <alignment horizontal="right"/>
    </xf>
    <xf numFmtId="164" fontId="37" fillId="0" borderId="0" xfId="2" applyNumberFormat="1" applyFont="1"/>
    <xf numFmtId="0" fontId="10" fillId="0" borderId="0" xfId="0" applyFont="1" applyAlignment="1">
      <alignment horizontal="right"/>
    </xf>
  </cellXfs>
  <cellStyles count="12">
    <cellStyle name="Comma" xfId="1" builtinId="3"/>
    <cellStyle name="Comma 2" xfId="8"/>
    <cellStyle name="Currency" xfId="2" builtinId="4"/>
    <cellStyle name="Currency 2" xfId="11"/>
    <cellStyle name="Normal" xfId="0" builtinId="0"/>
    <cellStyle name="Normal 2" xfId="6"/>
    <cellStyle name="Normal 2 2" xfId="5"/>
    <cellStyle name="Normal 2 3" xfId="7"/>
    <cellStyle name="Normal 3" xfId="9"/>
    <cellStyle name="Normal 4" xfId="4"/>
    <cellStyle name="Percent" xfId="3" builtinId="5"/>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664534</xdr:colOff>
      <xdr:row>4</xdr:row>
      <xdr:rowOff>110754</xdr:rowOff>
    </xdr:from>
    <xdr:to>
      <xdr:col>3</xdr:col>
      <xdr:colOff>143982</xdr:colOff>
      <xdr:row>6</xdr:row>
      <xdr:rowOff>0</xdr:rowOff>
    </xdr:to>
    <xdr:sp macro="" textlink="">
      <xdr:nvSpPr>
        <xdr:cNvPr id="2" name="Right Brace 1">
          <a:extLst>
            <a:ext uri="{FF2B5EF4-FFF2-40B4-BE49-F238E27FC236}">
              <a16:creationId xmlns="" xmlns:a16="http://schemas.microsoft.com/office/drawing/2014/main" id="{00000000-0008-0000-0300-000002000000}"/>
            </a:ext>
          </a:extLst>
        </xdr:cNvPr>
        <xdr:cNvSpPr/>
      </xdr:nvSpPr>
      <xdr:spPr>
        <a:xfrm>
          <a:off x="4740348" y="886045"/>
          <a:ext cx="199361" cy="642385"/>
        </a:xfrm>
        <a:prstGeom prst="rightBrace">
          <a:avLst/>
        </a:prstGeom>
        <a:ln w="25400" cmpd="sng"/>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2</xdr:col>
      <xdr:colOff>708837</xdr:colOff>
      <xdr:row>10</xdr:row>
      <xdr:rowOff>287965</xdr:rowOff>
    </xdr:from>
    <xdr:to>
      <xdr:col>3</xdr:col>
      <xdr:colOff>293750</xdr:colOff>
      <xdr:row>12</xdr:row>
      <xdr:rowOff>106074</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4784651" y="2359099"/>
          <a:ext cx="304826" cy="371888"/>
        </a:xfrm>
        <a:prstGeom prst="rect">
          <a:avLst/>
        </a:prstGeom>
      </xdr:spPr>
    </xdr:pic>
    <xdr:clientData/>
  </xdr:twoCellAnchor>
  <xdr:twoCellAnchor editAs="oneCell">
    <xdr:from>
      <xdr:col>8</xdr:col>
      <xdr:colOff>0</xdr:colOff>
      <xdr:row>10</xdr:row>
      <xdr:rowOff>276889</xdr:rowOff>
    </xdr:from>
    <xdr:to>
      <xdr:col>8</xdr:col>
      <xdr:colOff>304826</xdr:colOff>
      <xdr:row>12</xdr:row>
      <xdr:rowOff>94998</xdr:rowOff>
    </xdr:to>
    <xdr:pic>
      <xdr:nvPicPr>
        <xdr:cNvPr id="5" name="Picture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7863663" y="2348023"/>
          <a:ext cx="304826" cy="371888"/>
        </a:xfrm>
        <a:prstGeom prst="rect">
          <a:avLst/>
        </a:prstGeom>
      </xdr:spPr>
    </xdr:pic>
    <xdr:clientData/>
  </xdr:twoCellAnchor>
  <xdr:twoCellAnchor editAs="oneCell">
    <xdr:from>
      <xdr:col>12</xdr:col>
      <xdr:colOff>664535</xdr:colOff>
      <xdr:row>10</xdr:row>
      <xdr:rowOff>299041</xdr:rowOff>
    </xdr:from>
    <xdr:to>
      <xdr:col>13</xdr:col>
      <xdr:colOff>260523</xdr:colOff>
      <xdr:row>12</xdr:row>
      <xdr:rowOff>117150</xdr:rowOff>
    </xdr:to>
    <xdr:pic>
      <xdr:nvPicPr>
        <xdr:cNvPr id="6" name="Picture 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0920523" y="2935029"/>
          <a:ext cx="304826" cy="371888"/>
        </a:xfrm>
        <a:prstGeom prst="rect">
          <a:avLst/>
        </a:prstGeom>
      </xdr:spPr>
    </xdr:pic>
    <xdr:clientData/>
  </xdr:twoCellAnchor>
  <xdr:twoCellAnchor>
    <xdr:from>
      <xdr:col>7</xdr:col>
      <xdr:colOff>664534</xdr:colOff>
      <xdr:row>4</xdr:row>
      <xdr:rowOff>110754</xdr:rowOff>
    </xdr:from>
    <xdr:to>
      <xdr:col>8</xdr:col>
      <xdr:colOff>143982</xdr:colOff>
      <xdr:row>6</xdr:row>
      <xdr:rowOff>0</xdr:rowOff>
    </xdr:to>
    <xdr:sp macro="" textlink="">
      <xdr:nvSpPr>
        <xdr:cNvPr id="11" name="Right Brace 10">
          <a:extLst>
            <a:ext uri="{FF2B5EF4-FFF2-40B4-BE49-F238E27FC236}">
              <a16:creationId xmlns="" xmlns:a16="http://schemas.microsoft.com/office/drawing/2014/main" id="{00000000-0008-0000-0300-00000B000000}"/>
            </a:ext>
          </a:extLst>
        </xdr:cNvPr>
        <xdr:cNvSpPr/>
      </xdr:nvSpPr>
      <xdr:spPr>
        <a:xfrm>
          <a:off x="4740348" y="886045"/>
          <a:ext cx="199361" cy="642385"/>
        </a:xfrm>
        <a:prstGeom prst="rightBrace">
          <a:avLst/>
        </a:prstGeom>
        <a:ln w="25400" cmpd="sng"/>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664534</xdr:colOff>
      <xdr:row>4</xdr:row>
      <xdr:rowOff>110754</xdr:rowOff>
    </xdr:from>
    <xdr:to>
      <xdr:col>13</xdr:col>
      <xdr:colOff>143982</xdr:colOff>
      <xdr:row>6</xdr:row>
      <xdr:rowOff>0</xdr:rowOff>
    </xdr:to>
    <xdr:sp macro="" textlink="">
      <xdr:nvSpPr>
        <xdr:cNvPr id="12" name="Right Brace 11">
          <a:extLst>
            <a:ext uri="{FF2B5EF4-FFF2-40B4-BE49-F238E27FC236}">
              <a16:creationId xmlns="" xmlns:a16="http://schemas.microsoft.com/office/drawing/2014/main" id="{00000000-0008-0000-0300-00000C000000}"/>
            </a:ext>
          </a:extLst>
        </xdr:cNvPr>
        <xdr:cNvSpPr/>
      </xdr:nvSpPr>
      <xdr:spPr>
        <a:xfrm>
          <a:off x="4740348" y="886045"/>
          <a:ext cx="199361" cy="642385"/>
        </a:xfrm>
        <a:prstGeom prst="rightBrace">
          <a:avLst/>
        </a:prstGeom>
        <a:ln w="25400" cmpd="sng"/>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110756</xdr:colOff>
      <xdr:row>24</xdr:row>
      <xdr:rowOff>155059</xdr:rowOff>
    </xdr:from>
    <xdr:to>
      <xdr:col>2</xdr:col>
      <xdr:colOff>631308</xdr:colOff>
      <xdr:row>24</xdr:row>
      <xdr:rowOff>365495</xdr:rowOff>
    </xdr:to>
    <xdr:sp macro="" textlink="">
      <xdr:nvSpPr>
        <xdr:cNvPr id="3" name="TextBox 2">
          <a:extLst>
            <a:ext uri="{FF2B5EF4-FFF2-40B4-BE49-F238E27FC236}">
              <a16:creationId xmlns="" xmlns:a16="http://schemas.microsoft.com/office/drawing/2014/main" id="{00000000-0008-0000-0300-000003000000}"/>
            </a:ext>
          </a:extLst>
        </xdr:cNvPr>
        <xdr:cNvSpPr txBox="1"/>
      </xdr:nvSpPr>
      <xdr:spPr>
        <a:xfrm>
          <a:off x="4186570" y="5792530"/>
          <a:ext cx="520552"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Sales</a:t>
          </a:r>
        </a:p>
      </xdr:txBody>
    </xdr:sp>
    <xdr:clientData/>
  </xdr:twoCellAnchor>
  <xdr:twoCellAnchor editAs="oneCell">
    <xdr:from>
      <xdr:col>2</xdr:col>
      <xdr:colOff>110755</xdr:colOff>
      <xdr:row>26</xdr:row>
      <xdr:rowOff>33228</xdr:rowOff>
    </xdr:from>
    <xdr:to>
      <xdr:col>2</xdr:col>
      <xdr:colOff>628960</xdr:colOff>
      <xdr:row>26</xdr:row>
      <xdr:rowOff>246606</xdr:rowOff>
    </xdr:to>
    <xdr:pic>
      <xdr:nvPicPr>
        <xdr:cNvPr id="7" name="Picture 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4186569" y="6900088"/>
          <a:ext cx="518205" cy="213378"/>
        </a:xfrm>
        <a:prstGeom prst="rect">
          <a:avLst/>
        </a:prstGeom>
      </xdr:spPr>
    </xdr:pic>
    <xdr:clientData/>
  </xdr:twoCellAnchor>
  <xdr:twoCellAnchor>
    <xdr:from>
      <xdr:col>2</xdr:col>
      <xdr:colOff>88604</xdr:colOff>
      <xdr:row>24</xdr:row>
      <xdr:rowOff>764216</xdr:rowOff>
    </xdr:from>
    <xdr:to>
      <xdr:col>2</xdr:col>
      <xdr:colOff>642383</xdr:colOff>
      <xdr:row>25</xdr:row>
      <xdr:rowOff>121832</xdr:rowOff>
    </xdr:to>
    <xdr:sp macro="" textlink="">
      <xdr:nvSpPr>
        <xdr:cNvPr id="10" name="TextBox 9">
          <a:extLst>
            <a:ext uri="{FF2B5EF4-FFF2-40B4-BE49-F238E27FC236}">
              <a16:creationId xmlns="" xmlns:a16="http://schemas.microsoft.com/office/drawing/2014/main" id="{00000000-0008-0000-0300-00000A000000}"/>
            </a:ext>
          </a:extLst>
        </xdr:cNvPr>
        <xdr:cNvSpPr txBox="1"/>
      </xdr:nvSpPr>
      <xdr:spPr>
        <a:xfrm>
          <a:off x="4164418" y="6401687"/>
          <a:ext cx="553779"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Pax</a:t>
          </a:r>
        </a:p>
      </xdr:txBody>
    </xdr:sp>
    <xdr:clientData/>
  </xdr:twoCellAnchor>
  <xdr:twoCellAnchor>
    <xdr:from>
      <xdr:col>7</xdr:col>
      <xdr:colOff>110756</xdr:colOff>
      <xdr:row>24</xdr:row>
      <xdr:rowOff>155059</xdr:rowOff>
    </xdr:from>
    <xdr:to>
      <xdr:col>7</xdr:col>
      <xdr:colOff>631308</xdr:colOff>
      <xdr:row>24</xdr:row>
      <xdr:rowOff>365495</xdr:rowOff>
    </xdr:to>
    <xdr:sp macro="" textlink="">
      <xdr:nvSpPr>
        <xdr:cNvPr id="14" name="TextBox 13">
          <a:extLst>
            <a:ext uri="{FF2B5EF4-FFF2-40B4-BE49-F238E27FC236}">
              <a16:creationId xmlns="" xmlns:a16="http://schemas.microsoft.com/office/drawing/2014/main" id="{00000000-0008-0000-0300-00000E000000}"/>
            </a:ext>
          </a:extLst>
        </xdr:cNvPr>
        <xdr:cNvSpPr txBox="1"/>
      </xdr:nvSpPr>
      <xdr:spPr>
        <a:xfrm>
          <a:off x="4186570" y="5792530"/>
          <a:ext cx="520552"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Sales</a:t>
          </a:r>
        </a:p>
      </xdr:txBody>
    </xdr:sp>
    <xdr:clientData/>
  </xdr:twoCellAnchor>
  <xdr:oneCellAnchor>
    <xdr:from>
      <xdr:col>7</xdr:col>
      <xdr:colOff>110755</xdr:colOff>
      <xdr:row>26</xdr:row>
      <xdr:rowOff>33228</xdr:rowOff>
    </xdr:from>
    <xdr:ext cx="518205" cy="213378"/>
    <xdr:pic>
      <xdr:nvPicPr>
        <xdr:cNvPr id="15" name="Picture 14">
          <a:extLst>
            <a:ext uri="{FF2B5EF4-FFF2-40B4-BE49-F238E27FC236}">
              <a16:creationId xmlns=""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4186569" y="6900088"/>
          <a:ext cx="518205" cy="213378"/>
        </a:xfrm>
        <a:prstGeom prst="rect">
          <a:avLst/>
        </a:prstGeom>
      </xdr:spPr>
    </xdr:pic>
    <xdr:clientData/>
  </xdr:oneCellAnchor>
  <xdr:twoCellAnchor>
    <xdr:from>
      <xdr:col>7</xdr:col>
      <xdr:colOff>88604</xdr:colOff>
      <xdr:row>24</xdr:row>
      <xdr:rowOff>764216</xdr:rowOff>
    </xdr:from>
    <xdr:to>
      <xdr:col>7</xdr:col>
      <xdr:colOff>642383</xdr:colOff>
      <xdr:row>25</xdr:row>
      <xdr:rowOff>121832</xdr:rowOff>
    </xdr:to>
    <xdr:sp macro="" textlink="">
      <xdr:nvSpPr>
        <xdr:cNvPr id="16" name="TextBox 15">
          <a:extLst>
            <a:ext uri="{FF2B5EF4-FFF2-40B4-BE49-F238E27FC236}">
              <a16:creationId xmlns="" xmlns:a16="http://schemas.microsoft.com/office/drawing/2014/main" id="{00000000-0008-0000-0300-000010000000}"/>
            </a:ext>
          </a:extLst>
        </xdr:cNvPr>
        <xdr:cNvSpPr txBox="1"/>
      </xdr:nvSpPr>
      <xdr:spPr>
        <a:xfrm>
          <a:off x="4164418" y="6401687"/>
          <a:ext cx="553779"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Pax</a:t>
          </a:r>
        </a:p>
      </xdr:txBody>
    </xdr:sp>
    <xdr:clientData/>
  </xdr:twoCellAnchor>
  <xdr:twoCellAnchor>
    <xdr:from>
      <xdr:col>12</xdr:col>
      <xdr:colOff>110756</xdr:colOff>
      <xdr:row>24</xdr:row>
      <xdr:rowOff>155059</xdr:rowOff>
    </xdr:from>
    <xdr:to>
      <xdr:col>12</xdr:col>
      <xdr:colOff>631308</xdr:colOff>
      <xdr:row>24</xdr:row>
      <xdr:rowOff>365495</xdr:rowOff>
    </xdr:to>
    <xdr:sp macro="" textlink="">
      <xdr:nvSpPr>
        <xdr:cNvPr id="17" name="TextBox 16">
          <a:extLst>
            <a:ext uri="{FF2B5EF4-FFF2-40B4-BE49-F238E27FC236}">
              <a16:creationId xmlns="" xmlns:a16="http://schemas.microsoft.com/office/drawing/2014/main" id="{00000000-0008-0000-0300-000011000000}"/>
            </a:ext>
          </a:extLst>
        </xdr:cNvPr>
        <xdr:cNvSpPr txBox="1"/>
      </xdr:nvSpPr>
      <xdr:spPr>
        <a:xfrm>
          <a:off x="7243430" y="5792530"/>
          <a:ext cx="520552"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Sales</a:t>
          </a:r>
        </a:p>
      </xdr:txBody>
    </xdr:sp>
    <xdr:clientData/>
  </xdr:twoCellAnchor>
  <xdr:oneCellAnchor>
    <xdr:from>
      <xdr:col>12</xdr:col>
      <xdr:colOff>110755</xdr:colOff>
      <xdr:row>26</xdr:row>
      <xdr:rowOff>33228</xdr:rowOff>
    </xdr:from>
    <xdr:ext cx="518205" cy="213378"/>
    <xdr:pic>
      <xdr:nvPicPr>
        <xdr:cNvPr id="18" name="Picture 17">
          <a:extLst>
            <a:ext uri="{FF2B5EF4-FFF2-40B4-BE49-F238E27FC236}">
              <a16:creationId xmlns="" xmlns:a16="http://schemas.microsoft.com/office/drawing/2014/main" id="{00000000-0008-0000-0300-000012000000}"/>
            </a:ext>
          </a:extLst>
        </xdr:cNvPr>
        <xdr:cNvPicPr>
          <a:picLocks noChangeAspect="1"/>
        </xdr:cNvPicPr>
      </xdr:nvPicPr>
      <xdr:blipFill>
        <a:blip xmlns:r="http://schemas.openxmlformats.org/officeDocument/2006/relationships" r:embed="rId2"/>
        <a:stretch>
          <a:fillRect/>
        </a:stretch>
      </xdr:blipFill>
      <xdr:spPr>
        <a:xfrm>
          <a:off x="7243429" y="6900088"/>
          <a:ext cx="518205" cy="213378"/>
        </a:xfrm>
        <a:prstGeom prst="rect">
          <a:avLst/>
        </a:prstGeom>
      </xdr:spPr>
    </xdr:pic>
    <xdr:clientData/>
  </xdr:oneCellAnchor>
  <xdr:twoCellAnchor>
    <xdr:from>
      <xdr:col>12</xdr:col>
      <xdr:colOff>88604</xdr:colOff>
      <xdr:row>24</xdr:row>
      <xdr:rowOff>764216</xdr:rowOff>
    </xdr:from>
    <xdr:to>
      <xdr:col>12</xdr:col>
      <xdr:colOff>642383</xdr:colOff>
      <xdr:row>25</xdr:row>
      <xdr:rowOff>121832</xdr:rowOff>
    </xdr:to>
    <xdr:sp macro="" textlink="">
      <xdr:nvSpPr>
        <xdr:cNvPr id="19" name="TextBox 18">
          <a:extLst>
            <a:ext uri="{FF2B5EF4-FFF2-40B4-BE49-F238E27FC236}">
              <a16:creationId xmlns="" xmlns:a16="http://schemas.microsoft.com/office/drawing/2014/main" id="{00000000-0008-0000-0300-000013000000}"/>
            </a:ext>
          </a:extLst>
        </xdr:cNvPr>
        <xdr:cNvSpPr txBox="1"/>
      </xdr:nvSpPr>
      <xdr:spPr>
        <a:xfrm>
          <a:off x="7221278" y="6401687"/>
          <a:ext cx="553779" cy="210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Pax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ILE\Accounting\Budgets\2019\2019%20Reservations%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FILE\Accounting\PAX%20Count\Pax%20Count%20Totals-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ILE\Accounting\Budgets\2019\2019%20SJC%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FILE\Accounting\Budgets\2019\2019%20Revenue%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CC S"/>
      <sheetName val="Summary"/>
      <sheetName val="2018 Actuals"/>
      <sheetName val="Salaries &amp; Wages"/>
      <sheetName val="Parking"/>
      <sheetName val="Depreication"/>
      <sheetName val="Commissions"/>
      <sheetName val="Employee Meals"/>
      <sheetName val="Employment Advertising "/>
      <sheetName val="Uniforms"/>
      <sheetName val="Employee Recognition"/>
      <sheetName val="Pax Luggage Freight"/>
      <sheetName val="Computer Supplies"/>
      <sheetName val="Office Supplies"/>
      <sheetName val="Postage"/>
      <sheetName val="Printing"/>
      <sheetName val="Training_Seminars &amp; Educ"/>
      <sheetName val="Computer Expense"/>
      <sheetName val="Comp Software Maint"/>
      <sheetName val="Other Professional Fees"/>
      <sheetName val="Travel"/>
      <sheetName val="Chart of Accts"/>
    </sheetNames>
    <sheetDataSet>
      <sheetData sheetId="0"/>
      <sheetData sheetId="1">
        <row r="14">
          <cell r="P14">
            <v>1483258.6874360547</v>
          </cell>
        </row>
        <row r="21">
          <cell r="P21">
            <v>21389.83317589041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Counts"/>
      <sheetName val="SEA-VIC Yearly Comp. PAX"/>
      <sheetName val="SEA-VIC Yearly Departure"/>
      <sheetName val="Yearly Totals"/>
      <sheetName val="Monthly Counts"/>
      <sheetName val="2018 PAX &amp; Departure Budget"/>
      <sheetName val="2017 PAX &amp; Departure Budget"/>
      <sheetName val="2016 PAX &amp; Departure Budget"/>
    </sheetNames>
    <sheetDataSet>
      <sheetData sheetId="0"/>
      <sheetData sheetId="1">
        <row r="24">
          <cell r="H24">
            <v>0</v>
          </cell>
          <cell r="K24">
            <v>0</v>
          </cell>
        </row>
        <row r="25">
          <cell r="H25">
            <v>0</v>
          </cell>
          <cell r="K25">
            <v>0</v>
          </cell>
        </row>
        <row r="26">
          <cell r="H26">
            <v>1772</v>
          </cell>
          <cell r="K26">
            <v>1890</v>
          </cell>
        </row>
        <row r="27">
          <cell r="H27">
            <v>2356</v>
          </cell>
          <cell r="K27">
            <v>3288</v>
          </cell>
        </row>
        <row r="28">
          <cell r="H28">
            <v>2857</v>
          </cell>
          <cell r="K28">
            <v>5311</v>
          </cell>
        </row>
        <row r="29">
          <cell r="H29">
            <v>8042</v>
          </cell>
          <cell r="K29">
            <v>9712</v>
          </cell>
        </row>
        <row r="30">
          <cell r="H30">
            <v>11525</v>
          </cell>
          <cell r="K30">
            <v>8960</v>
          </cell>
        </row>
        <row r="31">
          <cell r="H31">
            <v>11601</v>
          </cell>
          <cell r="K31">
            <v>2340</v>
          </cell>
        </row>
        <row r="32">
          <cell r="H32">
            <v>3900</v>
          </cell>
          <cell r="K32">
            <v>1698</v>
          </cell>
        </row>
        <row r="33">
          <cell r="H33">
            <v>959</v>
          </cell>
          <cell r="K33">
            <v>1722</v>
          </cell>
        </row>
        <row r="34">
          <cell r="H34">
            <v>0</v>
          </cell>
          <cell r="K34">
            <v>0</v>
          </cell>
        </row>
        <row r="35">
          <cell r="H35">
            <v>2396</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3_Vessel"/>
      <sheetName val="33_Vessel"/>
      <sheetName val="SJC"/>
      <sheetName val="Crew Wages"/>
      <sheetName val="OB Wages"/>
      <sheetName val="Supplies"/>
      <sheetName val="Fluids"/>
      <sheetName val="Maintenance"/>
      <sheetName val="Other"/>
    </sheetNames>
    <sheetDataSet>
      <sheetData sheetId="0">
        <row r="13">
          <cell r="D13">
            <v>0</v>
          </cell>
          <cell r="E13">
            <v>0</v>
          </cell>
          <cell r="F13">
            <v>0</v>
          </cell>
          <cell r="G13">
            <v>0</v>
          </cell>
          <cell r="H13">
            <v>0</v>
          </cell>
          <cell r="I13">
            <v>0</v>
          </cell>
          <cell r="J13">
            <v>0</v>
          </cell>
          <cell r="K13">
            <v>0</v>
          </cell>
          <cell r="L13">
            <v>0</v>
          </cell>
          <cell r="M13">
            <v>0</v>
          </cell>
          <cell r="N13">
            <v>0</v>
          </cell>
          <cell r="O13">
            <v>0</v>
          </cell>
        </row>
        <row r="14">
          <cell r="D14">
            <v>0</v>
          </cell>
          <cell r="E14">
            <v>0</v>
          </cell>
          <cell r="F14">
            <v>0</v>
          </cell>
          <cell r="G14">
            <v>0</v>
          </cell>
          <cell r="H14">
            <v>0</v>
          </cell>
          <cell r="I14">
            <v>0</v>
          </cell>
          <cell r="J14">
            <v>0</v>
          </cell>
          <cell r="K14">
            <v>0</v>
          </cell>
          <cell r="L14">
            <v>0</v>
          </cell>
          <cell r="M14">
            <v>0</v>
          </cell>
          <cell r="N14">
            <v>0</v>
          </cell>
          <cell r="O14">
            <v>0</v>
          </cell>
        </row>
        <row r="15">
          <cell r="D15">
            <v>0</v>
          </cell>
          <cell r="E15">
            <v>0</v>
          </cell>
          <cell r="F15">
            <v>0</v>
          </cell>
          <cell r="G15">
            <v>4810</v>
          </cell>
          <cell r="H15">
            <v>8837.4</v>
          </cell>
          <cell r="I15">
            <v>12854.4</v>
          </cell>
          <cell r="J15">
            <v>13282.880000000001</v>
          </cell>
          <cell r="K15">
            <v>13282.880000000001</v>
          </cell>
          <cell r="L15">
            <v>7284.16</v>
          </cell>
          <cell r="M15">
            <v>2570.88</v>
          </cell>
          <cell r="N15">
            <v>0</v>
          </cell>
          <cell r="O15">
            <v>0</v>
          </cell>
        </row>
        <row r="16">
          <cell r="D16">
            <v>0</v>
          </cell>
          <cell r="E16">
            <v>0</v>
          </cell>
          <cell r="F16">
            <v>0</v>
          </cell>
          <cell r="G16">
            <v>0</v>
          </cell>
          <cell r="H16">
            <v>0</v>
          </cell>
          <cell r="I16">
            <v>0</v>
          </cell>
          <cell r="J16">
            <v>0</v>
          </cell>
          <cell r="K16">
            <v>0</v>
          </cell>
          <cell r="L16">
            <v>0</v>
          </cell>
          <cell r="M16">
            <v>0</v>
          </cell>
          <cell r="N16">
            <v>0</v>
          </cell>
          <cell r="O16">
            <v>0</v>
          </cell>
        </row>
        <row r="17">
          <cell r="D17">
            <v>0</v>
          </cell>
          <cell r="E17">
            <v>0</v>
          </cell>
          <cell r="F17">
            <v>0</v>
          </cell>
          <cell r="G17">
            <v>0</v>
          </cell>
          <cell r="H17">
            <v>0</v>
          </cell>
          <cell r="I17">
            <v>0</v>
          </cell>
          <cell r="J17">
            <v>0</v>
          </cell>
          <cell r="K17">
            <v>0</v>
          </cell>
          <cell r="L17">
            <v>0</v>
          </cell>
          <cell r="M17">
            <v>0</v>
          </cell>
          <cell r="N17">
            <v>0</v>
          </cell>
          <cell r="O17">
            <v>0</v>
          </cell>
        </row>
        <row r="18">
          <cell r="D18">
            <v>0</v>
          </cell>
          <cell r="E18">
            <v>0</v>
          </cell>
          <cell r="F18">
            <v>0</v>
          </cell>
          <cell r="G18">
            <v>0</v>
          </cell>
          <cell r="H18">
            <v>0</v>
          </cell>
          <cell r="I18">
            <v>0</v>
          </cell>
          <cell r="J18">
            <v>0</v>
          </cell>
          <cell r="K18">
            <v>0</v>
          </cell>
          <cell r="L18">
            <v>0</v>
          </cell>
          <cell r="M18">
            <v>0</v>
          </cell>
          <cell r="N18">
            <v>0</v>
          </cell>
          <cell r="O18">
            <v>0</v>
          </cell>
        </row>
        <row r="19">
          <cell r="D19">
            <v>0</v>
          </cell>
          <cell r="E19">
            <v>0</v>
          </cell>
          <cell r="F19">
            <v>0</v>
          </cell>
          <cell r="G19">
            <v>0</v>
          </cell>
          <cell r="H19">
            <v>0</v>
          </cell>
          <cell r="I19">
            <v>0</v>
          </cell>
          <cell r="J19">
            <v>0</v>
          </cell>
          <cell r="K19">
            <v>0</v>
          </cell>
          <cell r="L19">
            <v>0</v>
          </cell>
          <cell r="M19">
            <v>0</v>
          </cell>
          <cell r="N19">
            <v>0</v>
          </cell>
          <cell r="O19">
            <v>0</v>
          </cell>
        </row>
        <row r="20">
          <cell r="D20">
            <v>0</v>
          </cell>
          <cell r="E20">
            <v>0</v>
          </cell>
          <cell r="F20">
            <v>0</v>
          </cell>
          <cell r="G20">
            <v>0</v>
          </cell>
          <cell r="H20">
            <v>0</v>
          </cell>
          <cell r="I20">
            <v>0</v>
          </cell>
          <cell r="J20">
            <v>0</v>
          </cell>
          <cell r="K20">
            <v>0</v>
          </cell>
          <cell r="L20">
            <v>0</v>
          </cell>
          <cell r="M20">
            <v>0</v>
          </cell>
          <cell r="N20">
            <v>0</v>
          </cell>
          <cell r="O20">
            <v>0</v>
          </cell>
        </row>
        <row r="21">
          <cell r="D21">
            <v>0</v>
          </cell>
          <cell r="E21">
            <v>0</v>
          </cell>
          <cell r="F21">
            <v>1200</v>
          </cell>
          <cell r="G21">
            <v>2000</v>
          </cell>
          <cell r="H21">
            <v>4400</v>
          </cell>
          <cell r="I21">
            <v>6000</v>
          </cell>
          <cell r="J21">
            <v>6200</v>
          </cell>
          <cell r="K21">
            <v>6200</v>
          </cell>
          <cell r="L21">
            <v>3400</v>
          </cell>
          <cell r="M21">
            <v>1200</v>
          </cell>
          <cell r="N21">
            <v>400</v>
          </cell>
          <cell r="O21">
            <v>1400</v>
          </cell>
        </row>
        <row r="22">
          <cell r="D22">
            <v>0</v>
          </cell>
          <cell r="E22">
            <v>0</v>
          </cell>
          <cell r="F22">
            <v>0</v>
          </cell>
          <cell r="G22">
            <v>0</v>
          </cell>
          <cell r="H22">
            <v>0</v>
          </cell>
          <cell r="I22">
            <v>0</v>
          </cell>
          <cell r="J22">
            <v>0</v>
          </cell>
          <cell r="K22">
            <v>0</v>
          </cell>
          <cell r="L22">
            <v>0</v>
          </cell>
          <cell r="M22">
            <v>0</v>
          </cell>
          <cell r="N22">
            <v>0</v>
          </cell>
          <cell r="O22">
            <v>0</v>
          </cell>
        </row>
        <row r="23">
          <cell r="D23">
            <v>0</v>
          </cell>
          <cell r="E23">
            <v>0</v>
          </cell>
          <cell r="F23">
            <v>0</v>
          </cell>
          <cell r="G23">
            <v>0</v>
          </cell>
          <cell r="H23">
            <v>0</v>
          </cell>
          <cell r="I23">
            <v>0</v>
          </cell>
          <cell r="J23">
            <v>0</v>
          </cell>
          <cell r="K23">
            <v>0</v>
          </cell>
          <cell r="L23">
            <v>0</v>
          </cell>
          <cell r="M23">
            <v>0</v>
          </cell>
          <cell r="N23">
            <v>0</v>
          </cell>
          <cell r="O23">
            <v>0</v>
          </cell>
        </row>
        <row r="24">
          <cell r="D24">
            <v>0</v>
          </cell>
          <cell r="E24">
            <v>0</v>
          </cell>
          <cell r="F24">
            <v>0</v>
          </cell>
          <cell r="G24">
            <v>0</v>
          </cell>
          <cell r="H24">
            <v>0</v>
          </cell>
          <cell r="I24">
            <v>0</v>
          </cell>
          <cell r="J24">
            <v>0</v>
          </cell>
          <cell r="K24">
            <v>0</v>
          </cell>
          <cell r="L24">
            <v>0</v>
          </cell>
          <cell r="M24">
            <v>0</v>
          </cell>
          <cell r="N24">
            <v>0</v>
          </cell>
          <cell r="O24">
            <v>0</v>
          </cell>
        </row>
        <row r="25">
          <cell r="D25">
            <v>0</v>
          </cell>
          <cell r="E25">
            <v>0</v>
          </cell>
          <cell r="F25">
            <v>0</v>
          </cell>
          <cell r="G25">
            <v>0</v>
          </cell>
          <cell r="H25">
            <v>0</v>
          </cell>
          <cell r="I25">
            <v>0</v>
          </cell>
          <cell r="J25">
            <v>0</v>
          </cell>
          <cell r="K25">
            <v>0</v>
          </cell>
          <cell r="L25">
            <v>0</v>
          </cell>
          <cell r="M25">
            <v>0</v>
          </cell>
          <cell r="N25">
            <v>0</v>
          </cell>
          <cell r="O25">
            <v>0</v>
          </cell>
        </row>
        <row r="26">
          <cell r="D26">
            <v>0</v>
          </cell>
          <cell r="E26">
            <v>0</v>
          </cell>
          <cell r="F26">
            <v>0</v>
          </cell>
          <cell r="G26">
            <v>0</v>
          </cell>
          <cell r="H26">
            <v>0</v>
          </cell>
          <cell r="I26">
            <v>0</v>
          </cell>
          <cell r="J26">
            <v>0</v>
          </cell>
          <cell r="K26">
            <v>0</v>
          </cell>
          <cell r="L26">
            <v>0</v>
          </cell>
          <cell r="M26">
            <v>0</v>
          </cell>
          <cell r="N26">
            <v>0</v>
          </cell>
          <cell r="O26">
            <v>0</v>
          </cell>
        </row>
        <row r="27">
          <cell r="D27">
            <v>0</v>
          </cell>
          <cell r="E27">
            <v>0</v>
          </cell>
          <cell r="F27">
            <v>0</v>
          </cell>
          <cell r="G27">
            <v>0</v>
          </cell>
          <cell r="H27">
            <v>0</v>
          </cell>
          <cell r="I27">
            <v>0</v>
          </cell>
          <cell r="J27">
            <v>0</v>
          </cell>
          <cell r="K27">
            <v>0</v>
          </cell>
          <cell r="L27">
            <v>0</v>
          </cell>
          <cell r="M27">
            <v>0</v>
          </cell>
          <cell r="N27">
            <v>0</v>
          </cell>
          <cell r="O27">
            <v>0</v>
          </cell>
        </row>
        <row r="28">
          <cell r="D28">
            <v>0</v>
          </cell>
          <cell r="E28">
            <v>0</v>
          </cell>
          <cell r="F28">
            <v>0</v>
          </cell>
          <cell r="G28">
            <v>0</v>
          </cell>
          <cell r="H28">
            <v>0</v>
          </cell>
          <cell r="I28">
            <v>0</v>
          </cell>
          <cell r="J28">
            <v>0</v>
          </cell>
          <cell r="K28">
            <v>0</v>
          </cell>
          <cell r="L28">
            <v>0</v>
          </cell>
          <cell r="M28">
            <v>0</v>
          </cell>
          <cell r="N28">
            <v>0</v>
          </cell>
          <cell r="O28">
            <v>0</v>
          </cell>
        </row>
        <row r="29">
          <cell r="D29">
            <v>0</v>
          </cell>
          <cell r="E29">
            <v>0</v>
          </cell>
          <cell r="F29">
            <v>0</v>
          </cell>
          <cell r="G29">
            <v>0</v>
          </cell>
          <cell r="H29">
            <v>0</v>
          </cell>
          <cell r="I29">
            <v>0</v>
          </cell>
          <cell r="J29">
            <v>0</v>
          </cell>
          <cell r="K29">
            <v>0</v>
          </cell>
          <cell r="L29">
            <v>0</v>
          </cell>
          <cell r="M29">
            <v>0</v>
          </cell>
          <cell r="N29">
            <v>0</v>
          </cell>
          <cell r="O29">
            <v>0</v>
          </cell>
        </row>
        <row r="30">
          <cell r="D30">
            <v>0</v>
          </cell>
          <cell r="E30">
            <v>0</v>
          </cell>
          <cell r="F30">
            <v>0</v>
          </cell>
          <cell r="G30">
            <v>0</v>
          </cell>
          <cell r="H30">
            <v>0</v>
          </cell>
          <cell r="I30">
            <v>0</v>
          </cell>
          <cell r="J30">
            <v>0</v>
          </cell>
          <cell r="K30">
            <v>0</v>
          </cell>
          <cell r="L30">
            <v>0</v>
          </cell>
          <cell r="M30">
            <v>0</v>
          </cell>
          <cell r="N30">
            <v>0</v>
          </cell>
          <cell r="O30">
            <v>0</v>
          </cell>
        </row>
        <row r="31">
          <cell r="D31">
            <v>0</v>
          </cell>
          <cell r="E31">
            <v>0</v>
          </cell>
          <cell r="F31">
            <v>0</v>
          </cell>
          <cell r="G31">
            <v>0</v>
          </cell>
          <cell r="H31">
            <v>0</v>
          </cell>
          <cell r="I31">
            <v>0</v>
          </cell>
          <cell r="J31">
            <v>0</v>
          </cell>
          <cell r="K31">
            <v>0</v>
          </cell>
          <cell r="L31">
            <v>0</v>
          </cell>
          <cell r="M31">
            <v>0</v>
          </cell>
          <cell r="N31">
            <v>0</v>
          </cell>
          <cell r="O31">
            <v>0</v>
          </cell>
        </row>
        <row r="32">
          <cell r="D32">
            <v>0</v>
          </cell>
          <cell r="E32">
            <v>0</v>
          </cell>
          <cell r="F32">
            <v>0</v>
          </cell>
          <cell r="G32">
            <v>0</v>
          </cell>
          <cell r="H32">
            <v>0</v>
          </cell>
          <cell r="I32">
            <v>0</v>
          </cell>
          <cell r="J32">
            <v>0</v>
          </cell>
          <cell r="K32">
            <v>0</v>
          </cell>
          <cell r="L32">
            <v>0</v>
          </cell>
          <cell r="M32">
            <v>0</v>
          </cell>
          <cell r="N32">
            <v>0</v>
          </cell>
          <cell r="O32">
            <v>0</v>
          </cell>
        </row>
        <row r="33">
          <cell r="D33">
            <v>0</v>
          </cell>
          <cell r="E33">
            <v>0</v>
          </cell>
          <cell r="F33">
            <v>0</v>
          </cell>
          <cell r="G33">
            <v>0</v>
          </cell>
          <cell r="H33">
            <v>0</v>
          </cell>
          <cell r="I33">
            <v>0</v>
          </cell>
          <cell r="J33">
            <v>0</v>
          </cell>
          <cell r="K33">
            <v>0</v>
          </cell>
          <cell r="L33">
            <v>0</v>
          </cell>
          <cell r="M33">
            <v>0</v>
          </cell>
          <cell r="N33">
            <v>0</v>
          </cell>
          <cell r="O33">
            <v>0</v>
          </cell>
        </row>
        <row r="34">
          <cell r="D34">
            <v>0</v>
          </cell>
          <cell r="E34">
            <v>0</v>
          </cell>
          <cell r="F34">
            <v>0</v>
          </cell>
          <cell r="G34">
            <v>0</v>
          </cell>
          <cell r="H34">
            <v>0</v>
          </cell>
          <cell r="I34">
            <v>0</v>
          </cell>
          <cell r="J34">
            <v>0</v>
          </cell>
          <cell r="K34">
            <v>0</v>
          </cell>
          <cell r="L34">
            <v>0</v>
          </cell>
          <cell r="M34">
            <v>0</v>
          </cell>
          <cell r="N34">
            <v>0</v>
          </cell>
          <cell r="O34">
            <v>0</v>
          </cell>
        </row>
        <row r="35">
          <cell r="D35">
            <v>0</v>
          </cell>
          <cell r="E35">
            <v>0</v>
          </cell>
          <cell r="F35">
            <v>0</v>
          </cell>
          <cell r="G35">
            <v>0</v>
          </cell>
          <cell r="H35">
            <v>0</v>
          </cell>
          <cell r="I35">
            <v>0</v>
          </cell>
          <cell r="J35">
            <v>0</v>
          </cell>
          <cell r="K35">
            <v>0</v>
          </cell>
          <cell r="L35">
            <v>0</v>
          </cell>
          <cell r="M35">
            <v>0</v>
          </cell>
          <cell r="N35">
            <v>0</v>
          </cell>
          <cell r="O35">
            <v>0</v>
          </cell>
        </row>
        <row r="36">
          <cell r="D36">
            <v>0</v>
          </cell>
          <cell r="E36">
            <v>0</v>
          </cell>
          <cell r="F36">
            <v>0</v>
          </cell>
          <cell r="G36">
            <v>0</v>
          </cell>
          <cell r="H36">
            <v>0</v>
          </cell>
          <cell r="I36">
            <v>0</v>
          </cell>
          <cell r="J36">
            <v>0</v>
          </cell>
          <cell r="K36">
            <v>0</v>
          </cell>
          <cell r="L36">
            <v>0</v>
          </cell>
          <cell r="M36">
            <v>0</v>
          </cell>
          <cell r="N36">
            <v>0</v>
          </cell>
          <cell r="O36">
            <v>0</v>
          </cell>
        </row>
        <row r="37">
          <cell r="D37">
            <v>0</v>
          </cell>
          <cell r="E37">
            <v>0</v>
          </cell>
          <cell r="F37">
            <v>0</v>
          </cell>
          <cell r="G37">
            <v>0</v>
          </cell>
          <cell r="H37">
            <v>0</v>
          </cell>
          <cell r="I37">
            <v>0</v>
          </cell>
          <cell r="J37">
            <v>0</v>
          </cell>
          <cell r="K37">
            <v>0</v>
          </cell>
          <cell r="L37">
            <v>0</v>
          </cell>
          <cell r="M37">
            <v>0</v>
          </cell>
          <cell r="N37">
            <v>0</v>
          </cell>
          <cell r="O37">
            <v>0</v>
          </cell>
        </row>
        <row r="38">
          <cell r="D38">
            <v>0</v>
          </cell>
          <cell r="E38">
            <v>0</v>
          </cell>
          <cell r="F38">
            <v>0</v>
          </cell>
          <cell r="G38">
            <v>0</v>
          </cell>
          <cell r="H38">
            <v>0</v>
          </cell>
          <cell r="I38">
            <v>0</v>
          </cell>
          <cell r="J38">
            <v>0</v>
          </cell>
          <cell r="K38">
            <v>0</v>
          </cell>
          <cell r="L38">
            <v>0</v>
          </cell>
          <cell r="M38">
            <v>0</v>
          </cell>
          <cell r="N38">
            <v>0</v>
          </cell>
          <cell r="O38">
            <v>0</v>
          </cell>
        </row>
        <row r="39">
          <cell r="D39">
            <v>0</v>
          </cell>
          <cell r="E39">
            <v>0</v>
          </cell>
          <cell r="F39">
            <v>0</v>
          </cell>
          <cell r="G39">
            <v>0</v>
          </cell>
          <cell r="H39">
            <v>0</v>
          </cell>
          <cell r="I39">
            <v>0</v>
          </cell>
          <cell r="J39">
            <v>0</v>
          </cell>
          <cell r="K39">
            <v>0</v>
          </cell>
          <cell r="L39">
            <v>0</v>
          </cell>
          <cell r="M39">
            <v>0</v>
          </cell>
          <cell r="N39">
            <v>0</v>
          </cell>
          <cell r="O39">
            <v>0</v>
          </cell>
        </row>
        <row r="40">
          <cell r="D40">
            <v>0</v>
          </cell>
          <cell r="E40">
            <v>0</v>
          </cell>
          <cell r="F40">
            <v>0</v>
          </cell>
          <cell r="G40">
            <v>0</v>
          </cell>
          <cell r="H40">
            <v>0</v>
          </cell>
          <cell r="I40">
            <v>0</v>
          </cell>
          <cell r="J40">
            <v>0</v>
          </cell>
          <cell r="K40">
            <v>0</v>
          </cell>
          <cell r="L40">
            <v>0</v>
          </cell>
          <cell r="M40">
            <v>0</v>
          </cell>
          <cell r="N40">
            <v>0</v>
          </cell>
          <cell r="O40">
            <v>0</v>
          </cell>
        </row>
        <row r="41">
          <cell r="D41">
            <v>0</v>
          </cell>
          <cell r="E41">
            <v>0</v>
          </cell>
          <cell r="F41">
            <v>0</v>
          </cell>
          <cell r="G41">
            <v>0</v>
          </cell>
          <cell r="H41">
            <v>0</v>
          </cell>
          <cell r="I41">
            <v>0</v>
          </cell>
          <cell r="J41">
            <v>0</v>
          </cell>
          <cell r="K41">
            <v>0</v>
          </cell>
          <cell r="L41">
            <v>0</v>
          </cell>
          <cell r="M41">
            <v>0</v>
          </cell>
          <cell r="N41">
            <v>0</v>
          </cell>
          <cell r="O41">
            <v>0</v>
          </cell>
        </row>
        <row r="42">
          <cell r="D42">
            <v>0</v>
          </cell>
          <cell r="E42">
            <v>0</v>
          </cell>
          <cell r="F42">
            <v>0</v>
          </cell>
          <cell r="G42">
            <v>0</v>
          </cell>
          <cell r="H42">
            <v>0</v>
          </cell>
          <cell r="I42">
            <v>0</v>
          </cell>
          <cell r="J42">
            <v>0</v>
          </cell>
          <cell r="K42">
            <v>0</v>
          </cell>
          <cell r="L42">
            <v>0</v>
          </cell>
          <cell r="M42">
            <v>0</v>
          </cell>
          <cell r="N42">
            <v>0</v>
          </cell>
          <cell r="O42">
            <v>0</v>
          </cell>
        </row>
        <row r="43">
          <cell r="D43">
            <v>0</v>
          </cell>
          <cell r="E43">
            <v>0</v>
          </cell>
          <cell r="F43">
            <v>0</v>
          </cell>
          <cell r="G43">
            <v>0</v>
          </cell>
          <cell r="H43">
            <v>0</v>
          </cell>
          <cell r="I43">
            <v>0</v>
          </cell>
          <cell r="J43">
            <v>0</v>
          </cell>
          <cell r="K43">
            <v>0</v>
          </cell>
          <cell r="L43">
            <v>0</v>
          </cell>
          <cell r="M43">
            <v>0</v>
          </cell>
          <cell r="N43">
            <v>0</v>
          </cell>
          <cell r="O43">
            <v>0</v>
          </cell>
        </row>
        <row r="44">
          <cell r="D44">
            <v>0</v>
          </cell>
          <cell r="E44">
            <v>0</v>
          </cell>
          <cell r="F44">
            <v>0</v>
          </cell>
          <cell r="G44">
            <v>0</v>
          </cell>
          <cell r="H44">
            <v>0</v>
          </cell>
          <cell r="I44">
            <v>0</v>
          </cell>
          <cell r="J44">
            <v>0</v>
          </cell>
          <cell r="K44">
            <v>0</v>
          </cell>
          <cell r="L44">
            <v>0</v>
          </cell>
          <cell r="M44">
            <v>0</v>
          </cell>
          <cell r="N44">
            <v>0</v>
          </cell>
          <cell r="O44">
            <v>0</v>
          </cell>
        </row>
        <row r="45">
          <cell r="D45">
            <v>0</v>
          </cell>
          <cell r="E45">
            <v>0</v>
          </cell>
          <cell r="F45">
            <v>0</v>
          </cell>
          <cell r="G45">
            <v>0</v>
          </cell>
          <cell r="H45">
            <v>0</v>
          </cell>
          <cell r="I45">
            <v>0</v>
          </cell>
          <cell r="J45">
            <v>0</v>
          </cell>
          <cell r="K45">
            <v>0</v>
          </cell>
          <cell r="L45">
            <v>0</v>
          </cell>
          <cell r="M45">
            <v>0</v>
          </cell>
          <cell r="N45">
            <v>0</v>
          </cell>
          <cell r="O45">
            <v>0</v>
          </cell>
        </row>
        <row r="46">
          <cell r="D46">
            <v>0</v>
          </cell>
          <cell r="E46">
            <v>0</v>
          </cell>
          <cell r="F46">
            <v>0</v>
          </cell>
          <cell r="G46">
            <v>0</v>
          </cell>
          <cell r="H46">
            <v>0</v>
          </cell>
          <cell r="I46">
            <v>0</v>
          </cell>
          <cell r="J46">
            <v>0</v>
          </cell>
          <cell r="K46">
            <v>0</v>
          </cell>
          <cell r="L46">
            <v>0</v>
          </cell>
          <cell r="M46">
            <v>0</v>
          </cell>
          <cell r="N46">
            <v>0</v>
          </cell>
          <cell r="O46">
            <v>0</v>
          </cell>
        </row>
      </sheetData>
      <sheetData sheetId="1"/>
      <sheetData sheetId="2"/>
      <sheetData sheetId="3">
        <row r="12">
          <cell r="C12">
            <v>0</v>
          </cell>
          <cell r="D12">
            <v>0</v>
          </cell>
          <cell r="E12">
            <v>2220</v>
          </cell>
          <cell r="F12">
            <v>3700</v>
          </cell>
          <cell r="G12">
            <v>6798</v>
          </cell>
          <cell r="H12">
            <v>9888</v>
          </cell>
          <cell r="I12">
            <v>10217.6</v>
          </cell>
          <cell r="J12">
            <v>10217.6</v>
          </cell>
          <cell r="K12">
            <v>5603.2</v>
          </cell>
          <cell r="L12">
            <v>1977.6000000000001</v>
          </cell>
          <cell r="M12">
            <v>600</v>
          </cell>
          <cell r="N12">
            <v>2100</v>
          </cell>
        </row>
        <row r="23">
          <cell r="C23">
            <v>0</v>
          </cell>
          <cell r="D23">
            <v>0</v>
          </cell>
          <cell r="E23">
            <v>2886</v>
          </cell>
          <cell r="F23">
            <v>4810</v>
          </cell>
          <cell r="G23">
            <v>8837.4</v>
          </cell>
          <cell r="H23">
            <v>12854.4</v>
          </cell>
          <cell r="I23">
            <v>13282.880000000001</v>
          </cell>
          <cell r="J23">
            <v>13282.880000000001</v>
          </cell>
          <cell r="K23">
            <v>7284.16</v>
          </cell>
          <cell r="L23">
            <v>2570.88</v>
          </cell>
          <cell r="M23">
            <v>780</v>
          </cell>
          <cell r="N23">
            <v>2730</v>
          </cell>
          <cell r="O23">
            <v>69318.60000000002</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Summary"/>
      <sheetName val="Total PAX"/>
      <sheetName val="Summary"/>
      <sheetName val="Schedule-Vic"/>
      <sheetName val="Schedule-FH"/>
      <sheetName val="VC5"/>
      <sheetName val="Pax Capacity"/>
      <sheetName val="SJC"/>
      <sheetName val="OB Rev"/>
      <sheetName val="Cafe"/>
      <sheetName val="Rates"/>
      <sheetName val="Interline &amp; Tours"/>
      <sheetName val="Hotels"/>
    </sheetNames>
    <sheetDataSet>
      <sheetData sheetId="0"/>
      <sheetData sheetId="1"/>
      <sheetData sheetId="2">
        <row r="7">
          <cell r="D7">
            <v>0</v>
          </cell>
          <cell r="E7">
            <v>0</v>
          </cell>
          <cell r="F7">
            <v>0</v>
          </cell>
          <cell r="G7">
            <v>0</v>
          </cell>
          <cell r="H7">
            <v>243232.44</v>
          </cell>
          <cell r="I7">
            <v>401551.68</v>
          </cell>
          <cell r="J7">
            <v>424030.4</v>
          </cell>
          <cell r="K7">
            <v>424030.4</v>
          </cell>
          <cell r="L7">
            <v>228666.592</v>
          </cell>
          <cell r="M7">
            <v>71154.047999999995</v>
          </cell>
          <cell r="N7">
            <v>0</v>
          </cell>
          <cell r="O7">
            <v>0</v>
          </cell>
        </row>
        <row r="11">
          <cell r="D11">
            <v>0</v>
          </cell>
          <cell r="E11">
            <v>0</v>
          </cell>
          <cell r="F11">
            <v>0</v>
          </cell>
          <cell r="G11">
            <v>0</v>
          </cell>
          <cell r="H11">
            <v>51392.88</v>
          </cell>
          <cell r="I11">
            <v>116282.88</v>
          </cell>
          <cell r="J11">
            <v>120158.976</v>
          </cell>
          <cell r="K11">
            <v>120158.976</v>
          </cell>
          <cell r="L11">
            <v>57993.120000000003</v>
          </cell>
          <cell r="M11">
            <v>22287.552</v>
          </cell>
          <cell r="N11">
            <v>0</v>
          </cell>
          <cell r="O11">
            <v>0</v>
          </cell>
        </row>
      </sheetData>
      <sheetData sheetId="3"/>
      <sheetData sheetId="4"/>
      <sheetData sheetId="5"/>
      <sheetData sheetId="6"/>
      <sheetData sheetId="7">
        <row r="6">
          <cell r="C6">
            <v>0</v>
          </cell>
          <cell r="D6">
            <v>0</v>
          </cell>
          <cell r="E6">
            <v>12</v>
          </cell>
          <cell r="F6">
            <v>20</v>
          </cell>
          <cell r="G6">
            <v>44</v>
          </cell>
          <cell r="H6">
            <v>60</v>
          </cell>
          <cell r="I6">
            <v>62</v>
          </cell>
          <cell r="J6">
            <v>62</v>
          </cell>
          <cell r="K6">
            <v>34</v>
          </cell>
          <cell r="L6">
            <v>12</v>
          </cell>
          <cell r="M6">
            <v>4</v>
          </cell>
          <cell r="N6">
            <v>14</v>
          </cell>
          <cell r="O6">
            <v>324</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tabSelected="1" workbookViewId="0">
      <selection activeCell="B6" sqref="B6:O6"/>
    </sheetView>
  </sheetViews>
  <sheetFormatPr defaultColWidth="9.26953125" defaultRowHeight="13" x14ac:dyDescent="0.3"/>
  <cols>
    <col min="1" max="1" width="3.453125" style="180" customWidth="1"/>
    <col min="2" max="2" width="9.26953125" style="280"/>
    <col min="3" max="16384" width="9.26953125" style="180"/>
  </cols>
  <sheetData>
    <row r="1" spans="1:15" x14ac:dyDescent="0.3">
      <c r="A1" s="283" t="s">
        <v>239</v>
      </c>
      <c r="B1" s="283"/>
      <c r="C1" s="283"/>
      <c r="D1" s="283"/>
      <c r="E1" s="283"/>
      <c r="F1" s="283"/>
      <c r="G1" s="283"/>
      <c r="H1" s="283"/>
      <c r="I1" s="283"/>
      <c r="J1" s="283"/>
      <c r="K1" s="283"/>
      <c r="L1" s="283"/>
      <c r="M1" s="283"/>
      <c r="N1" s="283"/>
      <c r="O1" s="283"/>
    </row>
    <row r="3" spans="1:15" x14ac:dyDescent="0.3">
      <c r="A3" s="279" t="s">
        <v>238</v>
      </c>
    </row>
    <row r="4" spans="1:15" ht="55.5" customHeight="1" x14ac:dyDescent="0.3">
      <c r="B4" s="286" t="s">
        <v>251</v>
      </c>
      <c r="C4" s="286"/>
      <c r="D4" s="286"/>
      <c r="E4" s="286"/>
      <c r="F4" s="286"/>
      <c r="G4" s="286"/>
      <c r="H4" s="286"/>
      <c r="I4" s="286"/>
      <c r="J4" s="286"/>
      <c r="K4" s="286"/>
      <c r="L4" s="286"/>
      <c r="M4" s="286"/>
      <c r="N4" s="286"/>
      <c r="O4" s="286"/>
    </row>
    <row r="5" spans="1:15" x14ac:dyDescent="0.3">
      <c r="A5" s="279" t="s">
        <v>240</v>
      </c>
    </row>
    <row r="6" spans="1:15" ht="78.75" customHeight="1" x14ac:dyDescent="0.3">
      <c r="B6" s="285" t="s">
        <v>270</v>
      </c>
      <c r="C6" s="285"/>
      <c r="D6" s="285"/>
      <c r="E6" s="285"/>
      <c r="F6" s="285"/>
      <c r="G6" s="285"/>
      <c r="H6" s="285"/>
      <c r="I6" s="285"/>
      <c r="J6" s="285"/>
      <c r="K6" s="285"/>
      <c r="L6" s="285"/>
      <c r="M6" s="285"/>
      <c r="N6" s="285"/>
      <c r="O6" s="285"/>
    </row>
    <row r="7" spans="1:15" ht="6" customHeight="1" x14ac:dyDescent="0.3"/>
    <row r="8" spans="1:15" x14ac:dyDescent="0.3">
      <c r="A8" s="279" t="s">
        <v>253</v>
      </c>
    </row>
    <row r="9" spans="1:15" ht="25.5" customHeight="1" x14ac:dyDescent="0.3">
      <c r="B9" s="284" t="s">
        <v>254</v>
      </c>
      <c r="C9" s="284"/>
      <c r="D9" s="284"/>
      <c r="E9" s="284"/>
      <c r="F9" s="284"/>
      <c r="G9" s="284"/>
      <c r="H9" s="284"/>
      <c r="I9" s="284"/>
      <c r="J9" s="284"/>
      <c r="K9" s="284"/>
      <c r="L9" s="284"/>
      <c r="M9" s="284"/>
      <c r="N9" s="284"/>
      <c r="O9" s="284"/>
    </row>
    <row r="10" spans="1:15" ht="6" customHeight="1" x14ac:dyDescent="0.3"/>
    <row r="11" spans="1:15" x14ac:dyDescent="0.3">
      <c r="A11" s="279" t="s">
        <v>241</v>
      </c>
    </row>
    <row r="12" spans="1:15" ht="29.25" customHeight="1" x14ac:dyDescent="0.3">
      <c r="B12" s="284" t="s">
        <v>243</v>
      </c>
      <c r="C12" s="284"/>
      <c r="D12" s="284"/>
      <c r="E12" s="284"/>
      <c r="F12" s="284"/>
      <c r="G12" s="284"/>
      <c r="H12" s="284"/>
      <c r="I12" s="284"/>
      <c r="J12" s="284"/>
      <c r="K12" s="284"/>
      <c r="L12" s="284"/>
      <c r="M12" s="284"/>
      <c r="N12" s="284"/>
      <c r="O12" s="284"/>
    </row>
    <row r="13" spans="1:15" ht="6" customHeight="1" x14ac:dyDescent="0.3"/>
    <row r="14" spans="1:15" x14ac:dyDescent="0.3">
      <c r="A14" s="279" t="s">
        <v>188</v>
      </c>
    </row>
    <row r="15" spans="1:15" x14ac:dyDescent="0.3">
      <c r="B15" s="280" t="s">
        <v>255</v>
      </c>
    </row>
    <row r="16" spans="1:15" ht="6" customHeight="1" x14ac:dyDescent="0.3"/>
    <row r="17" spans="1:15" x14ac:dyDescent="0.3">
      <c r="A17" s="279" t="s">
        <v>88</v>
      </c>
    </row>
    <row r="18" spans="1:15" ht="27.5" customHeight="1" x14ac:dyDescent="0.3">
      <c r="B18" s="285" t="s">
        <v>247</v>
      </c>
      <c r="C18" s="285"/>
      <c r="D18" s="285"/>
      <c r="E18" s="285"/>
      <c r="F18" s="285"/>
      <c r="G18" s="285"/>
      <c r="H18" s="285"/>
      <c r="I18" s="285"/>
      <c r="J18" s="285"/>
      <c r="K18" s="285"/>
      <c r="L18" s="285"/>
      <c r="M18" s="285"/>
      <c r="N18" s="285"/>
      <c r="O18" s="285"/>
    </row>
    <row r="19" spans="1:15" ht="6" customHeight="1" x14ac:dyDescent="0.3"/>
    <row r="20" spans="1:15" x14ac:dyDescent="0.3">
      <c r="A20" s="279" t="s">
        <v>245</v>
      </c>
    </row>
    <row r="21" spans="1:15" x14ac:dyDescent="0.3">
      <c r="B21" s="280" t="s">
        <v>256</v>
      </c>
    </row>
    <row r="22" spans="1:15" ht="6" customHeight="1" x14ac:dyDescent="0.3"/>
    <row r="23" spans="1:15" x14ac:dyDescent="0.3">
      <c r="A23" s="279" t="s">
        <v>257</v>
      </c>
    </row>
    <row r="24" spans="1:15" ht="24" customHeight="1" x14ac:dyDescent="0.3">
      <c r="B24" s="284" t="s">
        <v>248</v>
      </c>
      <c r="C24" s="284"/>
      <c r="D24" s="284"/>
      <c r="E24" s="284"/>
      <c r="F24" s="284"/>
      <c r="G24" s="284"/>
      <c r="H24" s="284"/>
      <c r="I24" s="284"/>
      <c r="J24" s="284"/>
      <c r="K24" s="284"/>
      <c r="L24" s="284"/>
      <c r="M24" s="284"/>
      <c r="N24" s="284"/>
      <c r="O24" s="284"/>
    </row>
    <row r="25" spans="1:15" ht="38.25" customHeight="1" x14ac:dyDescent="0.3">
      <c r="B25" s="284" t="s">
        <v>269</v>
      </c>
      <c r="C25" s="284"/>
      <c r="D25" s="284"/>
      <c r="E25" s="284"/>
      <c r="F25" s="284"/>
      <c r="G25" s="284"/>
      <c r="H25" s="284"/>
      <c r="I25" s="284"/>
      <c r="J25" s="284"/>
      <c r="K25" s="284"/>
      <c r="L25" s="284"/>
      <c r="M25" s="284"/>
      <c r="N25" s="284"/>
      <c r="O25" s="284"/>
    </row>
    <row r="26" spans="1:15" ht="25.5" customHeight="1" x14ac:dyDescent="0.3">
      <c r="B26" s="284" t="s">
        <v>249</v>
      </c>
      <c r="C26" s="284"/>
      <c r="D26" s="284"/>
      <c r="E26" s="284"/>
      <c r="F26" s="284"/>
      <c r="G26" s="284"/>
      <c r="H26" s="284"/>
      <c r="I26" s="284"/>
      <c r="J26" s="284"/>
      <c r="K26" s="284"/>
      <c r="L26" s="284"/>
      <c r="M26" s="284"/>
      <c r="N26" s="284"/>
      <c r="O26" s="284"/>
    </row>
    <row r="27" spans="1:15" x14ac:dyDescent="0.3">
      <c r="B27" s="284" t="s">
        <v>250</v>
      </c>
      <c r="C27" s="284"/>
      <c r="D27" s="284"/>
      <c r="E27" s="284"/>
      <c r="F27" s="284"/>
      <c r="G27" s="284"/>
      <c r="H27" s="284"/>
      <c r="I27" s="284"/>
      <c r="J27" s="284"/>
      <c r="K27" s="284"/>
      <c r="L27" s="284"/>
      <c r="M27" s="284"/>
      <c r="N27" s="284"/>
      <c r="O27" s="284"/>
    </row>
  </sheetData>
  <mergeCells count="10">
    <mergeCell ref="B25:O25"/>
    <mergeCell ref="B26:O26"/>
    <mergeCell ref="B27:O27"/>
    <mergeCell ref="B6:O6"/>
    <mergeCell ref="B4:O4"/>
    <mergeCell ref="A1:O1"/>
    <mergeCell ref="B9:O9"/>
    <mergeCell ref="B12:O12"/>
    <mergeCell ref="B18:O18"/>
    <mergeCell ref="B24:O24"/>
  </mergeCells>
  <pageMargins left="0.25" right="0.25" top="0.25" bottom="0.25" header="0.3" footer="0.1"/>
  <pageSetup orientation="landscape" r:id="rId1"/>
  <headerFooter>
    <oddFooter>&amp;L&amp;8&amp;F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F5" sqref="F5"/>
    </sheetView>
  </sheetViews>
  <sheetFormatPr defaultRowHeight="14.5" x14ac:dyDescent="0.35"/>
  <cols>
    <col min="3" max="3" width="13.26953125" bestFit="1" customWidth="1"/>
    <col min="4" max="4" width="23.26953125" customWidth="1"/>
    <col min="5" max="5" width="23.7265625" bestFit="1" customWidth="1"/>
    <col min="6" max="6" width="24.453125" bestFit="1" customWidth="1"/>
    <col min="7" max="7" width="21.7265625" bestFit="1" customWidth="1"/>
    <col min="8" max="8" width="16.453125" bestFit="1" customWidth="1"/>
    <col min="9" max="9" width="18.453125" bestFit="1" customWidth="1"/>
  </cols>
  <sheetData>
    <row r="1" spans="1:5" ht="15" thickBot="1" x14ac:dyDescent="0.4"/>
    <row r="2" spans="1:5" ht="44" thickBot="1" x14ac:dyDescent="0.4">
      <c r="C2" s="174" t="s">
        <v>212</v>
      </c>
      <c r="D2" s="174" t="s">
        <v>213</v>
      </c>
      <c r="E2" s="174" t="s">
        <v>214</v>
      </c>
    </row>
    <row r="3" spans="1:5" ht="15" thickBot="1" x14ac:dyDescent="0.4">
      <c r="A3" t="s">
        <v>189</v>
      </c>
      <c r="C3" s="175">
        <v>679</v>
      </c>
      <c r="D3" s="175">
        <v>24</v>
      </c>
      <c r="E3" s="176">
        <f t="shared" ref="E3:E14" si="0">D3/C3</f>
        <v>3.5346097201767304E-2</v>
      </c>
    </row>
    <row r="4" spans="1:5" ht="15" thickBot="1" x14ac:dyDescent="0.4">
      <c r="A4" t="s">
        <v>190</v>
      </c>
      <c r="C4" s="175">
        <v>971</v>
      </c>
      <c r="D4" s="175">
        <v>29</v>
      </c>
      <c r="E4" s="176">
        <f t="shared" si="0"/>
        <v>2.9866117404737384E-2</v>
      </c>
    </row>
    <row r="5" spans="1:5" ht="15" thickBot="1" x14ac:dyDescent="0.4">
      <c r="A5" t="s">
        <v>191</v>
      </c>
      <c r="C5" s="175">
        <v>1812</v>
      </c>
      <c r="D5" s="175">
        <v>97</v>
      </c>
      <c r="E5" s="176">
        <f t="shared" si="0"/>
        <v>5.3532008830022078E-2</v>
      </c>
    </row>
    <row r="6" spans="1:5" ht="15" thickBot="1" x14ac:dyDescent="0.4">
      <c r="A6" t="s">
        <v>192</v>
      </c>
      <c r="C6" s="175">
        <v>1531</v>
      </c>
      <c r="D6" s="175">
        <v>148</v>
      </c>
      <c r="E6" s="176">
        <f t="shared" si="0"/>
        <v>9.6668843892880468E-2</v>
      </c>
    </row>
    <row r="7" spans="1:5" ht="15" thickBot="1" x14ac:dyDescent="0.4">
      <c r="A7" t="s">
        <v>193</v>
      </c>
      <c r="C7" s="175">
        <v>1829</v>
      </c>
      <c r="D7" s="175">
        <v>354</v>
      </c>
      <c r="E7" s="176">
        <f t="shared" si="0"/>
        <v>0.19354838709677419</v>
      </c>
    </row>
    <row r="8" spans="1:5" ht="15" thickBot="1" x14ac:dyDescent="0.4">
      <c r="A8" t="s">
        <v>194</v>
      </c>
      <c r="C8" s="175">
        <v>3347</v>
      </c>
      <c r="D8" s="175">
        <v>885</v>
      </c>
      <c r="E8" s="176">
        <f t="shared" si="0"/>
        <v>0.2644158948311921</v>
      </c>
    </row>
    <row r="9" spans="1:5" ht="15" thickBot="1" x14ac:dyDescent="0.4">
      <c r="A9" t="s">
        <v>195</v>
      </c>
      <c r="C9" s="175">
        <v>3059</v>
      </c>
      <c r="D9" s="175">
        <v>801</v>
      </c>
      <c r="E9" s="176">
        <f t="shared" si="0"/>
        <v>0.2618502778685845</v>
      </c>
    </row>
    <row r="10" spans="1:5" ht="15" thickBot="1" x14ac:dyDescent="0.4">
      <c r="A10" t="s">
        <v>196</v>
      </c>
      <c r="C10" s="175">
        <v>3332</v>
      </c>
      <c r="D10" s="175">
        <v>811</v>
      </c>
      <c r="E10" s="176">
        <f t="shared" si="0"/>
        <v>0.24339735894357742</v>
      </c>
    </row>
    <row r="11" spans="1:5" ht="15" thickBot="1" x14ac:dyDescent="0.4">
      <c r="A11" t="s">
        <v>197</v>
      </c>
      <c r="C11" s="175">
        <v>1749</v>
      </c>
      <c r="D11" s="175">
        <v>191</v>
      </c>
      <c r="E11" s="176">
        <f t="shared" si="0"/>
        <v>0.10920526014865638</v>
      </c>
    </row>
    <row r="12" spans="1:5" ht="15" thickBot="1" x14ac:dyDescent="0.4">
      <c r="A12" t="s">
        <v>198</v>
      </c>
      <c r="C12" s="175">
        <v>1190</v>
      </c>
      <c r="D12" s="175">
        <v>19</v>
      </c>
      <c r="E12" s="176">
        <f t="shared" si="0"/>
        <v>1.5966386554621848E-2</v>
      </c>
    </row>
    <row r="13" spans="1:5" ht="15" thickBot="1" x14ac:dyDescent="0.4">
      <c r="A13" t="s">
        <v>199</v>
      </c>
      <c r="C13" s="175">
        <v>1331</v>
      </c>
      <c r="D13" s="175">
        <v>10</v>
      </c>
      <c r="E13" s="176">
        <f t="shared" si="0"/>
        <v>7.5131480090157776E-3</v>
      </c>
    </row>
    <row r="14" spans="1:5" ht="15" thickBot="1" x14ac:dyDescent="0.4">
      <c r="A14" t="s">
        <v>200</v>
      </c>
      <c r="C14" s="175">
        <v>957</v>
      </c>
      <c r="D14" s="175">
        <v>20</v>
      </c>
      <c r="E14" s="176">
        <f t="shared" si="0"/>
        <v>2.0898641588296761E-2</v>
      </c>
    </row>
    <row r="15" spans="1:5" ht="15" thickBot="1" x14ac:dyDescent="0.4">
      <c r="A15" t="s">
        <v>201</v>
      </c>
      <c r="C15">
        <f>SUM(C3:C14)</f>
        <v>21787</v>
      </c>
      <c r="D15">
        <f t="shared" ref="D15" si="1">SUM(D3:D14)</f>
        <v>3389</v>
      </c>
      <c r="E15" s="179">
        <f>D15/C15</f>
        <v>0.15555147565061733</v>
      </c>
    </row>
    <row r="17" spans="3:10" x14ac:dyDescent="0.35">
      <c r="C17" s="116"/>
      <c r="D17" s="116"/>
      <c r="E17" s="116"/>
      <c r="F17" s="116"/>
      <c r="G17" s="116"/>
      <c r="I17" s="116"/>
      <c r="J17" s="116"/>
    </row>
    <row r="18" spans="3:10" x14ac:dyDescent="0.35">
      <c r="F18" s="217"/>
      <c r="J18" s="217"/>
    </row>
    <row r="19" spans="3:10" x14ac:dyDescent="0.35">
      <c r="F19" s="217"/>
      <c r="J19" s="217"/>
    </row>
    <row r="20" spans="3:10" x14ac:dyDescent="0.35">
      <c r="F20" s="217"/>
      <c r="J20" s="217"/>
    </row>
    <row r="21" spans="3:10" x14ac:dyDescent="0.35">
      <c r="F21" s="217"/>
      <c r="J21" s="217"/>
    </row>
    <row r="22" spans="3:10" x14ac:dyDescent="0.35">
      <c r="F22" s="217"/>
      <c r="J22" s="217"/>
    </row>
    <row r="23" spans="3:10" x14ac:dyDescent="0.35">
      <c r="F23" s="217"/>
      <c r="J23" s="217"/>
    </row>
    <row r="24" spans="3:10" x14ac:dyDescent="0.35">
      <c r="F24" s="217"/>
      <c r="J24" s="217"/>
    </row>
    <row r="25" spans="3:10" x14ac:dyDescent="0.35">
      <c r="F25" s="217"/>
      <c r="J25" s="217"/>
    </row>
    <row r="26" spans="3:10" x14ac:dyDescent="0.35">
      <c r="F26" s="217"/>
      <c r="J26" s="217"/>
    </row>
    <row r="27" spans="3:10" x14ac:dyDescent="0.35">
      <c r="F27" s="217"/>
      <c r="J27" s="217"/>
    </row>
    <row r="28" spans="3:10" x14ac:dyDescent="0.35">
      <c r="F28" s="217"/>
      <c r="J28" s="217"/>
    </row>
    <row r="29" spans="3:10" x14ac:dyDescent="0.35">
      <c r="F29" s="217"/>
      <c r="J29" s="217"/>
    </row>
    <row r="30" spans="3:10" x14ac:dyDescent="0.35">
      <c r="F30" s="217"/>
      <c r="J30" s="2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workbookViewId="0">
      <selection activeCell="B4" sqref="B4"/>
    </sheetView>
  </sheetViews>
  <sheetFormatPr defaultRowHeight="14.5" x14ac:dyDescent="0.35"/>
  <cols>
    <col min="1" max="1" width="4" customWidth="1"/>
    <col min="2" max="2" width="53.453125" bestFit="1" customWidth="1"/>
    <col min="3" max="5" width="11.54296875" style="2" bestFit="1" customWidth="1"/>
    <col min="6" max="6" width="3.7265625" customWidth="1"/>
    <col min="7" max="7" width="4.26953125" customWidth="1"/>
    <col min="8" max="8" width="16.7265625" style="315" customWidth="1"/>
    <col min="9" max="10" width="1.08984375" customWidth="1"/>
    <col min="11" max="11" width="20.453125" style="318" customWidth="1"/>
    <col min="12" max="13" width="11.26953125" bestFit="1" customWidth="1"/>
  </cols>
  <sheetData>
    <row r="1" spans="1:13" x14ac:dyDescent="0.35">
      <c r="B1" s="287"/>
      <c r="C1" s="287"/>
      <c r="D1" s="287"/>
      <c r="E1" s="287"/>
    </row>
    <row r="2" spans="1:13" x14ac:dyDescent="0.35">
      <c r="A2" s="288" t="s">
        <v>252</v>
      </c>
      <c r="B2" s="288"/>
      <c r="C2" s="288"/>
      <c r="D2" s="288"/>
      <c r="E2" s="288"/>
      <c r="F2" s="288"/>
      <c r="G2" s="288"/>
      <c r="H2" s="288"/>
      <c r="I2" s="288"/>
      <c r="J2" s="288"/>
      <c r="K2" s="288"/>
    </row>
    <row r="3" spans="1:13" x14ac:dyDescent="0.35">
      <c r="B3" s="19"/>
      <c r="C3" s="19"/>
      <c r="D3" s="19"/>
      <c r="E3" s="19"/>
      <c r="H3" s="315" t="s">
        <v>271</v>
      </c>
      <c r="K3" s="318" t="s">
        <v>272</v>
      </c>
    </row>
    <row r="4" spans="1:13" x14ac:dyDescent="0.35">
      <c r="C4" s="278">
        <v>2017</v>
      </c>
      <c r="D4" s="278">
        <v>2018</v>
      </c>
      <c r="E4" s="278" t="s">
        <v>258</v>
      </c>
      <c r="H4" s="320" t="s">
        <v>273</v>
      </c>
      <c r="K4" s="327" t="s">
        <v>277</v>
      </c>
      <c r="L4" s="210"/>
      <c r="M4" s="210"/>
    </row>
    <row r="5" spans="1:13" x14ac:dyDescent="0.35">
      <c r="B5" t="s">
        <v>7</v>
      </c>
      <c r="C5" s="4">
        <v>111</v>
      </c>
      <c r="D5" s="4">
        <v>82</v>
      </c>
      <c r="E5" s="91">
        <f>'Pax Counts'!I18</f>
        <v>137</v>
      </c>
      <c r="G5" s="29"/>
      <c r="H5" s="138">
        <f>E5</f>
        <v>137</v>
      </c>
      <c r="K5" s="328">
        <f>H5</f>
        <v>137</v>
      </c>
      <c r="L5" s="4"/>
      <c r="M5" s="91"/>
    </row>
    <row r="6" spans="1:13" x14ac:dyDescent="0.35">
      <c r="B6" t="s">
        <v>0</v>
      </c>
      <c r="C6" s="4">
        <f>'Pax Counts'!D20</f>
        <v>38884</v>
      </c>
      <c r="D6" s="4">
        <f>'Pax Counts'!E20</f>
        <v>29743</v>
      </c>
      <c r="E6" s="4">
        <f>'Pax Counts'!F20</f>
        <v>44701.999999999993</v>
      </c>
      <c r="G6" s="29"/>
      <c r="H6" s="138">
        <f>E6</f>
        <v>44701.999999999993</v>
      </c>
      <c r="K6" s="328">
        <f>H6</f>
        <v>44701.999999999993</v>
      </c>
      <c r="L6" s="4"/>
      <c r="M6" s="4"/>
    </row>
    <row r="7" spans="1:13" x14ac:dyDescent="0.35">
      <c r="B7" t="s">
        <v>1</v>
      </c>
      <c r="K7" s="329"/>
      <c r="L7" s="2"/>
      <c r="M7" s="2"/>
    </row>
    <row r="8" spans="1:13" x14ac:dyDescent="0.35">
      <c r="B8" s="5" t="s">
        <v>8</v>
      </c>
      <c r="C8" s="2">
        <f>-'Detail SJE P&amp;L'!E10</f>
        <v>1563383.25</v>
      </c>
      <c r="D8" s="2">
        <f>-'Detail SJE P&amp;L'!I10</f>
        <v>1156870</v>
      </c>
      <c r="E8" s="2">
        <f>-'Detail SJE P&amp;L'!M10</f>
        <v>1792665.5599999998</v>
      </c>
      <c r="G8" s="1"/>
      <c r="H8" s="321">
        <f>E8*1.1</f>
        <v>1971932.1159999999</v>
      </c>
      <c r="K8" s="312">
        <f>E8*1.361</f>
        <v>2439817.8271599999</v>
      </c>
      <c r="L8" s="2"/>
      <c r="M8" s="2"/>
    </row>
    <row r="9" spans="1:13" x14ac:dyDescent="0.35">
      <c r="B9" s="5" t="s">
        <v>9</v>
      </c>
      <c r="C9" s="2">
        <f>-'Detail SJE P&amp;L'!E18</f>
        <v>49103.26</v>
      </c>
      <c r="D9" s="2">
        <f>-'Detail SJE P&amp;L'!I18</f>
        <v>38606</v>
      </c>
      <c r="E9" s="2">
        <f>-'Detail SJE P&amp;L'!M18</f>
        <v>69318.60000000002</v>
      </c>
      <c r="G9" s="211"/>
      <c r="H9" s="322">
        <f>E9</f>
        <v>69318.60000000002</v>
      </c>
      <c r="K9" s="313">
        <f>H9</f>
        <v>69318.60000000002</v>
      </c>
      <c r="L9" s="2"/>
      <c r="M9" s="2"/>
    </row>
    <row r="10" spans="1:13" x14ac:dyDescent="0.35">
      <c r="G10" s="211"/>
      <c r="H10" s="323"/>
      <c r="K10" s="314"/>
      <c r="L10" s="2"/>
      <c r="M10" s="2"/>
    </row>
    <row r="11" spans="1:13" x14ac:dyDescent="0.35">
      <c r="B11" s="8" t="s">
        <v>4</v>
      </c>
      <c r="C11" s="9">
        <f>SUM(C7:C10)</f>
        <v>1612486.51</v>
      </c>
      <c r="D11" s="9">
        <f>SUM(D7:D10)</f>
        <v>1195476</v>
      </c>
      <c r="E11" s="9">
        <f>SUM(E7:E10)</f>
        <v>1861984.16</v>
      </c>
      <c r="G11" s="211"/>
      <c r="H11" s="324">
        <f>H8+H9</f>
        <v>2041250.716</v>
      </c>
      <c r="K11" s="330">
        <f>K8+K9</f>
        <v>2509136.42716</v>
      </c>
      <c r="L11" s="18"/>
      <c r="M11" s="18"/>
    </row>
    <row r="12" spans="1:13" x14ac:dyDescent="0.35">
      <c r="G12" s="212"/>
      <c r="H12" s="323"/>
      <c r="K12" s="314"/>
      <c r="L12" s="2"/>
      <c r="M12" s="2"/>
    </row>
    <row r="13" spans="1:13" x14ac:dyDescent="0.35">
      <c r="B13" t="s">
        <v>2</v>
      </c>
      <c r="C13" s="2">
        <f>+'Detail SJE P&amp;L'!E23</f>
        <v>221544.49150806456</v>
      </c>
      <c r="D13" s="2">
        <f>+'Detail SJE P&amp;L'!I23</f>
        <v>197928.25045430107</v>
      </c>
      <c r="E13" s="165">
        <f>+'Detail SJE P&amp;L'!M23</f>
        <v>328594.5</v>
      </c>
      <c r="H13" s="322">
        <f>E13</f>
        <v>328594.5</v>
      </c>
      <c r="K13" s="313">
        <f>H13</f>
        <v>328594.5</v>
      </c>
      <c r="L13" s="2"/>
      <c r="M13" s="165"/>
    </row>
    <row r="14" spans="1:13" x14ac:dyDescent="0.35">
      <c r="B14" t="s">
        <v>3</v>
      </c>
      <c r="C14" s="2">
        <f>+'Detail SJE P&amp;L'!E24</f>
        <v>730271.85977512272</v>
      </c>
      <c r="D14" s="2">
        <f>+'Detail SJE P&amp;L'!I24</f>
        <v>971557.0573610299</v>
      </c>
      <c r="E14" s="2">
        <f>+'Detail SJE P&amp;L'!M24</f>
        <v>1384356.4493183983</v>
      </c>
      <c r="H14" s="322">
        <f>E14</f>
        <v>1384356.4493183983</v>
      </c>
      <c r="K14" s="313">
        <f>H14</f>
        <v>1384356.4493183983</v>
      </c>
      <c r="L14" s="2"/>
      <c r="M14" s="2"/>
    </row>
    <row r="15" spans="1:13" x14ac:dyDescent="0.35">
      <c r="B15" t="s">
        <v>62</v>
      </c>
      <c r="C15" s="2">
        <f>+'Detail SJE P&amp;L'!E25</f>
        <v>3564.0799999999899</v>
      </c>
      <c r="D15" s="2">
        <f>+'Detail SJE P&amp;L'!I25</f>
        <v>0</v>
      </c>
      <c r="E15" s="2">
        <f>+'Detail SJE P&amp;L'!M25</f>
        <v>0</v>
      </c>
      <c r="H15" s="322">
        <f>E15</f>
        <v>0</v>
      </c>
      <c r="K15" s="313">
        <f>H15</f>
        <v>0</v>
      </c>
      <c r="L15" s="2"/>
      <c r="M15" s="2"/>
    </row>
    <row r="16" spans="1:13" x14ac:dyDescent="0.35">
      <c r="B16" t="s">
        <v>60</v>
      </c>
      <c r="C16" s="2">
        <f>+'Detail SJE P&amp;L'!E41</f>
        <v>9280.8124982204336</v>
      </c>
      <c r="D16" s="2">
        <f>+'Detail SJE P&amp;L'!I41</f>
        <v>20144.94428155457</v>
      </c>
      <c r="E16" s="2">
        <f>+'Detail SJE P&amp;L'!M41</f>
        <v>25464.228958236516</v>
      </c>
      <c r="H16" s="322">
        <f>E16</f>
        <v>25464.228958236516</v>
      </c>
      <c r="K16" s="313">
        <f>H16</f>
        <v>25464.228958236516</v>
      </c>
      <c r="L16" s="2"/>
      <c r="M16" s="2"/>
    </row>
    <row r="17" spans="1:13" x14ac:dyDescent="0.35">
      <c r="B17" t="s">
        <v>237</v>
      </c>
      <c r="C17" s="2">
        <f>+'Detail SJE P&amp;L'!E44</f>
        <v>52171.879999999903</v>
      </c>
      <c r="D17" s="2">
        <f>+'Detail SJE P&amp;L'!I44</f>
        <v>39351</v>
      </c>
      <c r="E17" s="2">
        <f>+'Detail SJE P&amp;L'!M44</f>
        <v>62922.6</v>
      </c>
      <c r="H17" s="322">
        <f>E17</f>
        <v>62922.6</v>
      </c>
      <c r="K17" s="313">
        <f>H17</f>
        <v>62922.6</v>
      </c>
      <c r="L17" s="2"/>
      <c r="M17" s="2"/>
    </row>
    <row r="18" spans="1:13" x14ac:dyDescent="0.35">
      <c r="B18" t="s">
        <v>61</v>
      </c>
      <c r="C18" s="2">
        <f>+'Detail SJE P&amp;L'!E45</f>
        <v>4971.3414187653898</v>
      </c>
      <c r="D18" s="2">
        <f>+'Detail SJE P&amp;L'!I45</f>
        <v>4334.05360772117</v>
      </c>
      <c r="E18" s="2">
        <f>+'Detail SJE P&amp;L'!M45</f>
        <v>5264.6350251562872</v>
      </c>
      <c r="H18" s="322">
        <f>E18</f>
        <v>5264.6350251562872</v>
      </c>
      <c r="K18" s="313">
        <f>H18</f>
        <v>5264.6350251562872</v>
      </c>
      <c r="L18" s="2"/>
      <c r="M18" s="2"/>
    </row>
    <row r="19" spans="1:13" x14ac:dyDescent="0.35">
      <c r="B19" t="s">
        <v>167</v>
      </c>
      <c r="C19" s="2">
        <f>+'Detail SJE P&amp;L'!E46</f>
        <v>10151.953885015928</v>
      </c>
      <c r="D19" s="2">
        <f>+'Detail SJE P&amp;L'!I46</f>
        <v>5085.3870156026815</v>
      </c>
      <c r="E19" s="2">
        <f>+'Detail SJE P&amp;L'!M46</f>
        <v>10750.887435548422</v>
      </c>
      <c r="H19" s="322">
        <f>E19</f>
        <v>10750.887435548422</v>
      </c>
      <c r="K19" s="313">
        <f>H19</f>
        <v>10750.887435548422</v>
      </c>
      <c r="L19" s="2"/>
      <c r="M19" s="2"/>
    </row>
    <row r="20" spans="1:13" x14ac:dyDescent="0.35">
      <c r="B20" t="s">
        <v>260</v>
      </c>
      <c r="C20" s="2">
        <f>+'Detail SJE P&amp;L'!E47</f>
        <v>636424.09180302359</v>
      </c>
      <c r="D20" s="2">
        <f>+'Detail SJE P&amp;L'!I47</f>
        <v>571227.42716338916</v>
      </c>
      <c r="E20" s="2">
        <f>+'Detail SJE P&amp;L'!M47</f>
        <v>491031.16289578611</v>
      </c>
      <c r="H20" s="322">
        <f>E20</f>
        <v>491031.16289578611</v>
      </c>
      <c r="K20" s="313">
        <f>H20</f>
        <v>491031.16289578611</v>
      </c>
      <c r="L20" s="2"/>
      <c r="M20" s="2"/>
    </row>
    <row r="21" spans="1:13" x14ac:dyDescent="0.35">
      <c r="B21" t="s">
        <v>168</v>
      </c>
      <c r="C21" s="2">
        <f>+'Detail SJE P&amp;L'!E48</f>
        <v>23559.164258940687</v>
      </c>
      <c r="D21" s="2">
        <f>+'Detail SJE P&amp;L'!I48</f>
        <v>22664.980848067655</v>
      </c>
      <c r="E21" s="2">
        <f>+'Detail SJE P&amp;L'!M48</f>
        <v>24949.08131894745</v>
      </c>
      <c r="H21" s="322">
        <f>E21</f>
        <v>24949.08131894745</v>
      </c>
      <c r="K21" s="313">
        <f>H21</f>
        <v>24949.08131894745</v>
      </c>
      <c r="L21" s="2"/>
      <c r="M21" s="2"/>
    </row>
    <row r="22" spans="1:13" x14ac:dyDescent="0.35">
      <c r="L22" s="2"/>
      <c r="M22" s="2"/>
    </row>
    <row r="23" spans="1:13" x14ac:dyDescent="0.35">
      <c r="B23" s="8" t="s">
        <v>5</v>
      </c>
      <c r="C23" s="9">
        <f>SUM(C13:C22)</f>
        <v>1691939.675147153</v>
      </c>
      <c r="D23" s="9">
        <f>SUM(D13:D22)</f>
        <v>1832293.1007316664</v>
      </c>
      <c r="E23" s="9">
        <f>SUM(E13:E22)</f>
        <v>2333333.5449520731</v>
      </c>
      <c r="H23" s="325">
        <f>SUM(H13:H22)</f>
        <v>2333333.5449520731</v>
      </c>
      <c r="K23" s="331">
        <f>SUM(K13:K22)</f>
        <v>2333333.5449520731</v>
      </c>
      <c r="L23" s="18"/>
      <c r="M23" s="18"/>
    </row>
    <row r="24" spans="1:13" x14ac:dyDescent="0.35">
      <c r="L24" s="2"/>
      <c r="M24" s="2"/>
    </row>
    <row r="25" spans="1:13" ht="15" thickBot="1" x14ac:dyDescent="0.4">
      <c r="B25" s="10" t="s">
        <v>149</v>
      </c>
      <c r="C25" s="11">
        <f>+C11-C23</f>
        <v>-79453.165147152962</v>
      </c>
      <c r="D25" s="11">
        <f>+D11-D23</f>
        <v>-636817.10073166643</v>
      </c>
      <c r="E25" s="11">
        <f>+E11-E23</f>
        <v>-471349.38495207322</v>
      </c>
      <c r="H25" s="326">
        <f>+H11-H23</f>
        <v>-292082.82895207312</v>
      </c>
      <c r="K25" s="332">
        <f>+K11-K23</f>
        <v>175802.88220792683</v>
      </c>
      <c r="L25" s="18"/>
      <c r="M25" s="18"/>
    </row>
    <row r="26" spans="1:13" ht="15" thickTop="1" x14ac:dyDescent="0.35">
      <c r="B26" t="s">
        <v>6</v>
      </c>
      <c r="C26" s="3">
        <f>+C25/C11</f>
        <v>-4.9273692929780205E-2</v>
      </c>
      <c r="D26" s="3">
        <f>+D25/D11</f>
        <v>-0.53268915539221739</v>
      </c>
      <c r="E26" s="3">
        <f>+E25/E11</f>
        <v>-0.25314360620128651</v>
      </c>
      <c r="H26" s="317">
        <f>+H25/H11</f>
        <v>-0.14309012933229173</v>
      </c>
      <c r="K26" s="333">
        <f>+K25/K11</f>
        <v>7.0065095028296928E-2</v>
      </c>
      <c r="L26" s="3"/>
      <c r="M26" s="3"/>
    </row>
    <row r="27" spans="1:13" x14ac:dyDescent="0.35">
      <c r="C27" s="3"/>
      <c r="D27" s="3"/>
      <c r="E27" s="3"/>
      <c r="H27" s="317"/>
      <c r="K27" s="333"/>
      <c r="L27" s="3"/>
      <c r="M27" s="3"/>
    </row>
    <row r="28" spans="1:13" x14ac:dyDescent="0.35">
      <c r="A28" s="5" t="s">
        <v>274</v>
      </c>
      <c r="B28" t="s">
        <v>276</v>
      </c>
    </row>
    <row r="29" spans="1:13" s="315" customFormat="1" x14ac:dyDescent="0.35">
      <c r="A29" s="334" t="s">
        <v>275</v>
      </c>
      <c r="B29" s="315" t="s">
        <v>279</v>
      </c>
      <c r="C29" s="335"/>
      <c r="D29" s="335"/>
      <c r="E29" s="335"/>
      <c r="K29" s="316"/>
    </row>
    <row r="30" spans="1:13" s="21" customFormat="1" x14ac:dyDescent="0.35">
      <c r="A30" s="336" t="s">
        <v>278</v>
      </c>
      <c r="B30" s="21" t="s">
        <v>280</v>
      </c>
      <c r="C30" s="319"/>
      <c r="D30" s="319"/>
      <c r="E30" s="319"/>
      <c r="K30" s="318"/>
    </row>
    <row r="31" spans="1:13" s="254" customFormat="1" x14ac:dyDescent="0.35">
      <c r="B31" s="254" t="s">
        <v>221</v>
      </c>
      <c r="C31" s="277">
        <f>C25-'Detail SJE P&amp;L'!E50</f>
        <v>2.3283064365386963E-10</v>
      </c>
      <c r="D31" s="277">
        <f>D25-'Detail SJE P&amp;L'!I50</f>
        <v>0</v>
      </c>
      <c r="E31" s="277">
        <f>E25-'Detail SJE P&amp;L'!M50</f>
        <v>0</v>
      </c>
      <c r="H31" s="315"/>
      <c r="K31" s="318"/>
    </row>
    <row r="32" spans="1:13" x14ac:dyDescent="0.35">
      <c r="C32" s="1"/>
      <c r="D32" s="1"/>
      <c r="E32" s="1"/>
    </row>
    <row r="38" spans="3:3" x14ac:dyDescent="0.35">
      <c r="C38" s="3"/>
    </row>
  </sheetData>
  <mergeCells count="2">
    <mergeCell ref="B1:E1"/>
    <mergeCell ref="A2:K2"/>
  </mergeCells>
  <pageMargins left="0.25" right="0.25" top="0.25" bottom="0.25" header="0.3" footer="0.1"/>
  <pageSetup scale="96" orientation="landscape" r:id="rId1"/>
  <headerFooter>
    <oddFooter>&amp;L&amp;8&amp;F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8"/>
  <sheetViews>
    <sheetView showGridLines="0" topLeftCell="A44" zoomScale="78" zoomScaleNormal="78" workbookViewId="0">
      <selection activeCell="A53" sqref="A1:O53"/>
    </sheetView>
  </sheetViews>
  <sheetFormatPr defaultColWidth="8.7265625" defaultRowHeight="14.5" x14ac:dyDescent="0.35"/>
  <cols>
    <col min="1" max="1" width="24.08984375" style="127" customWidth="1"/>
    <col min="2" max="2" width="49.7265625" style="127" bestFit="1" customWidth="1"/>
    <col min="3" max="3" width="20.453125" style="127" bestFit="1" customWidth="1"/>
    <col min="4" max="4" width="11.26953125" style="91" bestFit="1" customWidth="1"/>
    <col min="5" max="5" width="11.7265625" style="127" bestFit="1" customWidth="1"/>
    <col min="6" max="6" width="7.26953125" style="127" bestFit="1" customWidth="1"/>
    <col min="7" max="7" width="2.453125" style="127" customWidth="1"/>
    <col min="8" max="8" width="11.26953125" style="91" bestFit="1" customWidth="1"/>
    <col min="9" max="9" width="11.7265625" style="127" bestFit="1" customWidth="1"/>
    <col min="10" max="10" width="7.26953125" style="127" customWidth="1"/>
    <col min="11" max="11" width="2.54296875" style="127" customWidth="1"/>
    <col min="12" max="12" width="11.26953125" style="91" bestFit="1" customWidth="1"/>
    <col min="13" max="13" width="11.7265625" style="127" bestFit="1" customWidth="1"/>
    <col min="14" max="14" width="7.26953125" style="127" bestFit="1" customWidth="1"/>
    <col min="15" max="15" width="87.26953125" style="127" customWidth="1"/>
    <col min="16" max="16" width="8.7265625" style="127" customWidth="1"/>
    <col min="17" max="17" width="15.26953125" style="4" bestFit="1" customWidth="1"/>
    <col min="18" max="18" width="14.7265625" customWidth="1"/>
    <col min="20" max="16384" width="8.7265625" style="127"/>
  </cols>
  <sheetData>
    <row r="1" spans="1:18" x14ac:dyDescent="0.35">
      <c r="A1" s="131" t="s">
        <v>267</v>
      </c>
      <c r="B1" s="132"/>
      <c r="C1" s="311" t="s">
        <v>265</v>
      </c>
      <c r="D1" s="311"/>
      <c r="E1" s="311"/>
      <c r="F1" s="311"/>
      <c r="G1" s="311"/>
      <c r="H1" s="311"/>
      <c r="I1" s="311"/>
      <c r="J1" s="311"/>
      <c r="K1" s="311"/>
      <c r="L1" s="311"/>
      <c r="M1" s="311"/>
      <c r="N1" s="311"/>
      <c r="O1" s="311"/>
      <c r="Q1" s="197"/>
    </row>
    <row r="2" spans="1:18" x14ac:dyDescent="0.35">
      <c r="A2" s="131" t="s">
        <v>11</v>
      </c>
      <c r="B2" s="132"/>
      <c r="C2" s="133"/>
      <c r="D2" s="291" t="s">
        <v>12</v>
      </c>
      <c r="E2" s="291"/>
      <c r="H2" s="291" t="s">
        <v>12</v>
      </c>
      <c r="I2" s="291"/>
      <c r="L2" s="291" t="s">
        <v>12</v>
      </c>
      <c r="M2" s="291"/>
      <c r="O2" s="295" t="s">
        <v>235</v>
      </c>
      <c r="Q2" s="197"/>
    </row>
    <row r="3" spans="1:18" x14ac:dyDescent="0.35">
      <c r="A3" s="131" t="s">
        <v>13</v>
      </c>
      <c r="B3" s="132"/>
      <c r="C3" s="133"/>
      <c r="D3" s="275" t="s">
        <v>14</v>
      </c>
      <c r="E3" s="276">
        <f>+'Allocation %'!C5+'Allocation %'!C6</f>
        <v>0.74214854771688887</v>
      </c>
      <c r="H3" s="275" t="s">
        <v>14</v>
      </c>
      <c r="I3" s="276">
        <f>+'Allocation %'!H5+'Allocation %'!H6</f>
        <v>0.73086907381469979</v>
      </c>
      <c r="L3" s="275" t="s">
        <v>14</v>
      </c>
      <c r="M3" s="276">
        <f>+'Allocation %'!M6+'Allocation %'!M5</f>
        <v>0.78593299253816407</v>
      </c>
      <c r="O3" s="296"/>
      <c r="Q3" s="197"/>
      <c r="R3" s="3"/>
    </row>
    <row r="4" spans="1:18" x14ac:dyDescent="0.35">
      <c r="A4" s="131" t="s">
        <v>15</v>
      </c>
      <c r="B4" s="132"/>
      <c r="C4" s="133"/>
      <c r="D4" s="275" t="s">
        <v>16</v>
      </c>
      <c r="E4" s="276">
        <f>+'Allocation %'!C12</f>
        <v>0.68889743096931255</v>
      </c>
      <c r="H4" s="275" t="s">
        <v>16</v>
      </c>
      <c r="I4" s="276">
        <f>+'Allocation %'!H12</f>
        <v>0.70358430882678857</v>
      </c>
      <c r="L4" s="275" t="s">
        <v>16</v>
      </c>
      <c r="M4" s="276">
        <f>+'Allocation %'!M12</f>
        <v>0.699169923898181</v>
      </c>
      <c r="O4" s="297"/>
      <c r="Q4" s="197"/>
      <c r="R4" s="3"/>
    </row>
    <row r="5" spans="1:18" ht="15" thickBot="1" x14ac:dyDescent="0.4">
      <c r="A5" s="131" t="s">
        <v>236</v>
      </c>
      <c r="B5" s="132"/>
      <c r="C5" s="133"/>
      <c r="D5" s="134"/>
      <c r="H5" s="134"/>
      <c r="L5" s="134"/>
      <c r="Q5" s="197"/>
    </row>
    <row r="6" spans="1:18" ht="15" thickBot="1" x14ac:dyDescent="0.4">
      <c r="A6" s="135"/>
      <c r="B6" s="132"/>
      <c r="C6" s="133"/>
      <c r="D6" s="298" t="s">
        <v>224</v>
      </c>
      <c r="E6" s="299"/>
      <c r="H6" s="298" t="s">
        <v>225</v>
      </c>
      <c r="I6" s="299"/>
      <c r="L6" s="298" t="s">
        <v>266</v>
      </c>
      <c r="M6" s="299"/>
      <c r="Q6" s="289"/>
      <c r="R6" s="290"/>
    </row>
    <row r="7" spans="1:18" x14ac:dyDescent="0.35">
      <c r="A7" s="259" t="s">
        <v>268</v>
      </c>
      <c r="B7" s="258" t="s">
        <v>17</v>
      </c>
      <c r="C7" s="133" t="s">
        <v>18</v>
      </c>
      <c r="D7" s="129">
        <v>3030</v>
      </c>
      <c r="E7" s="28" t="s">
        <v>10</v>
      </c>
      <c r="H7" s="129">
        <v>3030</v>
      </c>
      <c r="I7" s="28" t="s">
        <v>10</v>
      </c>
      <c r="L7" s="129">
        <v>3030</v>
      </c>
      <c r="M7" s="28" t="s">
        <v>10</v>
      </c>
      <c r="O7" s="15" t="s">
        <v>227</v>
      </c>
      <c r="Q7" s="198"/>
      <c r="R7" s="199"/>
    </row>
    <row r="8" spans="1:18" x14ac:dyDescent="0.35">
      <c r="A8" s="136" t="s">
        <v>19</v>
      </c>
      <c r="B8" s="133"/>
      <c r="C8" s="133"/>
      <c r="D8" s="134"/>
      <c r="H8" s="134"/>
      <c r="L8" s="134"/>
      <c r="Q8" s="197"/>
      <c r="R8" s="200"/>
    </row>
    <row r="9" spans="1:18" x14ac:dyDescent="0.35">
      <c r="A9" s="131" t="s">
        <v>20</v>
      </c>
      <c r="B9" s="133"/>
      <c r="C9" s="133"/>
      <c r="Q9" s="201"/>
      <c r="R9" s="200"/>
    </row>
    <row r="10" spans="1:18" x14ac:dyDescent="0.35">
      <c r="A10" s="135">
        <v>8111100</v>
      </c>
      <c r="B10" s="132" t="s">
        <v>21</v>
      </c>
      <c r="C10" s="255" t="s">
        <v>20</v>
      </c>
      <c r="D10" s="91">
        <v>-1563383.25</v>
      </c>
      <c r="E10" s="130">
        <f>+D10</f>
        <v>-1563383.25</v>
      </c>
      <c r="H10" s="91">
        <v>-1156870</v>
      </c>
      <c r="I10" s="130">
        <f>+H10</f>
        <v>-1156870</v>
      </c>
      <c r="L10" s="137">
        <f>-'2019 Rev Summary Budget'!N6</f>
        <v>-1792665.5599999998</v>
      </c>
      <c r="M10" s="138">
        <f>+L10</f>
        <v>-1792665.5599999998</v>
      </c>
      <c r="O10" s="266" t="s">
        <v>228</v>
      </c>
      <c r="Q10" s="202"/>
      <c r="R10" s="203"/>
    </row>
    <row r="11" spans="1:18" x14ac:dyDescent="0.35">
      <c r="A11" s="136" t="s">
        <v>22</v>
      </c>
      <c r="B11" s="132"/>
      <c r="C11" s="255"/>
      <c r="D11" s="139">
        <f>+D10</f>
        <v>-1563383.25</v>
      </c>
      <c r="E11" s="139">
        <f>+E10</f>
        <v>-1563383.25</v>
      </c>
      <c r="H11" s="139">
        <f>+H10</f>
        <v>-1156870</v>
      </c>
      <c r="I11" s="139">
        <f>+I10</f>
        <v>-1156870</v>
      </c>
      <c r="L11" s="139">
        <f>+L10</f>
        <v>-1792665.5599999998</v>
      </c>
      <c r="M11" s="139">
        <f>+M10</f>
        <v>-1792665.5599999998</v>
      </c>
      <c r="O11" s="267"/>
      <c r="Q11" s="204"/>
      <c r="R11" s="204"/>
    </row>
    <row r="12" spans="1:18" x14ac:dyDescent="0.35">
      <c r="A12" s="136"/>
      <c r="B12" s="132"/>
      <c r="C12" s="255"/>
      <c r="D12" s="117"/>
      <c r="E12" s="117"/>
      <c r="H12" s="117"/>
      <c r="I12" s="117"/>
      <c r="L12" s="117"/>
      <c r="M12" s="117"/>
      <c r="O12"/>
      <c r="Q12" s="204"/>
      <c r="R12" s="204"/>
    </row>
    <row r="13" spans="1:18" x14ac:dyDescent="0.35">
      <c r="A13" s="131" t="s">
        <v>23</v>
      </c>
      <c r="B13" s="132"/>
      <c r="C13" s="255"/>
      <c r="O13"/>
      <c r="Q13" s="202"/>
      <c r="R13" s="205"/>
    </row>
    <row r="14" spans="1:18" x14ac:dyDescent="0.35">
      <c r="A14" s="135">
        <v>8113000</v>
      </c>
      <c r="B14" s="132" t="s">
        <v>78</v>
      </c>
      <c r="C14" s="255" t="s">
        <v>24</v>
      </c>
      <c r="D14" s="91">
        <v>-543180.53</v>
      </c>
      <c r="E14" s="140"/>
      <c r="H14" s="91">
        <v>-425999</v>
      </c>
      <c r="I14" s="140"/>
      <c r="L14" s="137">
        <f>-'2019 Rev Summary Budget'!N7</f>
        <v>-488274.38400000008</v>
      </c>
      <c r="M14" s="140"/>
      <c r="O14" s="266" t="s">
        <v>229</v>
      </c>
      <c r="Q14" s="202"/>
      <c r="R14" s="205"/>
    </row>
    <row r="15" spans="1:18" x14ac:dyDescent="0.35">
      <c r="A15" s="131" t="s">
        <v>25</v>
      </c>
      <c r="B15" s="132"/>
      <c r="C15" s="255"/>
      <c r="D15" s="139">
        <f>+D14</f>
        <v>-543180.53</v>
      </c>
      <c r="E15" s="140"/>
      <c r="H15" s="139">
        <f>+H14</f>
        <v>-425999</v>
      </c>
      <c r="I15" s="140"/>
      <c r="L15" s="139">
        <f>+L14</f>
        <v>-488274.38400000008</v>
      </c>
      <c r="M15" s="140"/>
      <c r="O15" s="267"/>
      <c r="Q15" s="204"/>
      <c r="R15" s="205"/>
    </row>
    <row r="16" spans="1:18" x14ac:dyDescent="0.35">
      <c r="A16" s="131"/>
      <c r="B16" s="132"/>
      <c r="C16" s="255"/>
      <c r="D16" s="117"/>
      <c r="H16" s="117"/>
      <c r="L16" s="117"/>
      <c r="Q16" s="204"/>
      <c r="R16" s="205"/>
    </row>
    <row r="17" spans="1:30" x14ac:dyDescent="0.35">
      <c r="A17" s="131" t="s">
        <v>26</v>
      </c>
      <c r="B17" s="132"/>
      <c r="C17" s="255"/>
      <c r="Q17" s="202"/>
      <c r="R17" s="205"/>
    </row>
    <row r="18" spans="1:30" ht="29" x14ac:dyDescent="0.35">
      <c r="A18" s="260">
        <v>8164000</v>
      </c>
      <c r="B18" s="261" t="s">
        <v>202</v>
      </c>
      <c r="C18" s="273" t="s">
        <v>26</v>
      </c>
      <c r="D18" s="263">
        <v>-49103.26</v>
      </c>
      <c r="E18" s="274">
        <f>+D18</f>
        <v>-49103.26</v>
      </c>
      <c r="F18" s="264"/>
      <c r="G18" s="264"/>
      <c r="H18" s="263">
        <v>-38606</v>
      </c>
      <c r="I18" s="274">
        <f>+H18</f>
        <v>-38606</v>
      </c>
      <c r="J18" s="264"/>
      <c r="K18" s="264"/>
      <c r="L18" s="265">
        <f>-'SJE Port Fee 2019 Budget'!O9</f>
        <v>-69318.60000000002</v>
      </c>
      <c r="M18" s="274">
        <f>+L18</f>
        <v>-69318.60000000002</v>
      </c>
      <c r="O18" s="272" t="s">
        <v>230</v>
      </c>
      <c r="Q18" s="202"/>
      <c r="R18" s="203"/>
    </row>
    <row r="19" spans="1:30" x14ac:dyDescent="0.35">
      <c r="A19" s="136" t="s">
        <v>27</v>
      </c>
      <c r="B19" s="132"/>
      <c r="C19" s="255"/>
      <c r="D19" s="139">
        <f>+D18</f>
        <v>-49103.26</v>
      </c>
      <c r="E19" s="139">
        <f>+E18</f>
        <v>-49103.26</v>
      </c>
      <c r="H19" s="139">
        <f>+H18</f>
        <v>-38606</v>
      </c>
      <c r="I19" s="139">
        <f>+I18</f>
        <v>-38606</v>
      </c>
      <c r="L19" s="139">
        <f>+L18</f>
        <v>-69318.60000000002</v>
      </c>
      <c r="M19" s="139">
        <f>+M18</f>
        <v>-69318.60000000002</v>
      </c>
      <c r="O19" s="267"/>
      <c r="Q19" s="204"/>
      <c r="R19" s="204"/>
    </row>
    <row r="20" spans="1:30" ht="15" thickBot="1" x14ac:dyDescent="0.4">
      <c r="A20" s="136" t="s">
        <v>28</v>
      </c>
      <c r="B20" s="132"/>
      <c r="C20" s="255"/>
      <c r="D20" s="173">
        <f>+D19+D15+D11</f>
        <v>-2155667.04</v>
      </c>
      <c r="E20" s="173">
        <f>+E19+E15+E11</f>
        <v>-1612486.51</v>
      </c>
      <c r="H20" s="173">
        <f>+H19+H15+H11</f>
        <v>-1621475</v>
      </c>
      <c r="I20" s="173">
        <f>+I19+I15+I11</f>
        <v>-1195476</v>
      </c>
      <c r="L20" s="173">
        <f>+L19+L15+L11</f>
        <v>-2350258.5439999998</v>
      </c>
      <c r="M20" s="173">
        <f>+M19+M15+M11</f>
        <v>-1861984.16</v>
      </c>
      <c r="Q20" s="204"/>
      <c r="R20" s="204"/>
    </row>
    <row r="21" spans="1:30" ht="15" thickTop="1" x14ac:dyDescent="0.35">
      <c r="A21" s="136"/>
      <c r="B21" s="132"/>
      <c r="C21" s="255"/>
      <c r="D21" s="117"/>
      <c r="E21" s="117"/>
      <c r="H21" s="117"/>
      <c r="I21" s="117"/>
      <c r="L21" s="117"/>
      <c r="M21" s="117"/>
      <c r="Q21" s="204"/>
      <c r="R21" s="204"/>
    </row>
    <row r="22" spans="1:30" x14ac:dyDescent="0.35">
      <c r="A22" s="136" t="s">
        <v>29</v>
      </c>
      <c r="B22" s="132"/>
      <c r="C22" s="255"/>
      <c r="D22" s="166"/>
      <c r="F22" s="171"/>
      <c r="G22" s="7"/>
      <c r="H22" s="166"/>
      <c r="J22" s="172"/>
      <c r="N22" s="172"/>
      <c r="Q22" s="202"/>
      <c r="R22" s="205"/>
    </row>
    <row r="23" spans="1:30" ht="72.5" x14ac:dyDescent="0.35">
      <c r="A23" s="260">
        <v>4121100</v>
      </c>
      <c r="B23" s="261" t="s">
        <v>226</v>
      </c>
      <c r="C23" s="262" t="s">
        <v>29</v>
      </c>
      <c r="D23" s="263">
        <v>285890.26</v>
      </c>
      <c r="E23" s="263">
        <f>'Allocation %'!B19*'Fuel Chart'!AB22*150*'Summary SJE P&amp;L'!C5</f>
        <v>221544.49150806456</v>
      </c>
      <c r="F23" s="264"/>
      <c r="G23" s="264"/>
      <c r="H23" s="263">
        <v>306798</v>
      </c>
      <c r="I23" s="263">
        <f>'Summary SJE P&amp;L'!D5*'Fuel Chart'!AC22*150*'Allocation %'!L19</f>
        <v>197928.25045430107</v>
      </c>
      <c r="J23" s="264"/>
      <c r="K23" s="264"/>
      <c r="L23" s="265">
        <f>'2019 SJE Vessel Exp Budget'!P6</f>
        <v>491508</v>
      </c>
      <c r="M23" s="265">
        <f>'Pax Counts'!I18*150*'Allocation %'!L19*'2019 SJE Vessel Exp Budget'!S6</f>
        <v>328594.5</v>
      </c>
      <c r="O23" s="245" t="s">
        <v>244</v>
      </c>
      <c r="Q23" s="202"/>
      <c r="R23" s="206"/>
    </row>
    <row r="24" spans="1:30" ht="145" x14ac:dyDescent="0.35">
      <c r="A24" s="260">
        <v>4135100</v>
      </c>
      <c r="B24" s="261" t="s">
        <v>30</v>
      </c>
      <c r="C24" s="262" t="s">
        <v>29</v>
      </c>
      <c r="D24" s="263">
        <v>1060058.9099999899</v>
      </c>
      <c r="E24" s="263">
        <f>+D24*E4</f>
        <v>730271.85977512272</v>
      </c>
      <c r="F24" s="264"/>
      <c r="G24" s="264"/>
      <c r="H24" s="263">
        <v>1380868</v>
      </c>
      <c r="I24" s="263">
        <f>+H24*I4</f>
        <v>971557.0573610299</v>
      </c>
      <c r="J24" s="264"/>
      <c r="K24" s="264"/>
      <c r="L24" s="265">
        <f>'2019 SJE Vessel Exp Budget'!P7</f>
        <v>1979999.9999999998</v>
      </c>
      <c r="M24" s="263">
        <f>+L24*M4</f>
        <v>1384356.4493183983</v>
      </c>
      <c r="N24" s="264"/>
      <c r="O24" s="281" t="s">
        <v>281</v>
      </c>
      <c r="Q24" s="300"/>
      <c r="R24" s="300"/>
      <c r="S24" s="300"/>
      <c r="T24" s="300"/>
      <c r="U24" s="300"/>
      <c r="V24" s="300"/>
      <c r="W24" s="300"/>
      <c r="X24" s="300"/>
      <c r="Y24" s="300"/>
      <c r="Z24" s="300"/>
      <c r="AA24" s="300"/>
      <c r="AB24" s="300"/>
      <c r="AC24" s="300"/>
      <c r="AD24" s="300"/>
    </row>
    <row r="25" spans="1:30" x14ac:dyDescent="0.35">
      <c r="A25" s="135">
        <v>4136400</v>
      </c>
      <c r="B25" s="132" t="s">
        <v>31</v>
      </c>
      <c r="C25" s="256" t="s">
        <v>29</v>
      </c>
      <c r="D25" s="91">
        <v>3564.0799999999899</v>
      </c>
      <c r="E25" s="130">
        <f>+D25</f>
        <v>3564.0799999999899</v>
      </c>
      <c r="H25" s="91">
        <v>0</v>
      </c>
      <c r="I25" s="130">
        <f>+H25</f>
        <v>0</v>
      </c>
      <c r="L25" s="91">
        <v>0</v>
      </c>
      <c r="M25" s="130">
        <f>+L25</f>
        <v>0</v>
      </c>
      <c r="Q25" s="202"/>
      <c r="R25" s="203"/>
    </row>
    <row r="26" spans="1:30" x14ac:dyDescent="0.35">
      <c r="A26" s="135">
        <v>4136590</v>
      </c>
      <c r="B26" s="132" t="s">
        <v>32</v>
      </c>
      <c r="C26" s="256" t="s">
        <v>29</v>
      </c>
      <c r="D26" s="91">
        <v>900</v>
      </c>
      <c r="H26" s="91">
        <v>0</v>
      </c>
      <c r="L26" s="91">
        <v>0</v>
      </c>
      <c r="O26"/>
      <c r="Q26" s="202"/>
      <c r="R26" s="205"/>
    </row>
    <row r="27" spans="1:30" x14ac:dyDescent="0.35">
      <c r="A27" s="136" t="s">
        <v>33</v>
      </c>
      <c r="B27" s="132"/>
      <c r="C27" s="256"/>
      <c r="D27" s="139">
        <f>SUM(D23:D26)</f>
        <v>1350413.24999999</v>
      </c>
      <c r="E27" s="139">
        <f>SUM(E23:E26)</f>
        <v>955380.43128318724</v>
      </c>
      <c r="H27" s="139">
        <f>SUM(H23:H26)</f>
        <v>1687666</v>
      </c>
      <c r="I27" s="139">
        <f>SUM(I23:I26)</f>
        <v>1169485.307815331</v>
      </c>
      <c r="L27" s="139">
        <f>SUM(L23:L26)</f>
        <v>2471508</v>
      </c>
      <c r="M27" s="139">
        <f>SUM(M23:M26)</f>
        <v>1712950.9493183983</v>
      </c>
      <c r="Q27" s="204"/>
      <c r="R27" s="204"/>
    </row>
    <row r="28" spans="1:30" x14ac:dyDescent="0.35">
      <c r="A28" s="136"/>
      <c r="B28" s="132"/>
      <c r="C28" s="256"/>
      <c r="D28" s="139"/>
      <c r="E28" s="139"/>
      <c r="H28" s="139"/>
      <c r="I28" s="139"/>
      <c r="L28" s="139"/>
      <c r="M28" s="139"/>
      <c r="Q28" s="204"/>
      <c r="R28" s="204"/>
    </row>
    <row r="29" spans="1:30" x14ac:dyDescent="0.35">
      <c r="A29" s="136" t="s">
        <v>34</v>
      </c>
      <c r="B29" s="132"/>
      <c r="C29" s="257"/>
      <c r="D29" s="141">
        <f>+D27+D20</f>
        <v>-805253.79000001005</v>
      </c>
      <c r="E29" s="141">
        <f>+E27+E20</f>
        <v>-657106.07871681277</v>
      </c>
      <c r="H29" s="141">
        <f>+H27+H20</f>
        <v>66191</v>
      </c>
      <c r="I29" s="141">
        <f>+I27+I20</f>
        <v>-25990.692184668966</v>
      </c>
      <c r="L29" s="141">
        <f>+L27+L20</f>
        <v>121249.45600000024</v>
      </c>
      <c r="M29" s="141">
        <f>+M27+M20</f>
        <v>-149033.21068160166</v>
      </c>
      <c r="Q29" s="202"/>
      <c r="R29" s="202"/>
    </row>
    <row r="30" spans="1:30" x14ac:dyDescent="0.35">
      <c r="A30" s="142" t="s">
        <v>35</v>
      </c>
      <c r="B30" s="132"/>
      <c r="C30" s="256"/>
      <c r="D30" s="143">
        <f>+D29/D20</f>
        <v>0.37355202591955483</v>
      </c>
      <c r="E30" s="143">
        <f>+E29/E20</f>
        <v>0.40751105490911227</v>
      </c>
      <c r="H30" s="143">
        <f>+H29/H20</f>
        <v>-4.0821474274965693E-2</v>
      </c>
      <c r="I30" s="143">
        <f>+I29/I20</f>
        <v>2.174087324602833E-2</v>
      </c>
      <c r="L30" s="143">
        <f>+L29/L20</f>
        <v>-5.1589837343444307E-2</v>
      </c>
      <c r="M30" s="143">
        <f>+M29/M20</f>
        <v>8.0039999202571988E-2</v>
      </c>
      <c r="Q30" s="207"/>
      <c r="R30" s="207"/>
    </row>
    <row r="31" spans="1:30" x14ac:dyDescent="0.35">
      <c r="A31" s="142"/>
      <c r="B31" s="132"/>
      <c r="C31" s="256"/>
      <c r="D31" s="143"/>
      <c r="E31" s="143"/>
      <c r="H31" s="143"/>
      <c r="I31" s="143"/>
      <c r="L31" s="143"/>
      <c r="M31" s="143"/>
      <c r="Q31" s="207"/>
      <c r="R31" s="207"/>
    </row>
    <row r="32" spans="1:30" x14ac:dyDescent="0.35">
      <c r="A32" s="136" t="s">
        <v>36</v>
      </c>
      <c r="B32" s="132"/>
      <c r="C32" s="256"/>
      <c r="O32" s="292" t="s">
        <v>234</v>
      </c>
      <c r="Q32" s="202"/>
      <c r="R32" s="205"/>
    </row>
    <row r="33" spans="1:18" x14ac:dyDescent="0.35">
      <c r="A33" s="135">
        <v>4121200</v>
      </c>
      <c r="B33" s="132" t="s">
        <v>37</v>
      </c>
      <c r="C33" s="256" t="s">
        <v>38</v>
      </c>
      <c r="D33" s="91">
        <v>9363.35</v>
      </c>
      <c r="O33" s="293"/>
      <c r="Q33" s="202"/>
      <c r="R33" s="205"/>
    </row>
    <row r="34" spans="1:18" x14ac:dyDescent="0.35">
      <c r="A34" s="135">
        <v>4134300</v>
      </c>
      <c r="B34" s="132" t="s">
        <v>39</v>
      </c>
      <c r="C34" s="256" t="s">
        <v>38</v>
      </c>
      <c r="D34" s="91">
        <v>199.16</v>
      </c>
      <c r="O34" s="293"/>
      <c r="Q34" s="202"/>
      <c r="R34" s="205"/>
    </row>
    <row r="35" spans="1:18" x14ac:dyDescent="0.35">
      <c r="A35" s="135">
        <v>4416180</v>
      </c>
      <c r="B35" s="132" t="s">
        <v>40</v>
      </c>
      <c r="C35" s="256" t="s">
        <v>38</v>
      </c>
      <c r="D35" s="91">
        <v>54.21</v>
      </c>
      <c r="O35" s="293"/>
      <c r="Q35" s="202"/>
      <c r="R35" s="205"/>
    </row>
    <row r="36" spans="1:18" x14ac:dyDescent="0.35">
      <c r="A36" s="135">
        <v>4416200</v>
      </c>
      <c r="B36" s="132" t="s">
        <v>41</v>
      </c>
      <c r="C36" s="256" t="s">
        <v>38</v>
      </c>
      <c r="D36" s="91">
        <f>749.32+85</f>
        <v>834.32</v>
      </c>
      <c r="O36" s="293"/>
      <c r="Q36" s="202"/>
      <c r="R36" s="205"/>
    </row>
    <row r="37" spans="1:18" x14ac:dyDescent="0.35">
      <c r="A37" s="135">
        <v>4416220</v>
      </c>
      <c r="B37" s="132" t="s">
        <v>42</v>
      </c>
      <c r="C37" s="256" t="s">
        <v>38</v>
      </c>
      <c r="D37" s="91">
        <v>154.24</v>
      </c>
      <c r="O37" s="293"/>
      <c r="Q37" s="202"/>
      <c r="R37" s="205"/>
    </row>
    <row r="38" spans="1:18" x14ac:dyDescent="0.35">
      <c r="A38" s="135">
        <v>4416290</v>
      </c>
      <c r="B38" s="132" t="s">
        <v>43</v>
      </c>
      <c r="C38" s="256" t="s">
        <v>38</v>
      </c>
      <c r="D38" s="91">
        <v>1587.3099999999899</v>
      </c>
      <c r="O38" s="293"/>
      <c r="Q38" s="202"/>
      <c r="R38" s="205"/>
    </row>
    <row r="39" spans="1:18" x14ac:dyDescent="0.35">
      <c r="A39" s="135">
        <v>4416300</v>
      </c>
      <c r="B39" s="132" t="s">
        <v>44</v>
      </c>
      <c r="C39" s="256" t="s">
        <v>38</v>
      </c>
      <c r="D39" s="91">
        <v>115.04</v>
      </c>
      <c r="O39" s="293"/>
      <c r="Q39" s="202"/>
      <c r="R39" s="205"/>
    </row>
    <row r="40" spans="1:18" x14ac:dyDescent="0.35">
      <c r="A40" s="135">
        <v>4423220</v>
      </c>
      <c r="B40" s="132" t="s">
        <v>45</v>
      </c>
      <c r="C40" s="256" t="s">
        <v>38</v>
      </c>
      <c r="D40" s="91">
        <v>197.69999999999899</v>
      </c>
      <c r="O40" s="293"/>
      <c r="Q40" s="202"/>
      <c r="R40" s="205"/>
    </row>
    <row r="41" spans="1:18" x14ac:dyDescent="0.35">
      <c r="A41" s="136" t="s">
        <v>46</v>
      </c>
      <c r="B41" s="132"/>
      <c r="C41" s="256"/>
      <c r="D41" s="139">
        <f>SUM(D33:D40)</f>
        <v>12505.329999999989</v>
      </c>
      <c r="E41" s="139">
        <f>+D41*E3</f>
        <v>9280.8124982204336</v>
      </c>
      <c r="F41" s="127" t="s">
        <v>14</v>
      </c>
      <c r="H41" s="139">
        <f>26325+1238</f>
        <v>27563</v>
      </c>
      <c r="I41" s="139">
        <f>+H41*I3</f>
        <v>20144.94428155457</v>
      </c>
      <c r="J41" s="127" t="s">
        <v>14</v>
      </c>
      <c r="L41" s="139">
        <v>32400</v>
      </c>
      <c r="M41" s="139">
        <f>+L41*M3</f>
        <v>25464.228958236516</v>
      </c>
      <c r="N41" s="127" t="s">
        <v>14</v>
      </c>
      <c r="O41" s="294"/>
      <c r="Q41" s="204"/>
      <c r="R41" s="204"/>
    </row>
    <row r="42" spans="1:18" x14ac:dyDescent="0.35">
      <c r="A42" s="136"/>
      <c r="B42" s="132"/>
      <c r="C42" s="256"/>
      <c r="D42" s="117"/>
      <c r="E42" s="117"/>
      <c r="H42" s="117"/>
      <c r="I42" s="117"/>
      <c r="L42" s="117"/>
      <c r="M42" s="117"/>
      <c r="Q42" s="204"/>
      <c r="R42" s="204"/>
    </row>
    <row r="43" spans="1:18" x14ac:dyDescent="0.35">
      <c r="A43" s="136" t="s">
        <v>47</v>
      </c>
      <c r="B43" s="132"/>
      <c r="C43" s="256"/>
      <c r="Q43" s="202"/>
      <c r="R43" s="205"/>
    </row>
    <row r="44" spans="1:18" ht="29" x14ac:dyDescent="0.35">
      <c r="A44" s="260">
        <v>4132500</v>
      </c>
      <c r="B44" s="261" t="s">
        <v>48</v>
      </c>
      <c r="C44" s="262" t="s">
        <v>47</v>
      </c>
      <c r="D44" s="263">
        <v>52171.879999999903</v>
      </c>
      <c r="E44" s="263">
        <f>+D44</f>
        <v>52171.879999999903</v>
      </c>
      <c r="F44" s="264"/>
      <c r="G44" s="264"/>
      <c r="H44" s="263">
        <v>39351</v>
      </c>
      <c r="I44" s="263">
        <f>+H44</f>
        <v>39351</v>
      </c>
      <c r="J44" s="264"/>
      <c r="K44" s="264"/>
      <c r="L44" s="265">
        <f>'2019 SJE Vessel Exp Budget'!P13</f>
        <v>62922.6</v>
      </c>
      <c r="M44" s="263">
        <f>+L44</f>
        <v>62922.6</v>
      </c>
      <c r="N44" s="264"/>
      <c r="O44" s="245" t="s">
        <v>231</v>
      </c>
      <c r="Q44" s="202"/>
      <c r="R44" s="206"/>
    </row>
    <row r="45" spans="1:18" ht="29" x14ac:dyDescent="0.35">
      <c r="A45" s="260">
        <v>4413140</v>
      </c>
      <c r="B45" s="261" t="s">
        <v>49</v>
      </c>
      <c r="C45" s="262" t="s">
        <v>47</v>
      </c>
      <c r="D45" s="263">
        <v>6698.5799999999899</v>
      </c>
      <c r="E45" s="263">
        <f>+D45*E3</f>
        <v>4971.3414187653898</v>
      </c>
      <c r="F45" s="264"/>
      <c r="G45" s="264"/>
      <c r="H45" s="263">
        <v>5930</v>
      </c>
      <c r="I45" s="263">
        <f>+H45*I3</f>
        <v>4334.05360772117</v>
      </c>
      <c r="J45" s="264"/>
      <c r="K45" s="264"/>
      <c r="L45" s="263">
        <v>6698.5799999999899</v>
      </c>
      <c r="M45" s="263">
        <f>+L45*M3</f>
        <v>5264.6350251562872</v>
      </c>
      <c r="N45" s="264"/>
      <c r="O45" s="245" t="s">
        <v>232</v>
      </c>
      <c r="Q45" s="202"/>
      <c r="R45" s="206"/>
    </row>
    <row r="46" spans="1:18" ht="29" x14ac:dyDescent="0.35">
      <c r="A46" s="260">
        <v>4419190</v>
      </c>
      <c r="B46" s="261" t="s">
        <v>167</v>
      </c>
      <c r="C46" s="262" t="s">
        <v>47</v>
      </c>
      <c r="D46" s="263">
        <f>2+13677.1399999999</f>
        <v>13679.139999999899</v>
      </c>
      <c r="E46" s="263">
        <f>+D46*E3</f>
        <v>10151.953885015928</v>
      </c>
      <c r="F46" s="264"/>
      <c r="G46" s="264"/>
      <c r="H46" s="263">
        <f>6348+610</f>
        <v>6958</v>
      </c>
      <c r="I46" s="263">
        <f>+H46*I3</f>
        <v>5085.3870156026815</v>
      </c>
      <c r="J46" s="264"/>
      <c r="K46" s="264"/>
      <c r="L46" s="263">
        <f>2+13677.1399999999</f>
        <v>13679.139999999899</v>
      </c>
      <c r="M46" s="263">
        <f>+L46*M3</f>
        <v>10750.887435548422</v>
      </c>
      <c r="N46" s="264"/>
      <c r="O46" s="245" t="s">
        <v>282</v>
      </c>
      <c r="Q46" s="202"/>
      <c r="R46" s="206"/>
    </row>
    <row r="47" spans="1:18" customFormat="1" ht="29" x14ac:dyDescent="0.35">
      <c r="A47" s="269">
        <v>4421600</v>
      </c>
      <c r="B47" s="271" t="s">
        <v>260</v>
      </c>
      <c r="C47" s="270" t="s">
        <v>47</v>
      </c>
      <c r="D47" s="263">
        <f>'Allocation %'!B29</f>
        <v>873199.72999999905</v>
      </c>
      <c r="E47" s="263">
        <f>+'Allocation %'!D29</f>
        <v>636424.09180302359</v>
      </c>
      <c r="F47" s="271"/>
      <c r="G47" s="271"/>
      <c r="H47" s="263">
        <f>'Allocation %'!G29</f>
        <v>789719</v>
      </c>
      <c r="I47" s="263">
        <f>+'Allocation %'!I29</f>
        <v>571227.42716338916</v>
      </c>
      <c r="J47" s="271"/>
      <c r="K47" s="271"/>
      <c r="L47" s="265">
        <f>'Allocation %'!L29</f>
        <v>674957</v>
      </c>
      <c r="M47" s="263">
        <f>+'Allocation %'!N29</f>
        <v>491031.16289578611</v>
      </c>
      <c r="N47" s="271"/>
      <c r="O47" s="268" t="s">
        <v>261</v>
      </c>
      <c r="Q47" s="202"/>
      <c r="R47" s="206"/>
    </row>
    <row r="48" spans="1:18" ht="29" x14ac:dyDescent="0.35">
      <c r="A48" s="260">
        <v>4951300</v>
      </c>
      <c r="B48" s="261" t="s">
        <v>168</v>
      </c>
      <c r="C48" s="262" t="s">
        <v>47</v>
      </c>
      <c r="D48" s="263">
        <v>31744.54</v>
      </c>
      <c r="E48" s="263">
        <f>+D48*E3</f>
        <v>23559.164258940687</v>
      </c>
      <c r="F48" s="264"/>
      <c r="G48" s="264"/>
      <c r="H48" s="263">
        <v>31011</v>
      </c>
      <c r="I48" s="263">
        <f>+H48*I3</f>
        <v>22664.980848067655</v>
      </c>
      <c r="J48" s="264"/>
      <c r="K48" s="264"/>
      <c r="L48" s="263">
        <v>31744.54</v>
      </c>
      <c r="M48" s="263">
        <f>+L48*M3</f>
        <v>24949.08131894745</v>
      </c>
      <c r="N48" s="264"/>
      <c r="O48" s="245" t="s">
        <v>233</v>
      </c>
      <c r="Q48" s="202"/>
      <c r="R48" s="206"/>
    </row>
    <row r="49" spans="1:18" x14ac:dyDescent="0.35">
      <c r="A49" s="136" t="s">
        <v>50</v>
      </c>
      <c r="B49" s="132"/>
      <c r="C49" s="256"/>
      <c r="D49" s="139">
        <f>SUM(D44:D48)</f>
        <v>977493.86999999883</v>
      </c>
      <c r="E49" s="139">
        <f>SUM(E44:E48)</f>
        <v>727278.43136574549</v>
      </c>
      <c r="H49" s="139">
        <f>SUM(H44:H48)</f>
        <v>872969</v>
      </c>
      <c r="I49" s="139">
        <f>SUM(I44:I48)</f>
        <v>642662.84863478073</v>
      </c>
      <c r="L49" s="139">
        <f>SUM(L44:L48)</f>
        <v>790001.85999999987</v>
      </c>
      <c r="M49" s="139">
        <f>SUM(M44:M48)</f>
        <v>594918.36667543836</v>
      </c>
      <c r="Q49" s="204"/>
      <c r="R49" s="204"/>
    </row>
    <row r="50" spans="1:18" x14ac:dyDescent="0.35">
      <c r="A50" s="136" t="s">
        <v>149</v>
      </c>
      <c r="B50" s="132"/>
      <c r="C50" s="133"/>
      <c r="D50" s="139">
        <f>-D49-D41-D29</f>
        <v>-184745.40999998874</v>
      </c>
      <c r="E50" s="139">
        <f>-E49-E41-E29</f>
        <v>-79453.165147153195</v>
      </c>
      <c r="H50" s="139">
        <f>-H49-H41-H29</f>
        <v>-966723</v>
      </c>
      <c r="I50" s="139">
        <f>-I49-I41-I29</f>
        <v>-636817.10073166632</v>
      </c>
      <c r="L50" s="139">
        <f>-L49-L41-L29</f>
        <v>-943651.31600000011</v>
      </c>
      <c r="M50" s="139">
        <f>-M49-M41-M29</f>
        <v>-471349.38495207322</v>
      </c>
      <c r="Q50" s="204"/>
      <c r="R50" s="204"/>
    </row>
    <row r="51" spans="1:18" x14ac:dyDescent="0.35">
      <c r="A51" s="136"/>
      <c r="B51" s="132"/>
      <c r="C51" s="133"/>
      <c r="D51" s="128">
        <f>D50/-D20</f>
        <v>-8.5702201022653635E-2</v>
      </c>
      <c r="E51" s="128">
        <f>E50/-E20</f>
        <v>-4.9273692929780351E-2</v>
      </c>
      <c r="H51" s="128">
        <f>H50/-H20</f>
        <v>-0.59619975639464073</v>
      </c>
      <c r="I51" s="128">
        <f>I50/-I20</f>
        <v>-0.53268915539221728</v>
      </c>
      <c r="L51" s="128">
        <f>L50/-L20</f>
        <v>-0.40150957791816466</v>
      </c>
      <c r="M51" s="128">
        <f>M50/-M20</f>
        <v>-0.25314360620128651</v>
      </c>
      <c r="Q51" s="197"/>
      <c r="R51" s="205"/>
    </row>
    <row r="52" spans="1:18" x14ac:dyDescent="0.35">
      <c r="A52" s="135"/>
      <c r="B52" s="132"/>
      <c r="C52" s="133"/>
      <c r="D52" s="134"/>
      <c r="H52" s="134"/>
      <c r="L52" s="134"/>
      <c r="Q52" s="197"/>
      <c r="R52" s="180"/>
    </row>
    <row r="53" spans="1:18" x14ac:dyDescent="0.35">
      <c r="A53" t="s">
        <v>259</v>
      </c>
      <c r="Q53" s="208"/>
    </row>
    <row r="54" spans="1:18" x14ac:dyDescent="0.35">
      <c r="Q54" s="208"/>
    </row>
    <row r="55" spans="1:18" x14ac:dyDescent="0.35">
      <c r="Q55" s="208"/>
    </row>
    <row r="56" spans="1:18" x14ac:dyDescent="0.35">
      <c r="Q56" s="208"/>
    </row>
    <row r="57" spans="1:18" x14ac:dyDescent="0.35">
      <c r="Q57" s="208"/>
    </row>
    <row r="58" spans="1:18" x14ac:dyDescent="0.35">
      <c r="Q58" s="208"/>
    </row>
    <row r="59" spans="1:18" x14ac:dyDescent="0.35">
      <c r="Q59" s="208"/>
    </row>
    <row r="60" spans="1:18" x14ac:dyDescent="0.35">
      <c r="Q60" s="208"/>
    </row>
    <row r="61" spans="1:18" x14ac:dyDescent="0.35">
      <c r="Q61" s="208"/>
    </row>
    <row r="62" spans="1:18" x14ac:dyDescent="0.35">
      <c r="Q62" s="208"/>
    </row>
    <row r="63" spans="1:18" x14ac:dyDescent="0.35">
      <c r="Q63" s="208"/>
    </row>
    <row r="64" spans="1:18" x14ac:dyDescent="0.35">
      <c r="Q64" s="208"/>
    </row>
    <row r="65" spans="17:17" x14ac:dyDescent="0.35">
      <c r="Q65" s="208"/>
    </row>
    <row r="66" spans="17:17" x14ac:dyDescent="0.35">
      <c r="Q66" s="208"/>
    </row>
    <row r="67" spans="17:17" x14ac:dyDescent="0.35">
      <c r="Q67" s="208"/>
    </row>
    <row r="68" spans="17:17" x14ac:dyDescent="0.35">
      <c r="Q68" s="208"/>
    </row>
  </sheetData>
  <mergeCells count="11">
    <mergeCell ref="C1:O1"/>
    <mergeCell ref="Q6:R6"/>
    <mergeCell ref="D2:E2"/>
    <mergeCell ref="O32:O41"/>
    <mergeCell ref="H2:I2"/>
    <mergeCell ref="L2:M2"/>
    <mergeCell ref="O2:O4"/>
    <mergeCell ref="D6:E6"/>
    <mergeCell ref="H6:I6"/>
    <mergeCell ref="L6:M6"/>
    <mergeCell ref="Q24:AD24"/>
  </mergeCells>
  <pageMargins left="0.25" right="0.25" top="0.25" bottom="0.25" header="0.3" footer="0.1"/>
  <pageSetup scale="48" orientation="landscape" r:id="rId1"/>
  <headerFooter>
    <oddFooter>&amp;L&amp;8&amp;F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showGridLines="0" topLeftCell="A7" zoomScale="86" zoomScaleNormal="86" workbookViewId="0">
      <selection activeCell="A25" sqref="A25"/>
    </sheetView>
  </sheetViews>
  <sheetFormatPr defaultColWidth="8.7265625" defaultRowHeight="14.5" x14ac:dyDescent="0.35"/>
  <cols>
    <col min="1" max="1" width="49.54296875" customWidth="1"/>
    <col min="2" max="2" width="11.54296875" bestFit="1" customWidth="1"/>
    <col min="3" max="3" width="10.7265625" style="144" customWidth="1"/>
    <col min="4" max="4" width="11.26953125" customWidth="1"/>
    <col min="5" max="5" width="10.453125" bestFit="1" customWidth="1"/>
    <col min="6" max="6" width="1.7265625" customWidth="1"/>
    <col min="7" max="7" width="11.54296875" bestFit="1" customWidth="1"/>
    <col min="8" max="8" width="11" customWidth="1"/>
    <col min="9" max="10" width="10.7265625" customWidth="1"/>
    <col min="11" max="11" width="1.7265625" customWidth="1"/>
    <col min="12" max="12" width="12.54296875" bestFit="1" customWidth="1"/>
    <col min="13" max="14" width="10.54296875" customWidth="1"/>
    <col min="15" max="15" width="10.7265625" customWidth="1"/>
    <col min="16" max="16" width="15" customWidth="1"/>
    <col min="17" max="17" width="54.453125" customWidth="1"/>
    <col min="18" max="18" width="17" style="188" bestFit="1" customWidth="1"/>
    <col min="19" max="19" width="7.26953125" style="188" bestFit="1" customWidth="1"/>
    <col min="20" max="20" width="8.7265625" style="188"/>
  </cols>
  <sheetData>
    <row r="1" spans="1:19" x14ac:dyDescent="0.35">
      <c r="A1" s="7"/>
      <c r="B1" s="116"/>
      <c r="G1" s="116"/>
      <c r="L1" s="116"/>
      <c r="R1" s="187"/>
    </row>
    <row r="2" spans="1:19" ht="15" thickBot="1" x14ac:dyDescent="0.4">
      <c r="A2" s="7"/>
      <c r="B2" s="116"/>
      <c r="G2" s="116"/>
      <c r="L2" s="116"/>
    </row>
    <row r="3" spans="1:19" ht="15" thickBot="1" x14ac:dyDescent="0.4">
      <c r="A3" s="7"/>
      <c r="B3" s="303" t="s">
        <v>175</v>
      </c>
      <c r="C3" s="305"/>
      <c r="G3" s="303" t="s">
        <v>204</v>
      </c>
      <c r="H3" s="305"/>
      <c r="L3" s="303" t="s">
        <v>205</v>
      </c>
      <c r="M3" s="305"/>
      <c r="P3" s="15" t="s">
        <v>184</v>
      </c>
      <c r="Q3" s="15"/>
      <c r="R3" s="189"/>
      <c r="S3" s="190"/>
    </row>
    <row r="4" spans="1:19" x14ac:dyDescent="0.35">
      <c r="A4" s="15" t="s">
        <v>172</v>
      </c>
      <c r="B4" s="124" t="s">
        <v>80</v>
      </c>
      <c r="C4" s="145" t="s">
        <v>169</v>
      </c>
      <c r="G4" s="124" t="s">
        <v>80</v>
      </c>
      <c r="H4" s="145" t="s">
        <v>169</v>
      </c>
      <c r="L4" s="124" t="s">
        <v>81</v>
      </c>
      <c r="M4" s="145" t="s">
        <v>169</v>
      </c>
      <c r="P4" s="28" t="s">
        <v>182</v>
      </c>
      <c r="R4" s="189"/>
      <c r="S4" s="190"/>
    </row>
    <row r="5" spans="1:19" ht="29" x14ac:dyDescent="0.35">
      <c r="A5" s="247" t="s">
        <v>52</v>
      </c>
      <c r="B5" s="91">
        <f>-'Detail SJE P&amp;L'!D10-'Detail SJE P&amp;L'!D18</f>
        <v>1612486.51</v>
      </c>
      <c r="C5" s="146">
        <f>B5/SUM(B$5:B$7)</f>
        <v>0.7654581956213069</v>
      </c>
      <c r="D5" s="306">
        <f>C5+C6</f>
        <v>0.74214854771688887</v>
      </c>
      <c r="G5" s="91">
        <f>1156870+38606</f>
        <v>1195476</v>
      </c>
      <c r="H5" s="146">
        <f>G5/SUM(G$5:G$7)</f>
        <v>0.75525896331281994</v>
      </c>
      <c r="I5" s="306">
        <f>H5+H6</f>
        <v>0.73086907381469979</v>
      </c>
      <c r="L5" s="91">
        <f>1792666+69319</f>
        <v>1861985</v>
      </c>
      <c r="M5" s="146">
        <f>L5/SUM(L$5:L$7)</f>
        <v>0.81632353328013885</v>
      </c>
      <c r="N5" s="306">
        <f>M5+M6</f>
        <v>0.78593299253816407</v>
      </c>
      <c r="P5" s="244">
        <f>L5/B5-1</f>
        <v>0.15472904018279188</v>
      </c>
      <c r="Q5" s="245" t="s">
        <v>218</v>
      </c>
      <c r="R5" s="189"/>
      <c r="S5"/>
    </row>
    <row r="6" spans="1:19" ht="29" x14ac:dyDescent="0.35">
      <c r="A6" s="247" t="s">
        <v>53</v>
      </c>
      <c r="B6" s="91">
        <f>+'Detail SJE P&amp;L'!D18</f>
        <v>-49103.26</v>
      </c>
      <c r="C6" s="146">
        <f>B6/SUM(B$5:B$7)</f>
        <v>-2.3309647904418064E-2</v>
      </c>
      <c r="D6" s="307"/>
      <c r="G6" s="91">
        <v>-38606</v>
      </c>
      <c r="H6" s="146">
        <f>G6/SUM(G$5:G$7)</f>
        <v>-2.4389889498120185E-2</v>
      </c>
      <c r="I6" s="307"/>
      <c r="L6" s="91">
        <v>-69319</v>
      </c>
      <c r="M6" s="146">
        <f>L6/SUM(L$5:L$7)</f>
        <v>-3.0390540741974798E-2</v>
      </c>
      <c r="N6" s="307"/>
      <c r="P6" s="244">
        <f>L6/B6-1</f>
        <v>0.41169853081037799</v>
      </c>
      <c r="Q6" s="245" t="s">
        <v>219</v>
      </c>
      <c r="R6" s="191"/>
      <c r="S6"/>
    </row>
    <row r="7" spans="1:19" x14ac:dyDescent="0.35">
      <c r="A7" s="247" t="s">
        <v>54</v>
      </c>
      <c r="B7" s="123">
        <f>-'Detail SJE P&amp;L'!D14</f>
        <v>543180.53</v>
      </c>
      <c r="C7" s="237">
        <f>B7/SUM(B$5:B$7)</f>
        <v>0.25785145228311102</v>
      </c>
      <c r="G7" s="123">
        <v>425999</v>
      </c>
      <c r="H7" s="237">
        <f>G7/SUM(G$5:G$7)</f>
        <v>0.26913092618530021</v>
      </c>
      <c r="L7" s="123">
        <v>488274</v>
      </c>
      <c r="M7" s="237">
        <f>L7/SUM(L$5:L$7)</f>
        <v>0.21406700746183591</v>
      </c>
      <c r="N7" s="21"/>
      <c r="P7" s="244">
        <f>L7/B7-1</f>
        <v>-0.10108339118856124</v>
      </c>
      <c r="Q7" s="245" t="s">
        <v>220</v>
      </c>
      <c r="R7" s="191"/>
      <c r="S7"/>
    </row>
    <row r="8" spans="1:19" x14ac:dyDescent="0.35">
      <c r="A8" s="248" t="s">
        <v>55</v>
      </c>
      <c r="B8" s="117">
        <f>SUM(B5:B7)</f>
        <v>2106563.7800000003</v>
      </c>
      <c r="C8" s="147">
        <f>SUM(C5:C7)</f>
        <v>0.99999999999999989</v>
      </c>
      <c r="G8" s="117">
        <f>SUM(G5:G7)</f>
        <v>1582869</v>
      </c>
      <c r="H8" s="147">
        <f>SUM(H5:H7)</f>
        <v>1</v>
      </c>
      <c r="L8" s="117">
        <f>SUM(L5:L7)</f>
        <v>2280940</v>
      </c>
      <c r="M8" s="147">
        <f>SUM(M5:M7)</f>
        <v>1</v>
      </c>
    </row>
    <row r="9" spans="1:19" ht="27.65" customHeight="1" thickBot="1" x14ac:dyDescent="0.4">
      <c r="A9" s="14"/>
      <c r="B9" s="117"/>
      <c r="C9" s="147"/>
      <c r="G9" s="117"/>
      <c r="H9" s="213"/>
      <c r="L9" s="117"/>
      <c r="M9" s="213"/>
      <c r="R9" s="189"/>
      <c r="S9" s="183"/>
    </row>
    <row r="10" spans="1:19" ht="15" thickBot="1" x14ac:dyDescent="0.4">
      <c r="A10" s="7"/>
      <c r="B10" s="303" t="s">
        <v>176</v>
      </c>
      <c r="C10" s="305"/>
      <c r="G10" s="303" t="s">
        <v>179</v>
      </c>
      <c r="H10" s="305"/>
      <c r="L10" s="303" t="s">
        <v>180</v>
      </c>
      <c r="M10" s="305"/>
      <c r="R10" s="189"/>
      <c r="S10" s="183"/>
    </row>
    <row r="11" spans="1:19" ht="28" x14ac:dyDescent="0.35">
      <c r="A11" s="235" t="s">
        <v>171</v>
      </c>
      <c r="B11" s="124" t="s">
        <v>80</v>
      </c>
      <c r="C11" s="148" t="s">
        <v>174</v>
      </c>
      <c r="D11" s="3"/>
      <c r="G11" s="124" t="s">
        <v>80</v>
      </c>
      <c r="H11" s="148" t="s">
        <v>174</v>
      </c>
      <c r="I11" s="3"/>
      <c r="J11" s="12"/>
      <c r="L11" s="124" t="s">
        <v>81</v>
      </c>
      <c r="M11" s="148" t="s">
        <v>174</v>
      </c>
      <c r="N11" s="3"/>
      <c r="R11" s="189"/>
      <c r="S11" s="183"/>
    </row>
    <row r="12" spans="1:19" x14ac:dyDescent="0.35">
      <c r="A12" s="247" t="s">
        <v>56</v>
      </c>
      <c r="B12" s="91">
        <f>-2396+45408</f>
        <v>43012</v>
      </c>
      <c r="C12" s="149">
        <f>B12/B15</f>
        <v>0.68889743096931255</v>
      </c>
      <c r="D12" s="3">
        <f>C12</f>
        <v>0.68889743096931255</v>
      </c>
      <c r="G12" s="91">
        <v>34921</v>
      </c>
      <c r="H12" s="149">
        <f>G12/G15</f>
        <v>0.70358430882678857</v>
      </c>
      <c r="I12" s="3">
        <f>H12</f>
        <v>0.70358430882678857</v>
      </c>
      <c r="J12" s="12"/>
      <c r="L12" s="91">
        <v>50622</v>
      </c>
      <c r="M12" s="149">
        <f>L12/L15</f>
        <v>0.699169923898181</v>
      </c>
      <c r="N12" s="234">
        <f>M12</f>
        <v>0.699169923898181</v>
      </c>
      <c r="R12" s="189"/>
      <c r="S12" s="183"/>
    </row>
    <row r="13" spans="1:19" x14ac:dyDescent="0.35">
      <c r="A13" s="247" t="s">
        <v>57</v>
      </c>
      <c r="B13" s="91">
        <v>2396</v>
      </c>
      <c r="C13" s="149">
        <f>+B13/B15</f>
        <v>3.8375296303414699E-2</v>
      </c>
      <c r="D13" s="3"/>
      <c r="G13" s="91">
        <f>824+824</f>
        <v>1648</v>
      </c>
      <c r="H13" s="149">
        <f>+G13/G15</f>
        <v>3.3203715270082403E-2</v>
      </c>
      <c r="I13" s="3"/>
      <c r="J13" s="12"/>
      <c r="L13" s="91">
        <v>2700</v>
      </c>
      <c r="M13" s="149">
        <f>+L13/L15</f>
        <v>3.7291272461085864E-2</v>
      </c>
      <c r="N13" s="3"/>
      <c r="R13" s="191"/>
      <c r="S13" s="192"/>
    </row>
    <row r="14" spans="1:19" x14ac:dyDescent="0.35">
      <c r="A14" s="247" t="s">
        <v>206</v>
      </c>
      <c r="B14" s="123">
        <v>17028</v>
      </c>
      <c r="C14" s="238">
        <f>B14/B15</f>
        <v>0.27272727272727271</v>
      </c>
      <c r="D14" s="29"/>
      <c r="G14" s="123">
        <v>13064</v>
      </c>
      <c r="H14" s="238">
        <f>G14/G15</f>
        <v>0.26321197590312895</v>
      </c>
      <c r="I14" s="29"/>
      <c r="J14" s="12"/>
      <c r="L14" s="123">
        <v>19081</v>
      </c>
      <c r="M14" s="238">
        <f>L14/L15</f>
        <v>0.26353880364073312</v>
      </c>
      <c r="N14" s="29"/>
    </row>
    <row r="15" spans="1:19" x14ac:dyDescent="0.35">
      <c r="A15" s="248" t="s">
        <v>133</v>
      </c>
      <c r="B15" s="117">
        <f>SUM(B11:B14)</f>
        <v>62436</v>
      </c>
      <c r="C15" s="147">
        <f>SUM(C11:C14)</f>
        <v>1</v>
      </c>
      <c r="G15" s="117">
        <f>SUM(G11:G14)</f>
        <v>49633</v>
      </c>
      <c r="H15" s="147">
        <f>SUM(H11:H14)</f>
        <v>0.99999999999999989</v>
      </c>
      <c r="L15" s="117">
        <f>SUM(L11:L14)</f>
        <v>72403</v>
      </c>
      <c r="M15" s="147">
        <f>SUM(M11:M14)</f>
        <v>1</v>
      </c>
    </row>
    <row r="16" spans="1:19" ht="27" customHeight="1" thickBot="1" x14ac:dyDescent="0.4">
      <c r="R16" s="182"/>
      <c r="S16" s="183"/>
    </row>
    <row r="17" spans="1:20" ht="15" thickBot="1" x14ac:dyDescent="0.4">
      <c r="B17" s="303" t="s">
        <v>177</v>
      </c>
      <c r="C17" s="305"/>
      <c r="L17" s="303" t="s">
        <v>181</v>
      </c>
      <c r="M17" s="305"/>
      <c r="R17" s="182"/>
      <c r="S17" s="183"/>
    </row>
    <row r="18" spans="1:20" x14ac:dyDescent="0.35">
      <c r="A18" s="235" t="s">
        <v>170</v>
      </c>
      <c r="B18" s="124" t="s">
        <v>80</v>
      </c>
      <c r="C18" s="145" t="s">
        <v>173</v>
      </c>
      <c r="L18" s="124" t="s">
        <v>81</v>
      </c>
      <c r="M18" s="145" t="s">
        <v>173</v>
      </c>
      <c r="R18" s="184"/>
      <c r="S18" s="185"/>
    </row>
    <row r="19" spans="1:20" x14ac:dyDescent="0.35">
      <c r="A19" s="247" t="s">
        <v>58</v>
      </c>
      <c r="B19" s="125">
        <v>7</v>
      </c>
      <c r="C19" s="149">
        <f>+B19/B21</f>
        <v>0.73684210526315785</v>
      </c>
      <c r="D19" s="118"/>
      <c r="G19" s="119"/>
      <c r="H19" s="120"/>
      <c r="I19" s="118"/>
      <c r="L19" s="125">
        <v>6.5</v>
      </c>
      <c r="M19" s="149">
        <f>+L19/L21</f>
        <v>0.72222222222222221</v>
      </c>
      <c r="N19" s="118"/>
      <c r="R19" s="186"/>
      <c r="S19" s="181" t="s">
        <v>14</v>
      </c>
    </row>
    <row r="20" spans="1:20" x14ac:dyDescent="0.35">
      <c r="A20" s="249" t="s">
        <v>59</v>
      </c>
      <c r="B20" s="126">
        <v>2.5</v>
      </c>
      <c r="C20" s="238">
        <f>+B20/B21</f>
        <v>0.26315789473684209</v>
      </c>
      <c r="D20" s="118"/>
      <c r="G20" s="119"/>
      <c r="H20" s="120"/>
      <c r="I20" s="118"/>
      <c r="L20" s="126">
        <v>2.5</v>
      </c>
      <c r="M20" s="238">
        <f>+L20/L21</f>
        <v>0.27777777777777779</v>
      </c>
      <c r="N20" s="118"/>
      <c r="R20" s="186"/>
      <c r="S20" s="186"/>
    </row>
    <row r="21" spans="1:20" x14ac:dyDescent="0.35">
      <c r="A21" s="14" t="s">
        <v>222</v>
      </c>
      <c r="B21" s="121">
        <f>SUM(B19:B20)</f>
        <v>9.5</v>
      </c>
      <c r="C21" s="150">
        <f>SUM(C19:C20)</f>
        <v>1</v>
      </c>
      <c r="D21" s="118"/>
      <c r="G21" s="121"/>
      <c r="H21" s="122"/>
      <c r="I21" s="118"/>
      <c r="L21" s="121">
        <f>SUM(L19:L20)</f>
        <v>9</v>
      </c>
      <c r="M21" s="150">
        <f>SUM(M19:M20)</f>
        <v>1</v>
      </c>
      <c r="N21" s="118"/>
      <c r="R21" s="193"/>
      <c r="S21" s="194"/>
    </row>
    <row r="22" spans="1:20" ht="15" thickBot="1" x14ac:dyDescent="0.4">
      <c r="A22" s="118"/>
      <c r="B22" s="118"/>
      <c r="C22" s="151"/>
      <c r="D22" s="118"/>
      <c r="J22" s="3"/>
      <c r="R22" s="189"/>
      <c r="S22" s="195"/>
    </row>
    <row r="23" spans="1:20" ht="15.75" customHeight="1" thickBot="1" x14ac:dyDescent="0.4">
      <c r="A23" s="118"/>
      <c r="B23" s="303" t="s">
        <v>208</v>
      </c>
      <c r="C23" s="304"/>
      <c r="D23" s="304"/>
      <c r="E23" s="305"/>
      <c r="G23" s="303" t="s">
        <v>209</v>
      </c>
      <c r="H23" s="304"/>
      <c r="I23" s="304"/>
      <c r="J23" s="305"/>
      <c r="L23" s="303" t="s">
        <v>209</v>
      </c>
      <c r="M23" s="304"/>
      <c r="N23" s="304"/>
      <c r="O23" s="305"/>
      <c r="P23" s="15"/>
      <c r="R23" s="189"/>
      <c r="S23" s="195"/>
    </row>
    <row r="24" spans="1:20" x14ac:dyDescent="0.35">
      <c r="A24" s="236" t="s">
        <v>262</v>
      </c>
      <c r="B24" s="124" t="s">
        <v>80</v>
      </c>
      <c r="C24" s="239" t="s">
        <v>203</v>
      </c>
      <c r="D24" s="235" t="s">
        <v>10</v>
      </c>
      <c r="E24" s="235" t="s">
        <v>51</v>
      </c>
      <c r="F24" s="240"/>
      <c r="G24" s="124" t="s">
        <v>80</v>
      </c>
      <c r="H24" s="239" t="s">
        <v>203</v>
      </c>
      <c r="I24" s="235" t="s">
        <v>10</v>
      </c>
      <c r="J24" s="235" t="s">
        <v>51</v>
      </c>
      <c r="K24" s="240"/>
      <c r="L24" s="124" t="s">
        <v>81</v>
      </c>
      <c r="M24" s="239" t="s">
        <v>203</v>
      </c>
      <c r="N24" s="235" t="s">
        <v>10</v>
      </c>
      <c r="O24" s="235" t="s">
        <v>51</v>
      </c>
      <c r="P24" s="235" t="s">
        <v>184</v>
      </c>
      <c r="R24" s="196"/>
      <c r="S24" s="195"/>
    </row>
    <row r="25" spans="1:20" s="220" customFormat="1" ht="67.5" customHeight="1" x14ac:dyDescent="0.35">
      <c r="A25" s="250" t="s">
        <v>178</v>
      </c>
      <c r="B25" s="221">
        <v>301193.07300000003</v>
      </c>
      <c r="C25" s="223">
        <f>+C6+C5</f>
        <v>0.74214854771688887</v>
      </c>
      <c r="D25" s="222">
        <f>B25*C25</f>
        <v>223530.00170933691</v>
      </c>
      <c r="E25" s="222">
        <f>B25-D25</f>
        <v>77663.071290663123</v>
      </c>
      <c r="G25" s="221">
        <v>301193.07300000003</v>
      </c>
      <c r="H25" s="223">
        <f>+H6+H5</f>
        <v>0.73086907381469979</v>
      </c>
      <c r="I25" s="222">
        <f>+H25*G25</f>
        <v>220132.7023029133</v>
      </c>
      <c r="J25" s="222">
        <f>+G25-I25</f>
        <v>81060.370697086735</v>
      </c>
      <c r="L25" s="224">
        <f>1850000*0.067</f>
        <v>123950.00000000001</v>
      </c>
      <c r="M25" s="223">
        <f>+M6+M5</f>
        <v>0.78593299253816407</v>
      </c>
      <c r="N25" s="222">
        <f>+M25*L25</f>
        <v>97416.394425105449</v>
      </c>
      <c r="O25" s="222">
        <f>+L25-N25</f>
        <v>26533.605574894566</v>
      </c>
      <c r="P25" s="301" t="s">
        <v>215</v>
      </c>
      <c r="Q25" s="302"/>
      <c r="R25" s="225"/>
      <c r="S25" s="225"/>
      <c r="T25" s="225"/>
    </row>
    <row r="26" spans="1:20" s="220" customFormat="1" ht="30" customHeight="1" x14ac:dyDescent="0.35">
      <c r="A26" s="251" t="s">
        <v>210</v>
      </c>
      <c r="B26" s="224">
        <f>12*18184</f>
        <v>218208</v>
      </c>
      <c r="C26" s="223">
        <f>+C12</f>
        <v>0.68889743096931255</v>
      </c>
      <c r="D26" s="222">
        <f>B26*C26</f>
        <v>150322.93061695175</v>
      </c>
      <c r="E26" s="222">
        <f>B26-D26</f>
        <v>67885.069383048249</v>
      </c>
      <c r="G26" s="224">
        <f>12*18184</f>
        <v>218208</v>
      </c>
      <c r="H26" s="223">
        <f>+H12</f>
        <v>0.70358430882678857</v>
      </c>
      <c r="I26" s="222">
        <f>+H26*G26</f>
        <v>153527.72486047589</v>
      </c>
      <c r="J26" s="222">
        <f>+G26-I26</f>
        <v>64680.275139524107</v>
      </c>
      <c r="L26" s="224">
        <f>12*18184</f>
        <v>218208</v>
      </c>
      <c r="M26" s="223">
        <f>+M12</f>
        <v>0.699169923898181</v>
      </c>
      <c r="N26" s="222">
        <f>+M26*L26</f>
        <v>152564.47075397428</v>
      </c>
      <c r="O26" s="222">
        <f>+L26-N26</f>
        <v>65643.529246025719</v>
      </c>
      <c r="P26" s="301" t="s">
        <v>246</v>
      </c>
      <c r="Q26" s="302"/>
      <c r="R26" s="226"/>
      <c r="S26" s="227"/>
      <c r="T26" s="225"/>
    </row>
    <row r="27" spans="1:20" s="220" customFormat="1" ht="45" customHeight="1" x14ac:dyDescent="0.35">
      <c r="A27" s="252" t="s">
        <v>211</v>
      </c>
      <c r="B27" s="222">
        <f>353798.656999999-35000</f>
        <v>318798.65699999902</v>
      </c>
      <c r="C27" s="223">
        <f>C25</f>
        <v>0.74214854771688887</v>
      </c>
      <c r="D27" s="222">
        <f>262571.159476735-D28</f>
        <v>255571.15947673499</v>
      </c>
      <c r="E27" s="222">
        <f>91227.497523264-E28</f>
        <v>63227.497523263999</v>
      </c>
      <c r="G27" s="222">
        <f>270317.927-G28</f>
        <v>235317.92700000003</v>
      </c>
      <c r="H27" s="223">
        <f>H25</f>
        <v>0.73086907381469979</v>
      </c>
      <c r="I27" s="222">
        <f>197567-7000</f>
        <v>190567</v>
      </c>
      <c r="J27" s="222">
        <f>72751-28000</f>
        <v>44751</v>
      </c>
      <c r="L27" s="224">
        <v>297799</v>
      </c>
      <c r="M27" s="223">
        <f>M25</f>
        <v>0.78593299253816407</v>
      </c>
      <c r="N27" s="222">
        <f>([1]Summary!$P$14+[1]Summary!$P$21)*'CC Bookings % of Ttl'!E15</f>
        <v>234050.29771670638</v>
      </c>
      <c r="O27" s="222">
        <f>+L27-N27</f>
        <v>63748.70228329362</v>
      </c>
      <c r="P27" s="301" t="s">
        <v>216</v>
      </c>
      <c r="Q27" s="302"/>
      <c r="R27" s="225"/>
      <c r="S27" s="225"/>
      <c r="T27" s="225"/>
    </row>
    <row r="28" spans="1:20" s="220" customFormat="1" ht="30" customHeight="1" x14ac:dyDescent="0.35">
      <c r="A28" s="251" t="s">
        <v>223</v>
      </c>
      <c r="B28" s="242">
        <v>35000</v>
      </c>
      <c r="C28" s="223"/>
      <c r="D28" s="242">
        <f>B28-E28</f>
        <v>7000</v>
      </c>
      <c r="E28" s="243">
        <f>B28*0.8</f>
        <v>28000</v>
      </c>
      <c r="G28" s="242">
        <v>35000</v>
      </c>
      <c r="H28" s="223"/>
      <c r="I28" s="242">
        <f>G28-J28</f>
        <v>7000</v>
      </c>
      <c r="J28" s="243">
        <f>G28*0.8</f>
        <v>28000</v>
      </c>
      <c r="L28" s="242">
        <v>35000</v>
      </c>
      <c r="M28" s="223"/>
      <c r="N28" s="242">
        <f>L28-O28</f>
        <v>7000</v>
      </c>
      <c r="O28" s="243">
        <f>L28*0.8</f>
        <v>28000</v>
      </c>
      <c r="P28" s="301" t="s">
        <v>217</v>
      </c>
      <c r="Q28" s="302"/>
      <c r="R28" s="225"/>
      <c r="S28" s="225"/>
      <c r="T28" s="225"/>
    </row>
    <row r="29" spans="1:20" s="220" customFormat="1" x14ac:dyDescent="0.35">
      <c r="A29" s="233" t="s">
        <v>207</v>
      </c>
      <c r="B29" s="228">
        <f>SUM(B25:B28)</f>
        <v>873199.72999999905</v>
      </c>
      <c r="C29" s="229"/>
      <c r="D29" s="230">
        <f>SUM(D25:D28)</f>
        <v>636424.09180302359</v>
      </c>
      <c r="E29" s="230">
        <f>SUM(E25:E26)</f>
        <v>145548.14067371137</v>
      </c>
      <c r="G29" s="228">
        <f>SUM(G25:G28)</f>
        <v>789719</v>
      </c>
      <c r="H29" s="231"/>
      <c r="I29" s="228">
        <f>SUM(I25:I28)</f>
        <v>571227.42716338916</v>
      </c>
      <c r="J29" s="228">
        <f>SUM(J25:J28)</f>
        <v>218491.64583661084</v>
      </c>
      <c r="L29" s="228">
        <f>SUM(L25:L28)</f>
        <v>674957</v>
      </c>
      <c r="M29" s="231"/>
      <c r="N29" s="230">
        <f>SUM(N25:N28)</f>
        <v>491031.16289578611</v>
      </c>
      <c r="O29" s="230">
        <f>SUM(O25:O26)</f>
        <v>92177.134820920284</v>
      </c>
      <c r="P29" s="232"/>
      <c r="R29" s="225"/>
      <c r="S29" s="225"/>
      <c r="T29" s="225"/>
    </row>
    <row r="30" spans="1:20" x14ac:dyDescent="0.35">
      <c r="A30" s="246" t="s">
        <v>221</v>
      </c>
      <c r="B30" s="6"/>
      <c r="C30" s="146"/>
      <c r="D30" s="253">
        <f>D29-'Summary SJE P&amp;L'!C20</f>
        <v>0</v>
      </c>
      <c r="E30" s="254"/>
      <c r="F30" s="254"/>
      <c r="G30" s="254"/>
      <c r="H30" s="254"/>
      <c r="I30" s="253">
        <f>I29-'Summary SJE P&amp;L'!D20</f>
        <v>0</v>
      </c>
      <c r="J30" s="254"/>
      <c r="K30" s="254"/>
      <c r="L30" s="254"/>
      <c r="M30" s="254"/>
      <c r="N30" s="253">
        <f>N29-'Summary SJE P&amp;L'!E20</f>
        <v>0</v>
      </c>
      <c r="P30" s="17"/>
    </row>
    <row r="31" spans="1:20" x14ac:dyDescent="0.35">
      <c r="A31" s="153"/>
      <c r="L31" s="241"/>
    </row>
    <row r="32" spans="1:20" x14ac:dyDescent="0.35">
      <c r="A32" s="153"/>
      <c r="N32" s="6"/>
    </row>
    <row r="33" spans="1:20" s="21" customFormat="1" x14ac:dyDescent="0.35">
      <c r="B33" s="166"/>
      <c r="C33" s="177"/>
      <c r="D33" s="178"/>
      <c r="E33" s="178"/>
      <c r="G33" s="166"/>
      <c r="H33" s="177"/>
      <c r="I33" s="178"/>
      <c r="J33" s="178"/>
      <c r="L33" s="166"/>
      <c r="M33" s="177"/>
      <c r="N33" s="178"/>
      <c r="O33" s="178"/>
      <c r="P33" s="178"/>
      <c r="R33" s="188"/>
      <c r="S33" s="188"/>
      <c r="T33" s="188"/>
    </row>
    <row r="34" spans="1:20" x14ac:dyDescent="0.35">
      <c r="A34" s="209"/>
      <c r="B34" s="181"/>
      <c r="C34" s="181"/>
      <c r="D34" s="209"/>
      <c r="E34" s="209"/>
      <c r="F34" s="180"/>
      <c r="G34" s="181"/>
      <c r="H34" s="181"/>
      <c r="I34" s="209"/>
      <c r="J34" s="209"/>
      <c r="K34" s="180"/>
      <c r="L34" s="181"/>
      <c r="M34" s="181"/>
      <c r="N34" s="209"/>
      <c r="O34" s="209"/>
      <c r="P34" s="209"/>
      <c r="R34"/>
      <c r="S34"/>
      <c r="T34"/>
    </row>
    <row r="35" spans="1:20" x14ac:dyDescent="0.35">
      <c r="A35" s="14"/>
      <c r="B35" s="214"/>
      <c r="C35" s="215"/>
      <c r="D35" s="216"/>
      <c r="E35" s="216"/>
      <c r="G35" s="214"/>
      <c r="H35" s="215"/>
      <c r="I35" s="216"/>
      <c r="J35" s="216"/>
      <c r="L35" s="214"/>
      <c r="M35" s="215"/>
      <c r="N35" s="216"/>
      <c r="O35" s="216"/>
      <c r="P35" s="216"/>
      <c r="R35"/>
      <c r="S35"/>
      <c r="T35"/>
    </row>
    <row r="36" spans="1:20" x14ac:dyDescent="0.35">
      <c r="B36" s="4"/>
      <c r="C36" s="217"/>
      <c r="D36" s="6"/>
      <c r="E36" s="6"/>
      <c r="G36" s="4"/>
      <c r="H36" s="217"/>
      <c r="I36" s="6"/>
      <c r="J36" s="6"/>
      <c r="L36" s="4"/>
      <c r="M36" s="217"/>
      <c r="N36" s="6"/>
      <c r="O36" s="6"/>
      <c r="P36" s="6"/>
      <c r="R36"/>
      <c r="S36"/>
      <c r="T36"/>
    </row>
    <row r="37" spans="1:20" x14ac:dyDescent="0.35">
      <c r="A37" s="3"/>
      <c r="B37" s="4"/>
      <c r="C37" s="217"/>
      <c r="D37" s="6"/>
      <c r="E37" s="6"/>
      <c r="G37" s="4"/>
      <c r="H37" s="217"/>
      <c r="I37" s="6"/>
      <c r="J37" s="6"/>
      <c r="L37" s="4"/>
      <c r="M37" s="217"/>
      <c r="N37" s="6"/>
      <c r="O37" s="6"/>
      <c r="P37" s="6"/>
      <c r="R37"/>
      <c r="S37"/>
      <c r="T37"/>
    </row>
    <row r="38" spans="1:20" x14ac:dyDescent="0.35">
      <c r="A38" s="3"/>
      <c r="B38" s="6"/>
      <c r="C38" s="217"/>
      <c r="D38" s="4"/>
      <c r="E38" s="6"/>
      <c r="G38" s="6"/>
      <c r="H38" s="217"/>
      <c r="I38" s="4"/>
      <c r="J38" s="6"/>
      <c r="L38" s="6"/>
      <c r="M38" s="217"/>
      <c r="N38" s="4"/>
      <c r="O38" s="6"/>
      <c r="P38" s="6"/>
      <c r="R38"/>
      <c r="S38"/>
      <c r="T38"/>
    </row>
    <row r="39" spans="1:20" x14ac:dyDescent="0.35">
      <c r="B39" s="218"/>
      <c r="C39" s="219"/>
      <c r="D39" s="4"/>
      <c r="G39" s="4"/>
    </row>
    <row r="40" spans="1:20" x14ac:dyDescent="0.35">
      <c r="B40" s="124"/>
      <c r="C40" s="124"/>
      <c r="D40" s="124"/>
      <c r="E40" s="124"/>
      <c r="F40" s="124"/>
      <c r="G40" s="124"/>
    </row>
    <row r="41" spans="1:20" x14ac:dyDescent="0.35">
      <c r="B41" s="6"/>
      <c r="C41"/>
      <c r="D41" s="6"/>
      <c r="E41" s="6"/>
      <c r="F41" s="19"/>
    </row>
    <row r="42" spans="1:20" x14ac:dyDescent="0.35">
      <c r="B42" s="6"/>
      <c r="C42" s="4"/>
      <c r="D42" s="6"/>
      <c r="E42" s="6"/>
      <c r="F42" s="155"/>
    </row>
    <row r="43" spans="1:20" x14ac:dyDescent="0.35">
      <c r="B43" s="6"/>
      <c r="C43" s="4"/>
      <c r="D43" s="6"/>
      <c r="E43" s="6"/>
      <c r="F43" s="155"/>
    </row>
    <row r="44" spans="1:20" x14ac:dyDescent="0.35">
      <c r="B44" s="6"/>
      <c r="C44" s="4"/>
      <c r="D44" s="4"/>
      <c r="E44" s="154"/>
      <c r="F44" s="155"/>
    </row>
    <row r="45" spans="1:20" x14ac:dyDescent="0.35">
      <c r="B45" s="4"/>
      <c r="C45" s="4"/>
      <c r="D45" s="4"/>
      <c r="E45" s="154"/>
      <c r="F45" s="155"/>
    </row>
    <row r="46" spans="1:20" x14ac:dyDescent="0.35">
      <c r="B46" s="4"/>
      <c r="C46" s="4"/>
      <c r="D46" s="4"/>
      <c r="E46" s="154"/>
      <c r="F46" s="155"/>
    </row>
    <row r="47" spans="1:20" x14ac:dyDescent="0.35">
      <c r="B47" s="4"/>
      <c r="C47" s="4"/>
      <c r="D47" s="4"/>
      <c r="E47" s="154"/>
      <c r="F47" s="155"/>
    </row>
    <row r="48" spans="1:20" x14ac:dyDescent="0.35">
      <c r="B48" s="4"/>
      <c r="C48" s="4"/>
      <c r="D48" s="4"/>
      <c r="E48" s="154"/>
      <c r="F48" s="155"/>
    </row>
    <row r="49" spans="2:7" x14ac:dyDescent="0.35">
      <c r="B49" s="4"/>
      <c r="C49" s="4"/>
      <c r="D49" s="4"/>
      <c r="E49" s="154"/>
      <c r="F49" s="155"/>
    </row>
    <row r="50" spans="2:7" x14ac:dyDescent="0.35">
      <c r="B50" s="4"/>
      <c r="C50" s="4"/>
      <c r="D50" s="4"/>
      <c r="E50" s="154"/>
      <c r="F50" s="155"/>
    </row>
    <row r="51" spans="2:7" x14ac:dyDescent="0.35">
      <c r="B51" s="4"/>
      <c r="C51" s="4"/>
      <c r="D51" s="4"/>
      <c r="E51" s="154"/>
      <c r="F51" s="155"/>
    </row>
    <row r="52" spans="2:7" x14ac:dyDescent="0.35">
      <c r="B52" s="4"/>
      <c r="C52" s="4"/>
      <c r="D52" s="4"/>
      <c r="E52" s="154"/>
      <c r="F52" s="155"/>
    </row>
    <row r="53" spans="2:7" x14ac:dyDescent="0.35">
      <c r="B53" s="4"/>
      <c r="C53" s="4"/>
      <c r="D53" s="4"/>
      <c r="E53" s="154"/>
      <c r="F53" s="155"/>
    </row>
    <row r="54" spans="2:7" ht="15" thickBot="1" x14ac:dyDescent="0.4">
      <c r="B54" s="4"/>
      <c r="C54" s="4"/>
      <c r="D54" s="4"/>
    </row>
    <row r="55" spans="2:7" ht="15" thickBot="1" x14ac:dyDescent="0.4">
      <c r="E55" s="152"/>
      <c r="G55" s="168"/>
    </row>
  </sheetData>
  <mergeCells count="18">
    <mergeCell ref="N5:N6"/>
    <mergeCell ref="B3:C3"/>
    <mergeCell ref="G3:H3"/>
    <mergeCell ref="L3:M3"/>
    <mergeCell ref="B10:C10"/>
    <mergeCell ref="B17:C17"/>
    <mergeCell ref="D5:D6"/>
    <mergeCell ref="I5:I6"/>
    <mergeCell ref="G10:H10"/>
    <mergeCell ref="L10:M10"/>
    <mergeCell ref="L17:M17"/>
    <mergeCell ref="P25:Q25"/>
    <mergeCell ref="P26:Q26"/>
    <mergeCell ref="P27:Q27"/>
    <mergeCell ref="P28:Q28"/>
    <mergeCell ref="B23:E23"/>
    <mergeCell ref="G23:J23"/>
    <mergeCell ref="L23:O23"/>
  </mergeCells>
  <pageMargins left="0.25" right="0.25" top="0.25" bottom="0.25" header="0.3" footer="0.1"/>
  <pageSetup scale="52" orientation="landscape" r:id="rId1"/>
  <headerFooter>
    <oddFooter>&amp;L&amp;8&amp;F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J22"/>
  <sheetViews>
    <sheetView workbookViewId="0">
      <selection activeCell="G13" sqref="G13"/>
    </sheetView>
  </sheetViews>
  <sheetFormatPr defaultRowHeight="14.5" x14ac:dyDescent="0.35"/>
  <cols>
    <col min="3" max="3" width="25.7265625" customWidth="1"/>
    <col min="4" max="4" width="10.7265625" customWidth="1"/>
    <col min="5" max="6" width="11" customWidth="1"/>
    <col min="7" max="8" width="8" customWidth="1"/>
    <col min="10" max="10" width="41.7265625" bestFit="1" customWidth="1"/>
  </cols>
  <sheetData>
    <row r="2" spans="3:10" x14ac:dyDescent="0.35">
      <c r="D2" s="28" t="s">
        <v>80</v>
      </c>
      <c r="E2" s="28" t="s">
        <v>80</v>
      </c>
      <c r="F2" s="28" t="s">
        <v>81</v>
      </c>
      <c r="I2" s="15" t="s">
        <v>7</v>
      </c>
    </row>
    <row r="3" spans="3:10" x14ac:dyDescent="0.35">
      <c r="C3" s="7" t="s">
        <v>0</v>
      </c>
      <c r="D3" s="16">
        <v>2017</v>
      </c>
      <c r="E3" s="16">
        <v>2018</v>
      </c>
      <c r="F3" s="16">
        <v>2019</v>
      </c>
      <c r="G3" s="15"/>
      <c r="H3" s="15"/>
      <c r="I3" s="16">
        <v>2019</v>
      </c>
    </row>
    <row r="4" spans="3:10" x14ac:dyDescent="0.35">
      <c r="C4" s="17" t="s">
        <v>64</v>
      </c>
      <c r="D4" s="23">
        <f>'[2]SEA-VIC Yearly Comp. PAX'!H24</f>
        <v>0</v>
      </c>
      <c r="E4" s="23">
        <f>'[2]SEA-VIC Yearly Comp. PAX'!K24</f>
        <v>0</v>
      </c>
      <c r="F4" s="23">
        <f>[3]SJC!C12</f>
        <v>0</v>
      </c>
      <c r="G4" s="23"/>
      <c r="H4" s="23"/>
      <c r="I4" s="19">
        <v>0</v>
      </c>
    </row>
    <row r="5" spans="3:10" x14ac:dyDescent="0.35">
      <c r="C5" s="17" t="s">
        <v>65</v>
      </c>
      <c r="D5" s="23">
        <f>'[2]SEA-VIC Yearly Comp. PAX'!H25</f>
        <v>0</v>
      </c>
      <c r="E5" s="23">
        <f>'[2]SEA-VIC Yearly Comp. PAX'!K25</f>
        <v>0</v>
      </c>
      <c r="F5" s="23">
        <f>[3]SJC!$D$12</f>
        <v>0</v>
      </c>
      <c r="G5" s="23"/>
      <c r="H5" s="23"/>
      <c r="I5" s="19">
        <v>0</v>
      </c>
    </row>
    <row r="6" spans="3:10" x14ac:dyDescent="0.35">
      <c r="C6" s="17" t="s">
        <v>66</v>
      </c>
      <c r="D6" s="23">
        <f>'[2]SEA-VIC Yearly Comp. PAX'!H26</f>
        <v>1772</v>
      </c>
      <c r="E6" s="23">
        <f>'[2]SEA-VIC Yearly Comp. PAX'!K26</f>
        <v>1890</v>
      </c>
      <c r="F6" s="23">
        <f>[3]SJC!$E$12</f>
        <v>2220</v>
      </c>
      <c r="G6" s="23"/>
      <c r="H6" s="23"/>
      <c r="I6" s="19">
        <v>6</v>
      </c>
      <c r="J6" t="s">
        <v>76</v>
      </c>
    </row>
    <row r="7" spans="3:10" ht="15" thickBot="1" x14ac:dyDescent="0.4">
      <c r="C7" s="17" t="s">
        <v>67</v>
      </c>
      <c r="D7" s="23">
        <f>'[2]SEA-VIC Yearly Comp. PAX'!H27</f>
        <v>2356</v>
      </c>
      <c r="E7" s="23">
        <f>'[2]SEA-VIC Yearly Comp. PAX'!K27</f>
        <v>3288</v>
      </c>
      <c r="F7" s="23">
        <f>[3]SJC!$F$12</f>
        <v>3700</v>
      </c>
      <c r="G7" s="23"/>
      <c r="H7" s="23"/>
      <c r="I7" s="19">
        <v>10</v>
      </c>
      <c r="J7" t="s">
        <v>76</v>
      </c>
    </row>
    <row r="8" spans="3:10" x14ac:dyDescent="0.35">
      <c r="C8" s="17" t="s">
        <v>68</v>
      </c>
      <c r="D8" s="23">
        <f>'[2]SEA-VIC Yearly Comp. PAX'!H28</f>
        <v>2857</v>
      </c>
      <c r="E8" s="23">
        <f>'[2]SEA-VIC Yearly Comp. PAX'!K28</f>
        <v>5311</v>
      </c>
      <c r="F8" s="25">
        <f>[3]SJC!$G$12</f>
        <v>6798</v>
      </c>
      <c r="G8" s="23"/>
      <c r="H8" s="23"/>
      <c r="I8" s="22">
        <v>22</v>
      </c>
      <c r="J8" t="s">
        <v>242</v>
      </c>
    </row>
    <row r="9" spans="3:10" x14ac:dyDescent="0.35">
      <c r="C9" s="17" t="s">
        <v>69</v>
      </c>
      <c r="D9" s="23">
        <f>'[2]SEA-VIC Yearly Comp. PAX'!H29</f>
        <v>8042</v>
      </c>
      <c r="E9" s="23">
        <f>'[2]SEA-VIC Yearly Comp. PAX'!K29</f>
        <v>9712</v>
      </c>
      <c r="F9" s="26">
        <f>[3]SJC!$H$12</f>
        <v>9888</v>
      </c>
      <c r="G9" s="23"/>
      <c r="H9" s="23"/>
      <c r="I9" s="22">
        <v>30</v>
      </c>
    </row>
    <row r="10" spans="3:10" x14ac:dyDescent="0.35">
      <c r="C10" s="17" t="s">
        <v>70</v>
      </c>
      <c r="D10" s="23">
        <f>'[2]SEA-VIC Yearly Comp. PAX'!H30</f>
        <v>11525</v>
      </c>
      <c r="E10" s="23">
        <f>'[2]SEA-VIC Yearly Comp. PAX'!K30</f>
        <v>8960</v>
      </c>
      <c r="F10" s="26">
        <f>[3]SJC!$I$12</f>
        <v>10217.6</v>
      </c>
      <c r="G10" s="23"/>
      <c r="H10" s="23"/>
      <c r="I10" s="22">
        <v>31</v>
      </c>
    </row>
    <row r="11" spans="3:10" x14ac:dyDescent="0.35">
      <c r="C11" s="17" t="s">
        <v>71</v>
      </c>
      <c r="D11" s="23">
        <f>'[2]SEA-VIC Yearly Comp. PAX'!H31</f>
        <v>11601</v>
      </c>
      <c r="E11" s="23">
        <f>'[2]SEA-VIC Yearly Comp. PAX'!K31</f>
        <v>2340</v>
      </c>
      <c r="F11" s="26">
        <f>[3]SJC!$J$12</f>
        <v>10217.6</v>
      </c>
      <c r="G11" s="23"/>
      <c r="H11" s="23"/>
      <c r="I11" s="22">
        <v>31</v>
      </c>
    </row>
    <row r="12" spans="3:10" x14ac:dyDescent="0.35">
      <c r="C12" s="17" t="s">
        <v>72</v>
      </c>
      <c r="D12" s="23">
        <f>'[2]SEA-VIC Yearly Comp. PAX'!H32</f>
        <v>3900</v>
      </c>
      <c r="E12" s="23">
        <f>'[2]SEA-VIC Yearly Comp. PAX'!K32</f>
        <v>1698</v>
      </c>
      <c r="F12" s="26">
        <f>[3]SJC!$K$12</f>
        <v>5603.2</v>
      </c>
      <c r="G12" s="23"/>
      <c r="H12" s="23"/>
      <c r="I12" s="22">
        <v>17</v>
      </c>
    </row>
    <row r="13" spans="3:10" ht="15" thickBot="1" x14ac:dyDescent="0.4">
      <c r="C13" s="17" t="s">
        <v>73</v>
      </c>
      <c r="D13" s="23">
        <f>'[2]SEA-VIC Yearly Comp. PAX'!H33</f>
        <v>959</v>
      </c>
      <c r="E13" s="23">
        <f>'[2]SEA-VIC Yearly Comp. PAX'!K33</f>
        <v>1722</v>
      </c>
      <c r="F13" s="27">
        <f>[3]SJC!$L$12</f>
        <v>1977.6000000000001</v>
      </c>
      <c r="G13" s="23"/>
      <c r="H13" s="23"/>
      <c r="I13" s="22">
        <v>6</v>
      </c>
    </row>
    <row r="14" spans="3:10" x14ac:dyDescent="0.35">
      <c r="C14" s="17" t="s">
        <v>74</v>
      </c>
      <c r="D14" s="23">
        <f>'[2]SEA-VIC Yearly Comp. PAX'!H34</f>
        <v>0</v>
      </c>
      <c r="E14" s="23">
        <f>'[2]SEA-VIC Yearly Comp. PAX'!K34</f>
        <v>0</v>
      </c>
      <c r="F14" s="23">
        <f>[3]SJC!$M$12</f>
        <v>600</v>
      </c>
      <c r="G14" s="23"/>
      <c r="H14" s="23"/>
      <c r="I14" s="19">
        <v>2</v>
      </c>
      <c r="J14" t="s">
        <v>77</v>
      </c>
    </row>
    <row r="15" spans="3:10" x14ac:dyDescent="0.35">
      <c r="C15" s="17" t="s">
        <v>75</v>
      </c>
      <c r="D15" s="24">
        <f>'[2]SEA-VIC Yearly Comp. PAX'!H35</f>
        <v>2396</v>
      </c>
      <c r="E15" s="282">
        <v>824</v>
      </c>
      <c r="F15" s="24">
        <f>[3]SJC!$N$12</f>
        <v>2100</v>
      </c>
      <c r="G15" s="23"/>
      <c r="H15" s="23"/>
      <c r="I15" s="20">
        <v>7</v>
      </c>
      <c r="J15" t="s">
        <v>77</v>
      </c>
    </row>
    <row r="16" spans="3:10" x14ac:dyDescent="0.35">
      <c r="D16" s="6">
        <f>SUM(D4:D15)</f>
        <v>45408</v>
      </c>
      <c r="E16" s="6">
        <f>SUM(E4:E15)</f>
        <v>35745</v>
      </c>
      <c r="F16" s="6">
        <f>SUM(F4:F15)</f>
        <v>53321.999999999993</v>
      </c>
      <c r="I16" s="19">
        <f>SUM(I4:I15)</f>
        <v>162</v>
      </c>
    </row>
    <row r="17" spans="3:10" x14ac:dyDescent="0.35">
      <c r="C17" s="17" t="s">
        <v>79</v>
      </c>
      <c r="D17" s="6">
        <f>D15</f>
        <v>2396</v>
      </c>
      <c r="E17" s="6">
        <f>E15</f>
        <v>824</v>
      </c>
      <c r="F17" s="6">
        <f>F14+F15</f>
        <v>2700</v>
      </c>
      <c r="I17" s="19">
        <f>6+7+2+10</f>
        <v>25</v>
      </c>
      <c r="J17" t="s">
        <v>183</v>
      </c>
    </row>
    <row r="18" spans="3:10" ht="15" thickBot="1" x14ac:dyDescent="0.4">
      <c r="C18" s="5" t="s">
        <v>82</v>
      </c>
      <c r="D18" s="161">
        <f>D16-D17</f>
        <v>43012</v>
      </c>
      <c r="E18" s="161">
        <f>E16-E17</f>
        <v>34921</v>
      </c>
      <c r="F18" s="161">
        <f>F16-F17</f>
        <v>50621.999999999993</v>
      </c>
      <c r="I18" s="160">
        <f>+I16-I17</f>
        <v>137</v>
      </c>
      <c r="J18" s="21"/>
    </row>
    <row r="19" spans="3:10" ht="15" thickTop="1" x14ac:dyDescent="0.35">
      <c r="C19" s="17" t="s">
        <v>76</v>
      </c>
      <c r="D19" s="6">
        <f>D6+D7</f>
        <v>4128</v>
      </c>
      <c r="E19" s="6">
        <f t="shared" ref="E19:F19" si="0">E6+E7</f>
        <v>5178</v>
      </c>
      <c r="F19" s="6">
        <f t="shared" si="0"/>
        <v>5920</v>
      </c>
    </row>
    <row r="20" spans="3:10" ht="15" thickBot="1" x14ac:dyDescent="0.4">
      <c r="C20" s="5" t="s">
        <v>83</v>
      </c>
      <c r="D20" s="162">
        <f>D18-D19</f>
        <v>38884</v>
      </c>
      <c r="E20" s="162">
        <f t="shared" ref="E20:F20" si="1">E18-E19</f>
        <v>29743</v>
      </c>
      <c r="F20" s="162">
        <f t="shared" si="1"/>
        <v>44701.999999999993</v>
      </c>
    </row>
    <row r="21" spans="3:10" ht="15" thickTop="1" x14ac:dyDescent="0.35"/>
    <row r="22" spans="3:10" x14ac:dyDescent="0.35">
      <c r="C22" s="7"/>
    </row>
  </sheetData>
  <pageMargins left="0.25" right="0.25" top="0.25" bottom="0.25" header="0.3" footer="0.1"/>
  <pageSetup scale="99" orientation="landscape" r:id="rId1"/>
  <headerFooter>
    <oddFooter>&amp;L&amp;8&amp;F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T47"/>
  <sheetViews>
    <sheetView zoomScale="90" zoomScaleNormal="90" workbookViewId="0">
      <pane xSplit="3" ySplit="4" topLeftCell="D5" activePane="bottomRight" state="frozen"/>
      <selection sqref="A1:G24"/>
      <selection pane="topRight" sqref="A1:G24"/>
      <selection pane="bottomLeft" sqref="A1:G24"/>
      <selection pane="bottomRight" activeCell="I24" sqref="I24"/>
    </sheetView>
  </sheetViews>
  <sheetFormatPr defaultColWidth="9.26953125" defaultRowHeight="12.5" x14ac:dyDescent="0.25"/>
  <cols>
    <col min="1" max="1" width="19.453125" style="34" customWidth="1"/>
    <col min="2" max="2" width="13.26953125" style="34" bestFit="1" customWidth="1"/>
    <col min="3" max="3" width="31.26953125" style="34" bestFit="1" customWidth="1"/>
    <col min="4" max="4" width="8.54296875" style="34" bestFit="1" customWidth="1"/>
    <col min="5" max="5" width="8.7265625" style="34" bestFit="1" customWidth="1"/>
    <col min="6" max="6" width="9.26953125" style="34" bestFit="1" customWidth="1"/>
    <col min="7" max="7" width="8.7265625" style="34" bestFit="1" customWidth="1"/>
    <col min="8" max="8" width="9.54296875" style="34" bestFit="1" customWidth="1"/>
    <col min="9" max="10" width="8.54296875" style="34" bestFit="1" customWidth="1"/>
    <col min="11" max="11" width="9.26953125" style="34" bestFit="1" customWidth="1"/>
    <col min="12" max="12" width="8.7265625" style="34" bestFit="1" customWidth="1"/>
    <col min="13" max="13" width="8.54296875" style="34" bestFit="1" customWidth="1"/>
    <col min="14" max="14" width="9.26953125" style="34" bestFit="1" customWidth="1"/>
    <col min="15" max="15" width="9" style="34" bestFit="1" customWidth="1"/>
    <col min="16" max="16" width="10.26953125" style="34" bestFit="1" customWidth="1"/>
    <col min="17" max="17" width="9.26953125" style="34"/>
    <col min="18" max="18" width="13.54296875" style="34" hidden="1" customWidth="1"/>
    <col min="19" max="19" width="6.7265625" style="34" customWidth="1"/>
    <col min="20" max="20" width="33" style="34" bestFit="1" customWidth="1"/>
    <col min="21" max="16384" width="9.26953125" style="34"/>
  </cols>
  <sheetData>
    <row r="1" spans="1:20" ht="13" x14ac:dyDescent="0.3">
      <c r="A1" s="30" t="s">
        <v>263</v>
      </c>
      <c r="B1" s="31"/>
      <c r="C1" s="30"/>
      <c r="D1" s="32">
        <v>31</v>
      </c>
      <c r="E1" s="33">
        <v>28</v>
      </c>
      <c r="F1" s="33">
        <v>31</v>
      </c>
      <c r="G1" s="33">
        <v>30</v>
      </c>
      <c r="H1" s="33">
        <v>31</v>
      </c>
      <c r="I1" s="33">
        <v>30</v>
      </c>
      <c r="J1" s="33">
        <v>31</v>
      </c>
      <c r="K1" s="33">
        <v>31</v>
      </c>
      <c r="L1" s="33">
        <v>30</v>
      </c>
      <c r="M1" s="33">
        <v>31</v>
      </c>
      <c r="N1" s="33">
        <v>30</v>
      </c>
      <c r="O1" s="33">
        <v>31</v>
      </c>
      <c r="P1" s="33">
        <f>SUM(D1:O1)</f>
        <v>365</v>
      </c>
    </row>
    <row r="2" spans="1:20" ht="13" x14ac:dyDescent="0.3">
      <c r="A2" s="31"/>
      <c r="B2" s="31"/>
      <c r="C2" s="35"/>
      <c r="D2" s="32">
        <f>[4]SJC!C6</f>
        <v>0</v>
      </c>
      <c r="E2" s="33">
        <f>[4]SJC!D6</f>
        <v>0</v>
      </c>
      <c r="F2" s="33">
        <f>[4]SJC!E6</f>
        <v>12</v>
      </c>
      <c r="G2" s="33">
        <f>[4]SJC!F6</f>
        <v>20</v>
      </c>
      <c r="H2" s="33">
        <f>[4]SJC!G6</f>
        <v>44</v>
      </c>
      <c r="I2" s="33">
        <f>[4]SJC!H6</f>
        <v>60</v>
      </c>
      <c r="J2" s="33">
        <f>[4]SJC!I6</f>
        <v>62</v>
      </c>
      <c r="K2" s="33">
        <f>[4]SJC!J6</f>
        <v>62</v>
      </c>
      <c r="L2" s="33">
        <f>[4]SJC!K6</f>
        <v>34</v>
      </c>
      <c r="M2" s="33">
        <f>[4]SJC!L6</f>
        <v>12</v>
      </c>
      <c r="N2" s="33">
        <f>[4]SJC!M6</f>
        <v>4</v>
      </c>
      <c r="O2" s="33">
        <f>[4]SJC!N6</f>
        <v>14</v>
      </c>
      <c r="P2" s="33">
        <f>[4]SJC!O6</f>
        <v>324</v>
      </c>
    </row>
    <row r="3" spans="1:20" ht="13" x14ac:dyDescent="0.3">
      <c r="A3" s="33" t="s">
        <v>84</v>
      </c>
      <c r="B3" s="33" t="s">
        <v>85</v>
      </c>
      <c r="C3" s="36"/>
      <c r="D3" s="36"/>
      <c r="E3" s="36"/>
      <c r="F3" s="36"/>
      <c r="G3" s="36"/>
      <c r="H3" s="36"/>
      <c r="I3" s="36"/>
      <c r="J3" s="36"/>
      <c r="K3" s="36"/>
      <c r="L3" s="36"/>
      <c r="M3" s="36"/>
      <c r="N3" s="36"/>
      <c r="O3" s="36"/>
      <c r="P3" s="36"/>
    </row>
    <row r="4" spans="1:20" ht="15.75" customHeight="1" x14ac:dyDescent="0.3">
      <c r="A4" s="37"/>
      <c r="B4" s="33" t="s">
        <v>1</v>
      </c>
      <c r="C4" s="38"/>
      <c r="D4" s="39">
        <v>43466</v>
      </c>
      <c r="E4" s="39">
        <v>43497</v>
      </c>
      <c r="F4" s="39">
        <v>43525</v>
      </c>
      <c r="G4" s="39">
        <v>43556</v>
      </c>
      <c r="H4" s="39">
        <v>43586</v>
      </c>
      <c r="I4" s="39">
        <v>43617</v>
      </c>
      <c r="J4" s="39">
        <v>43647</v>
      </c>
      <c r="K4" s="39">
        <v>43678</v>
      </c>
      <c r="L4" s="39">
        <v>43709</v>
      </c>
      <c r="M4" s="39">
        <v>43739</v>
      </c>
      <c r="N4" s="39">
        <v>43770</v>
      </c>
      <c r="O4" s="39">
        <v>43800</v>
      </c>
      <c r="P4" s="40" t="s">
        <v>86</v>
      </c>
    </row>
    <row r="5" spans="1:20" ht="15.75" customHeight="1" x14ac:dyDescent="0.3">
      <c r="A5" s="33"/>
      <c r="B5" s="33" t="s">
        <v>87</v>
      </c>
      <c r="C5" s="41"/>
      <c r="D5" s="37"/>
      <c r="E5" s="37"/>
      <c r="F5" s="37"/>
      <c r="G5" s="37"/>
      <c r="H5" s="37"/>
      <c r="I5" s="37"/>
      <c r="J5" s="37"/>
      <c r="K5" s="37"/>
      <c r="L5" s="37"/>
      <c r="M5" s="37"/>
      <c r="N5" s="37"/>
      <c r="O5" s="37"/>
      <c r="P5" s="42"/>
      <c r="Q5" s="43"/>
      <c r="R5" s="43"/>
      <c r="S5" s="169" t="s">
        <v>2</v>
      </c>
    </row>
    <row r="6" spans="1:20" ht="15.75" customHeight="1" x14ac:dyDescent="0.3">
      <c r="A6" s="33">
        <v>5365</v>
      </c>
      <c r="B6" s="33">
        <v>23</v>
      </c>
      <c r="C6" s="41" t="s">
        <v>88</v>
      </c>
      <c r="D6" s="44">
        <v>0</v>
      </c>
      <c r="E6" s="44">
        <v>0</v>
      </c>
      <c r="F6" s="44">
        <f>4.5*150*2.46*'Pax Counts'!I6</f>
        <v>9963</v>
      </c>
      <c r="G6" s="44">
        <f>4.5*150*2.46*'Pax Counts'!I7</f>
        <v>16605</v>
      </c>
      <c r="H6" s="44">
        <f>'Allocation %'!$L$21*150*$S$6*'Pax Counts'!I8</f>
        <v>73062</v>
      </c>
      <c r="I6" s="44">
        <f>'Allocation %'!$L$21*150*$S$6*'Pax Counts'!I9</f>
        <v>99630</v>
      </c>
      <c r="J6" s="44">
        <f>'Allocation %'!$L$21*150*$S$6*'Pax Counts'!I10</f>
        <v>102951</v>
      </c>
      <c r="K6" s="44">
        <f>'Allocation %'!$L$21*150*$S$6*'Pax Counts'!I11</f>
        <v>102951</v>
      </c>
      <c r="L6" s="44">
        <f>'Allocation %'!$L$21*150*$S$6*'Pax Counts'!I12</f>
        <v>56457</v>
      </c>
      <c r="M6" s="44">
        <f>'Allocation %'!$L$21*150*$S$6*'Pax Counts'!I13</f>
        <v>19926</v>
      </c>
      <c r="N6" s="44">
        <f>3*150*2.46*'Pax Counts'!I14</f>
        <v>2214</v>
      </c>
      <c r="O6" s="44">
        <f>3*150*2.46*'Pax Counts'!I15</f>
        <v>7749</v>
      </c>
      <c r="P6" s="42">
        <f>SUM(D6:O6)</f>
        <v>491508</v>
      </c>
      <c r="Q6" s="43"/>
      <c r="R6" s="43"/>
      <c r="S6" s="164">
        <v>2.46</v>
      </c>
      <c r="T6" s="170" t="s">
        <v>186</v>
      </c>
    </row>
    <row r="7" spans="1:20" ht="15.75" customHeight="1" x14ac:dyDescent="0.3">
      <c r="A7" s="33">
        <v>5020</v>
      </c>
      <c r="B7" s="33">
        <v>23</v>
      </c>
      <c r="C7" s="41" t="s">
        <v>89</v>
      </c>
      <c r="D7" s="44">
        <f t="shared" ref="D7:O7" si="0">$R$7/$P$1*D1</f>
        <v>168164.38356164386</v>
      </c>
      <c r="E7" s="44">
        <f t="shared" si="0"/>
        <v>151890.41095890413</v>
      </c>
      <c r="F7" s="44">
        <f t="shared" si="0"/>
        <v>168164.38356164386</v>
      </c>
      <c r="G7" s="44">
        <f t="shared" si="0"/>
        <v>162739.72602739726</v>
      </c>
      <c r="H7" s="44">
        <f t="shared" si="0"/>
        <v>168164.38356164386</v>
      </c>
      <c r="I7" s="44">
        <f t="shared" si="0"/>
        <v>162739.72602739726</v>
      </c>
      <c r="J7" s="44">
        <f t="shared" si="0"/>
        <v>168164.38356164386</v>
      </c>
      <c r="K7" s="44">
        <f t="shared" si="0"/>
        <v>168164.38356164386</v>
      </c>
      <c r="L7" s="44">
        <f t="shared" si="0"/>
        <v>162739.72602739726</v>
      </c>
      <c r="M7" s="44">
        <f t="shared" si="0"/>
        <v>168164.38356164386</v>
      </c>
      <c r="N7" s="44">
        <f t="shared" si="0"/>
        <v>162739.72602739726</v>
      </c>
      <c r="O7" s="44">
        <f t="shared" si="0"/>
        <v>168164.38356164386</v>
      </c>
      <c r="P7" s="42">
        <f t="shared" ref="P7" si="1">SUM(D7:O7)</f>
        <v>1979999.9999999998</v>
      </c>
      <c r="Q7" s="43"/>
      <c r="R7" s="45">
        <v>1980000</v>
      </c>
      <c r="S7" s="34">
        <v>150</v>
      </c>
      <c r="T7" s="34" t="s">
        <v>187</v>
      </c>
    </row>
    <row r="8" spans="1:20" ht="15.75" customHeight="1" x14ac:dyDescent="0.3">
      <c r="A8" s="33"/>
      <c r="B8" s="33"/>
      <c r="C8" s="41"/>
      <c r="P8" s="42"/>
      <c r="Q8" s="43"/>
      <c r="R8" s="43"/>
    </row>
    <row r="9" spans="1:20" ht="13" x14ac:dyDescent="0.3">
      <c r="A9" s="46"/>
      <c r="B9" s="46"/>
      <c r="P9" s="47"/>
    </row>
    <row r="10" spans="1:20" ht="13" x14ac:dyDescent="0.3">
      <c r="A10" s="46"/>
      <c r="B10" s="38" t="s">
        <v>60</v>
      </c>
      <c r="C10" s="48" t="s">
        <v>90</v>
      </c>
      <c r="F10" s="54"/>
      <c r="G10" s="54"/>
      <c r="N10" s="54"/>
      <c r="O10" s="54"/>
      <c r="P10" s="47"/>
    </row>
    <row r="11" spans="1:20" ht="14.5" x14ac:dyDescent="0.35">
      <c r="A11" s="49">
        <v>5310</v>
      </c>
      <c r="B11" s="33">
        <v>23</v>
      </c>
      <c r="C11" s="50" t="s">
        <v>91</v>
      </c>
      <c r="D11" s="4">
        <f>[3]Summary!D13</f>
        <v>0</v>
      </c>
      <c r="E11" s="4">
        <f>[3]Summary!E13</f>
        <v>0</v>
      </c>
      <c r="F11" s="4">
        <f>[3]Summary!F13</f>
        <v>0</v>
      </c>
      <c r="G11" s="4">
        <f>[3]Summary!G13</f>
        <v>0</v>
      </c>
      <c r="H11" s="4">
        <f>[3]Summary!H13</f>
        <v>0</v>
      </c>
      <c r="I11" s="4">
        <f>[3]Summary!I13</f>
        <v>0</v>
      </c>
      <c r="J11" s="4">
        <f>[3]Summary!J13</f>
        <v>0</v>
      </c>
      <c r="K11" s="4">
        <f>[3]Summary!K13</f>
        <v>0</v>
      </c>
      <c r="L11" s="4">
        <f>[3]Summary!L13</f>
        <v>0</v>
      </c>
      <c r="M11" s="4">
        <f>[3]Summary!M13</f>
        <v>0</v>
      </c>
      <c r="N11" s="4">
        <f>[3]Summary!N13</f>
        <v>0</v>
      </c>
      <c r="O11" s="4">
        <f>[3]Summary!O13</f>
        <v>0</v>
      </c>
      <c r="P11" s="42">
        <f t="shared" ref="P11:P44" si="2">SUM(D11:O11)</f>
        <v>0</v>
      </c>
    </row>
    <row r="12" spans="1:20" ht="14.5" x14ac:dyDescent="0.35">
      <c r="A12" s="49">
        <v>5335</v>
      </c>
      <c r="B12" s="33">
        <v>23</v>
      </c>
      <c r="C12" s="51" t="s">
        <v>92</v>
      </c>
      <c r="D12" s="4">
        <f>[3]Summary!D14</f>
        <v>0</v>
      </c>
      <c r="E12" s="4">
        <f>[3]Summary!E14</f>
        <v>0</v>
      </c>
      <c r="F12" s="4">
        <f>[3]Summary!F14</f>
        <v>0</v>
      </c>
      <c r="G12" s="4">
        <f>[3]Summary!G14</f>
        <v>0</v>
      </c>
      <c r="H12" s="4">
        <f>[3]Summary!H14</f>
        <v>0</v>
      </c>
      <c r="I12" s="4">
        <f>[3]Summary!I14</f>
        <v>0</v>
      </c>
      <c r="J12" s="4">
        <f>[3]Summary!J14</f>
        <v>0</v>
      </c>
      <c r="K12" s="4">
        <f>[3]Summary!K14</f>
        <v>0</v>
      </c>
      <c r="L12" s="4">
        <f>[3]Summary!L14</f>
        <v>0</v>
      </c>
      <c r="M12" s="4">
        <f>[3]Summary!M14</f>
        <v>0</v>
      </c>
      <c r="N12" s="4">
        <f>[3]Summary!N14</f>
        <v>0</v>
      </c>
      <c r="O12" s="4">
        <f>[3]Summary!O14</f>
        <v>0</v>
      </c>
      <c r="P12" s="42">
        <f t="shared" si="2"/>
        <v>0</v>
      </c>
    </row>
    <row r="13" spans="1:20" ht="14.5" x14ac:dyDescent="0.35">
      <c r="A13" s="49">
        <v>5340</v>
      </c>
      <c r="B13" s="33">
        <v>23</v>
      </c>
      <c r="C13" s="41" t="s">
        <v>93</v>
      </c>
      <c r="D13" s="4">
        <f>[3]Summary!D15</f>
        <v>0</v>
      </c>
      <c r="E13" s="4">
        <f>[3]Summary!E15</f>
        <v>0</v>
      </c>
      <c r="F13" s="4">
        <f>[3]Summary!F15</f>
        <v>0</v>
      </c>
      <c r="G13" s="4">
        <f>[3]Summary!G15</f>
        <v>4810</v>
      </c>
      <c r="H13" s="4">
        <f>[3]Summary!H15</f>
        <v>8837.4</v>
      </c>
      <c r="I13" s="4">
        <f>[3]Summary!I15</f>
        <v>12854.4</v>
      </c>
      <c r="J13" s="4">
        <f>[3]Summary!J15</f>
        <v>13282.880000000001</v>
      </c>
      <c r="K13" s="4">
        <f>[3]Summary!K15</f>
        <v>13282.880000000001</v>
      </c>
      <c r="L13" s="4">
        <f>[3]Summary!L15</f>
        <v>7284.16</v>
      </c>
      <c r="M13" s="4">
        <f>[3]Summary!M15</f>
        <v>2570.88</v>
      </c>
      <c r="N13" s="4">
        <f>[3]Summary!N15</f>
        <v>0</v>
      </c>
      <c r="O13" s="4">
        <f>[3]Summary!O15</f>
        <v>0</v>
      </c>
      <c r="P13" s="42">
        <f t="shared" ref="P13" si="3">SUM(D13:O13)</f>
        <v>62922.6</v>
      </c>
    </row>
    <row r="14" spans="1:20" ht="14.5" x14ac:dyDescent="0.35">
      <c r="A14" s="49">
        <v>5350</v>
      </c>
      <c r="B14" s="33">
        <v>23</v>
      </c>
      <c r="C14" s="51" t="s">
        <v>94</v>
      </c>
      <c r="D14" s="4">
        <f>[3]Summary!D16</f>
        <v>0</v>
      </c>
      <c r="E14" s="4">
        <f>[3]Summary!E16</f>
        <v>0</v>
      </c>
      <c r="F14" s="4">
        <f>[3]Summary!F16</f>
        <v>0</v>
      </c>
      <c r="G14" s="4">
        <f>[3]Summary!G16</f>
        <v>0</v>
      </c>
      <c r="H14" s="4">
        <f>[3]Summary!H16</f>
        <v>0</v>
      </c>
      <c r="I14" s="4">
        <f>[3]Summary!I16</f>
        <v>0</v>
      </c>
      <c r="J14" s="4">
        <f>[3]Summary!J16</f>
        <v>0</v>
      </c>
      <c r="K14" s="4">
        <f>[3]Summary!K16</f>
        <v>0</v>
      </c>
      <c r="L14" s="4">
        <f>[3]Summary!L16</f>
        <v>0</v>
      </c>
      <c r="M14" s="4">
        <f>[3]Summary!M16</f>
        <v>0</v>
      </c>
      <c r="N14" s="4">
        <f>[3]Summary!N16</f>
        <v>0</v>
      </c>
      <c r="O14" s="4">
        <f>[3]Summary!O16</f>
        <v>0</v>
      </c>
      <c r="P14" s="42">
        <f t="shared" si="2"/>
        <v>0</v>
      </c>
    </row>
    <row r="15" spans="1:20" ht="14.5" x14ac:dyDescent="0.35">
      <c r="A15" s="49">
        <v>5352</v>
      </c>
      <c r="B15" s="33">
        <v>23</v>
      </c>
      <c r="C15" s="51" t="s">
        <v>95</v>
      </c>
      <c r="D15" s="4">
        <f>[3]Summary!D17</f>
        <v>0</v>
      </c>
      <c r="E15" s="4">
        <f>[3]Summary!E17</f>
        <v>0</v>
      </c>
      <c r="F15" s="4">
        <f>[3]Summary!F17</f>
        <v>0</v>
      </c>
      <c r="G15" s="4">
        <f>[3]Summary!G17</f>
        <v>0</v>
      </c>
      <c r="H15" s="4">
        <f>[3]Summary!H17</f>
        <v>0</v>
      </c>
      <c r="I15" s="4">
        <f>[3]Summary!I17</f>
        <v>0</v>
      </c>
      <c r="J15" s="4">
        <f>[3]Summary!J17</f>
        <v>0</v>
      </c>
      <c r="K15" s="4">
        <f>[3]Summary!K17</f>
        <v>0</v>
      </c>
      <c r="L15" s="4">
        <f>[3]Summary!L17</f>
        <v>0</v>
      </c>
      <c r="M15" s="4">
        <f>[3]Summary!M17</f>
        <v>0</v>
      </c>
      <c r="N15" s="4">
        <f>[3]Summary!N17</f>
        <v>0</v>
      </c>
      <c r="O15" s="4">
        <f>[3]Summary!O17</f>
        <v>0</v>
      </c>
      <c r="P15" s="42">
        <f t="shared" si="2"/>
        <v>0</v>
      </c>
    </row>
    <row r="16" spans="1:20" ht="14.5" x14ac:dyDescent="0.35">
      <c r="A16" s="49">
        <v>5355</v>
      </c>
      <c r="B16" s="33">
        <v>23</v>
      </c>
      <c r="C16" s="51" t="s">
        <v>96</v>
      </c>
      <c r="D16" s="4">
        <f>[3]Summary!D18</f>
        <v>0</v>
      </c>
      <c r="E16" s="4">
        <f>[3]Summary!E18</f>
        <v>0</v>
      </c>
      <c r="F16" s="4">
        <f>[3]Summary!F18</f>
        <v>0</v>
      </c>
      <c r="G16" s="4">
        <f>[3]Summary!G18</f>
        <v>0</v>
      </c>
      <c r="H16" s="4">
        <f>[3]Summary!H18</f>
        <v>0</v>
      </c>
      <c r="I16" s="4">
        <f>[3]Summary!I18</f>
        <v>0</v>
      </c>
      <c r="J16" s="4">
        <f>[3]Summary!J18</f>
        <v>0</v>
      </c>
      <c r="K16" s="4">
        <f>[3]Summary!K18</f>
        <v>0</v>
      </c>
      <c r="L16" s="4">
        <f>[3]Summary!L18</f>
        <v>0</v>
      </c>
      <c r="M16" s="4">
        <f>[3]Summary!M18</f>
        <v>0</v>
      </c>
      <c r="N16" s="4">
        <f>[3]Summary!N18</f>
        <v>0</v>
      </c>
      <c r="O16" s="4">
        <f>[3]Summary!O18</f>
        <v>0</v>
      </c>
      <c r="P16" s="42">
        <f t="shared" si="2"/>
        <v>0</v>
      </c>
    </row>
    <row r="17" spans="1:16" ht="14.5" x14ac:dyDescent="0.35">
      <c r="A17" s="49">
        <v>5360</v>
      </c>
      <c r="B17" s="33">
        <v>23</v>
      </c>
      <c r="C17" s="51" t="s">
        <v>97</v>
      </c>
      <c r="D17" s="4">
        <f>[3]Summary!D19</f>
        <v>0</v>
      </c>
      <c r="E17" s="4">
        <f>[3]Summary!E19</f>
        <v>0</v>
      </c>
      <c r="F17" s="4">
        <f>[3]Summary!F19</f>
        <v>0</v>
      </c>
      <c r="G17" s="4">
        <f>[3]Summary!G19</f>
        <v>0</v>
      </c>
      <c r="H17" s="4">
        <f>[3]Summary!H19</f>
        <v>0</v>
      </c>
      <c r="I17" s="4">
        <f>[3]Summary!I19</f>
        <v>0</v>
      </c>
      <c r="J17" s="4">
        <f>[3]Summary!J19</f>
        <v>0</v>
      </c>
      <c r="K17" s="4">
        <f>[3]Summary!K19</f>
        <v>0</v>
      </c>
      <c r="L17" s="4">
        <f>[3]Summary!L19</f>
        <v>0</v>
      </c>
      <c r="M17" s="4">
        <f>[3]Summary!M19</f>
        <v>0</v>
      </c>
      <c r="N17" s="4">
        <f>[3]Summary!N19</f>
        <v>0</v>
      </c>
      <c r="O17" s="4">
        <f>[3]Summary!O19</f>
        <v>0</v>
      </c>
      <c r="P17" s="42">
        <f t="shared" si="2"/>
        <v>0</v>
      </c>
    </row>
    <row r="18" spans="1:16" ht="14.5" x14ac:dyDescent="0.35">
      <c r="A18" s="49">
        <v>5375</v>
      </c>
      <c r="B18" s="33">
        <v>23</v>
      </c>
      <c r="C18" s="51" t="s">
        <v>98</v>
      </c>
      <c r="D18" s="4">
        <f>[3]Summary!D20</f>
        <v>0</v>
      </c>
      <c r="E18" s="4">
        <f>[3]Summary!E20</f>
        <v>0</v>
      </c>
      <c r="F18" s="4">
        <f>[3]Summary!F20</f>
        <v>0</v>
      </c>
      <c r="G18" s="4">
        <f>[3]Summary!G20</f>
        <v>0</v>
      </c>
      <c r="H18" s="4">
        <f>[3]Summary!H20</f>
        <v>0</v>
      </c>
      <c r="I18" s="4">
        <f>[3]Summary!I20</f>
        <v>0</v>
      </c>
      <c r="J18" s="4">
        <f>[3]Summary!J20</f>
        <v>0</v>
      </c>
      <c r="K18" s="4">
        <f>[3]Summary!K20</f>
        <v>0</v>
      </c>
      <c r="L18" s="4">
        <f>[3]Summary!L20</f>
        <v>0</v>
      </c>
      <c r="M18" s="4">
        <f>[3]Summary!M20</f>
        <v>0</v>
      </c>
      <c r="N18" s="4">
        <f>[3]Summary!N20</f>
        <v>0</v>
      </c>
      <c r="O18" s="4">
        <f>[3]Summary!O20</f>
        <v>0</v>
      </c>
      <c r="P18" s="42">
        <f t="shared" si="2"/>
        <v>0</v>
      </c>
    </row>
    <row r="19" spans="1:16" ht="14.5" x14ac:dyDescent="0.35">
      <c r="A19" s="49">
        <v>5380</v>
      </c>
      <c r="B19" s="33">
        <v>23</v>
      </c>
      <c r="C19" s="50" t="s">
        <v>99</v>
      </c>
      <c r="D19" s="4">
        <f>[3]Summary!D21</f>
        <v>0</v>
      </c>
      <c r="E19" s="4">
        <f>[3]Summary!E21</f>
        <v>0</v>
      </c>
      <c r="F19" s="4">
        <f>[3]Summary!F21</f>
        <v>1200</v>
      </c>
      <c r="G19" s="4">
        <f>[3]Summary!G21</f>
        <v>2000</v>
      </c>
      <c r="H19" s="4">
        <f>[3]Summary!H21</f>
        <v>4400</v>
      </c>
      <c r="I19" s="4">
        <f>[3]Summary!I21</f>
        <v>6000</v>
      </c>
      <c r="J19" s="4">
        <f>[3]Summary!J21</f>
        <v>6200</v>
      </c>
      <c r="K19" s="4">
        <f>[3]Summary!K21</f>
        <v>6200</v>
      </c>
      <c r="L19" s="4">
        <f>[3]Summary!L21</f>
        <v>3400</v>
      </c>
      <c r="M19" s="4">
        <f>[3]Summary!M21</f>
        <v>1200</v>
      </c>
      <c r="N19" s="4">
        <f>[3]Summary!N21</f>
        <v>400</v>
      </c>
      <c r="O19" s="4">
        <f>[3]Summary!O21</f>
        <v>1400</v>
      </c>
      <c r="P19" s="42">
        <f t="shared" si="2"/>
        <v>32400</v>
      </c>
    </row>
    <row r="20" spans="1:16" ht="14.5" x14ac:dyDescent="0.35">
      <c r="A20" s="33">
        <v>5395</v>
      </c>
      <c r="B20" s="33">
        <v>23</v>
      </c>
      <c r="C20" s="34" t="s">
        <v>100</v>
      </c>
      <c r="D20" s="4">
        <f>[3]Summary!D22</f>
        <v>0</v>
      </c>
      <c r="E20" s="4">
        <f>[3]Summary!E22</f>
        <v>0</v>
      </c>
      <c r="F20" s="4">
        <f>[3]Summary!F22</f>
        <v>0</v>
      </c>
      <c r="G20" s="4">
        <f>[3]Summary!G22</f>
        <v>0</v>
      </c>
      <c r="H20" s="4">
        <f>[3]Summary!H22</f>
        <v>0</v>
      </c>
      <c r="I20" s="4">
        <f>[3]Summary!I22</f>
        <v>0</v>
      </c>
      <c r="J20" s="4">
        <f>[3]Summary!J22</f>
        <v>0</v>
      </c>
      <c r="K20" s="4">
        <f>[3]Summary!K22</f>
        <v>0</v>
      </c>
      <c r="L20" s="4">
        <f>[3]Summary!L22</f>
        <v>0</v>
      </c>
      <c r="M20" s="4">
        <f>[3]Summary!M22</f>
        <v>0</v>
      </c>
      <c r="N20" s="4">
        <f>[3]Summary!N22</f>
        <v>0</v>
      </c>
      <c r="O20" s="4">
        <f>[3]Summary!O22</f>
        <v>0</v>
      </c>
      <c r="P20" s="42">
        <f t="shared" si="2"/>
        <v>0</v>
      </c>
    </row>
    <row r="21" spans="1:16" ht="14.5" x14ac:dyDescent="0.35">
      <c r="A21" s="49">
        <v>5400</v>
      </c>
      <c r="B21" s="33">
        <v>23</v>
      </c>
      <c r="C21" s="50" t="s">
        <v>101</v>
      </c>
      <c r="D21" s="4">
        <f>[3]Summary!D23</f>
        <v>0</v>
      </c>
      <c r="E21" s="4">
        <f>[3]Summary!E23</f>
        <v>0</v>
      </c>
      <c r="F21" s="4">
        <f>[3]Summary!F23</f>
        <v>0</v>
      </c>
      <c r="G21" s="4">
        <f>[3]Summary!G23</f>
        <v>0</v>
      </c>
      <c r="H21" s="4">
        <f>[3]Summary!H23</f>
        <v>0</v>
      </c>
      <c r="I21" s="4">
        <f>[3]Summary!I23</f>
        <v>0</v>
      </c>
      <c r="J21" s="4">
        <f>[3]Summary!J23</f>
        <v>0</v>
      </c>
      <c r="K21" s="4">
        <f>[3]Summary!K23</f>
        <v>0</v>
      </c>
      <c r="L21" s="4">
        <f>[3]Summary!L23</f>
        <v>0</v>
      </c>
      <c r="M21" s="4">
        <f>[3]Summary!M23</f>
        <v>0</v>
      </c>
      <c r="N21" s="4">
        <f>[3]Summary!N23</f>
        <v>0</v>
      </c>
      <c r="O21" s="4">
        <f>[3]Summary!O23</f>
        <v>0</v>
      </c>
      <c r="P21" s="42">
        <f t="shared" si="2"/>
        <v>0</v>
      </c>
    </row>
    <row r="22" spans="1:16" ht="14.5" x14ac:dyDescent="0.35">
      <c r="A22" s="49">
        <v>5405</v>
      </c>
      <c r="B22" s="33">
        <v>23</v>
      </c>
      <c r="C22" s="50" t="s">
        <v>102</v>
      </c>
      <c r="D22" s="4">
        <f>[3]Summary!D24</f>
        <v>0</v>
      </c>
      <c r="E22" s="4">
        <f>[3]Summary!E24</f>
        <v>0</v>
      </c>
      <c r="F22" s="4">
        <f>[3]Summary!F24</f>
        <v>0</v>
      </c>
      <c r="G22" s="4">
        <f>[3]Summary!G24</f>
        <v>0</v>
      </c>
      <c r="H22" s="4">
        <f>[3]Summary!H24</f>
        <v>0</v>
      </c>
      <c r="I22" s="4">
        <f>[3]Summary!I24</f>
        <v>0</v>
      </c>
      <c r="J22" s="4">
        <f>[3]Summary!J24</f>
        <v>0</v>
      </c>
      <c r="K22" s="4">
        <f>[3]Summary!K24</f>
        <v>0</v>
      </c>
      <c r="L22" s="4">
        <f>[3]Summary!L24</f>
        <v>0</v>
      </c>
      <c r="M22" s="4">
        <f>[3]Summary!M24</f>
        <v>0</v>
      </c>
      <c r="N22" s="4">
        <f>[3]Summary!N24</f>
        <v>0</v>
      </c>
      <c r="O22" s="4">
        <f>[3]Summary!O24</f>
        <v>0</v>
      </c>
      <c r="P22" s="42">
        <f t="shared" si="2"/>
        <v>0</v>
      </c>
    </row>
    <row r="23" spans="1:16" ht="14.5" x14ac:dyDescent="0.35">
      <c r="A23" s="49">
        <v>5410</v>
      </c>
      <c r="B23" s="33">
        <v>23</v>
      </c>
      <c r="C23" s="50" t="s">
        <v>103</v>
      </c>
      <c r="D23" s="4">
        <f>[3]Summary!D25</f>
        <v>0</v>
      </c>
      <c r="E23" s="4">
        <f>[3]Summary!E25</f>
        <v>0</v>
      </c>
      <c r="F23" s="4">
        <f>[3]Summary!F25</f>
        <v>0</v>
      </c>
      <c r="G23" s="4">
        <f>[3]Summary!G25</f>
        <v>0</v>
      </c>
      <c r="H23" s="4">
        <f>[3]Summary!H25</f>
        <v>0</v>
      </c>
      <c r="I23" s="4">
        <f>[3]Summary!I25</f>
        <v>0</v>
      </c>
      <c r="J23" s="4">
        <f>[3]Summary!J25</f>
        <v>0</v>
      </c>
      <c r="K23" s="4">
        <f>[3]Summary!K25</f>
        <v>0</v>
      </c>
      <c r="L23" s="4">
        <f>[3]Summary!L25</f>
        <v>0</v>
      </c>
      <c r="M23" s="4">
        <f>[3]Summary!M25</f>
        <v>0</v>
      </c>
      <c r="N23" s="4">
        <f>[3]Summary!N25</f>
        <v>0</v>
      </c>
      <c r="O23" s="4">
        <f>[3]Summary!O25</f>
        <v>0</v>
      </c>
      <c r="P23" s="42">
        <f t="shared" si="2"/>
        <v>0</v>
      </c>
    </row>
    <row r="24" spans="1:16" ht="14.5" x14ac:dyDescent="0.35">
      <c r="A24" s="49">
        <v>5415</v>
      </c>
      <c r="B24" s="33">
        <v>23</v>
      </c>
      <c r="C24" s="50" t="s">
        <v>104</v>
      </c>
      <c r="D24" s="4">
        <f>[3]Summary!D26</f>
        <v>0</v>
      </c>
      <c r="E24" s="4">
        <f>[3]Summary!E26</f>
        <v>0</v>
      </c>
      <c r="F24" s="4">
        <f>[3]Summary!F26</f>
        <v>0</v>
      </c>
      <c r="G24" s="4">
        <f>[3]Summary!G26</f>
        <v>0</v>
      </c>
      <c r="H24" s="4">
        <f>[3]Summary!H26</f>
        <v>0</v>
      </c>
      <c r="I24" s="4">
        <f>[3]Summary!I26</f>
        <v>0</v>
      </c>
      <c r="J24" s="4">
        <f>[3]Summary!J26</f>
        <v>0</v>
      </c>
      <c r="K24" s="4">
        <f>[3]Summary!K26</f>
        <v>0</v>
      </c>
      <c r="L24" s="4">
        <f>[3]Summary!L26</f>
        <v>0</v>
      </c>
      <c r="M24" s="4">
        <f>[3]Summary!M26</f>
        <v>0</v>
      </c>
      <c r="N24" s="4">
        <f>[3]Summary!N26</f>
        <v>0</v>
      </c>
      <c r="O24" s="4">
        <f>[3]Summary!O26</f>
        <v>0</v>
      </c>
      <c r="P24" s="42">
        <f t="shared" si="2"/>
        <v>0</v>
      </c>
    </row>
    <row r="25" spans="1:16" ht="14.5" x14ac:dyDescent="0.35">
      <c r="A25" s="49">
        <v>5420</v>
      </c>
      <c r="B25" s="33">
        <v>23</v>
      </c>
      <c r="C25" s="50" t="s">
        <v>105</v>
      </c>
      <c r="D25" s="4">
        <f>[3]Summary!D27</f>
        <v>0</v>
      </c>
      <c r="E25" s="4">
        <f>[3]Summary!E27</f>
        <v>0</v>
      </c>
      <c r="F25" s="4">
        <f>[3]Summary!F27</f>
        <v>0</v>
      </c>
      <c r="G25" s="4">
        <f>[3]Summary!G27</f>
        <v>0</v>
      </c>
      <c r="H25" s="4">
        <f>[3]Summary!H27</f>
        <v>0</v>
      </c>
      <c r="I25" s="4">
        <f>[3]Summary!I27</f>
        <v>0</v>
      </c>
      <c r="J25" s="4">
        <f>[3]Summary!J27</f>
        <v>0</v>
      </c>
      <c r="K25" s="4">
        <f>[3]Summary!K27</f>
        <v>0</v>
      </c>
      <c r="L25" s="4">
        <f>[3]Summary!L27</f>
        <v>0</v>
      </c>
      <c r="M25" s="4">
        <f>[3]Summary!M27</f>
        <v>0</v>
      </c>
      <c r="N25" s="4">
        <f>[3]Summary!N27</f>
        <v>0</v>
      </c>
      <c r="O25" s="4">
        <f>[3]Summary!O27</f>
        <v>0</v>
      </c>
      <c r="P25" s="42">
        <f t="shared" si="2"/>
        <v>0</v>
      </c>
    </row>
    <row r="26" spans="1:16" ht="14.5" x14ac:dyDescent="0.35">
      <c r="A26" s="49">
        <v>5425</v>
      </c>
      <c r="B26" s="33">
        <v>23</v>
      </c>
      <c r="C26" s="50" t="s">
        <v>106</v>
      </c>
      <c r="D26" s="4">
        <f>[3]Summary!D28</f>
        <v>0</v>
      </c>
      <c r="E26" s="4">
        <f>[3]Summary!E28</f>
        <v>0</v>
      </c>
      <c r="F26" s="4">
        <f>[3]Summary!F28</f>
        <v>0</v>
      </c>
      <c r="G26" s="4">
        <f>[3]Summary!G28</f>
        <v>0</v>
      </c>
      <c r="H26" s="4">
        <f>[3]Summary!H28</f>
        <v>0</v>
      </c>
      <c r="I26" s="4">
        <f>[3]Summary!I28</f>
        <v>0</v>
      </c>
      <c r="J26" s="4">
        <f>[3]Summary!J28</f>
        <v>0</v>
      </c>
      <c r="K26" s="4">
        <f>[3]Summary!K28</f>
        <v>0</v>
      </c>
      <c r="L26" s="4">
        <f>[3]Summary!L28</f>
        <v>0</v>
      </c>
      <c r="M26" s="4">
        <f>[3]Summary!M28</f>
        <v>0</v>
      </c>
      <c r="N26" s="4">
        <f>[3]Summary!N28</f>
        <v>0</v>
      </c>
      <c r="O26" s="4">
        <f>[3]Summary!O28</f>
        <v>0</v>
      </c>
      <c r="P26" s="42">
        <f t="shared" si="2"/>
        <v>0</v>
      </c>
    </row>
    <row r="27" spans="1:16" ht="14.5" x14ac:dyDescent="0.35">
      <c r="A27" s="49">
        <v>5430</v>
      </c>
      <c r="B27" s="33">
        <v>23</v>
      </c>
      <c r="C27" s="51" t="s">
        <v>107</v>
      </c>
      <c r="D27" s="4">
        <f>[3]Summary!D29</f>
        <v>0</v>
      </c>
      <c r="E27" s="4">
        <f>[3]Summary!E29</f>
        <v>0</v>
      </c>
      <c r="F27" s="4">
        <f>[3]Summary!F29</f>
        <v>0</v>
      </c>
      <c r="G27" s="4">
        <f>[3]Summary!G29</f>
        <v>0</v>
      </c>
      <c r="H27" s="4">
        <f>[3]Summary!H29</f>
        <v>0</v>
      </c>
      <c r="I27" s="4">
        <f>[3]Summary!I29</f>
        <v>0</v>
      </c>
      <c r="J27" s="4">
        <f>[3]Summary!J29</f>
        <v>0</v>
      </c>
      <c r="K27" s="4">
        <f>[3]Summary!K29</f>
        <v>0</v>
      </c>
      <c r="L27" s="4">
        <f>[3]Summary!L29</f>
        <v>0</v>
      </c>
      <c r="M27" s="4">
        <f>[3]Summary!M29</f>
        <v>0</v>
      </c>
      <c r="N27" s="4">
        <f>[3]Summary!N29</f>
        <v>0</v>
      </c>
      <c r="O27" s="4">
        <f>[3]Summary!O29</f>
        <v>0</v>
      </c>
      <c r="P27" s="42">
        <f t="shared" si="2"/>
        <v>0</v>
      </c>
    </row>
    <row r="28" spans="1:16" ht="14.5" x14ac:dyDescent="0.35">
      <c r="A28" s="49">
        <v>5435</v>
      </c>
      <c r="B28" s="33">
        <v>23</v>
      </c>
      <c r="C28" s="51" t="s">
        <v>108</v>
      </c>
      <c r="D28" s="4">
        <f>[3]Summary!D30</f>
        <v>0</v>
      </c>
      <c r="E28" s="4">
        <f>[3]Summary!E30</f>
        <v>0</v>
      </c>
      <c r="F28" s="4">
        <f>[3]Summary!F30</f>
        <v>0</v>
      </c>
      <c r="G28" s="4">
        <f>[3]Summary!G30</f>
        <v>0</v>
      </c>
      <c r="H28" s="4">
        <f>[3]Summary!H30</f>
        <v>0</v>
      </c>
      <c r="I28" s="4">
        <f>[3]Summary!I30</f>
        <v>0</v>
      </c>
      <c r="J28" s="4">
        <f>[3]Summary!J30</f>
        <v>0</v>
      </c>
      <c r="K28" s="4">
        <f>[3]Summary!K30</f>
        <v>0</v>
      </c>
      <c r="L28" s="4">
        <f>[3]Summary!L30</f>
        <v>0</v>
      </c>
      <c r="M28" s="4">
        <f>[3]Summary!M30</f>
        <v>0</v>
      </c>
      <c r="N28" s="4">
        <f>[3]Summary!N30</f>
        <v>0</v>
      </c>
      <c r="O28" s="4">
        <f>[3]Summary!O30</f>
        <v>0</v>
      </c>
      <c r="P28" s="42">
        <f t="shared" si="2"/>
        <v>0</v>
      </c>
    </row>
    <row r="29" spans="1:16" ht="14.5" x14ac:dyDescent="0.35">
      <c r="A29" s="49">
        <v>5440</v>
      </c>
      <c r="B29" s="33">
        <v>23</v>
      </c>
      <c r="C29" s="51" t="s">
        <v>109</v>
      </c>
      <c r="D29" s="4">
        <f>[3]Summary!D31</f>
        <v>0</v>
      </c>
      <c r="E29" s="4">
        <f>[3]Summary!E31</f>
        <v>0</v>
      </c>
      <c r="F29" s="4">
        <f>[3]Summary!F31</f>
        <v>0</v>
      </c>
      <c r="G29" s="4">
        <f>[3]Summary!G31</f>
        <v>0</v>
      </c>
      <c r="H29" s="4">
        <f>[3]Summary!H31</f>
        <v>0</v>
      </c>
      <c r="I29" s="4">
        <f>[3]Summary!I31</f>
        <v>0</v>
      </c>
      <c r="J29" s="4">
        <f>[3]Summary!J31</f>
        <v>0</v>
      </c>
      <c r="K29" s="4">
        <f>[3]Summary!K31</f>
        <v>0</v>
      </c>
      <c r="L29" s="4">
        <f>[3]Summary!L31</f>
        <v>0</v>
      </c>
      <c r="M29" s="4">
        <f>[3]Summary!M31</f>
        <v>0</v>
      </c>
      <c r="N29" s="4">
        <f>[3]Summary!N31</f>
        <v>0</v>
      </c>
      <c r="O29" s="4">
        <f>[3]Summary!O31</f>
        <v>0</v>
      </c>
      <c r="P29" s="42">
        <f t="shared" si="2"/>
        <v>0</v>
      </c>
    </row>
    <row r="30" spans="1:16" ht="14.5" x14ac:dyDescent="0.35">
      <c r="A30" s="49">
        <v>5445</v>
      </c>
      <c r="B30" s="33">
        <v>23</v>
      </c>
      <c r="C30" s="50" t="s">
        <v>110</v>
      </c>
      <c r="D30" s="4">
        <f>[3]Summary!D32</f>
        <v>0</v>
      </c>
      <c r="E30" s="4">
        <f>[3]Summary!E32</f>
        <v>0</v>
      </c>
      <c r="F30" s="4">
        <f>[3]Summary!F32</f>
        <v>0</v>
      </c>
      <c r="G30" s="4">
        <f>[3]Summary!G32</f>
        <v>0</v>
      </c>
      <c r="H30" s="4">
        <f>[3]Summary!H32</f>
        <v>0</v>
      </c>
      <c r="I30" s="4">
        <f>[3]Summary!I32</f>
        <v>0</v>
      </c>
      <c r="J30" s="4">
        <f>[3]Summary!J32</f>
        <v>0</v>
      </c>
      <c r="K30" s="4">
        <f>[3]Summary!K32</f>
        <v>0</v>
      </c>
      <c r="L30" s="4">
        <f>[3]Summary!L32</f>
        <v>0</v>
      </c>
      <c r="M30" s="4">
        <f>[3]Summary!M32</f>
        <v>0</v>
      </c>
      <c r="N30" s="4">
        <f>[3]Summary!N32</f>
        <v>0</v>
      </c>
      <c r="O30" s="4">
        <f>[3]Summary!O32</f>
        <v>0</v>
      </c>
      <c r="P30" s="42">
        <f t="shared" si="2"/>
        <v>0</v>
      </c>
    </row>
    <row r="31" spans="1:16" ht="14.5" x14ac:dyDescent="0.35">
      <c r="A31" s="49">
        <v>5450</v>
      </c>
      <c r="B31" s="33">
        <v>23</v>
      </c>
      <c r="C31" s="51" t="s">
        <v>111</v>
      </c>
      <c r="D31" s="4">
        <f>[3]Summary!D33</f>
        <v>0</v>
      </c>
      <c r="E31" s="4">
        <f>[3]Summary!E33</f>
        <v>0</v>
      </c>
      <c r="F31" s="4">
        <f>[3]Summary!F33</f>
        <v>0</v>
      </c>
      <c r="G31" s="4">
        <f>[3]Summary!G33</f>
        <v>0</v>
      </c>
      <c r="H31" s="4">
        <f>[3]Summary!H33</f>
        <v>0</v>
      </c>
      <c r="I31" s="4">
        <f>[3]Summary!I33</f>
        <v>0</v>
      </c>
      <c r="J31" s="4">
        <f>[3]Summary!J33</f>
        <v>0</v>
      </c>
      <c r="K31" s="4">
        <f>[3]Summary!K33</f>
        <v>0</v>
      </c>
      <c r="L31" s="4">
        <f>[3]Summary!L33</f>
        <v>0</v>
      </c>
      <c r="M31" s="4">
        <f>[3]Summary!M33</f>
        <v>0</v>
      </c>
      <c r="N31" s="4">
        <f>[3]Summary!N33</f>
        <v>0</v>
      </c>
      <c r="O31" s="4">
        <f>[3]Summary!O33</f>
        <v>0</v>
      </c>
      <c r="P31" s="42">
        <f t="shared" si="2"/>
        <v>0</v>
      </c>
    </row>
    <row r="32" spans="1:16" ht="14.5" x14ac:dyDescent="0.35">
      <c r="A32" s="49">
        <v>5460</v>
      </c>
      <c r="B32" s="33">
        <v>23</v>
      </c>
      <c r="C32" s="51" t="s">
        <v>112</v>
      </c>
      <c r="D32" s="4">
        <f>[3]Summary!D34</f>
        <v>0</v>
      </c>
      <c r="E32" s="4">
        <f>[3]Summary!E34</f>
        <v>0</v>
      </c>
      <c r="F32" s="4">
        <f>[3]Summary!F34</f>
        <v>0</v>
      </c>
      <c r="G32" s="4">
        <f>[3]Summary!G34</f>
        <v>0</v>
      </c>
      <c r="H32" s="4">
        <f>[3]Summary!H34</f>
        <v>0</v>
      </c>
      <c r="I32" s="4">
        <f>[3]Summary!I34</f>
        <v>0</v>
      </c>
      <c r="J32" s="4">
        <f>[3]Summary!J34</f>
        <v>0</v>
      </c>
      <c r="K32" s="4">
        <f>[3]Summary!K34</f>
        <v>0</v>
      </c>
      <c r="L32" s="4">
        <f>[3]Summary!L34</f>
        <v>0</v>
      </c>
      <c r="M32" s="4">
        <f>[3]Summary!M34</f>
        <v>0</v>
      </c>
      <c r="N32" s="4">
        <f>[3]Summary!N34</f>
        <v>0</v>
      </c>
      <c r="O32" s="4">
        <f>[3]Summary!O34</f>
        <v>0</v>
      </c>
      <c r="P32" s="42">
        <f t="shared" si="2"/>
        <v>0</v>
      </c>
    </row>
    <row r="33" spans="1:16" ht="14.5" x14ac:dyDescent="0.35">
      <c r="A33" s="49">
        <v>5465</v>
      </c>
      <c r="B33" s="33">
        <v>23</v>
      </c>
      <c r="C33" s="51" t="s">
        <v>113</v>
      </c>
      <c r="D33" s="4">
        <f>[3]Summary!D35</f>
        <v>0</v>
      </c>
      <c r="E33" s="4">
        <f>[3]Summary!E35</f>
        <v>0</v>
      </c>
      <c r="F33" s="4">
        <f>[3]Summary!F35</f>
        <v>0</v>
      </c>
      <c r="G33" s="4">
        <f>[3]Summary!G35</f>
        <v>0</v>
      </c>
      <c r="H33" s="4">
        <f>[3]Summary!H35</f>
        <v>0</v>
      </c>
      <c r="I33" s="4">
        <f>[3]Summary!I35</f>
        <v>0</v>
      </c>
      <c r="J33" s="4">
        <f>[3]Summary!J35</f>
        <v>0</v>
      </c>
      <c r="K33" s="4">
        <f>[3]Summary!K35</f>
        <v>0</v>
      </c>
      <c r="L33" s="4">
        <f>[3]Summary!L35</f>
        <v>0</v>
      </c>
      <c r="M33" s="4">
        <f>[3]Summary!M35</f>
        <v>0</v>
      </c>
      <c r="N33" s="4">
        <f>[3]Summary!N35</f>
        <v>0</v>
      </c>
      <c r="O33" s="4">
        <f>[3]Summary!O35</f>
        <v>0</v>
      </c>
      <c r="P33" s="42">
        <f t="shared" si="2"/>
        <v>0</v>
      </c>
    </row>
    <row r="34" spans="1:16" ht="14.5" x14ac:dyDescent="0.35">
      <c r="A34" s="49">
        <v>5475</v>
      </c>
      <c r="B34" s="33">
        <v>23</v>
      </c>
      <c r="C34" s="50" t="s">
        <v>114</v>
      </c>
      <c r="D34" s="4">
        <f>[3]Summary!D36</f>
        <v>0</v>
      </c>
      <c r="E34" s="4">
        <f>[3]Summary!E36</f>
        <v>0</v>
      </c>
      <c r="F34" s="4">
        <f>[3]Summary!F36</f>
        <v>0</v>
      </c>
      <c r="G34" s="4">
        <f>[3]Summary!G36</f>
        <v>0</v>
      </c>
      <c r="H34" s="4">
        <f>[3]Summary!H36</f>
        <v>0</v>
      </c>
      <c r="I34" s="4">
        <f>[3]Summary!I36</f>
        <v>0</v>
      </c>
      <c r="J34" s="4">
        <f>[3]Summary!J36</f>
        <v>0</v>
      </c>
      <c r="K34" s="4">
        <f>[3]Summary!K36</f>
        <v>0</v>
      </c>
      <c r="L34" s="4">
        <f>[3]Summary!L36</f>
        <v>0</v>
      </c>
      <c r="M34" s="4">
        <f>[3]Summary!M36</f>
        <v>0</v>
      </c>
      <c r="N34" s="4">
        <f>[3]Summary!N36</f>
        <v>0</v>
      </c>
      <c r="O34" s="4">
        <f>[3]Summary!O36</f>
        <v>0</v>
      </c>
      <c r="P34" s="42">
        <f t="shared" si="2"/>
        <v>0</v>
      </c>
    </row>
    <row r="35" spans="1:16" ht="14.5" x14ac:dyDescent="0.35">
      <c r="A35" s="49">
        <v>5480</v>
      </c>
      <c r="B35" s="33">
        <v>23</v>
      </c>
      <c r="C35" s="51" t="s">
        <v>115</v>
      </c>
      <c r="D35" s="4">
        <f>[3]Summary!D37</f>
        <v>0</v>
      </c>
      <c r="E35" s="4">
        <f>[3]Summary!E37</f>
        <v>0</v>
      </c>
      <c r="F35" s="4">
        <f>[3]Summary!F37</f>
        <v>0</v>
      </c>
      <c r="G35" s="4">
        <f>[3]Summary!G37</f>
        <v>0</v>
      </c>
      <c r="H35" s="4">
        <f>[3]Summary!H37</f>
        <v>0</v>
      </c>
      <c r="I35" s="4">
        <f>[3]Summary!I37</f>
        <v>0</v>
      </c>
      <c r="J35" s="4">
        <f>[3]Summary!J37</f>
        <v>0</v>
      </c>
      <c r="K35" s="4">
        <f>[3]Summary!K37</f>
        <v>0</v>
      </c>
      <c r="L35" s="4">
        <f>[3]Summary!L37</f>
        <v>0</v>
      </c>
      <c r="M35" s="4">
        <f>[3]Summary!M37</f>
        <v>0</v>
      </c>
      <c r="N35" s="4">
        <f>[3]Summary!N37</f>
        <v>0</v>
      </c>
      <c r="O35" s="4">
        <f>[3]Summary!O37</f>
        <v>0</v>
      </c>
      <c r="P35" s="42">
        <f t="shared" si="2"/>
        <v>0</v>
      </c>
    </row>
    <row r="36" spans="1:16" ht="14.5" x14ac:dyDescent="0.35">
      <c r="A36" s="49">
        <v>5490</v>
      </c>
      <c r="B36" s="33">
        <v>23</v>
      </c>
      <c r="C36" s="51" t="s">
        <v>116</v>
      </c>
      <c r="D36" s="4">
        <f>[3]Summary!D38</f>
        <v>0</v>
      </c>
      <c r="E36" s="4">
        <f>[3]Summary!E38</f>
        <v>0</v>
      </c>
      <c r="F36" s="4">
        <f>[3]Summary!F38</f>
        <v>0</v>
      </c>
      <c r="G36" s="4">
        <f>[3]Summary!G38</f>
        <v>0</v>
      </c>
      <c r="H36" s="4">
        <f>[3]Summary!H38</f>
        <v>0</v>
      </c>
      <c r="I36" s="4">
        <f>[3]Summary!I38</f>
        <v>0</v>
      </c>
      <c r="J36" s="4">
        <f>[3]Summary!J38</f>
        <v>0</v>
      </c>
      <c r="K36" s="4">
        <f>[3]Summary!K38</f>
        <v>0</v>
      </c>
      <c r="L36" s="4">
        <f>[3]Summary!L38</f>
        <v>0</v>
      </c>
      <c r="M36" s="4">
        <f>[3]Summary!M38</f>
        <v>0</v>
      </c>
      <c r="N36" s="4">
        <f>[3]Summary!N38</f>
        <v>0</v>
      </c>
      <c r="O36" s="4">
        <f>[3]Summary!O38</f>
        <v>0</v>
      </c>
      <c r="P36" s="42">
        <f t="shared" si="2"/>
        <v>0</v>
      </c>
    </row>
    <row r="37" spans="1:16" ht="14.5" x14ac:dyDescent="0.35">
      <c r="A37" s="49">
        <v>5513</v>
      </c>
      <c r="B37" s="33">
        <v>23</v>
      </c>
      <c r="C37" s="50" t="s">
        <v>117</v>
      </c>
      <c r="D37" s="4">
        <f>[3]Summary!D39</f>
        <v>0</v>
      </c>
      <c r="E37" s="4">
        <f>[3]Summary!E39</f>
        <v>0</v>
      </c>
      <c r="F37" s="4">
        <f>[3]Summary!F39</f>
        <v>0</v>
      </c>
      <c r="G37" s="4">
        <f>[3]Summary!G39</f>
        <v>0</v>
      </c>
      <c r="H37" s="4">
        <f>[3]Summary!H39</f>
        <v>0</v>
      </c>
      <c r="I37" s="4">
        <f>[3]Summary!I39</f>
        <v>0</v>
      </c>
      <c r="J37" s="4">
        <f>[3]Summary!J39</f>
        <v>0</v>
      </c>
      <c r="K37" s="4">
        <f>[3]Summary!K39</f>
        <v>0</v>
      </c>
      <c r="L37" s="4">
        <f>[3]Summary!L39</f>
        <v>0</v>
      </c>
      <c r="M37" s="4">
        <f>[3]Summary!M39</f>
        <v>0</v>
      </c>
      <c r="N37" s="4">
        <f>[3]Summary!N39</f>
        <v>0</v>
      </c>
      <c r="O37" s="4">
        <f>[3]Summary!O39</f>
        <v>0</v>
      </c>
      <c r="P37" s="42">
        <f t="shared" si="2"/>
        <v>0</v>
      </c>
    </row>
    <row r="38" spans="1:16" ht="14.5" x14ac:dyDescent="0.35">
      <c r="A38" s="49">
        <v>5520</v>
      </c>
      <c r="B38" s="33">
        <v>23</v>
      </c>
      <c r="C38" s="51" t="s">
        <v>118</v>
      </c>
      <c r="D38" s="4">
        <f>[3]Summary!D40</f>
        <v>0</v>
      </c>
      <c r="E38" s="4">
        <f>[3]Summary!E40</f>
        <v>0</v>
      </c>
      <c r="F38" s="4">
        <f>[3]Summary!F40</f>
        <v>0</v>
      </c>
      <c r="G38" s="4">
        <f>[3]Summary!G40</f>
        <v>0</v>
      </c>
      <c r="H38" s="4">
        <f>[3]Summary!H40</f>
        <v>0</v>
      </c>
      <c r="I38" s="4">
        <f>[3]Summary!I40</f>
        <v>0</v>
      </c>
      <c r="J38" s="4">
        <f>[3]Summary!J40</f>
        <v>0</v>
      </c>
      <c r="K38" s="4">
        <f>[3]Summary!K40</f>
        <v>0</v>
      </c>
      <c r="L38" s="4">
        <f>[3]Summary!L40</f>
        <v>0</v>
      </c>
      <c r="M38" s="4">
        <f>[3]Summary!M40</f>
        <v>0</v>
      </c>
      <c r="N38" s="4">
        <f>[3]Summary!N40</f>
        <v>0</v>
      </c>
      <c r="O38" s="4">
        <f>[3]Summary!O40</f>
        <v>0</v>
      </c>
      <c r="P38" s="42">
        <f t="shared" si="2"/>
        <v>0</v>
      </c>
    </row>
    <row r="39" spans="1:16" ht="14.5" x14ac:dyDescent="0.35">
      <c r="A39" s="49">
        <v>5525</v>
      </c>
      <c r="B39" s="33">
        <v>23</v>
      </c>
      <c r="C39" s="51" t="s">
        <v>119</v>
      </c>
      <c r="D39" s="4">
        <f>[3]Summary!D41</f>
        <v>0</v>
      </c>
      <c r="E39" s="4">
        <f>[3]Summary!E41</f>
        <v>0</v>
      </c>
      <c r="F39" s="4">
        <f>[3]Summary!F41</f>
        <v>0</v>
      </c>
      <c r="G39" s="4">
        <f>[3]Summary!G41</f>
        <v>0</v>
      </c>
      <c r="H39" s="4">
        <f>[3]Summary!H41</f>
        <v>0</v>
      </c>
      <c r="I39" s="4">
        <f>[3]Summary!I41</f>
        <v>0</v>
      </c>
      <c r="J39" s="4">
        <f>[3]Summary!J41</f>
        <v>0</v>
      </c>
      <c r="K39" s="4">
        <f>[3]Summary!K41</f>
        <v>0</v>
      </c>
      <c r="L39" s="4">
        <f>[3]Summary!L41</f>
        <v>0</v>
      </c>
      <c r="M39" s="4">
        <f>[3]Summary!M41</f>
        <v>0</v>
      </c>
      <c r="N39" s="4">
        <f>[3]Summary!N41</f>
        <v>0</v>
      </c>
      <c r="O39" s="4">
        <f>[3]Summary!O41</f>
        <v>0</v>
      </c>
      <c r="P39" s="42">
        <f t="shared" si="2"/>
        <v>0</v>
      </c>
    </row>
    <row r="40" spans="1:16" ht="14.5" x14ac:dyDescent="0.35">
      <c r="A40" s="49">
        <v>5535</v>
      </c>
      <c r="B40" s="33">
        <v>23</v>
      </c>
      <c r="C40" s="51" t="s">
        <v>120</v>
      </c>
      <c r="D40" s="4">
        <f>[3]Summary!D42</f>
        <v>0</v>
      </c>
      <c r="E40" s="4">
        <f>[3]Summary!E42</f>
        <v>0</v>
      </c>
      <c r="F40" s="4">
        <f>[3]Summary!F42</f>
        <v>0</v>
      </c>
      <c r="G40" s="4">
        <f>[3]Summary!G42</f>
        <v>0</v>
      </c>
      <c r="H40" s="4">
        <f>[3]Summary!H42</f>
        <v>0</v>
      </c>
      <c r="I40" s="4">
        <f>[3]Summary!I42</f>
        <v>0</v>
      </c>
      <c r="J40" s="4">
        <f>[3]Summary!J42</f>
        <v>0</v>
      </c>
      <c r="K40" s="4">
        <f>[3]Summary!K42</f>
        <v>0</v>
      </c>
      <c r="L40" s="4">
        <f>[3]Summary!L42</f>
        <v>0</v>
      </c>
      <c r="M40" s="4">
        <f>[3]Summary!M42</f>
        <v>0</v>
      </c>
      <c r="N40" s="4">
        <f>[3]Summary!N42</f>
        <v>0</v>
      </c>
      <c r="O40" s="4">
        <f>[3]Summary!O42</f>
        <v>0</v>
      </c>
      <c r="P40" s="42">
        <f t="shared" si="2"/>
        <v>0</v>
      </c>
    </row>
    <row r="41" spans="1:16" ht="14.5" x14ac:dyDescent="0.35">
      <c r="A41" s="49">
        <v>5540</v>
      </c>
      <c r="B41" s="33">
        <v>23</v>
      </c>
      <c r="C41" s="51" t="s">
        <v>121</v>
      </c>
      <c r="D41" s="4">
        <f>[3]Summary!D43</f>
        <v>0</v>
      </c>
      <c r="E41" s="4">
        <f>[3]Summary!E43</f>
        <v>0</v>
      </c>
      <c r="F41" s="4">
        <f>[3]Summary!F43</f>
        <v>0</v>
      </c>
      <c r="G41" s="4">
        <f>[3]Summary!G43</f>
        <v>0</v>
      </c>
      <c r="H41" s="4">
        <f>[3]Summary!H43</f>
        <v>0</v>
      </c>
      <c r="I41" s="4">
        <f>[3]Summary!I43</f>
        <v>0</v>
      </c>
      <c r="J41" s="4">
        <f>[3]Summary!J43</f>
        <v>0</v>
      </c>
      <c r="K41" s="4">
        <f>[3]Summary!K43</f>
        <v>0</v>
      </c>
      <c r="L41" s="4">
        <f>[3]Summary!L43</f>
        <v>0</v>
      </c>
      <c r="M41" s="4">
        <f>[3]Summary!M43</f>
        <v>0</v>
      </c>
      <c r="N41" s="4">
        <f>[3]Summary!N43</f>
        <v>0</v>
      </c>
      <c r="O41" s="4">
        <f>[3]Summary!O43</f>
        <v>0</v>
      </c>
      <c r="P41" s="42">
        <f t="shared" si="2"/>
        <v>0</v>
      </c>
    </row>
    <row r="42" spans="1:16" ht="14.5" x14ac:dyDescent="0.35">
      <c r="A42" s="49">
        <v>5545</v>
      </c>
      <c r="B42" s="33">
        <v>23</v>
      </c>
      <c r="C42" s="51" t="s">
        <v>122</v>
      </c>
      <c r="D42" s="4">
        <f>[3]Summary!D44</f>
        <v>0</v>
      </c>
      <c r="E42" s="4">
        <f>[3]Summary!E44</f>
        <v>0</v>
      </c>
      <c r="F42" s="4">
        <f>[3]Summary!F44</f>
        <v>0</v>
      </c>
      <c r="G42" s="4">
        <f>[3]Summary!G44</f>
        <v>0</v>
      </c>
      <c r="H42" s="4">
        <f>[3]Summary!H44</f>
        <v>0</v>
      </c>
      <c r="I42" s="4">
        <f>[3]Summary!I44</f>
        <v>0</v>
      </c>
      <c r="J42" s="4">
        <f>[3]Summary!J44</f>
        <v>0</v>
      </c>
      <c r="K42" s="4">
        <f>[3]Summary!K44</f>
        <v>0</v>
      </c>
      <c r="L42" s="4">
        <f>[3]Summary!L44</f>
        <v>0</v>
      </c>
      <c r="M42" s="4">
        <f>[3]Summary!M44</f>
        <v>0</v>
      </c>
      <c r="N42" s="4">
        <f>[3]Summary!N44</f>
        <v>0</v>
      </c>
      <c r="O42" s="4">
        <f>[3]Summary!O44</f>
        <v>0</v>
      </c>
      <c r="P42" s="42">
        <f t="shared" si="2"/>
        <v>0</v>
      </c>
    </row>
    <row r="43" spans="1:16" ht="14.5" x14ac:dyDescent="0.35">
      <c r="A43" s="49">
        <v>5550</v>
      </c>
      <c r="B43" s="33">
        <v>23</v>
      </c>
      <c r="C43" s="51" t="s">
        <v>123</v>
      </c>
      <c r="D43" s="4">
        <f>[3]Summary!D45</f>
        <v>0</v>
      </c>
      <c r="E43" s="4">
        <f>[3]Summary!E45</f>
        <v>0</v>
      </c>
      <c r="F43" s="4">
        <f>[3]Summary!F45</f>
        <v>0</v>
      </c>
      <c r="G43" s="4">
        <f>[3]Summary!G45</f>
        <v>0</v>
      </c>
      <c r="H43" s="4">
        <f>[3]Summary!H45</f>
        <v>0</v>
      </c>
      <c r="I43" s="4">
        <f>[3]Summary!I45</f>
        <v>0</v>
      </c>
      <c r="J43" s="4">
        <f>[3]Summary!J45</f>
        <v>0</v>
      </c>
      <c r="K43" s="4">
        <f>[3]Summary!K45</f>
        <v>0</v>
      </c>
      <c r="L43" s="4">
        <f>[3]Summary!L45</f>
        <v>0</v>
      </c>
      <c r="M43" s="4">
        <f>[3]Summary!M45</f>
        <v>0</v>
      </c>
      <c r="N43" s="4">
        <f>[3]Summary!N45</f>
        <v>0</v>
      </c>
      <c r="O43" s="4">
        <f>[3]Summary!O45</f>
        <v>0</v>
      </c>
      <c r="P43" s="42">
        <f t="shared" si="2"/>
        <v>0</v>
      </c>
    </row>
    <row r="44" spans="1:16" ht="14.5" x14ac:dyDescent="0.35">
      <c r="A44" s="49">
        <v>5565</v>
      </c>
      <c r="B44" s="33">
        <v>23</v>
      </c>
      <c r="C44" s="51" t="s">
        <v>124</v>
      </c>
      <c r="D44" s="4">
        <f>[3]Summary!D46</f>
        <v>0</v>
      </c>
      <c r="E44" s="4">
        <f>[3]Summary!E46</f>
        <v>0</v>
      </c>
      <c r="F44" s="4">
        <f>[3]Summary!F46</f>
        <v>0</v>
      </c>
      <c r="G44" s="4">
        <f>[3]Summary!G46</f>
        <v>0</v>
      </c>
      <c r="H44" s="4">
        <f>[3]Summary!H46</f>
        <v>0</v>
      </c>
      <c r="I44" s="4">
        <f>[3]Summary!I46</f>
        <v>0</v>
      </c>
      <c r="J44" s="4">
        <f>[3]Summary!J46</f>
        <v>0</v>
      </c>
      <c r="K44" s="4">
        <f>[3]Summary!K46</f>
        <v>0</v>
      </c>
      <c r="L44" s="4">
        <f>[3]Summary!L46</f>
        <v>0</v>
      </c>
      <c r="M44" s="4">
        <f>[3]Summary!M46</f>
        <v>0</v>
      </c>
      <c r="N44" s="4">
        <f>[3]Summary!N46</f>
        <v>0</v>
      </c>
      <c r="O44" s="4">
        <f>[3]Summary!O46</f>
        <v>0</v>
      </c>
      <c r="P44" s="42">
        <f t="shared" si="2"/>
        <v>0</v>
      </c>
    </row>
    <row r="45" spans="1:16" ht="13" x14ac:dyDescent="0.3">
      <c r="C45" s="51" t="s">
        <v>125</v>
      </c>
      <c r="D45" s="52">
        <f>SUM(D11:D44)</f>
        <v>0</v>
      </c>
      <c r="E45" s="52">
        <f t="shared" ref="E45:O45" si="4">SUM(E11:E44)</f>
        <v>0</v>
      </c>
      <c r="F45" s="52">
        <f t="shared" si="4"/>
        <v>1200</v>
      </c>
      <c r="G45" s="52">
        <f t="shared" si="4"/>
        <v>6810</v>
      </c>
      <c r="H45" s="52">
        <f t="shared" si="4"/>
        <v>13237.4</v>
      </c>
      <c r="I45" s="52">
        <f t="shared" si="4"/>
        <v>18854.400000000001</v>
      </c>
      <c r="J45" s="52">
        <f t="shared" si="4"/>
        <v>19482.88</v>
      </c>
      <c r="K45" s="52">
        <f t="shared" si="4"/>
        <v>19482.88</v>
      </c>
      <c r="L45" s="52">
        <f t="shared" si="4"/>
        <v>10684.16</v>
      </c>
      <c r="M45" s="52">
        <f t="shared" si="4"/>
        <v>3770.88</v>
      </c>
      <c r="N45" s="52">
        <f t="shared" si="4"/>
        <v>400</v>
      </c>
      <c r="O45" s="52">
        <f t="shared" si="4"/>
        <v>1400</v>
      </c>
      <c r="P45" s="53">
        <f>SUM(D45:O45)</f>
        <v>95322.60000000002</v>
      </c>
    </row>
    <row r="47" spans="1:16" x14ac:dyDescent="0.25">
      <c r="C47" s="51"/>
      <c r="D47" s="54"/>
    </row>
  </sheetData>
  <pageMargins left="0.25" right="0.25" top="0.75" bottom="0.75" header="0.3" footer="0.3"/>
  <pageSetup paperSize="5" scale="74" orientation="landscape" r:id="rId1"/>
  <headerFooter>
    <oddFooter>&amp;L&amp;F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P19"/>
  <sheetViews>
    <sheetView workbookViewId="0">
      <pane xSplit="1" ySplit="5" topLeftCell="B6" activePane="bottomRight" state="frozen"/>
      <selection sqref="A1:G24"/>
      <selection pane="topRight" sqref="A1:G24"/>
      <selection pane="bottomLeft" sqref="A1:G24"/>
      <selection pane="bottomRight" activeCell="N27" sqref="N27"/>
    </sheetView>
  </sheetViews>
  <sheetFormatPr defaultColWidth="9.26953125" defaultRowHeight="12.5" x14ac:dyDescent="0.25"/>
  <cols>
    <col min="1" max="1" width="31.7265625" style="55" bestFit="1" customWidth="1"/>
    <col min="2" max="5" width="5.7265625" style="55" bestFit="1" customWidth="1"/>
    <col min="6" max="8" width="12" style="55" bestFit="1" customWidth="1"/>
    <col min="9" max="9" width="11.54296875" style="55" bestFit="1" customWidth="1"/>
    <col min="10" max="11" width="12" style="55" bestFit="1" customWidth="1"/>
    <col min="12" max="13" width="5.7265625" style="55" bestFit="1" customWidth="1"/>
    <col min="14" max="14" width="12.54296875" style="55" bestFit="1" customWidth="1"/>
    <col min="15" max="15" width="8.26953125" style="55" bestFit="1" customWidth="1"/>
    <col min="16" max="16" width="44.26953125" style="55" bestFit="1" customWidth="1"/>
    <col min="17" max="17" width="16.453125" style="55" bestFit="1" customWidth="1"/>
    <col min="18" max="20" width="13" style="55" bestFit="1" customWidth="1"/>
    <col min="21" max="16384" width="9.26953125" style="55"/>
  </cols>
  <sheetData>
    <row r="1" spans="1:16" ht="14.5" x14ac:dyDescent="0.35">
      <c r="B1" s="56"/>
      <c r="C1" s="56"/>
      <c r="D1" s="56"/>
      <c r="E1" s="56"/>
      <c r="F1" s="56"/>
      <c r="G1" s="56"/>
      <c r="H1" s="56"/>
      <c r="I1" s="56"/>
      <c r="J1" s="56"/>
      <c r="K1" s="56"/>
      <c r="L1" s="56"/>
      <c r="M1" s="56"/>
      <c r="N1" s="56"/>
    </row>
    <row r="2" spans="1:16" ht="14.5" x14ac:dyDescent="0.35">
      <c r="A2" s="57"/>
      <c r="B2" s="58"/>
      <c r="C2" s="58"/>
      <c r="D2" s="58"/>
      <c r="E2" s="58"/>
      <c r="F2" s="58"/>
      <c r="G2" s="58"/>
      <c r="H2" s="58"/>
      <c r="I2" s="58"/>
      <c r="J2" s="58"/>
      <c r="K2" s="58"/>
      <c r="L2" s="58"/>
      <c r="M2" s="58"/>
      <c r="N2" s="58"/>
    </row>
    <row r="3" spans="1:16" ht="13" thickBot="1" x14ac:dyDescent="0.3"/>
    <row r="4" spans="1:16" ht="13" x14ac:dyDescent="0.3">
      <c r="A4" s="59" t="s">
        <v>63</v>
      </c>
      <c r="B4" s="60" t="s">
        <v>126</v>
      </c>
      <c r="C4" s="60" t="s">
        <v>127</v>
      </c>
      <c r="D4" s="60" t="s">
        <v>128</v>
      </c>
      <c r="E4" s="60" t="s">
        <v>129</v>
      </c>
      <c r="F4" s="60" t="s">
        <v>68</v>
      </c>
      <c r="G4" s="60" t="s">
        <v>130</v>
      </c>
      <c r="H4" s="60" t="s">
        <v>131</v>
      </c>
      <c r="I4" s="60" t="s">
        <v>132</v>
      </c>
      <c r="J4" s="60" t="s">
        <v>72</v>
      </c>
      <c r="K4" s="60" t="s">
        <v>73</v>
      </c>
      <c r="L4" s="60" t="s">
        <v>74</v>
      </c>
      <c r="M4" s="60" t="s">
        <v>75</v>
      </c>
      <c r="N4" s="61" t="s">
        <v>133</v>
      </c>
    </row>
    <row r="5" spans="1:16" ht="14.5" hidden="1" x14ac:dyDescent="0.35">
      <c r="A5" s="62" t="s">
        <v>134</v>
      </c>
      <c r="B5" s="63"/>
      <c r="C5" s="63"/>
      <c r="D5" s="63"/>
      <c r="E5" s="63"/>
      <c r="F5" s="63"/>
      <c r="G5" s="63"/>
      <c r="H5" s="63"/>
      <c r="I5" s="63"/>
      <c r="J5" s="63"/>
      <c r="K5" s="63"/>
      <c r="L5" s="63"/>
      <c r="M5" s="64"/>
      <c r="N5" s="65"/>
      <c r="O5" s="56"/>
      <c r="P5" s="66"/>
    </row>
    <row r="6" spans="1:16" ht="14.5" x14ac:dyDescent="0.35">
      <c r="A6" s="67" t="s">
        <v>135</v>
      </c>
      <c r="B6" s="63">
        <f>+[4]Summary!D7</f>
        <v>0</v>
      </c>
      <c r="C6" s="63">
        <f>+[4]Summary!E7</f>
        <v>0</v>
      </c>
      <c r="D6" s="63">
        <f>+[4]Summary!F7</f>
        <v>0</v>
      </c>
      <c r="E6" s="63">
        <f>+[4]Summary!G7</f>
        <v>0</v>
      </c>
      <c r="F6" s="63">
        <f>+[4]Summary!H7</f>
        <v>243232.44</v>
      </c>
      <c r="G6" s="63">
        <f>+[4]Summary!I7</f>
        <v>401551.68</v>
      </c>
      <c r="H6" s="63">
        <f>+[4]Summary!J7</f>
        <v>424030.4</v>
      </c>
      <c r="I6" s="63">
        <f>+[4]Summary!K7</f>
        <v>424030.4</v>
      </c>
      <c r="J6" s="63">
        <f>+[4]Summary!L7</f>
        <v>228666.592</v>
      </c>
      <c r="K6" s="63">
        <f>+[4]Summary!M7</f>
        <v>71154.047999999995</v>
      </c>
      <c r="L6" s="63">
        <f>+[4]Summary!N7</f>
        <v>0</v>
      </c>
      <c r="M6" s="64">
        <f>+[4]Summary!O7</f>
        <v>0</v>
      </c>
      <c r="N6" s="65">
        <f>SUM(B6:M6)</f>
        <v>1792665.5599999998</v>
      </c>
      <c r="O6" s="56"/>
      <c r="P6" s="66"/>
    </row>
    <row r="7" spans="1:16" ht="14.5" x14ac:dyDescent="0.35">
      <c r="A7" s="67" t="s">
        <v>136</v>
      </c>
      <c r="B7" s="63">
        <f>[4]Summary!D11</f>
        <v>0</v>
      </c>
      <c r="C7" s="63">
        <f>[4]Summary!E11</f>
        <v>0</v>
      </c>
      <c r="D7" s="63">
        <f>[4]Summary!F11</f>
        <v>0</v>
      </c>
      <c r="E7" s="63">
        <f>[4]Summary!G11</f>
        <v>0</v>
      </c>
      <c r="F7" s="63">
        <f>[4]Summary!H11</f>
        <v>51392.88</v>
      </c>
      <c r="G7" s="63">
        <f>[4]Summary!I11</f>
        <v>116282.88</v>
      </c>
      <c r="H7" s="63">
        <f>[4]Summary!J11</f>
        <v>120158.976</v>
      </c>
      <c r="I7" s="63">
        <f>[4]Summary!K11</f>
        <v>120158.976</v>
      </c>
      <c r="J7" s="63">
        <f>[4]Summary!L11</f>
        <v>57993.120000000003</v>
      </c>
      <c r="K7" s="63">
        <f>[4]Summary!M11</f>
        <v>22287.552</v>
      </c>
      <c r="L7" s="63">
        <f>[4]Summary!N11</f>
        <v>0</v>
      </c>
      <c r="M7" s="64">
        <f>[4]Summary!O11</f>
        <v>0</v>
      </c>
      <c r="N7" s="65">
        <f>SUM(B7:M7)</f>
        <v>488274.38400000008</v>
      </c>
      <c r="O7" s="56"/>
      <c r="P7" s="66"/>
    </row>
    <row r="8" spans="1:16" ht="14.5" hidden="1" x14ac:dyDescent="0.35">
      <c r="A8" s="67" t="s">
        <v>137</v>
      </c>
      <c r="B8" s="63"/>
      <c r="C8" s="63"/>
      <c r="D8" s="63"/>
      <c r="E8" s="63"/>
      <c r="F8" s="63"/>
      <c r="G8" s="63"/>
      <c r="H8" s="63"/>
      <c r="I8" s="63"/>
      <c r="J8" s="63"/>
      <c r="K8" s="63"/>
      <c r="L8" s="63"/>
      <c r="M8" s="64"/>
      <c r="N8" s="65"/>
      <c r="O8" s="56"/>
      <c r="P8" s="66"/>
    </row>
    <row r="9" spans="1:16" ht="14.5" hidden="1" x14ac:dyDescent="0.35">
      <c r="A9" s="67" t="s">
        <v>138</v>
      </c>
      <c r="B9" s="63"/>
      <c r="C9" s="63"/>
      <c r="D9" s="63"/>
      <c r="E9" s="63"/>
      <c r="F9" s="63"/>
      <c r="G9" s="63"/>
      <c r="H9" s="63"/>
      <c r="I9" s="63"/>
      <c r="J9" s="63"/>
      <c r="K9" s="63"/>
      <c r="L9" s="63"/>
      <c r="M9" s="63"/>
      <c r="N9" s="65"/>
      <c r="O9" s="56"/>
      <c r="P9" s="66"/>
    </row>
    <row r="10" spans="1:16" ht="14.5" hidden="1" x14ac:dyDescent="0.35">
      <c r="A10" s="67" t="s">
        <v>139</v>
      </c>
      <c r="B10" s="63"/>
      <c r="C10" s="63"/>
      <c r="D10" s="63"/>
      <c r="E10" s="63"/>
      <c r="F10" s="63"/>
      <c r="G10" s="63"/>
      <c r="H10" s="63"/>
      <c r="I10" s="63"/>
      <c r="J10" s="63"/>
      <c r="K10" s="63"/>
      <c r="L10" s="63"/>
      <c r="M10" s="64"/>
      <c r="N10" s="65"/>
      <c r="O10" s="56"/>
      <c r="P10" s="66"/>
    </row>
    <row r="11" spans="1:16" ht="14.5" hidden="1" x14ac:dyDescent="0.35">
      <c r="A11" s="67" t="s">
        <v>140</v>
      </c>
      <c r="B11" s="63"/>
      <c r="C11" s="63"/>
      <c r="D11" s="63"/>
      <c r="E11" s="63"/>
      <c r="F11" s="63"/>
      <c r="G11" s="63"/>
      <c r="H11" s="63"/>
      <c r="I11" s="63"/>
      <c r="J11" s="63"/>
      <c r="K11" s="63"/>
      <c r="L11" s="63"/>
      <c r="M11" s="64"/>
      <c r="N11" s="65"/>
      <c r="O11" s="56"/>
      <c r="P11" s="66"/>
    </row>
    <row r="12" spans="1:16" ht="14.5" hidden="1" x14ac:dyDescent="0.35">
      <c r="A12" s="67" t="s">
        <v>141</v>
      </c>
      <c r="B12" s="63"/>
      <c r="C12" s="63"/>
      <c r="D12" s="63"/>
      <c r="E12" s="63"/>
      <c r="F12" s="63"/>
      <c r="G12" s="63"/>
      <c r="H12" s="63"/>
      <c r="I12" s="63"/>
      <c r="J12" s="63"/>
      <c r="K12" s="63"/>
      <c r="L12" s="63"/>
      <c r="M12" s="64"/>
      <c r="N12" s="65"/>
      <c r="O12" s="56"/>
      <c r="P12" s="66"/>
    </row>
    <row r="13" spans="1:16" ht="14.5" hidden="1" x14ac:dyDescent="0.35">
      <c r="A13" s="67" t="s">
        <v>142</v>
      </c>
      <c r="B13" s="63"/>
      <c r="C13" s="63"/>
      <c r="D13" s="63"/>
      <c r="E13" s="63"/>
      <c r="F13" s="63"/>
      <c r="G13" s="63"/>
      <c r="H13" s="63"/>
      <c r="I13" s="63"/>
      <c r="J13" s="63"/>
      <c r="K13" s="63"/>
      <c r="L13" s="63"/>
      <c r="M13" s="64"/>
      <c r="N13" s="65"/>
      <c r="O13" s="56"/>
      <c r="P13" s="66"/>
    </row>
    <row r="14" spans="1:16" ht="14.5" hidden="1" x14ac:dyDescent="0.35">
      <c r="A14" s="67" t="s">
        <v>143</v>
      </c>
      <c r="B14" s="63"/>
      <c r="C14" s="63"/>
      <c r="D14" s="63"/>
      <c r="E14" s="63"/>
      <c r="F14" s="63"/>
      <c r="G14" s="63"/>
      <c r="H14" s="63"/>
      <c r="I14" s="63"/>
      <c r="J14" s="63"/>
      <c r="K14" s="63"/>
      <c r="L14" s="63"/>
      <c r="M14" s="64"/>
      <c r="N14" s="65"/>
      <c r="O14" s="56"/>
      <c r="P14" s="66"/>
    </row>
    <row r="15" spans="1:16" ht="14.5" hidden="1" x14ac:dyDescent="0.35">
      <c r="A15" s="67" t="s">
        <v>51</v>
      </c>
      <c r="B15" s="63"/>
      <c r="C15" s="63"/>
      <c r="D15" s="63"/>
      <c r="E15" s="63"/>
      <c r="F15" s="63"/>
      <c r="G15" s="63"/>
      <c r="H15" s="63"/>
      <c r="I15" s="63"/>
      <c r="J15" s="63"/>
      <c r="K15" s="63"/>
      <c r="L15" s="63"/>
      <c r="M15" s="64"/>
      <c r="N15" s="65"/>
      <c r="O15" s="56"/>
      <c r="P15" s="66"/>
    </row>
    <row r="16" spans="1:16" ht="14.5" hidden="1" x14ac:dyDescent="0.35">
      <c r="A16" s="67" t="s">
        <v>144</v>
      </c>
      <c r="B16" s="63"/>
      <c r="C16" s="63"/>
      <c r="D16" s="63"/>
      <c r="E16" s="63"/>
      <c r="F16" s="63"/>
      <c r="G16" s="63"/>
      <c r="H16" s="63"/>
      <c r="I16" s="63"/>
      <c r="J16" s="63"/>
      <c r="K16" s="63"/>
      <c r="L16" s="63"/>
      <c r="M16" s="64"/>
      <c r="N16" s="65"/>
      <c r="O16" s="56"/>
      <c r="P16" s="68"/>
    </row>
    <row r="17" spans="1:16" s="68" customFormat="1" ht="14.5" x14ac:dyDescent="0.35">
      <c r="A17" s="67"/>
      <c r="M17" s="64"/>
      <c r="N17" s="65"/>
      <c r="O17" s="56"/>
    </row>
    <row r="18" spans="1:16" s="68" customFormat="1" ht="15" thickBot="1" x14ac:dyDescent="0.4">
      <c r="A18" s="69" t="s">
        <v>145</v>
      </c>
      <c r="B18" s="70">
        <f t="shared" ref="B18:M18" si="0">SUM(B5:B16)</f>
        <v>0</v>
      </c>
      <c r="C18" s="70">
        <f t="shared" si="0"/>
        <v>0</v>
      </c>
      <c r="D18" s="70">
        <f t="shared" si="0"/>
        <v>0</v>
      </c>
      <c r="E18" s="70">
        <f t="shared" si="0"/>
        <v>0</v>
      </c>
      <c r="F18" s="70">
        <f t="shared" si="0"/>
        <v>294625.32</v>
      </c>
      <c r="G18" s="70">
        <f t="shared" si="0"/>
        <v>517834.56</v>
      </c>
      <c r="H18" s="70">
        <f t="shared" si="0"/>
        <v>544189.37600000005</v>
      </c>
      <c r="I18" s="70">
        <f t="shared" si="0"/>
        <v>544189.37600000005</v>
      </c>
      <c r="J18" s="70">
        <f t="shared" si="0"/>
        <v>286659.712</v>
      </c>
      <c r="K18" s="70">
        <f t="shared" si="0"/>
        <v>93441.599999999991</v>
      </c>
      <c r="L18" s="70">
        <f t="shared" si="0"/>
        <v>0</v>
      </c>
      <c r="M18" s="71">
        <f t="shared" si="0"/>
        <v>0</v>
      </c>
      <c r="N18" s="72">
        <f>SUM(N5:N17)</f>
        <v>2280939.9440000001</v>
      </c>
      <c r="O18" s="56"/>
      <c r="P18" s="73"/>
    </row>
    <row r="19" spans="1:16" ht="13" x14ac:dyDescent="0.3">
      <c r="A19" s="74"/>
      <c r="B19" s="63"/>
      <c r="C19" s="63"/>
      <c r="D19" s="63"/>
      <c r="E19" s="63"/>
      <c r="F19" s="63"/>
      <c r="G19" s="63"/>
      <c r="H19" s="63"/>
      <c r="I19" s="63"/>
      <c r="J19" s="63"/>
      <c r="K19" s="63"/>
      <c r="L19" s="63"/>
      <c r="M19" s="63"/>
      <c r="N19" s="63"/>
    </row>
  </sheetData>
  <pageMargins left="0.7" right="0.7" top="0.75" bottom="0.75" header="0.3" footer="0.3"/>
  <pageSetup paperSize="5" orientation="landscape" r:id="rId1"/>
  <headerFooter>
    <oddFooter>&amp;L&amp;F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T11"/>
  <sheetViews>
    <sheetView workbookViewId="0">
      <pane xSplit="1" ySplit="7" topLeftCell="E8" activePane="bottomRight" state="frozen"/>
      <selection sqref="A1:G24"/>
      <selection pane="topRight" sqref="A1:G24"/>
      <selection pane="bottomLeft" sqref="A1:G24"/>
      <selection pane="bottomRight" activeCell="K24" sqref="K24"/>
    </sheetView>
  </sheetViews>
  <sheetFormatPr defaultColWidth="9.26953125" defaultRowHeight="12.5" x14ac:dyDescent="0.25"/>
  <cols>
    <col min="1" max="1" width="37.26953125" style="34" customWidth="1"/>
    <col min="2" max="2" width="9.26953125" style="34" customWidth="1"/>
    <col min="3" max="8" width="13.26953125" style="34" bestFit="1" customWidth="1"/>
    <col min="9" max="9" width="15" style="34" bestFit="1" customWidth="1"/>
    <col min="10" max="14" width="13.26953125" style="34" bestFit="1" customWidth="1"/>
    <col min="15" max="15" width="13.54296875" style="34" customWidth="1"/>
    <col min="16" max="16" width="11.26953125" style="34" bestFit="1" customWidth="1"/>
    <col min="17" max="17" width="10.26953125" style="34" bestFit="1" customWidth="1"/>
    <col min="18" max="16384" width="9.26953125" style="34"/>
  </cols>
  <sheetData>
    <row r="1" spans="1:20" ht="14.5" x14ac:dyDescent="0.35">
      <c r="A1" s="76" t="s">
        <v>146</v>
      </c>
      <c r="C1" s="58"/>
      <c r="D1" s="58"/>
      <c r="E1" s="75"/>
      <c r="F1" s="58"/>
      <c r="G1" s="77"/>
      <c r="H1" s="77"/>
      <c r="I1" s="77"/>
      <c r="J1" s="77"/>
      <c r="K1" s="77"/>
      <c r="L1" s="77"/>
      <c r="M1" s="58"/>
      <c r="N1" s="58"/>
      <c r="Q1" s="78"/>
      <c r="S1" s="78"/>
      <c r="T1" s="58"/>
    </row>
    <row r="2" spans="1:20" x14ac:dyDescent="0.25">
      <c r="Q2" s="78"/>
    </row>
    <row r="3" spans="1:20" x14ac:dyDescent="0.25">
      <c r="A3" s="308" t="s">
        <v>147</v>
      </c>
      <c r="B3" s="309"/>
      <c r="C3" s="309"/>
      <c r="D3" s="309"/>
      <c r="E3" s="309"/>
      <c r="F3" s="309"/>
      <c r="G3" s="309"/>
      <c r="H3" s="309"/>
      <c r="I3" s="309"/>
      <c r="J3" s="309"/>
      <c r="K3" s="309"/>
      <c r="L3" s="309"/>
      <c r="M3" s="309"/>
      <c r="N3" s="309"/>
      <c r="O3" s="310"/>
    </row>
    <row r="4" spans="1:20" ht="14.5" x14ac:dyDescent="0.35">
      <c r="A4" s="79"/>
      <c r="B4" s="79"/>
      <c r="C4" s="80" t="s">
        <v>126</v>
      </c>
      <c r="D4" s="80" t="s">
        <v>127</v>
      </c>
      <c r="E4" s="80" t="s">
        <v>128</v>
      </c>
      <c r="F4" s="80" t="s">
        <v>129</v>
      </c>
      <c r="G4" s="80" t="s">
        <v>68</v>
      </c>
      <c r="H4" s="80" t="s">
        <v>130</v>
      </c>
      <c r="I4" s="80" t="s">
        <v>131</v>
      </c>
      <c r="J4" s="80" t="s">
        <v>132</v>
      </c>
      <c r="K4" s="80" t="s">
        <v>72</v>
      </c>
      <c r="L4" s="80" t="s">
        <v>73</v>
      </c>
      <c r="M4" s="80" t="s">
        <v>74</v>
      </c>
      <c r="N4" s="80" t="s">
        <v>75</v>
      </c>
      <c r="O4" s="81" t="s">
        <v>133</v>
      </c>
      <c r="Q4" s="58"/>
    </row>
    <row r="5" spans="1:20" x14ac:dyDescent="0.25">
      <c r="A5" s="79"/>
      <c r="B5" s="79"/>
      <c r="C5" s="82"/>
      <c r="D5" s="82"/>
      <c r="E5" s="82"/>
      <c r="F5" s="82"/>
      <c r="G5" s="82"/>
      <c r="H5" s="82"/>
      <c r="I5" s="82"/>
      <c r="J5" s="82"/>
      <c r="K5" s="82"/>
      <c r="L5" s="82"/>
      <c r="M5" s="82"/>
      <c r="N5" s="82"/>
      <c r="O5" s="81"/>
    </row>
    <row r="6" spans="1:20" ht="13" x14ac:dyDescent="0.3">
      <c r="A6" s="83" t="s">
        <v>264</v>
      </c>
      <c r="B6" s="83"/>
      <c r="C6" s="84">
        <v>0</v>
      </c>
      <c r="D6" s="84">
        <v>0</v>
      </c>
      <c r="E6" s="84">
        <v>12</v>
      </c>
      <c r="F6" s="84">
        <v>20</v>
      </c>
      <c r="G6" s="84">
        <v>44</v>
      </c>
      <c r="H6" s="84">
        <v>60</v>
      </c>
      <c r="I6" s="84">
        <v>62</v>
      </c>
      <c r="J6" s="84">
        <v>62</v>
      </c>
      <c r="K6" s="84">
        <v>34</v>
      </c>
      <c r="L6" s="84">
        <v>12</v>
      </c>
      <c r="M6" s="84">
        <v>4</v>
      </c>
      <c r="N6" s="84">
        <v>14</v>
      </c>
      <c r="O6" s="81">
        <v>324</v>
      </c>
    </row>
    <row r="7" spans="1:20" x14ac:dyDescent="0.25">
      <c r="A7" s="85"/>
      <c r="B7" s="85"/>
      <c r="C7" s="86"/>
      <c r="D7" s="86"/>
      <c r="E7" s="86"/>
      <c r="F7" s="86"/>
      <c r="G7" s="86"/>
      <c r="H7" s="86"/>
      <c r="I7" s="86"/>
      <c r="J7" s="86"/>
      <c r="K7" s="86"/>
      <c r="L7" s="86"/>
      <c r="M7" s="86"/>
      <c r="N7" s="86"/>
      <c r="O7" s="87"/>
    </row>
    <row r="9" spans="1:20" ht="14.5" x14ac:dyDescent="0.35">
      <c r="A9" s="34" t="s">
        <v>148</v>
      </c>
      <c r="B9" s="88">
        <v>1.3</v>
      </c>
      <c r="C9" s="58">
        <f>[3]SJC!C23</f>
        <v>0</v>
      </c>
      <c r="D9" s="58">
        <f>[3]SJC!D23</f>
        <v>0</v>
      </c>
      <c r="E9" s="58">
        <f>[3]SJC!E23</f>
        <v>2886</v>
      </c>
      <c r="F9" s="58">
        <f>[3]SJC!F23</f>
        <v>4810</v>
      </c>
      <c r="G9" s="58">
        <f>[3]SJC!G23</f>
        <v>8837.4</v>
      </c>
      <c r="H9" s="58">
        <f>[3]SJC!H23</f>
        <v>12854.4</v>
      </c>
      <c r="I9" s="58">
        <f>[3]SJC!I23</f>
        <v>13282.880000000001</v>
      </c>
      <c r="J9" s="58">
        <f>[3]SJC!J23</f>
        <v>13282.880000000001</v>
      </c>
      <c r="K9" s="58">
        <f>[3]SJC!K23</f>
        <v>7284.16</v>
      </c>
      <c r="L9" s="58">
        <f>[3]SJC!L23</f>
        <v>2570.88</v>
      </c>
      <c r="M9" s="58">
        <f>[3]SJC!M23</f>
        <v>780</v>
      </c>
      <c r="N9" s="58">
        <f>[3]SJC!N23</f>
        <v>2730</v>
      </c>
      <c r="O9" s="58">
        <f>[3]SJC!O23</f>
        <v>69318.60000000002</v>
      </c>
      <c r="Q9" s="54"/>
    </row>
    <row r="10" spans="1:20" ht="14.5" x14ac:dyDescent="0.35">
      <c r="B10" s="90"/>
      <c r="C10" s="58"/>
      <c r="D10" s="58"/>
      <c r="E10" s="58"/>
      <c r="F10" s="58"/>
      <c r="G10" s="58"/>
      <c r="H10" s="58"/>
      <c r="I10" s="58"/>
      <c r="J10" s="58"/>
      <c r="K10" s="58"/>
      <c r="L10" s="58"/>
      <c r="M10" s="58"/>
      <c r="N10" s="58"/>
      <c r="O10" s="58"/>
      <c r="Q10" s="54"/>
    </row>
    <row r="11" spans="1:20" ht="14.5" x14ac:dyDescent="0.35">
      <c r="K11" s="89"/>
    </row>
  </sheetData>
  <mergeCells count="1">
    <mergeCell ref="A3:O3"/>
  </mergeCells>
  <pageMargins left="0.25" right="0.25" top="0.75" bottom="0.75" header="0.3" footer="0.3"/>
  <pageSetup paperSize="5" scale="77" orientation="landscape" r:id="rId1"/>
  <headerFooter>
    <oddFooter>&amp;L&amp;F     &amp;A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1"/>
  <sheetViews>
    <sheetView zoomScale="85" zoomScaleNormal="85" workbookViewId="0">
      <pane xSplit="5" ySplit="5" topLeftCell="K6" activePane="bottomRight" state="frozen"/>
      <selection pane="topRight" activeCell="B1" sqref="B1"/>
      <selection pane="bottomLeft" activeCell="A6" sqref="A6"/>
      <selection pane="bottomRight" activeCell="Y44" sqref="Y44"/>
    </sheetView>
  </sheetViews>
  <sheetFormatPr defaultColWidth="9.26953125" defaultRowHeight="12.5" outlineLevelRow="1" x14ac:dyDescent="0.25"/>
  <cols>
    <col min="1" max="1" width="6" style="34" bestFit="1" customWidth="1"/>
    <col min="2" max="2" width="11.7265625" style="34" bestFit="1" customWidth="1"/>
    <col min="3" max="3" width="6" style="34" customWidth="1"/>
    <col min="4" max="4" width="0" style="34" hidden="1" customWidth="1"/>
    <col min="5" max="5" width="10.26953125" style="34" bestFit="1" customWidth="1"/>
    <col min="6" max="8" width="10.26953125" style="34" customWidth="1"/>
    <col min="9" max="9" width="10.26953125" style="92" customWidth="1"/>
    <col min="10" max="11" width="8.26953125" style="92" customWidth="1"/>
    <col min="12" max="12" width="10.26953125" style="92" hidden="1" customWidth="1"/>
    <col min="13" max="13" width="8.453125" style="93" hidden="1" customWidth="1"/>
    <col min="14" max="14" width="8.453125" style="34" hidden="1" customWidth="1"/>
    <col min="15" max="15" width="7" style="34" hidden="1" customWidth="1"/>
    <col min="16" max="16" width="10.26953125" style="94" hidden="1" customWidth="1"/>
    <col min="17" max="17" width="11.26953125" style="34" hidden="1" customWidth="1"/>
    <col min="18" max="21" width="0" style="34" hidden="1" customWidth="1"/>
    <col min="22" max="22" width="10.7265625" style="34" hidden="1" customWidth="1"/>
    <col min="23" max="23" width="1.26953125" style="34" hidden="1" customWidth="1"/>
    <col min="24" max="24" width="0" style="34" hidden="1" customWidth="1"/>
    <col min="25" max="25" width="9.26953125" style="34"/>
    <col min="26" max="27" width="12.7265625" style="97" customWidth="1"/>
    <col min="28" max="30" width="12.7265625" style="34" customWidth="1"/>
    <col min="31" max="31" width="23.7265625" style="34" bestFit="1" customWidth="1"/>
    <col min="32" max="32" width="12" style="34" customWidth="1"/>
    <col min="33" max="33" width="11" style="34" customWidth="1"/>
    <col min="34" max="16384" width="9.26953125" style="34"/>
  </cols>
  <sheetData>
    <row r="1" spans="1:33" x14ac:dyDescent="0.25">
      <c r="E1" s="34" t="s">
        <v>150</v>
      </c>
      <c r="F1" s="92">
        <f>MAX(F6:F371)</f>
        <v>2.1234000000000002</v>
      </c>
      <c r="G1" s="92">
        <f>MAX(G6:G371)</f>
        <v>2.6297999999999999</v>
      </c>
      <c r="H1" s="92">
        <f>MAX(H6:H371)</f>
        <v>2.3399000000000001</v>
      </c>
      <c r="I1" s="92">
        <f t="shared" ref="I1:K1" si="0">MAX(I6:I371)</f>
        <v>1.8795999999999999</v>
      </c>
      <c r="J1" s="92">
        <f t="shared" si="0"/>
        <v>2.3889</v>
      </c>
      <c r="K1" s="92">
        <f t="shared" si="0"/>
        <v>3.3954</v>
      </c>
      <c r="Z1" s="95" t="s">
        <v>151</v>
      </c>
      <c r="AA1" s="95"/>
      <c r="AB1" s="96"/>
      <c r="AC1" s="96"/>
      <c r="AD1" s="96"/>
      <c r="AE1" s="96"/>
      <c r="AF1" s="96"/>
      <c r="AG1" s="96"/>
    </row>
    <row r="2" spans="1:33" x14ac:dyDescent="0.25">
      <c r="H2" s="92"/>
      <c r="U2" s="34" t="s">
        <v>152</v>
      </c>
      <c r="Z2" s="95" t="s">
        <v>153</v>
      </c>
      <c r="AA2" s="95"/>
      <c r="AB2" s="96"/>
      <c r="AC2" s="96"/>
      <c r="AD2" s="96"/>
    </row>
    <row r="3" spans="1:33" x14ac:dyDescent="0.25">
      <c r="AA3" s="34"/>
      <c r="AC3" s="97"/>
      <c r="AD3" s="97"/>
      <c r="AE3" s="97"/>
    </row>
    <row r="4" spans="1:33" ht="13" x14ac:dyDescent="0.3">
      <c r="AA4" s="32">
        <v>2016</v>
      </c>
      <c r="AB4" s="32">
        <v>2017</v>
      </c>
      <c r="AC4" s="32">
        <v>2018</v>
      </c>
      <c r="AD4" s="32">
        <v>2019</v>
      </c>
      <c r="AE4" s="32" t="s">
        <v>165</v>
      </c>
      <c r="AF4" s="156">
        <v>2014</v>
      </c>
      <c r="AG4" s="32"/>
    </row>
    <row r="5" spans="1:33" ht="13" x14ac:dyDescent="0.3">
      <c r="A5" s="34" t="s">
        <v>154</v>
      </c>
      <c r="B5" s="34" t="s">
        <v>155</v>
      </c>
      <c r="C5" s="34" t="s">
        <v>156</v>
      </c>
      <c r="D5" s="34" t="s">
        <v>157</v>
      </c>
      <c r="E5" s="34" t="s">
        <v>157</v>
      </c>
      <c r="F5" s="34">
        <v>2019</v>
      </c>
      <c r="G5" s="34">
        <v>2018</v>
      </c>
      <c r="H5" s="34">
        <v>2017</v>
      </c>
      <c r="I5" s="98">
        <v>2016</v>
      </c>
      <c r="J5" s="99">
        <v>2015</v>
      </c>
      <c r="K5" s="98">
        <v>2014</v>
      </c>
      <c r="L5" s="50">
        <v>2013</v>
      </c>
      <c r="M5" s="50">
        <v>2012</v>
      </c>
      <c r="N5" s="34">
        <v>2011</v>
      </c>
      <c r="O5" s="34">
        <v>2010</v>
      </c>
      <c r="P5" s="34">
        <v>2009</v>
      </c>
      <c r="Q5" s="34">
        <v>2008</v>
      </c>
      <c r="R5" s="34">
        <v>2007</v>
      </c>
      <c r="S5" s="34">
        <v>2006</v>
      </c>
      <c r="T5" s="34">
        <v>2005</v>
      </c>
      <c r="U5" s="34">
        <v>2004</v>
      </c>
      <c r="V5" s="34">
        <v>2003</v>
      </c>
      <c r="X5" s="34">
        <v>2002</v>
      </c>
      <c r="Z5" s="100" t="s">
        <v>158</v>
      </c>
      <c r="AA5" s="46" t="s">
        <v>159</v>
      </c>
      <c r="AB5" s="46" t="s">
        <v>159</v>
      </c>
      <c r="AC5" s="46" t="s">
        <v>159</v>
      </c>
      <c r="AD5" s="46" t="s">
        <v>159</v>
      </c>
      <c r="AE5" s="46" t="s">
        <v>166</v>
      </c>
      <c r="AF5" s="157" t="s">
        <v>159</v>
      </c>
      <c r="AG5" s="46"/>
    </row>
    <row r="6" spans="1:33" x14ac:dyDescent="0.25">
      <c r="A6" s="34" t="s">
        <v>126</v>
      </c>
      <c r="B6" s="101">
        <f>E6</f>
        <v>43466</v>
      </c>
      <c r="C6" s="34">
        <v>1</v>
      </c>
      <c r="D6" s="78">
        <v>42005</v>
      </c>
      <c r="E6" s="102">
        <v>43466</v>
      </c>
      <c r="F6" s="92">
        <v>1.7847</v>
      </c>
      <c r="G6" s="92">
        <v>2.11</v>
      </c>
      <c r="H6" s="92">
        <v>1.8514999999999999</v>
      </c>
      <c r="I6" s="92">
        <v>1.2677</v>
      </c>
      <c r="J6" s="92">
        <v>1.8658999999999999</v>
      </c>
      <c r="K6" s="92">
        <v>3.0874000000000001</v>
      </c>
      <c r="L6" s="92">
        <v>3.1806000000000001</v>
      </c>
      <c r="M6" s="93">
        <v>3.0350999999999999</v>
      </c>
      <c r="N6" s="103">
        <v>2.6236000000000002</v>
      </c>
      <c r="O6" s="104"/>
      <c r="P6" s="94">
        <v>1.351</v>
      </c>
      <c r="Q6" s="103">
        <v>2.6618999999999997</v>
      </c>
      <c r="R6" s="105">
        <v>2.1246</v>
      </c>
      <c r="S6" s="105">
        <v>1.8459999999999999</v>
      </c>
      <c r="T6" s="105">
        <v>1.2869999999999999</v>
      </c>
      <c r="U6" s="34">
        <v>0.94650000000000001</v>
      </c>
      <c r="V6" s="105">
        <v>0.93840000000000001</v>
      </c>
      <c r="W6" s="105"/>
      <c r="X6" s="34">
        <v>0.59150000000000003</v>
      </c>
      <c r="AA6" s="34"/>
      <c r="AC6" s="97"/>
      <c r="AD6" s="97"/>
      <c r="AE6" s="97"/>
      <c r="AF6" s="158"/>
    </row>
    <row r="7" spans="1:33" x14ac:dyDescent="0.25">
      <c r="A7" s="34" t="s">
        <v>126</v>
      </c>
      <c r="B7" s="101">
        <f t="shared" ref="B7:B70" si="1">E7</f>
        <v>43467</v>
      </c>
      <c r="C7" s="34">
        <f>+C6</f>
        <v>1</v>
      </c>
      <c r="D7" s="78">
        <v>42006</v>
      </c>
      <c r="E7" s="102">
        <f t="shared" ref="E7:E70" si="2">E6+1</f>
        <v>43467</v>
      </c>
      <c r="F7" s="92">
        <v>1.7847</v>
      </c>
      <c r="G7" s="92">
        <v>2.1353</v>
      </c>
      <c r="H7" s="92">
        <v>1.8514999999999999</v>
      </c>
      <c r="I7" s="92">
        <v>1.2677</v>
      </c>
      <c r="J7" s="92">
        <v>1.8658999999999999</v>
      </c>
      <c r="K7" s="92">
        <v>3.0891000000000002</v>
      </c>
      <c r="L7" s="92">
        <v>3.1861000000000002</v>
      </c>
      <c r="M7" s="93">
        <v>3.0350999999999999</v>
      </c>
      <c r="N7" s="103">
        <v>2.6236000000000002</v>
      </c>
      <c r="O7" s="104"/>
      <c r="P7" s="94">
        <v>1.5009999999999999</v>
      </c>
      <c r="Q7" s="103">
        <v>2.6618999999999997</v>
      </c>
      <c r="R7" s="105">
        <v>2.1246</v>
      </c>
      <c r="S7" s="105">
        <v>1.8459999999999999</v>
      </c>
      <c r="T7" s="105">
        <v>1.2869999999999999</v>
      </c>
      <c r="U7" s="34">
        <v>0.93640000000000001</v>
      </c>
      <c r="V7" s="105">
        <v>0.93740000000000001</v>
      </c>
      <c r="W7" s="105"/>
      <c r="X7" s="34">
        <v>0.58450000000000002</v>
      </c>
      <c r="Z7" s="97" t="s">
        <v>126</v>
      </c>
      <c r="AA7" s="92">
        <f>AVERAGEIF($A:$A,$Z7,I:I)</f>
        <v>1.1568419354838708</v>
      </c>
      <c r="AB7" s="92">
        <f>AVERAGEIF($A:$A,$Z7,H:H)</f>
        <v>1.8733548387096779</v>
      </c>
      <c r="AC7" s="92">
        <f>AVERAGEIF($A:$A,Z7,G:G)</f>
        <v>2.1508032258064516</v>
      </c>
      <c r="AD7" s="92">
        <f>AVERAGEIF($A:$A,Z7,F:F)</f>
        <v>1.8693870967741932</v>
      </c>
      <c r="AE7" s="92"/>
      <c r="AF7" s="159">
        <f t="shared" ref="AF7:AF18" si="3">AVERAGEIF($A:$A,$Z7,K:K)</f>
        <v>3.0309903225806445</v>
      </c>
      <c r="AG7" s="92"/>
    </row>
    <row r="8" spans="1:33" x14ac:dyDescent="0.25">
      <c r="A8" s="34" t="s">
        <v>126</v>
      </c>
      <c r="B8" s="101">
        <f t="shared" si="1"/>
        <v>43468</v>
      </c>
      <c r="C8" s="34">
        <f>+C7</f>
        <v>1</v>
      </c>
      <c r="D8" s="78">
        <v>42007</v>
      </c>
      <c r="E8" s="102">
        <f t="shared" si="2"/>
        <v>43468</v>
      </c>
      <c r="F8" s="92">
        <v>1.7002999999999999</v>
      </c>
      <c r="G8" s="92">
        <v>2.1271</v>
      </c>
      <c r="H8" s="92">
        <v>1.8514999999999999</v>
      </c>
      <c r="I8" s="92">
        <v>1.2677</v>
      </c>
      <c r="J8" s="92">
        <v>1.8658999999999999</v>
      </c>
      <c r="K8" s="92">
        <v>3.0194000000000001</v>
      </c>
      <c r="L8" s="92">
        <v>3.1818</v>
      </c>
      <c r="M8" s="93">
        <v>3.0350999999999999</v>
      </c>
      <c r="N8" s="103">
        <v>2.6236000000000002</v>
      </c>
      <c r="O8" s="104"/>
      <c r="P8" s="94">
        <v>1.5009999999999999</v>
      </c>
      <c r="Q8" s="103">
        <v>2.6618999999999997</v>
      </c>
      <c r="R8" s="105">
        <v>2.1282999999999999</v>
      </c>
      <c r="S8" s="105">
        <v>1.863</v>
      </c>
      <c r="T8" s="105">
        <v>1.2869999999999999</v>
      </c>
      <c r="U8" s="34">
        <v>0.93640000000000001</v>
      </c>
      <c r="V8" s="105">
        <v>0.93740000000000001</v>
      </c>
      <c r="W8" s="105"/>
      <c r="X8" s="34">
        <v>0.57050000000000001</v>
      </c>
      <c r="Z8" s="97" t="s">
        <v>127</v>
      </c>
      <c r="AA8" s="92">
        <f>AVERAGEIF($A:$A,$Z8,I:I)</f>
        <v>1.1374862068965521</v>
      </c>
      <c r="AB8" s="92">
        <f t="shared" ref="AB8:AB18" si="4">AVERAGEIF($A:$A,$Z8,H:H)</f>
        <v>1.8262499999999995</v>
      </c>
      <c r="AC8" s="92">
        <f t="shared" ref="AC8:AC16" si="5">AVERAGEIF($A:$A,Z8,G:G)</f>
        <v>2.1438642857142862</v>
      </c>
      <c r="AD8" s="92">
        <f>AVERAGEIF($A:$A,Z8,F:F)</f>
        <v>2.0315571428571433</v>
      </c>
      <c r="AE8" s="92"/>
      <c r="AF8" s="159">
        <f t="shared" si="3"/>
        <v>3.1307689655172419</v>
      </c>
      <c r="AG8" s="92"/>
    </row>
    <row r="9" spans="1:33" x14ac:dyDescent="0.25">
      <c r="A9" s="34" t="s">
        <v>126</v>
      </c>
      <c r="B9" s="101">
        <f t="shared" si="1"/>
        <v>43469</v>
      </c>
      <c r="C9" s="34">
        <f>+C8</f>
        <v>1</v>
      </c>
      <c r="D9" s="78">
        <v>42008</v>
      </c>
      <c r="E9" s="102">
        <f t="shared" si="2"/>
        <v>43469</v>
      </c>
      <c r="F9" s="92">
        <v>1.7197</v>
      </c>
      <c r="G9" s="92">
        <v>2.1392000000000002</v>
      </c>
      <c r="H9" s="92">
        <v>1.8514999999999999</v>
      </c>
      <c r="I9" s="92">
        <v>1.2748999999999999</v>
      </c>
      <c r="J9" s="92">
        <v>1.8658999999999999</v>
      </c>
      <c r="K9" s="92">
        <v>3.0194000000000001</v>
      </c>
      <c r="L9" s="92">
        <v>3.1617999999999999</v>
      </c>
      <c r="M9" s="93">
        <v>3.15</v>
      </c>
      <c r="N9" s="103">
        <v>2.6316000000000002</v>
      </c>
      <c r="O9" s="92">
        <v>2.2517999999999998</v>
      </c>
      <c r="P9" s="106">
        <v>1.5009999999999999</v>
      </c>
      <c r="Q9" s="92">
        <v>2.7157999999999998</v>
      </c>
      <c r="R9" s="92">
        <v>2.1158000000000001</v>
      </c>
      <c r="S9" s="92">
        <v>1.9395</v>
      </c>
      <c r="T9" s="92">
        <v>1.2357</v>
      </c>
      <c r="U9" s="92">
        <v>0.93640000000000001</v>
      </c>
      <c r="V9" s="92">
        <v>0.93740000000000001</v>
      </c>
      <c r="W9" s="92"/>
      <c r="X9" s="92">
        <v>0.57650000000000001</v>
      </c>
      <c r="Z9" s="97" t="s">
        <v>128</v>
      </c>
      <c r="AA9" s="92">
        <f t="shared" ref="AA9:AA18" si="6">AVERAGEIF($A:$A,$Z9,I:I)</f>
        <v>1.2446935483870967</v>
      </c>
      <c r="AB9" s="92">
        <f t="shared" si="4"/>
        <v>1.7369645161290321</v>
      </c>
      <c r="AC9" s="92">
        <f t="shared" si="5"/>
        <v>2.1872483870967749</v>
      </c>
      <c r="AD9" s="92">
        <f>AVERAGEIF($A:$A,Z9,F:F)</f>
        <v>2.109866666666667</v>
      </c>
      <c r="AE9" s="92"/>
      <c r="AF9" s="159">
        <f t="shared" si="3"/>
        <v>3.1009967741935496</v>
      </c>
      <c r="AG9" s="92"/>
    </row>
    <row r="10" spans="1:33" x14ac:dyDescent="0.25">
      <c r="A10" s="34" t="s">
        <v>126</v>
      </c>
      <c r="B10" s="101">
        <f t="shared" si="1"/>
        <v>43470</v>
      </c>
      <c r="C10" s="34">
        <f t="shared" ref="C10:C12" si="7">+C9</f>
        <v>1</v>
      </c>
      <c r="D10" s="78">
        <v>42009</v>
      </c>
      <c r="E10" s="102">
        <f t="shared" si="2"/>
        <v>43470</v>
      </c>
      <c r="F10" s="92">
        <v>1.7197</v>
      </c>
      <c r="G10" s="92">
        <v>2.1659999999999999</v>
      </c>
      <c r="H10" s="92">
        <v>1.8673999999999999</v>
      </c>
      <c r="I10" s="92">
        <v>1.2748999999999999</v>
      </c>
      <c r="J10" s="92">
        <v>1.8658999999999999</v>
      </c>
      <c r="K10" s="92">
        <v>3.0194000000000001</v>
      </c>
      <c r="L10" s="92">
        <v>3.1617999999999999</v>
      </c>
      <c r="M10" s="93">
        <v>3.19</v>
      </c>
      <c r="N10" s="103">
        <v>2.6080999999999999</v>
      </c>
      <c r="O10" s="92">
        <v>2.3008000000000002</v>
      </c>
      <c r="P10" s="106">
        <v>1.591</v>
      </c>
      <c r="Q10" s="92">
        <v>2.7157999999999998</v>
      </c>
      <c r="R10" s="92">
        <v>2.1012999999999997</v>
      </c>
      <c r="S10" s="92">
        <v>1.9126999999999998</v>
      </c>
      <c r="T10" s="92">
        <v>1.2667999999999999</v>
      </c>
      <c r="U10" s="92">
        <v>0.93640000000000001</v>
      </c>
      <c r="V10" s="92">
        <v>0.9304</v>
      </c>
      <c r="W10" s="92"/>
      <c r="X10" s="92">
        <v>0.57650000000000001</v>
      </c>
      <c r="Z10" s="97" t="s">
        <v>129</v>
      </c>
      <c r="AA10" s="92">
        <f t="shared" si="6"/>
        <v>1.3352366666666666</v>
      </c>
      <c r="AB10" s="92">
        <f t="shared" si="4"/>
        <v>1.8850199999999997</v>
      </c>
      <c r="AC10" s="92">
        <f t="shared" si="5"/>
        <v>2.4156166666666672</v>
      </c>
      <c r="AD10" s="92"/>
      <c r="AE10" s="92"/>
      <c r="AF10" s="159">
        <f t="shared" si="3"/>
        <v>3.0980466666666664</v>
      </c>
      <c r="AG10" s="92"/>
    </row>
    <row r="11" spans="1:33" x14ac:dyDescent="0.25">
      <c r="A11" s="34" t="s">
        <v>126</v>
      </c>
      <c r="B11" s="101">
        <f t="shared" si="1"/>
        <v>43471</v>
      </c>
      <c r="C11" s="34">
        <f t="shared" si="7"/>
        <v>1</v>
      </c>
      <c r="D11" s="78">
        <v>42010</v>
      </c>
      <c r="E11" s="102">
        <f t="shared" si="2"/>
        <v>43471</v>
      </c>
      <c r="F11" s="92">
        <v>1.7197</v>
      </c>
      <c r="G11" s="92">
        <v>2.1659999999999999</v>
      </c>
      <c r="H11" s="92">
        <v>1.8784000000000001</v>
      </c>
      <c r="I11" s="92">
        <v>1.2730999999999999</v>
      </c>
      <c r="J11" s="92">
        <v>1.9045000000000001</v>
      </c>
      <c r="K11" s="92">
        <v>2.9815</v>
      </c>
      <c r="L11" s="92">
        <v>3.1617999999999999</v>
      </c>
      <c r="M11" s="93">
        <v>3.1520999999999999</v>
      </c>
      <c r="N11" s="103">
        <v>2.6339999999999999</v>
      </c>
      <c r="O11" s="92">
        <v>2.2488000000000001</v>
      </c>
      <c r="P11" s="106">
        <v>1.7484999999999999</v>
      </c>
      <c r="Q11" s="92">
        <v>2.7157999999999998</v>
      </c>
      <c r="R11" s="92">
        <v>2.1012999999999997</v>
      </c>
      <c r="S11" s="92">
        <v>1.8691</v>
      </c>
      <c r="T11" s="92">
        <v>1.2384999999999999</v>
      </c>
      <c r="U11" s="92">
        <v>1.0008999999999999</v>
      </c>
      <c r="V11" s="92">
        <v>0.9204</v>
      </c>
      <c r="W11" s="92"/>
      <c r="X11" s="92">
        <v>0.57650000000000001</v>
      </c>
      <c r="Z11" s="97" t="s">
        <v>68</v>
      </c>
      <c r="AA11" s="92">
        <f t="shared" si="6"/>
        <v>1.6725258064516126</v>
      </c>
      <c r="AB11" s="92">
        <f t="shared" si="4"/>
        <v>1.7859935483870968</v>
      </c>
      <c r="AC11" s="92">
        <f t="shared" si="5"/>
        <v>2.532070967741936</v>
      </c>
      <c r="AD11" s="92"/>
      <c r="AE11" s="92"/>
      <c r="AF11" s="159">
        <f t="shared" si="3"/>
        <v>3.1346064516129037</v>
      </c>
      <c r="AG11" s="92"/>
    </row>
    <row r="12" spans="1:33" x14ac:dyDescent="0.25">
      <c r="A12" s="34" t="s">
        <v>126</v>
      </c>
      <c r="B12" s="101">
        <f t="shared" si="1"/>
        <v>43472</v>
      </c>
      <c r="C12" s="34">
        <f t="shared" si="7"/>
        <v>1</v>
      </c>
      <c r="D12" s="78">
        <v>42011</v>
      </c>
      <c r="E12" s="102">
        <f t="shared" si="2"/>
        <v>43472</v>
      </c>
      <c r="F12" s="92">
        <v>1.7625999999999999</v>
      </c>
      <c r="G12" s="92">
        <v>2.1659999999999999</v>
      </c>
      <c r="H12" s="92">
        <v>1.8784000000000001</v>
      </c>
      <c r="I12" s="92">
        <v>1.2248000000000001</v>
      </c>
      <c r="J12" s="92">
        <v>1.9045000000000001</v>
      </c>
      <c r="K12" s="92">
        <v>2.9767999999999999</v>
      </c>
      <c r="L12" s="92">
        <v>3.1617999999999999</v>
      </c>
      <c r="M12" s="93">
        <v>3.1520999999999999</v>
      </c>
      <c r="N12" s="103">
        <v>2.5851000000000002</v>
      </c>
      <c r="O12" s="92">
        <v>2.2366999999999999</v>
      </c>
      <c r="P12" s="106">
        <v>1.7484999999999999</v>
      </c>
      <c r="Q12" s="92">
        <v>2.6608000000000001</v>
      </c>
      <c r="R12" s="92">
        <v>2.1012999999999997</v>
      </c>
      <c r="S12" s="92">
        <v>1.8691</v>
      </c>
      <c r="T12" s="92">
        <v>1.2618</v>
      </c>
      <c r="U12" s="92">
        <v>1.0304</v>
      </c>
      <c r="V12" s="92">
        <v>0.90590000000000004</v>
      </c>
      <c r="W12" s="92"/>
      <c r="X12" s="92">
        <v>0.5645</v>
      </c>
      <c r="Z12" s="97" t="s">
        <v>130</v>
      </c>
      <c r="AA12" s="92">
        <f t="shared" si="6"/>
        <v>1.8246633333333333</v>
      </c>
      <c r="AB12" s="92">
        <f t="shared" si="4"/>
        <v>1.6808566666666669</v>
      </c>
      <c r="AC12" s="92">
        <f t="shared" si="5"/>
        <v>2.5903566666666671</v>
      </c>
      <c r="AD12" s="92"/>
      <c r="AE12" s="92"/>
      <c r="AF12" s="159">
        <f t="shared" si="3"/>
        <v>3.2111266666666665</v>
      </c>
      <c r="AG12" s="92"/>
    </row>
    <row r="13" spans="1:33" x14ac:dyDescent="0.25">
      <c r="A13" s="34" t="s">
        <v>126</v>
      </c>
      <c r="B13" s="101">
        <f t="shared" si="1"/>
        <v>43473</v>
      </c>
      <c r="C13" s="34">
        <f>+C6+1</f>
        <v>2</v>
      </c>
      <c r="D13" s="78">
        <v>42012</v>
      </c>
      <c r="E13" s="102">
        <f t="shared" si="2"/>
        <v>43473</v>
      </c>
      <c r="F13" s="92">
        <v>1.7625999999999999</v>
      </c>
      <c r="G13" s="92">
        <v>2.1230000000000002</v>
      </c>
      <c r="H13" s="92">
        <v>1.8784000000000001</v>
      </c>
      <c r="I13" s="92">
        <v>1.254</v>
      </c>
      <c r="J13" s="92">
        <v>1.9045000000000001</v>
      </c>
      <c r="K13" s="92">
        <v>2.9767999999999999</v>
      </c>
      <c r="L13" s="92">
        <v>3.1617999999999999</v>
      </c>
      <c r="M13" s="93">
        <v>3.1520999999999999</v>
      </c>
      <c r="N13" s="103">
        <v>2.5851000000000002</v>
      </c>
      <c r="O13" s="92">
        <v>2.1976</v>
      </c>
      <c r="P13" s="106">
        <v>1.6898</v>
      </c>
      <c r="Q13" s="92">
        <v>2.5882999999999998</v>
      </c>
      <c r="R13" s="92">
        <v>2.0897000000000001</v>
      </c>
      <c r="S13" s="92">
        <v>1.8691</v>
      </c>
      <c r="T13" s="92">
        <v>1.2618</v>
      </c>
      <c r="U13" s="92">
        <v>1.0319</v>
      </c>
      <c r="V13" s="92">
        <v>0.89690000000000003</v>
      </c>
      <c r="W13" s="92"/>
      <c r="X13" s="92">
        <v>0.54749999999999999</v>
      </c>
      <c r="Z13" s="97" t="s">
        <v>131</v>
      </c>
      <c r="AA13" s="92">
        <f t="shared" si="6"/>
        <v>1.6993064516129026</v>
      </c>
      <c r="AB13" s="92">
        <f t="shared" si="4"/>
        <v>1.7172258064516135</v>
      </c>
      <c r="AC13" s="92">
        <f>AVERAGEIF($A:$A,Z13,G:G)</f>
        <v>2.4468322580645161</v>
      </c>
      <c r="AD13" s="92"/>
      <c r="AE13" s="92"/>
      <c r="AF13" s="159">
        <f t="shared" si="3"/>
        <v>3.0737838709677416</v>
      </c>
      <c r="AG13" s="92"/>
    </row>
    <row r="14" spans="1:33" x14ac:dyDescent="0.25">
      <c r="A14" s="34" t="s">
        <v>126</v>
      </c>
      <c r="B14" s="101">
        <f t="shared" si="1"/>
        <v>43474</v>
      </c>
      <c r="C14" s="34">
        <f>+C13</f>
        <v>2</v>
      </c>
      <c r="D14" s="78">
        <v>42013</v>
      </c>
      <c r="E14" s="102">
        <f t="shared" si="2"/>
        <v>43474</v>
      </c>
      <c r="F14" s="92">
        <v>1.7954000000000001</v>
      </c>
      <c r="G14" s="92">
        <v>2.1230000000000002</v>
      </c>
      <c r="H14" s="92">
        <v>1.9009</v>
      </c>
      <c r="I14" s="92">
        <v>1.254</v>
      </c>
      <c r="J14" s="92">
        <v>1.7985</v>
      </c>
      <c r="K14" s="92">
        <v>2.9975999999999998</v>
      </c>
      <c r="L14" s="92">
        <v>3.1579000000000002</v>
      </c>
      <c r="M14" s="93">
        <v>3.1697000000000002</v>
      </c>
      <c r="N14" s="103">
        <v>2.5851000000000002</v>
      </c>
      <c r="O14" s="92">
        <v>2.1976</v>
      </c>
      <c r="P14" s="106">
        <v>1.6648000000000001</v>
      </c>
      <c r="Q14" s="92">
        <v>2.5493000000000001</v>
      </c>
      <c r="R14" s="92">
        <v>2.0529999999999999</v>
      </c>
      <c r="S14" s="92">
        <v>1.8881999999999999</v>
      </c>
      <c r="T14" s="92">
        <v>1.2618</v>
      </c>
      <c r="U14" s="92">
        <v>1.0308999999999999</v>
      </c>
      <c r="V14" s="92">
        <v>0.89540000000000008</v>
      </c>
      <c r="W14" s="92"/>
      <c r="X14" s="92">
        <v>0.51849999999999996</v>
      </c>
      <c r="Z14" s="97" t="s">
        <v>132</v>
      </c>
      <c r="AA14" s="92">
        <f t="shared" si="6"/>
        <v>1.6126096774193552</v>
      </c>
      <c r="AB14" s="92">
        <f t="shared" si="4"/>
        <v>1.9079677419354839</v>
      </c>
      <c r="AC14" s="92">
        <f t="shared" si="5"/>
        <v>2.3229258064516127</v>
      </c>
      <c r="AD14" s="92"/>
      <c r="AE14" s="92"/>
      <c r="AF14" s="159">
        <f t="shared" si="3"/>
        <v>3.145296774193548</v>
      </c>
      <c r="AG14" s="92"/>
    </row>
    <row r="15" spans="1:33" x14ac:dyDescent="0.25">
      <c r="A15" s="34" t="s">
        <v>126</v>
      </c>
      <c r="B15" s="101">
        <f t="shared" si="1"/>
        <v>43475</v>
      </c>
      <c r="C15" s="34">
        <f>+C14</f>
        <v>2</v>
      </c>
      <c r="D15" s="78">
        <v>42014</v>
      </c>
      <c r="E15" s="102">
        <f t="shared" si="2"/>
        <v>43475</v>
      </c>
      <c r="F15" s="92">
        <v>1.8448</v>
      </c>
      <c r="G15" s="92">
        <v>2.1230000000000002</v>
      </c>
      <c r="H15" s="92">
        <v>1.9009</v>
      </c>
      <c r="I15" s="92">
        <v>1.254</v>
      </c>
      <c r="J15" s="92">
        <v>1.7985</v>
      </c>
      <c r="K15" s="92">
        <v>2.9725999999999999</v>
      </c>
      <c r="L15" s="92">
        <v>3.0836000000000001</v>
      </c>
      <c r="M15" s="93">
        <v>3.14</v>
      </c>
      <c r="N15" s="103">
        <v>2.5901000000000001</v>
      </c>
      <c r="O15" s="92">
        <v>2.1976</v>
      </c>
      <c r="P15" s="106">
        <v>1.6648000000000001</v>
      </c>
      <c r="Q15" s="92">
        <v>2.5278999999999998</v>
      </c>
      <c r="R15" s="92">
        <v>2.0777999999999999</v>
      </c>
      <c r="S15" s="92">
        <v>1.8606</v>
      </c>
      <c r="T15" s="92">
        <v>1.3176999999999999</v>
      </c>
      <c r="U15" s="92">
        <v>1.0308999999999999</v>
      </c>
      <c r="V15" s="92">
        <v>0.89540000000000008</v>
      </c>
      <c r="W15" s="92"/>
      <c r="X15" s="92">
        <v>0.49099999999999999</v>
      </c>
      <c r="Z15" s="97" t="s">
        <v>160</v>
      </c>
      <c r="AA15" s="92">
        <f t="shared" si="6"/>
        <v>1.6532000000000004</v>
      </c>
      <c r="AB15" s="92">
        <f t="shared" si="4"/>
        <v>2.1717200000000005</v>
      </c>
      <c r="AC15" s="92">
        <f t="shared" si="5"/>
        <v>2.3984199999999998</v>
      </c>
      <c r="AD15" s="92"/>
      <c r="AE15" s="92"/>
      <c r="AF15" s="159">
        <f t="shared" si="3"/>
        <v>3.2727203333333335</v>
      </c>
    </row>
    <row r="16" spans="1:33" x14ac:dyDescent="0.25">
      <c r="A16" s="34" t="s">
        <v>126</v>
      </c>
      <c r="B16" s="101">
        <f t="shared" si="1"/>
        <v>43476</v>
      </c>
      <c r="C16" s="34">
        <f>+C15</f>
        <v>2</v>
      </c>
      <c r="D16" s="78">
        <v>42015</v>
      </c>
      <c r="E16" s="102">
        <f t="shared" si="2"/>
        <v>43476</v>
      </c>
      <c r="F16" s="92">
        <v>1.8808</v>
      </c>
      <c r="G16" s="92">
        <v>2.1263000000000001</v>
      </c>
      <c r="H16" s="92">
        <v>1.887</v>
      </c>
      <c r="I16" s="92">
        <v>1.2091000000000001</v>
      </c>
      <c r="J16" s="92">
        <v>1.7985</v>
      </c>
      <c r="K16" s="92">
        <v>2.9725999999999999</v>
      </c>
      <c r="L16" s="92">
        <v>3.0901000000000001</v>
      </c>
      <c r="M16" s="93">
        <v>3.18</v>
      </c>
      <c r="N16" s="103">
        <v>2.6806000000000001</v>
      </c>
      <c r="O16" s="92">
        <v>2.198</v>
      </c>
      <c r="P16" s="106">
        <v>1.6648000000000001</v>
      </c>
      <c r="Q16" s="92">
        <v>2.4544000000000001</v>
      </c>
      <c r="R16" s="92">
        <v>2.0623</v>
      </c>
      <c r="S16" s="92">
        <v>1.8411999999999999</v>
      </c>
      <c r="T16" s="92">
        <v>1.3633</v>
      </c>
      <c r="U16" s="92">
        <v>1.0308999999999999</v>
      </c>
      <c r="V16" s="92">
        <v>0.89540000000000008</v>
      </c>
      <c r="W16" s="92"/>
      <c r="X16" s="92">
        <v>0.47899999999999998</v>
      </c>
      <c r="Z16" s="97" t="s">
        <v>73</v>
      </c>
      <c r="AA16" s="92">
        <f t="shared" si="6"/>
        <v>1.7362483870967742</v>
      </c>
      <c r="AB16" s="92">
        <f t="shared" si="4"/>
        <v>2.1413580645161292</v>
      </c>
      <c r="AC16" s="92">
        <f t="shared" si="5"/>
        <v>2.5632967741935473</v>
      </c>
      <c r="AD16" s="92"/>
      <c r="AE16" s="92"/>
      <c r="AF16" s="159">
        <f t="shared" si="3"/>
        <v>2.7802580645161292</v>
      </c>
    </row>
    <row r="17" spans="1:33" x14ac:dyDescent="0.25">
      <c r="A17" s="34" t="s">
        <v>126</v>
      </c>
      <c r="B17" s="101">
        <f t="shared" si="1"/>
        <v>43477</v>
      </c>
      <c r="C17" s="34">
        <f t="shared" ref="C17:C19" si="8">+C16</f>
        <v>2</v>
      </c>
      <c r="D17" s="78">
        <v>42016</v>
      </c>
      <c r="E17" s="102">
        <f t="shared" si="2"/>
        <v>43477</v>
      </c>
      <c r="F17" s="92">
        <v>1.8808</v>
      </c>
      <c r="G17" s="92">
        <v>2.1233</v>
      </c>
      <c r="H17" s="92">
        <v>1.887</v>
      </c>
      <c r="I17" s="92">
        <v>1.1876</v>
      </c>
      <c r="J17" s="92">
        <v>1.7985</v>
      </c>
      <c r="K17" s="92">
        <v>2.9725999999999999</v>
      </c>
      <c r="L17" s="92">
        <v>3.0901000000000001</v>
      </c>
      <c r="M17" s="93">
        <v>3.15</v>
      </c>
      <c r="N17" s="103">
        <v>2.7564000000000002</v>
      </c>
      <c r="O17" s="92">
        <v>2.1798999999999999</v>
      </c>
      <c r="P17" s="106">
        <v>1.6073</v>
      </c>
      <c r="Q17" s="92">
        <v>2.4544000000000001</v>
      </c>
      <c r="R17" s="92">
        <v>2.0289999999999999</v>
      </c>
      <c r="S17" s="92">
        <v>1.8371999999999999</v>
      </c>
      <c r="T17" s="92">
        <v>1.3669</v>
      </c>
      <c r="U17" s="92">
        <v>1.0312999999999999</v>
      </c>
      <c r="V17" s="92">
        <v>0.89540000000000008</v>
      </c>
      <c r="W17" s="92"/>
      <c r="X17" s="92">
        <v>0.47899999999999998</v>
      </c>
      <c r="Z17" s="97" t="s">
        <v>74</v>
      </c>
      <c r="AA17" s="92">
        <f t="shared" si="6"/>
        <v>1.7358033333333336</v>
      </c>
      <c r="AB17" s="92">
        <f t="shared" si="4"/>
        <v>2.2439099999999996</v>
      </c>
      <c r="AC17" s="92">
        <f>AVERAGEIF($A:$A,Z17,G:G)</f>
        <v>2.3792766666666663</v>
      </c>
      <c r="AD17" s="92"/>
      <c r="AE17" s="92"/>
      <c r="AF17" s="159">
        <f t="shared" si="3"/>
        <v>2.6899966666666661</v>
      </c>
    </row>
    <row r="18" spans="1:33" x14ac:dyDescent="0.25">
      <c r="A18" s="34" t="s">
        <v>126</v>
      </c>
      <c r="B18" s="101">
        <f t="shared" si="1"/>
        <v>43478</v>
      </c>
      <c r="C18" s="34">
        <f t="shared" si="8"/>
        <v>2</v>
      </c>
      <c r="D18" s="78">
        <v>42017</v>
      </c>
      <c r="E18" s="102">
        <f t="shared" si="2"/>
        <v>43478</v>
      </c>
      <c r="F18" s="92">
        <v>1.8808</v>
      </c>
      <c r="G18" s="92">
        <v>2.1233</v>
      </c>
      <c r="H18" s="92">
        <v>1.9087000000000001</v>
      </c>
      <c r="I18" s="92">
        <v>1.1876</v>
      </c>
      <c r="J18" s="92">
        <v>1.7985</v>
      </c>
      <c r="K18" s="92">
        <v>2.9895</v>
      </c>
      <c r="L18" s="92">
        <v>3.0901000000000001</v>
      </c>
      <c r="M18" s="93">
        <v>3.13</v>
      </c>
      <c r="N18" s="103">
        <v>2.7564000000000002</v>
      </c>
      <c r="O18" s="92">
        <v>2.1172</v>
      </c>
      <c r="P18" s="106">
        <v>1.5698000000000001</v>
      </c>
      <c r="Q18" s="92">
        <v>2.4544000000000001</v>
      </c>
      <c r="R18" s="92">
        <v>2.0289999999999999</v>
      </c>
      <c r="S18" s="92">
        <v>1.8272999999999999</v>
      </c>
      <c r="T18" s="92">
        <v>1.3686</v>
      </c>
      <c r="U18" s="92">
        <v>1.0212999999999999</v>
      </c>
      <c r="V18" s="92">
        <v>0.89940000000000009</v>
      </c>
      <c r="W18" s="92"/>
      <c r="X18" s="92">
        <v>0.47899999999999998</v>
      </c>
      <c r="Z18" s="97" t="s">
        <v>75</v>
      </c>
      <c r="AA18" s="92">
        <f t="shared" si="6"/>
        <v>1.7690129032258064</v>
      </c>
      <c r="AB18" s="92">
        <f t="shared" si="4"/>
        <v>2.086867741935484</v>
      </c>
      <c r="AC18" s="92">
        <f>AVERAGEIF($A:$A,Z18,G:G)</f>
        <v>1.9539774193548392</v>
      </c>
      <c r="AD18" s="92" t="e">
        <f t="shared" ref="AD18" si="9">AVERAGEIF($A:$A,Z18,F:F)</f>
        <v>#DIV/0!</v>
      </c>
      <c r="AE18" s="92"/>
      <c r="AF18" s="159">
        <f t="shared" si="3"/>
        <v>2.1471300000000011</v>
      </c>
    </row>
    <row r="19" spans="1:33" x14ac:dyDescent="0.25">
      <c r="A19" s="34" t="s">
        <v>126</v>
      </c>
      <c r="B19" s="101">
        <f t="shared" si="1"/>
        <v>43479</v>
      </c>
      <c r="C19" s="34">
        <f t="shared" si="8"/>
        <v>2</v>
      </c>
      <c r="D19" s="78">
        <v>42018</v>
      </c>
      <c r="E19" s="102">
        <f t="shared" si="2"/>
        <v>43479</v>
      </c>
      <c r="F19" s="92">
        <v>1.8819999999999999</v>
      </c>
      <c r="G19" s="92">
        <v>2.1233</v>
      </c>
      <c r="H19" s="92">
        <v>1.9087000000000001</v>
      </c>
      <c r="I19" s="92">
        <v>1.1876</v>
      </c>
      <c r="J19" s="92">
        <v>1.6882999999999999</v>
      </c>
      <c r="K19" s="92">
        <v>2.9859</v>
      </c>
      <c r="L19" s="92">
        <v>3.0649999999999999</v>
      </c>
      <c r="M19" s="93">
        <v>3.13</v>
      </c>
      <c r="N19" s="103">
        <v>2.7397999999999998</v>
      </c>
      <c r="O19" s="92">
        <v>2.0670000000000002</v>
      </c>
      <c r="P19" s="106">
        <v>1.601</v>
      </c>
      <c r="Q19" s="92">
        <v>2.4075000000000002</v>
      </c>
      <c r="R19" s="92">
        <v>2.0289999999999999</v>
      </c>
      <c r="S19" s="92">
        <v>1.8272999999999999</v>
      </c>
      <c r="T19" s="92">
        <v>1.4098999999999999</v>
      </c>
      <c r="U19" s="92">
        <v>1.0007999999999999</v>
      </c>
      <c r="V19" s="92">
        <v>0.89540000000000008</v>
      </c>
      <c r="W19" s="92"/>
      <c r="X19" s="92">
        <v>0.47899999999999998</v>
      </c>
      <c r="AA19" s="34"/>
      <c r="AE19" s="163" t="s">
        <v>162</v>
      </c>
      <c r="AF19" s="158"/>
    </row>
    <row r="20" spans="1:33" x14ac:dyDescent="0.25">
      <c r="A20" s="34" t="s">
        <v>126</v>
      </c>
      <c r="B20" s="101">
        <f t="shared" si="1"/>
        <v>43480</v>
      </c>
      <c r="C20" s="34">
        <f t="shared" ref="C20:C62" si="10">+C13+1</f>
        <v>3</v>
      </c>
      <c r="D20" s="78">
        <v>42019</v>
      </c>
      <c r="E20" s="102">
        <f t="shared" si="2"/>
        <v>43480</v>
      </c>
      <c r="F20" s="92">
        <v>1.8819999999999999</v>
      </c>
      <c r="G20" s="92">
        <v>2.1366999999999998</v>
      </c>
      <c r="H20" s="92">
        <v>1.9087000000000001</v>
      </c>
      <c r="I20" s="92">
        <v>1.1409</v>
      </c>
      <c r="J20" s="92">
        <v>1.6882999999999999</v>
      </c>
      <c r="K20" s="92">
        <v>2.9859</v>
      </c>
      <c r="L20" s="92">
        <v>3.1452</v>
      </c>
      <c r="M20" s="93">
        <v>3.13</v>
      </c>
      <c r="N20" s="103">
        <v>2.7397999999999998</v>
      </c>
      <c r="O20" s="92">
        <v>2.0525000000000002</v>
      </c>
      <c r="P20" s="106">
        <v>1.5185</v>
      </c>
      <c r="Q20" s="92">
        <v>2.4613</v>
      </c>
      <c r="R20" s="92">
        <v>1.9339999999999999</v>
      </c>
      <c r="S20" s="92">
        <v>1.8272999999999999</v>
      </c>
      <c r="T20" s="92">
        <v>1.4098999999999999</v>
      </c>
      <c r="U20" s="92">
        <v>0.98380000000000001</v>
      </c>
      <c r="V20" s="92">
        <v>0.89290000000000003</v>
      </c>
      <c r="W20" s="92"/>
      <c r="X20" s="92">
        <v>0.47099999999999997</v>
      </c>
      <c r="Z20" s="97" t="s">
        <v>161</v>
      </c>
      <c r="AA20" s="92">
        <f>AVERAGE(AA7:AA18)</f>
        <v>1.5481356874922756</v>
      </c>
      <c r="AB20" s="92">
        <f>AVERAGE(AB7:AB18)</f>
        <v>1.9214574103942654</v>
      </c>
      <c r="AC20" s="92">
        <f>AVERAGE(AC7:AC18)</f>
        <v>2.3403907603686633</v>
      </c>
      <c r="AD20" s="92" t="e">
        <f>AVERAGE(AD7:AD18)</f>
        <v>#DIV/0!</v>
      </c>
      <c r="AE20" s="93">
        <f>+AC20*1.05</f>
        <v>2.4574102983870967</v>
      </c>
      <c r="AF20" s="159">
        <f>AVERAGE(AF7:AF18)</f>
        <v>2.9846434630762579</v>
      </c>
      <c r="AG20" s="92"/>
    </row>
    <row r="21" spans="1:33" x14ac:dyDescent="0.25">
      <c r="A21" s="34" t="s">
        <v>126</v>
      </c>
      <c r="B21" s="101">
        <f t="shared" si="1"/>
        <v>43481</v>
      </c>
      <c r="C21" s="34">
        <f>+C20</f>
        <v>3</v>
      </c>
      <c r="D21" s="78">
        <v>42020</v>
      </c>
      <c r="E21" s="102">
        <f t="shared" si="2"/>
        <v>43481</v>
      </c>
      <c r="F21" s="92">
        <v>1.8819999999999999</v>
      </c>
      <c r="G21" s="92">
        <v>2.1366999999999998</v>
      </c>
      <c r="H21" s="92">
        <v>1.9202999999999999</v>
      </c>
      <c r="I21" s="92">
        <v>1.1409</v>
      </c>
      <c r="J21" s="92">
        <v>1.6882999999999999</v>
      </c>
      <c r="K21" s="92">
        <v>3.0034000000000001</v>
      </c>
      <c r="L21" s="92">
        <v>3.0975000000000001</v>
      </c>
      <c r="M21" s="93">
        <v>3.11</v>
      </c>
      <c r="N21" s="103">
        <v>2.7397999999999998</v>
      </c>
      <c r="O21" s="92">
        <v>2.0525000000000002</v>
      </c>
      <c r="P21" s="106">
        <v>1.5748</v>
      </c>
      <c r="Q21" s="92">
        <v>2.4360999999999997</v>
      </c>
      <c r="R21" s="92">
        <v>1.9239999999999999</v>
      </c>
      <c r="S21" s="92">
        <v>1.8212999999999999</v>
      </c>
      <c r="T21" s="92">
        <v>1.4098999999999999</v>
      </c>
      <c r="U21" s="92">
        <v>0.96420000000000006</v>
      </c>
      <c r="V21" s="92">
        <v>0.88540000000000008</v>
      </c>
      <c r="W21" s="92"/>
      <c r="X21" s="92">
        <v>0.47199999999999998</v>
      </c>
    </row>
    <row r="22" spans="1:33" ht="13" x14ac:dyDescent="0.3">
      <c r="A22" s="34" t="s">
        <v>126</v>
      </c>
      <c r="B22" s="101">
        <f t="shared" si="1"/>
        <v>43482</v>
      </c>
      <c r="C22" s="34">
        <f>+C21</f>
        <v>3</v>
      </c>
      <c r="D22" s="78">
        <v>42021</v>
      </c>
      <c r="E22" s="102">
        <f t="shared" si="2"/>
        <v>43482</v>
      </c>
      <c r="F22" s="92">
        <v>1.9000999999999999</v>
      </c>
      <c r="G22" s="92">
        <v>2.1366999999999998</v>
      </c>
      <c r="H22" s="92">
        <v>1.9036999999999999</v>
      </c>
      <c r="I22" s="92">
        <v>1.1409</v>
      </c>
      <c r="J22" s="92">
        <v>1.6882999999999999</v>
      </c>
      <c r="K22" s="92">
        <v>2.9868999999999999</v>
      </c>
      <c r="L22" s="92">
        <v>3.0649999999999999</v>
      </c>
      <c r="M22" s="93">
        <v>3.1143000000000001</v>
      </c>
      <c r="N22" s="103">
        <v>2.7118000000000002</v>
      </c>
      <c r="O22" s="92">
        <v>2.0525000000000002</v>
      </c>
      <c r="P22" s="106">
        <v>1.5748</v>
      </c>
      <c r="Q22" s="92">
        <v>2.3919999999999999</v>
      </c>
      <c r="R22" s="92">
        <v>1.8086</v>
      </c>
      <c r="S22" s="92">
        <v>1.8241999999999998</v>
      </c>
      <c r="T22" s="92">
        <v>1.4064999999999999</v>
      </c>
      <c r="U22" s="92">
        <v>0.96420000000000006</v>
      </c>
      <c r="V22" s="92">
        <v>0.88540000000000008</v>
      </c>
      <c r="W22" s="92"/>
      <c r="X22" s="92">
        <v>0.49249999999999999</v>
      </c>
      <c r="Z22" s="167" t="s">
        <v>185</v>
      </c>
      <c r="AA22" s="167">
        <f>AVERAGE(AA11:AA16)</f>
        <v>1.6997589426523296</v>
      </c>
      <c r="AB22" s="167">
        <f>AVERAGE(AB11:AB16)</f>
        <v>1.9008536379928318</v>
      </c>
      <c r="AC22" s="167">
        <f>AVERAGE(AC11:AC16)</f>
        <v>2.4756504121863796</v>
      </c>
    </row>
    <row r="23" spans="1:33" x14ac:dyDescent="0.25">
      <c r="A23" s="34" t="s">
        <v>126</v>
      </c>
      <c r="B23" s="101">
        <f t="shared" si="1"/>
        <v>43483</v>
      </c>
      <c r="C23" s="34">
        <f>+C22</f>
        <v>3</v>
      </c>
      <c r="D23" s="78">
        <v>42022</v>
      </c>
      <c r="E23" s="102">
        <f t="shared" si="2"/>
        <v>43483</v>
      </c>
      <c r="F23" s="92">
        <v>1.9132</v>
      </c>
      <c r="G23" s="92">
        <v>2.1366999999999998</v>
      </c>
      <c r="H23" s="92">
        <v>1.8945000000000001</v>
      </c>
      <c r="I23" s="92">
        <v>1.1246</v>
      </c>
      <c r="J23" s="92">
        <v>1.6882999999999999</v>
      </c>
      <c r="K23" s="92">
        <v>2.9868999999999999</v>
      </c>
      <c r="L23" s="92">
        <v>3.0789</v>
      </c>
      <c r="M23" s="93">
        <v>3.1002999999999998</v>
      </c>
      <c r="N23" s="103">
        <v>2.7458999999999998</v>
      </c>
      <c r="O23" s="92">
        <v>2.0329999999999999</v>
      </c>
      <c r="P23" s="106">
        <v>1.5748</v>
      </c>
      <c r="Q23" s="92">
        <v>2.3620000000000001</v>
      </c>
      <c r="R23" s="92">
        <v>1.7847</v>
      </c>
      <c r="S23" s="92">
        <v>1.8625</v>
      </c>
      <c r="T23" s="92">
        <v>1.4049</v>
      </c>
      <c r="U23" s="92">
        <v>0.96420000000000006</v>
      </c>
      <c r="V23" s="92">
        <v>0.88540000000000008</v>
      </c>
      <c r="W23" s="92"/>
      <c r="X23" s="92">
        <v>0.51400000000000001</v>
      </c>
    </row>
    <row r="24" spans="1:33" x14ac:dyDescent="0.25">
      <c r="A24" s="34" t="s">
        <v>126</v>
      </c>
      <c r="B24" s="101">
        <f t="shared" si="1"/>
        <v>43484</v>
      </c>
      <c r="C24" s="34">
        <f t="shared" ref="C24:C26" si="11">+C23</f>
        <v>3</v>
      </c>
      <c r="D24" s="78">
        <v>42023</v>
      </c>
      <c r="E24" s="102">
        <f t="shared" si="2"/>
        <v>43484</v>
      </c>
      <c r="F24" s="92">
        <v>1.9132</v>
      </c>
      <c r="G24" s="92">
        <v>2.1143000000000001</v>
      </c>
      <c r="H24" s="92">
        <v>1.8851</v>
      </c>
      <c r="I24" s="92">
        <v>1.1224000000000001</v>
      </c>
      <c r="J24" s="92">
        <v>1.6882999999999999</v>
      </c>
      <c r="K24" s="92">
        <v>2.9868999999999999</v>
      </c>
      <c r="L24" s="92">
        <v>3.0789</v>
      </c>
      <c r="M24" s="93">
        <v>3.0712999999999999</v>
      </c>
      <c r="N24" s="103">
        <v>2.7498</v>
      </c>
      <c r="O24" s="92">
        <v>2.0232999999999999</v>
      </c>
      <c r="P24" s="106">
        <v>1.5748</v>
      </c>
      <c r="Q24" s="92">
        <v>2.3620000000000001</v>
      </c>
      <c r="R24" s="92">
        <v>1.7263999999999999</v>
      </c>
      <c r="S24" s="92">
        <v>1.8238999999999999</v>
      </c>
      <c r="T24" s="92">
        <v>1.4006999999999998</v>
      </c>
      <c r="U24" s="92">
        <v>0.97230000000000005</v>
      </c>
      <c r="V24" s="92">
        <v>0.88540000000000008</v>
      </c>
      <c r="W24" s="92"/>
      <c r="X24" s="92">
        <v>0.51400000000000001</v>
      </c>
      <c r="Z24" s="97" t="s">
        <v>164</v>
      </c>
      <c r="AB24" s="13">
        <f>AB20/AA20-1</f>
        <v>0.24114276669554036</v>
      </c>
      <c r="AC24" s="13">
        <f>AC20/AB20-1</f>
        <v>0.21802895432818192</v>
      </c>
      <c r="AE24" s="13">
        <f>2.73/AC20-1</f>
        <v>0.1664718756495025</v>
      </c>
    </row>
    <row r="25" spans="1:33" x14ac:dyDescent="0.25">
      <c r="A25" s="34" t="s">
        <v>126</v>
      </c>
      <c r="B25" s="101">
        <f t="shared" si="1"/>
        <v>43485</v>
      </c>
      <c r="C25" s="34">
        <f t="shared" si="11"/>
        <v>3</v>
      </c>
      <c r="D25" s="78">
        <v>42024</v>
      </c>
      <c r="E25" s="102">
        <f t="shared" si="2"/>
        <v>43485</v>
      </c>
      <c r="F25" s="92">
        <v>1.9132</v>
      </c>
      <c r="G25" s="92">
        <v>2.1143000000000001</v>
      </c>
      <c r="H25" s="92">
        <v>1.8851</v>
      </c>
      <c r="I25" s="92">
        <v>1.0613999999999999</v>
      </c>
      <c r="J25" s="92">
        <v>1.6882999999999999</v>
      </c>
      <c r="K25" s="92">
        <v>3.0369000000000002</v>
      </c>
      <c r="L25" s="92">
        <v>3.0789</v>
      </c>
      <c r="M25" s="93">
        <v>3.0712999999999999</v>
      </c>
      <c r="N25" s="103">
        <v>2.7498</v>
      </c>
      <c r="O25" s="92">
        <v>2.0272000000000001</v>
      </c>
      <c r="P25" s="106">
        <v>1.5748</v>
      </c>
      <c r="Q25" s="92">
        <v>2.3620000000000001</v>
      </c>
      <c r="R25" s="92">
        <v>1.7263999999999999</v>
      </c>
      <c r="S25" s="92">
        <v>1.8313999999999999</v>
      </c>
      <c r="T25" s="92">
        <v>1.4111</v>
      </c>
      <c r="U25" s="92">
        <v>0.97330000000000005</v>
      </c>
      <c r="V25" s="92">
        <v>0.88340000000000007</v>
      </c>
      <c r="W25" s="92"/>
      <c r="X25" s="92">
        <v>0.51400000000000001</v>
      </c>
    </row>
    <row r="26" spans="1:33" x14ac:dyDescent="0.25">
      <c r="A26" s="34" t="s">
        <v>126</v>
      </c>
      <c r="B26" s="101">
        <f t="shared" si="1"/>
        <v>43486</v>
      </c>
      <c r="C26" s="34">
        <f t="shared" si="11"/>
        <v>3</v>
      </c>
      <c r="D26" s="78">
        <v>42025</v>
      </c>
      <c r="E26" s="102">
        <f t="shared" si="2"/>
        <v>43486</v>
      </c>
      <c r="F26" s="92">
        <v>1.9500999999999999</v>
      </c>
      <c r="G26" s="92">
        <v>2.1143000000000001</v>
      </c>
      <c r="H26" s="92">
        <v>1.8851</v>
      </c>
      <c r="I26" s="92">
        <v>1.0444</v>
      </c>
      <c r="J26" s="92">
        <v>1.6882999999999999</v>
      </c>
      <c r="K26" s="92">
        <v>3.0337000000000001</v>
      </c>
      <c r="L26" s="92">
        <v>3.0859000000000001</v>
      </c>
      <c r="M26" s="93">
        <v>3.0712999999999999</v>
      </c>
      <c r="N26" s="103">
        <v>2.7067999999999999</v>
      </c>
      <c r="O26" s="92">
        <v>2.0127000000000002</v>
      </c>
      <c r="P26" s="106">
        <v>1.4784999999999999</v>
      </c>
      <c r="Q26" s="92">
        <v>2.4356</v>
      </c>
      <c r="R26" s="92">
        <v>1.7263999999999999</v>
      </c>
      <c r="S26" s="92">
        <v>1.8313999999999999</v>
      </c>
      <c r="T26" s="92">
        <v>1.4082999999999999</v>
      </c>
      <c r="U26" s="92">
        <v>1.0009999999999999</v>
      </c>
      <c r="V26" s="92">
        <v>0.88390000000000002</v>
      </c>
      <c r="W26" s="92"/>
      <c r="X26" s="92">
        <v>0.52949999999999997</v>
      </c>
    </row>
    <row r="27" spans="1:33" x14ac:dyDescent="0.25">
      <c r="A27" s="34" t="s">
        <v>126</v>
      </c>
      <c r="B27" s="101">
        <f t="shared" si="1"/>
        <v>43487</v>
      </c>
      <c r="C27" s="34">
        <f>+C20+1</f>
        <v>4</v>
      </c>
      <c r="D27" s="78">
        <v>42026</v>
      </c>
      <c r="E27" s="102">
        <f t="shared" si="2"/>
        <v>43487</v>
      </c>
      <c r="F27" s="92">
        <v>1.9509000000000001</v>
      </c>
      <c r="G27" s="92">
        <v>2.1221999999999999</v>
      </c>
      <c r="H27" s="92">
        <v>1.8851</v>
      </c>
      <c r="I27" s="92">
        <v>1.0548</v>
      </c>
      <c r="J27" s="92">
        <v>1.6882999999999999</v>
      </c>
      <c r="K27" s="92">
        <v>3.0143</v>
      </c>
      <c r="L27" s="92">
        <v>3.0855000000000001</v>
      </c>
      <c r="M27" s="93">
        <v>3.0712999999999999</v>
      </c>
      <c r="N27" s="103">
        <v>2.7067999999999999</v>
      </c>
      <c r="O27" s="92">
        <v>1.9826999999999999</v>
      </c>
      <c r="P27" s="106">
        <v>1.4473</v>
      </c>
      <c r="Q27" s="92">
        <v>2.4356</v>
      </c>
      <c r="R27" s="92">
        <v>1.7329999999999999</v>
      </c>
      <c r="S27" s="92">
        <v>1.8313999999999999</v>
      </c>
      <c r="T27" s="92">
        <v>1.4082999999999999</v>
      </c>
      <c r="U27" s="92">
        <v>1.0089999999999999</v>
      </c>
      <c r="V27" s="92">
        <v>0.88240000000000007</v>
      </c>
      <c r="W27" s="92"/>
      <c r="X27" s="92">
        <v>0.52349999999999997</v>
      </c>
    </row>
    <row r="28" spans="1:33" x14ac:dyDescent="0.25">
      <c r="A28" s="34" t="s">
        <v>126</v>
      </c>
      <c r="B28" s="101">
        <f t="shared" si="1"/>
        <v>43488</v>
      </c>
      <c r="C28" s="34">
        <f>+C27</f>
        <v>4</v>
      </c>
      <c r="D28" s="78">
        <v>42027</v>
      </c>
      <c r="E28" s="102">
        <f t="shared" si="2"/>
        <v>43488</v>
      </c>
      <c r="F28" s="92">
        <v>1.9339999999999999</v>
      </c>
      <c r="G28" s="92">
        <v>2.1238000000000001</v>
      </c>
      <c r="H28" s="92">
        <v>1.8851</v>
      </c>
      <c r="I28" s="92">
        <v>1.0548</v>
      </c>
      <c r="J28" s="92">
        <v>1.6882999999999999</v>
      </c>
      <c r="K28" s="92">
        <v>3.036</v>
      </c>
      <c r="L28" s="92">
        <v>3.1031</v>
      </c>
      <c r="M28" s="93">
        <v>2.9979</v>
      </c>
      <c r="N28" s="103">
        <v>2.7067999999999999</v>
      </c>
      <c r="O28" s="92">
        <v>1.9826999999999999</v>
      </c>
      <c r="P28" s="106">
        <v>1.4123000000000001</v>
      </c>
      <c r="Q28" s="92">
        <v>2.3660000000000001</v>
      </c>
      <c r="R28" s="92">
        <v>1.7350999999999999</v>
      </c>
      <c r="S28" s="92">
        <v>1.8714</v>
      </c>
      <c r="T28" s="92">
        <v>1.4082999999999999</v>
      </c>
      <c r="U28" s="92">
        <v>1.0190999999999999</v>
      </c>
      <c r="V28" s="92">
        <v>0.88590000000000002</v>
      </c>
      <c r="W28" s="92"/>
      <c r="X28" s="92">
        <v>0.53249999999999997</v>
      </c>
    </row>
    <row r="29" spans="1:33" x14ac:dyDescent="0.25">
      <c r="A29" s="34" t="s">
        <v>126</v>
      </c>
      <c r="B29" s="101">
        <f t="shared" si="1"/>
        <v>43489</v>
      </c>
      <c r="C29" s="34">
        <f>+C28</f>
        <v>4</v>
      </c>
      <c r="D29" s="78">
        <v>42028</v>
      </c>
      <c r="E29" s="102">
        <f t="shared" si="2"/>
        <v>43489</v>
      </c>
      <c r="F29" s="92">
        <v>1.9259999999999999</v>
      </c>
      <c r="G29" s="92">
        <v>2.1532</v>
      </c>
      <c r="H29" s="92">
        <v>1.8851</v>
      </c>
      <c r="I29" s="92">
        <v>1.0548</v>
      </c>
      <c r="J29" s="92">
        <v>1.6882999999999999</v>
      </c>
      <c r="K29" s="92">
        <v>3.0670999999999999</v>
      </c>
      <c r="L29" s="92">
        <v>3.1042999999999998</v>
      </c>
      <c r="M29" s="93">
        <v>3</v>
      </c>
      <c r="N29" s="103">
        <v>2.7448000000000001</v>
      </c>
      <c r="O29" s="92">
        <v>1.9826999999999999</v>
      </c>
      <c r="P29" s="106">
        <v>1.4123000000000001</v>
      </c>
      <c r="Q29" s="92">
        <v>2.3142</v>
      </c>
      <c r="R29" s="92">
        <v>1.7685</v>
      </c>
      <c r="S29" s="92">
        <v>1.8184</v>
      </c>
      <c r="T29" s="92">
        <v>1.4319</v>
      </c>
      <c r="U29" s="92">
        <v>1.0190999999999999</v>
      </c>
      <c r="V29" s="92">
        <v>0.88590000000000002</v>
      </c>
      <c r="W29" s="92"/>
      <c r="X29" s="92">
        <v>0.58050000000000002</v>
      </c>
    </row>
    <row r="30" spans="1:33" x14ac:dyDescent="0.25">
      <c r="A30" s="34" t="s">
        <v>126</v>
      </c>
      <c r="B30" s="101">
        <f t="shared" si="1"/>
        <v>43490</v>
      </c>
      <c r="C30" s="34">
        <f>+C29</f>
        <v>4</v>
      </c>
      <c r="D30" s="78">
        <v>42029</v>
      </c>
      <c r="E30" s="102">
        <f t="shared" si="2"/>
        <v>43490</v>
      </c>
      <c r="F30" s="92">
        <v>1.9353</v>
      </c>
      <c r="G30" s="92">
        <v>2.1875</v>
      </c>
      <c r="H30" s="92">
        <v>1.8851</v>
      </c>
      <c r="I30" s="92">
        <v>1.0716000000000001</v>
      </c>
      <c r="J30" s="92">
        <v>1.6882999999999999</v>
      </c>
      <c r="K30" s="92">
        <v>3.0670999999999999</v>
      </c>
      <c r="L30" s="92">
        <v>3.1036000000000001</v>
      </c>
      <c r="M30" s="93">
        <v>3.02</v>
      </c>
      <c r="N30" s="103">
        <v>2.7161</v>
      </c>
      <c r="O30" s="92">
        <v>1.9449000000000001</v>
      </c>
      <c r="P30" s="106">
        <v>1.4123000000000001</v>
      </c>
      <c r="Q30" s="92">
        <v>2.4792999999999998</v>
      </c>
      <c r="R30" s="92">
        <v>1.7702</v>
      </c>
      <c r="S30" s="92">
        <v>1.8284</v>
      </c>
      <c r="T30" s="92">
        <v>1.4388999999999998</v>
      </c>
      <c r="U30" s="92">
        <v>1.0190999999999999</v>
      </c>
      <c r="V30" s="92">
        <v>0.88590000000000002</v>
      </c>
      <c r="W30" s="92"/>
      <c r="X30" s="92">
        <v>0.58650000000000002</v>
      </c>
    </row>
    <row r="31" spans="1:33" x14ac:dyDescent="0.25">
      <c r="A31" s="34" t="s">
        <v>126</v>
      </c>
      <c r="B31" s="101">
        <f t="shared" si="1"/>
        <v>43491</v>
      </c>
      <c r="C31" s="34">
        <f t="shared" ref="C31:C33" si="12">+C30</f>
        <v>4</v>
      </c>
      <c r="D31" s="78">
        <v>42030</v>
      </c>
      <c r="E31" s="102">
        <f t="shared" si="2"/>
        <v>43491</v>
      </c>
      <c r="F31" s="92">
        <v>1.9353</v>
      </c>
      <c r="G31" s="92">
        <v>2.1981999999999999</v>
      </c>
      <c r="H31" s="92">
        <v>1.8851</v>
      </c>
      <c r="I31" s="92">
        <v>1.0314000000000001</v>
      </c>
      <c r="J31" s="92">
        <v>1.6882999999999999</v>
      </c>
      <c r="K31" s="92">
        <v>3.0670999999999999</v>
      </c>
      <c r="L31" s="92">
        <v>3.1036000000000001</v>
      </c>
      <c r="M31" s="93">
        <v>3.0371000000000001</v>
      </c>
      <c r="N31" s="103">
        <v>2.6848000000000001</v>
      </c>
      <c r="O31" s="92">
        <v>1.9676</v>
      </c>
      <c r="P31" s="106">
        <v>1.5173000000000001</v>
      </c>
      <c r="Q31" s="92">
        <v>2.4792999999999998</v>
      </c>
      <c r="R31" s="92">
        <v>1.7643</v>
      </c>
      <c r="S31" s="92">
        <v>1.81</v>
      </c>
      <c r="T31" s="92">
        <v>1.4581</v>
      </c>
      <c r="U31" s="92">
        <v>1.0110999999999999</v>
      </c>
      <c r="V31" s="92">
        <v>0.89540000000000008</v>
      </c>
      <c r="W31" s="92"/>
      <c r="X31" s="92">
        <v>0.58650000000000002</v>
      </c>
    </row>
    <row r="32" spans="1:33" x14ac:dyDescent="0.25">
      <c r="A32" s="34" t="s">
        <v>126</v>
      </c>
      <c r="B32" s="101">
        <f t="shared" si="1"/>
        <v>43492</v>
      </c>
      <c r="C32" s="34">
        <f t="shared" si="12"/>
        <v>4</v>
      </c>
      <c r="D32" s="78">
        <v>42031</v>
      </c>
      <c r="E32" s="102">
        <f t="shared" si="2"/>
        <v>43492</v>
      </c>
      <c r="F32" s="92">
        <v>1.9353</v>
      </c>
      <c r="G32" s="92">
        <v>2.1981999999999999</v>
      </c>
      <c r="H32" s="92">
        <v>1.8851</v>
      </c>
      <c r="I32" s="92">
        <v>1.0403</v>
      </c>
      <c r="J32" s="92">
        <v>1.6882999999999999</v>
      </c>
      <c r="K32" s="92">
        <v>3.1427</v>
      </c>
      <c r="L32" s="92">
        <v>3.1036000000000001</v>
      </c>
      <c r="M32" s="93">
        <v>3.07</v>
      </c>
      <c r="N32" s="103">
        <v>2.7544</v>
      </c>
      <c r="O32" s="92">
        <v>1.9883999999999999</v>
      </c>
      <c r="P32" s="106">
        <v>1.4622999999999999</v>
      </c>
      <c r="Q32" s="92">
        <v>2.4792999999999998</v>
      </c>
      <c r="R32" s="92">
        <v>1.7643</v>
      </c>
      <c r="S32" s="92">
        <v>1.7829999999999999</v>
      </c>
      <c r="T32" s="92">
        <v>1.4621999999999999</v>
      </c>
      <c r="U32" s="92">
        <v>1.0005999999999999</v>
      </c>
      <c r="V32" s="92">
        <v>0.89090000000000003</v>
      </c>
      <c r="W32" s="92"/>
      <c r="X32" s="92">
        <v>0.58650000000000002</v>
      </c>
    </row>
    <row r="33" spans="1:33" x14ac:dyDescent="0.25">
      <c r="A33" s="34" t="s">
        <v>126</v>
      </c>
      <c r="B33" s="101">
        <f t="shared" si="1"/>
        <v>43493</v>
      </c>
      <c r="C33" s="34">
        <f t="shared" si="12"/>
        <v>4</v>
      </c>
      <c r="D33" s="78">
        <v>42032</v>
      </c>
      <c r="E33" s="102">
        <f t="shared" si="2"/>
        <v>43493</v>
      </c>
      <c r="F33" s="92">
        <v>1.9570000000000001</v>
      </c>
      <c r="G33" s="92">
        <v>2.1981999999999999</v>
      </c>
      <c r="H33" s="92">
        <v>1.7954000000000001</v>
      </c>
      <c r="I33" s="92">
        <v>1.0846</v>
      </c>
      <c r="J33" s="92">
        <v>1.6882999999999999</v>
      </c>
      <c r="K33" s="92">
        <v>3.0705</v>
      </c>
      <c r="L33" s="92">
        <v>3.1042000000000001</v>
      </c>
      <c r="M33" s="93">
        <v>3.07</v>
      </c>
      <c r="N33" s="103">
        <v>2.7465999999999999</v>
      </c>
      <c r="O33" s="92">
        <v>1.9614</v>
      </c>
      <c r="P33" s="106">
        <v>1.3748</v>
      </c>
      <c r="Q33" s="92">
        <v>2.5217999999999998</v>
      </c>
      <c r="R33" s="92">
        <v>1.7643</v>
      </c>
      <c r="S33" s="92">
        <v>1.7829999999999999</v>
      </c>
      <c r="T33" s="92">
        <v>1.502</v>
      </c>
      <c r="U33" s="92">
        <v>1.0024999999999999</v>
      </c>
      <c r="V33" s="92">
        <v>0.90890000000000004</v>
      </c>
      <c r="W33" s="92"/>
      <c r="X33" s="92">
        <v>0.58150000000000002</v>
      </c>
    </row>
    <row r="34" spans="1:33" x14ac:dyDescent="0.25">
      <c r="A34" s="34" t="s">
        <v>126</v>
      </c>
      <c r="B34" s="101">
        <f t="shared" si="1"/>
        <v>43494</v>
      </c>
      <c r="C34" s="34">
        <f t="shared" si="10"/>
        <v>5</v>
      </c>
      <c r="D34" s="78">
        <v>42033</v>
      </c>
      <c r="E34" s="102">
        <f t="shared" si="2"/>
        <v>43494</v>
      </c>
      <c r="F34" s="92">
        <v>1.9539</v>
      </c>
      <c r="G34" s="92">
        <v>2.2482000000000002</v>
      </c>
      <c r="H34" s="92">
        <v>1.7954000000000001</v>
      </c>
      <c r="I34" s="92">
        <v>1.1032</v>
      </c>
      <c r="J34" s="92">
        <v>1.6882999999999999</v>
      </c>
      <c r="K34" s="92">
        <v>3.0943999999999998</v>
      </c>
      <c r="L34" s="92">
        <v>3.2006999999999999</v>
      </c>
      <c r="M34" s="93">
        <v>3.07</v>
      </c>
      <c r="N34" s="103">
        <v>2.7465999999999999</v>
      </c>
      <c r="O34" s="92">
        <v>2.0007000000000001</v>
      </c>
      <c r="P34" s="106">
        <v>1.4698</v>
      </c>
      <c r="Q34" s="92">
        <v>2.5853999999999999</v>
      </c>
      <c r="R34" s="92">
        <v>1.7929999999999999</v>
      </c>
      <c r="S34" s="92">
        <v>1.7829999999999999</v>
      </c>
      <c r="T34" s="92">
        <v>1.502</v>
      </c>
      <c r="U34" s="92">
        <v>1.0161</v>
      </c>
      <c r="V34" s="92">
        <v>0.92790000000000006</v>
      </c>
      <c r="W34" s="92"/>
      <c r="X34" s="92">
        <v>0.5736</v>
      </c>
    </row>
    <row r="35" spans="1:33" x14ac:dyDescent="0.25">
      <c r="A35" s="34" t="s">
        <v>126</v>
      </c>
      <c r="B35" s="101">
        <f t="shared" si="1"/>
        <v>43495</v>
      </c>
      <c r="C35" s="34">
        <f>+C34</f>
        <v>5</v>
      </c>
      <c r="D35" s="78">
        <v>42034</v>
      </c>
      <c r="E35" s="102">
        <f t="shared" si="2"/>
        <v>43495</v>
      </c>
      <c r="F35" s="92">
        <v>1.9724999999999999</v>
      </c>
      <c r="G35" s="92">
        <v>2.2452000000000001</v>
      </c>
      <c r="H35" s="92">
        <v>1.7954000000000001</v>
      </c>
      <c r="I35" s="92">
        <v>1.1032</v>
      </c>
      <c r="J35" s="92">
        <v>1.6649</v>
      </c>
      <c r="K35" s="92">
        <v>3.145</v>
      </c>
      <c r="L35" s="92">
        <v>3.2706</v>
      </c>
      <c r="M35" s="93">
        <v>3.0979999999999999</v>
      </c>
      <c r="N35" s="103">
        <v>2.7465999999999999</v>
      </c>
      <c r="O35" s="92">
        <v>2.0007000000000001</v>
      </c>
      <c r="P35" s="106">
        <v>1.5098</v>
      </c>
      <c r="Q35" s="92">
        <v>2.5991999999999997</v>
      </c>
      <c r="R35" s="92">
        <v>1.7929999999999999</v>
      </c>
      <c r="S35" s="92">
        <v>1.764</v>
      </c>
      <c r="T35" s="92">
        <v>1.502</v>
      </c>
      <c r="U35" s="92">
        <v>0.99460000000000004</v>
      </c>
      <c r="V35" s="92">
        <v>0.93490000000000006</v>
      </c>
      <c r="W35" s="92"/>
      <c r="X35" s="92">
        <v>0.55660000000000009</v>
      </c>
    </row>
    <row r="36" spans="1:33" ht="13" x14ac:dyDescent="0.3">
      <c r="A36" s="34" t="s">
        <v>126</v>
      </c>
      <c r="B36" s="101">
        <f t="shared" si="1"/>
        <v>43496</v>
      </c>
      <c r="C36" s="34">
        <f>+C35</f>
        <v>5</v>
      </c>
      <c r="D36" s="78">
        <v>42035</v>
      </c>
      <c r="E36" s="102">
        <f t="shared" si="2"/>
        <v>43496</v>
      </c>
      <c r="F36" s="92">
        <v>1.9783999999999999</v>
      </c>
      <c r="G36" s="92">
        <v>2.2357</v>
      </c>
      <c r="H36" s="92">
        <v>1.7928999999999999</v>
      </c>
      <c r="I36" s="92">
        <v>1.1032</v>
      </c>
      <c r="J36" s="92">
        <v>1.6649</v>
      </c>
      <c r="K36" s="92">
        <v>3.1753</v>
      </c>
      <c r="L36" s="107">
        <v>3.2869999999999999</v>
      </c>
      <c r="M36" s="108">
        <v>3.0794999999999999</v>
      </c>
      <c r="N36" s="109">
        <v>2.7829999999999999</v>
      </c>
      <c r="O36" s="107">
        <v>2.0007000000000001</v>
      </c>
      <c r="P36" s="110">
        <v>1.5098</v>
      </c>
      <c r="Q36" s="107">
        <v>2.6372999999999998</v>
      </c>
      <c r="R36" s="107">
        <v>1.8063</v>
      </c>
      <c r="S36" s="107">
        <v>1.76</v>
      </c>
      <c r="T36" s="107">
        <v>1.4783999999999999</v>
      </c>
      <c r="U36" s="107">
        <v>0.99460000000000004</v>
      </c>
      <c r="V36" s="107">
        <v>0.93490000000000006</v>
      </c>
      <c r="W36" s="107"/>
      <c r="X36" s="107">
        <v>0.53380000000000005</v>
      </c>
      <c r="Y36" s="46"/>
    </row>
    <row r="37" spans="1:33" x14ac:dyDescent="0.25">
      <c r="A37" s="34" t="s">
        <v>127</v>
      </c>
      <c r="B37" s="101">
        <f t="shared" si="1"/>
        <v>43497</v>
      </c>
      <c r="C37" s="34">
        <f>+C36</f>
        <v>5</v>
      </c>
      <c r="D37" s="78">
        <v>42036</v>
      </c>
      <c r="E37" s="102">
        <f t="shared" si="2"/>
        <v>43497</v>
      </c>
      <c r="F37" s="92">
        <v>1.9618</v>
      </c>
      <c r="G37" s="92">
        <v>2.2357</v>
      </c>
      <c r="H37" s="92">
        <v>1.7928999999999999</v>
      </c>
      <c r="I37" s="92">
        <v>1.1431</v>
      </c>
      <c r="J37" s="92">
        <v>1.6649</v>
      </c>
      <c r="K37" s="92">
        <v>3.1753</v>
      </c>
      <c r="L37" s="92">
        <v>3.2993999999999999</v>
      </c>
      <c r="M37" s="93">
        <v>3.07</v>
      </c>
      <c r="N37" s="103">
        <v>2.8443999999999998</v>
      </c>
      <c r="O37" s="92">
        <v>2.0085999999999999</v>
      </c>
      <c r="P37" s="106">
        <v>1.5098</v>
      </c>
      <c r="Q37" s="92">
        <v>2.6347999999999998</v>
      </c>
      <c r="R37" s="92">
        <v>1.8662999999999998</v>
      </c>
      <c r="S37" s="92">
        <v>1.7504999999999999</v>
      </c>
      <c r="T37" s="92">
        <v>1.5042</v>
      </c>
      <c r="U37" s="92">
        <v>0.99460000000000004</v>
      </c>
      <c r="V37" s="92">
        <v>0.93490000000000006</v>
      </c>
      <c r="W37" s="92"/>
      <c r="X37" s="92">
        <v>0.5373</v>
      </c>
      <c r="AG37" s="103"/>
    </row>
    <row r="38" spans="1:33" x14ac:dyDescent="0.25">
      <c r="A38" s="34" t="s">
        <v>127</v>
      </c>
      <c r="B38" s="101">
        <f t="shared" si="1"/>
        <v>43498</v>
      </c>
      <c r="C38" s="34">
        <f t="shared" ref="C38:C40" si="13">+C37</f>
        <v>5</v>
      </c>
      <c r="D38" s="78">
        <v>42037</v>
      </c>
      <c r="E38" s="102">
        <f t="shared" si="2"/>
        <v>43498</v>
      </c>
      <c r="F38" s="92">
        <v>1.9618</v>
      </c>
      <c r="G38" s="92">
        <v>2.2357</v>
      </c>
      <c r="H38" s="92">
        <v>1.7928999999999999</v>
      </c>
      <c r="I38" s="92">
        <v>1.1125</v>
      </c>
      <c r="J38" s="92">
        <v>1.7511000000000001</v>
      </c>
      <c r="K38" s="92">
        <v>3.1753</v>
      </c>
      <c r="L38" s="92">
        <v>3.2993999999999999</v>
      </c>
      <c r="M38" s="93">
        <v>3.0817999999999999</v>
      </c>
      <c r="N38" s="103">
        <v>2.8410000000000002</v>
      </c>
      <c r="O38" s="92">
        <v>2.0528</v>
      </c>
      <c r="P38" s="106">
        <v>1.5323</v>
      </c>
      <c r="Q38" s="92">
        <v>2.6347999999999998</v>
      </c>
      <c r="R38" s="92">
        <v>1.9296</v>
      </c>
      <c r="S38" s="92">
        <v>1.7814999999999999</v>
      </c>
      <c r="T38" s="92">
        <v>1.5225</v>
      </c>
      <c r="U38" s="92">
        <v>0.9929</v>
      </c>
      <c r="V38" s="92">
        <v>0.93790000000000007</v>
      </c>
      <c r="W38" s="92"/>
      <c r="X38" s="92">
        <v>0.5373</v>
      </c>
    </row>
    <row r="39" spans="1:33" x14ac:dyDescent="0.25">
      <c r="A39" s="34" t="s">
        <v>127</v>
      </c>
      <c r="B39" s="101">
        <f t="shared" si="1"/>
        <v>43499</v>
      </c>
      <c r="C39" s="34">
        <f t="shared" si="13"/>
        <v>5</v>
      </c>
      <c r="D39" s="78">
        <v>42038</v>
      </c>
      <c r="E39" s="102">
        <f t="shared" si="2"/>
        <v>43499</v>
      </c>
      <c r="F39" s="92">
        <v>1.9618</v>
      </c>
      <c r="G39" s="92">
        <v>2.2357</v>
      </c>
      <c r="H39" s="92">
        <v>1.8528</v>
      </c>
      <c r="I39" s="92">
        <v>1.1125</v>
      </c>
      <c r="J39" s="92">
        <v>1.8216000000000001</v>
      </c>
      <c r="K39" s="92">
        <v>3.1280000000000001</v>
      </c>
      <c r="L39" s="92">
        <v>3.2993999999999999</v>
      </c>
      <c r="M39" s="93">
        <v>3.1076000000000001</v>
      </c>
      <c r="N39" s="103">
        <v>2.8717999999999999</v>
      </c>
      <c r="O39" s="92">
        <v>2.1458300000000001</v>
      </c>
      <c r="P39" s="106">
        <v>1.4373</v>
      </c>
      <c r="Q39" s="92">
        <v>2.6347999999999998</v>
      </c>
      <c r="R39" s="92">
        <v>1.9296</v>
      </c>
      <c r="S39" s="92">
        <v>1.7568999999999999</v>
      </c>
      <c r="T39" s="92">
        <v>1.52</v>
      </c>
      <c r="U39" s="92">
        <v>1.0548999999999999</v>
      </c>
      <c r="V39" s="92">
        <v>0.93440000000000001</v>
      </c>
      <c r="W39" s="92"/>
      <c r="X39" s="92">
        <v>0.5373</v>
      </c>
    </row>
    <row r="40" spans="1:33" x14ac:dyDescent="0.25">
      <c r="A40" s="34" t="s">
        <v>127</v>
      </c>
      <c r="B40" s="101">
        <f t="shared" si="1"/>
        <v>43500</v>
      </c>
      <c r="C40" s="34">
        <f t="shared" si="13"/>
        <v>5</v>
      </c>
      <c r="D40" s="78">
        <v>42039</v>
      </c>
      <c r="E40" s="102">
        <f t="shared" si="2"/>
        <v>43500</v>
      </c>
      <c r="F40" s="92">
        <v>1.9618</v>
      </c>
      <c r="G40" s="92">
        <v>2.2357</v>
      </c>
      <c r="H40" s="92">
        <v>1.8528</v>
      </c>
      <c r="I40" s="92">
        <v>1.1453</v>
      </c>
      <c r="J40" s="92">
        <v>1.9433</v>
      </c>
      <c r="K40" s="92">
        <v>3.1280000000000001</v>
      </c>
      <c r="L40" s="92">
        <v>3.3487</v>
      </c>
      <c r="M40" s="93">
        <v>3.1076000000000001</v>
      </c>
      <c r="N40" s="103">
        <v>2.8612000000000002</v>
      </c>
      <c r="O40" s="92">
        <v>2.1391</v>
      </c>
      <c r="P40" s="106">
        <v>1.42</v>
      </c>
      <c r="Q40" s="92">
        <v>2.5794999999999999</v>
      </c>
      <c r="R40" s="92">
        <v>1.9296</v>
      </c>
      <c r="S40" s="92">
        <v>1.7568999999999999</v>
      </c>
      <c r="T40" s="92">
        <v>1.5408999999999999</v>
      </c>
      <c r="U40" s="92">
        <v>1.0844</v>
      </c>
      <c r="V40" s="92">
        <v>0.96890000000000009</v>
      </c>
      <c r="W40" s="92"/>
      <c r="X40" s="92">
        <v>0.5373</v>
      </c>
    </row>
    <row r="41" spans="1:33" x14ac:dyDescent="0.25">
      <c r="A41" s="34" t="s">
        <v>127</v>
      </c>
      <c r="B41" s="101">
        <f t="shared" si="1"/>
        <v>43501</v>
      </c>
      <c r="C41" s="34">
        <f>+C34+1</f>
        <v>6</v>
      </c>
      <c r="D41" s="78">
        <v>42040</v>
      </c>
      <c r="E41" s="102">
        <f t="shared" si="2"/>
        <v>43501</v>
      </c>
      <c r="F41" s="92">
        <v>1.9618</v>
      </c>
      <c r="G41" s="92">
        <v>2.2357</v>
      </c>
      <c r="H41" s="92">
        <v>1.8528</v>
      </c>
      <c r="I41" s="92">
        <v>1.1477999999999999</v>
      </c>
      <c r="J41" s="92">
        <v>1.8855999999999999</v>
      </c>
      <c r="K41" s="92">
        <v>3.0903</v>
      </c>
      <c r="L41" s="92">
        <v>3.3473999999999999</v>
      </c>
      <c r="M41" s="93">
        <v>3.1076000000000001</v>
      </c>
      <c r="N41" s="103">
        <v>2.8612000000000002</v>
      </c>
      <c r="O41" s="92">
        <v>2.0731999999999999</v>
      </c>
      <c r="P41" s="106">
        <v>1.3997999999999999</v>
      </c>
      <c r="Q41" s="92">
        <v>2.6398000000000001</v>
      </c>
      <c r="R41" s="92">
        <v>1.9628999999999999</v>
      </c>
      <c r="S41" s="92">
        <v>1.7568999999999999</v>
      </c>
      <c r="T41" s="92">
        <v>1.5408999999999999</v>
      </c>
      <c r="U41" s="92">
        <v>1.0772999999999999</v>
      </c>
      <c r="V41" s="92">
        <v>0.9819</v>
      </c>
      <c r="W41" s="92"/>
      <c r="X41" s="92">
        <v>0.53680000000000005</v>
      </c>
    </row>
    <row r="42" spans="1:33" x14ac:dyDescent="0.25">
      <c r="A42" s="34" t="s">
        <v>127</v>
      </c>
      <c r="B42" s="101">
        <f t="shared" si="1"/>
        <v>43502</v>
      </c>
      <c r="C42" s="34">
        <f>+C41</f>
        <v>6</v>
      </c>
      <c r="D42" s="78">
        <v>42041</v>
      </c>
      <c r="E42" s="102">
        <f t="shared" si="2"/>
        <v>43502</v>
      </c>
      <c r="F42" s="92">
        <v>1.9618</v>
      </c>
      <c r="G42" s="92">
        <v>2.2357</v>
      </c>
      <c r="H42" s="92">
        <v>1.8657999999999999</v>
      </c>
      <c r="I42" s="92">
        <v>1.1477999999999999</v>
      </c>
      <c r="J42" s="92">
        <v>1.9373</v>
      </c>
      <c r="K42" s="92">
        <v>3.0903</v>
      </c>
      <c r="L42" s="92">
        <v>3.3969999999999998</v>
      </c>
      <c r="M42" s="93">
        <v>3.1661999999999999</v>
      </c>
      <c r="N42" s="103">
        <v>2.8612000000000002</v>
      </c>
      <c r="O42" s="92">
        <v>2.0731999999999999</v>
      </c>
      <c r="P42" s="106">
        <v>1.4473</v>
      </c>
      <c r="Q42" s="92">
        <v>2.6172999999999997</v>
      </c>
      <c r="R42" s="92">
        <v>2.0262000000000002</v>
      </c>
      <c r="S42" s="92">
        <v>1.7389999999999999</v>
      </c>
      <c r="T42" s="92">
        <v>1.5408999999999999</v>
      </c>
      <c r="U42" s="92">
        <v>1.0713999999999999</v>
      </c>
      <c r="V42" s="92">
        <v>1.0199</v>
      </c>
      <c r="W42" s="92"/>
      <c r="X42" s="92">
        <v>0.53280000000000005</v>
      </c>
    </row>
    <row r="43" spans="1:33" x14ac:dyDescent="0.25">
      <c r="A43" s="34" t="s">
        <v>127</v>
      </c>
      <c r="B43" s="101">
        <f t="shared" si="1"/>
        <v>43503</v>
      </c>
      <c r="C43" s="34">
        <f>+C42</f>
        <v>6</v>
      </c>
      <c r="D43" s="78">
        <v>42042</v>
      </c>
      <c r="E43" s="102">
        <f t="shared" si="2"/>
        <v>43503</v>
      </c>
      <c r="F43" s="92">
        <v>1.9618</v>
      </c>
      <c r="G43" s="92">
        <v>2.2357</v>
      </c>
      <c r="H43" s="92">
        <v>1.8326</v>
      </c>
      <c r="I43" s="92">
        <v>1.1477999999999999</v>
      </c>
      <c r="J43" s="92">
        <v>1.9373</v>
      </c>
      <c r="K43" s="92">
        <v>3.0903</v>
      </c>
      <c r="L43" s="92">
        <v>3.3776999999999999</v>
      </c>
      <c r="M43" s="93">
        <v>3.21</v>
      </c>
      <c r="N43" s="103">
        <v>2.8178000000000001</v>
      </c>
      <c r="O43" s="92">
        <v>2.0731999999999999</v>
      </c>
      <c r="P43" s="106">
        <v>1.4473</v>
      </c>
      <c r="Q43" s="92">
        <v>2.6023000000000001</v>
      </c>
      <c r="R43" s="92">
        <v>2.0468999999999999</v>
      </c>
      <c r="S43" s="92">
        <v>1.7450000000000001</v>
      </c>
      <c r="T43" s="92">
        <v>1.5600999999999998</v>
      </c>
      <c r="U43" s="92">
        <v>1.0713999999999999</v>
      </c>
      <c r="V43" s="92">
        <v>1.0199</v>
      </c>
      <c r="W43" s="92"/>
      <c r="X43" s="92">
        <v>0.52780000000000005</v>
      </c>
    </row>
    <row r="44" spans="1:33" x14ac:dyDescent="0.25">
      <c r="A44" s="34" t="s">
        <v>127</v>
      </c>
      <c r="B44" s="101">
        <f t="shared" si="1"/>
        <v>43504</v>
      </c>
      <c r="C44" s="34">
        <f>+C43</f>
        <v>6</v>
      </c>
      <c r="D44" s="78">
        <v>42043</v>
      </c>
      <c r="E44" s="102">
        <f t="shared" si="2"/>
        <v>43504</v>
      </c>
      <c r="F44" s="92">
        <v>1.9618</v>
      </c>
      <c r="G44" s="92">
        <v>2.2357</v>
      </c>
      <c r="H44" s="92">
        <v>1.8081</v>
      </c>
      <c r="I44" s="92">
        <v>1.1442000000000001</v>
      </c>
      <c r="J44" s="92">
        <v>1.9373</v>
      </c>
      <c r="K44" s="92">
        <v>3.0903</v>
      </c>
      <c r="L44" s="92">
        <v>3.3769999999999998</v>
      </c>
      <c r="M44" s="93">
        <v>3.22</v>
      </c>
      <c r="N44" s="103">
        <v>2.8010999999999999</v>
      </c>
      <c r="O44" s="92">
        <v>2.0316000000000001</v>
      </c>
      <c r="P44" s="106">
        <v>1.4473</v>
      </c>
      <c r="Q44" s="92">
        <v>2.6214999999999997</v>
      </c>
      <c r="R44" s="92">
        <v>2.0312999999999999</v>
      </c>
      <c r="S44" s="92">
        <v>1.7192999999999998</v>
      </c>
      <c r="T44" s="92">
        <v>1.5657999999999999</v>
      </c>
      <c r="U44" s="92">
        <v>1.0713999999999999</v>
      </c>
      <c r="V44" s="92">
        <v>1.0199</v>
      </c>
      <c r="W44" s="92"/>
      <c r="X44" s="92">
        <v>0.51480000000000004</v>
      </c>
    </row>
    <row r="45" spans="1:33" x14ac:dyDescent="0.25">
      <c r="A45" s="34" t="s">
        <v>127</v>
      </c>
      <c r="B45" s="101">
        <f t="shared" si="1"/>
        <v>43505</v>
      </c>
      <c r="C45" s="34">
        <f t="shared" ref="C45:C47" si="14">+C44</f>
        <v>6</v>
      </c>
      <c r="D45" s="78">
        <v>42044</v>
      </c>
      <c r="E45" s="102">
        <f t="shared" si="2"/>
        <v>43505</v>
      </c>
      <c r="F45" s="92">
        <v>1.9618</v>
      </c>
      <c r="G45" s="92">
        <v>2.1974999999999998</v>
      </c>
      <c r="H45" s="92">
        <v>1.8258000000000001</v>
      </c>
      <c r="I45" s="92">
        <v>1.1195999999999999</v>
      </c>
      <c r="J45" s="92">
        <v>1.9713000000000001</v>
      </c>
      <c r="K45" s="92">
        <v>3.0903</v>
      </c>
      <c r="L45" s="92">
        <v>3.3769999999999998</v>
      </c>
      <c r="M45" s="93">
        <v>3.2473999999999998</v>
      </c>
      <c r="N45" s="103">
        <v>2.8445</v>
      </c>
      <c r="O45" s="92">
        <v>2.0312000000000001</v>
      </c>
      <c r="P45" s="111">
        <v>1.4384999999999999</v>
      </c>
      <c r="Q45" s="92">
        <v>2.6214999999999997</v>
      </c>
      <c r="R45" s="92">
        <v>2.0613000000000001</v>
      </c>
      <c r="S45" s="92">
        <v>1.6639999999999999</v>
      </c>
      <c r="T45" s="92">
        <v>1.5874999999999999</v>
      </c>
      <c r="U45" s="92">
        <v>1.0656999999999999</v>
      </c>
      <c r="V45" s="92">
        <v>1.0809</v>
      </c>
      <c r="W45" s="92"/>
      <c r="X45" s="92">
        <v>0.51480000000000004</v>
      </c>
    </row>
    <row r="46" spans="1:33" x14ac:dyDescent="0.25">
      <c r="A46" s="34" t="s">
        <v>127</v>
      </c>
      <c r="B46" s="101">
        <f t="shared" si="1"/>
        <v>43506</v>
      </c>
      <c r="C46" s="34">
        <f t="shared" si="14"/>
        <v>6</v>
      </c>
      <c r="D46" s="78">
        <v>42045</v>
      </c>
      <c r="E46" s="102">
        <f t="shared" si="2"/>
        <v>43506</v>
      </c>
      <c r="F46" s="92">
        <v>1.9618</v>
      </c>
      <c r="G46" s="92">
        <v>2.1974999999999998</v>
      </c>
      <c r="H46" s="92">
        <v>1.8482000000000001</v>
      </c>
      <c r="I46" s="92">
        <v>1.1125</v>
      </c>
      <c r="J46" s="92">
        <v>2.0053000000000001</v>
      </c>
      <c r="K46" s="92">
        <v>3.1371000000000002</v>
      </c>
      <c r="L46" s="92">
        <v>3.3769999999999998</v>
      </c>
      <c r="M46" s="93">
        <v>3.2820999999999998</v>
      </c>
      <c r="N46" s="103">
        <v>2.89</v>
      </c>
      <c r="O46" s="92">
        <v>2.0636999999999999</v>
      </c>
      <c r="P46" s="106">
        <v>1.4035</v>
      </c>
      <c r="Q46" s="92">
        <v>2.6214999999999997</v>
      </c>
      <c r="R46" s="92">
        <v>2.0613000000000001</v>
      </c>
      <c r="S46" s="92">
        <v>1.6793</v>
      </c>
      <c r="T46" s="92">
        <v>1.6355999999999999</v>
      </c>
      <c r="U46" s="92">
        <v>1.0767</v>
      </c>
      <c r="V46" s="92">
        <v>1.0829</v>
      </c>
      <c r="W46" s="92"/>
      <c r="X46" s="92">
        <v>0.51480000000000004</v>
      </c>
    </row>
    <row r="47" spans="1:33" x14ac:dyDescent="0.25">
      <c r="A47" s="34" t="s">
        <v>127</v>
      </c>
      <c r="B47" s="101">
        <f t="shared" si="1"/>
        <v>43507</v>
      </c>
      <c r="C47" s="34">
        <f t="shared" si="14"/>
        <v>6</v>
      </c>
      <c r="D47" s="78">
        <v>42046</v>
      </c>
      <c r="E47" s="102">
        <f t="shared" si="2"/>
        <v>43507</v>
      </c>
      <c r="F47" s="92">
        <v>1.9618</v>
      </c>
      <c r="G47" s="92">
        <v>2.1974999999999998</v>
      </c>
      <c r="H47" s="92">
        <v>1.8482000000000001</v>
      </c>
      <c r="I47" s="92">
        <v>1.1125</v>
      </c>
      <c r="J47" s="92">
        <v>1.9681999999999999</v>
      </c>
      <c r="K47" s="92">
        <v>3.1371000000000002</v>
      </c>
      <c r="L47" s="92">
        <v>3.4298000000000002</v>
      </c>
      <c r="M47" s="93">
        <v>3.2820999999999998</v>
      </c>
      <c r="N47" s="103">
        <v>2.8475999999999999</v>
      </c>
      <c r="O47" s="92">
        <v>2.0670000000000002</v>
      </c>
      <c r="P47" s="106">
        <v>1.3985000000000001</v>
      </c>
      <c r="Q47" s="92">
        <v>2.7020999999999997</v>
      </c>
      <c r="R47" s="92">
        <v>2.0613000000000001</v>
      </c>
      <c r="S47" s="92">
        <v>1.6793</v>
      </c>
      <c r="T47" s="92">
        <v>1.6910999999999998</v>
      </c>
      <c r="U47" s="92">
        <v>1.0931</v>
      </c>
      <c r="V47" s="92">
        <v>1.1138999999999999</v>
      </c>
      <c r="W47" s="92"/>
      <c r="X47" s="92">
        <v>0.52180000000000004</v>
      </c>
    </row>
    <row r="48" spans="1:33" x14ac:dyDescent="0.25">
      <c r="A48" s="34" t="s">
        <v>127</v>
      </c>
      <c r="B48" s="101">
        <f t="shared" si="1"/>
        <v>43508</v>
      </c>
      <c r="C48" s="34">
        <f t="shared" si="10"/>
        <v>7</v>
      </c>
      <c r="D48" s="78">
        <v>42047</v>
      </c>
      <c r="E48" s="102">
        <f t="shared" si="2"/>
        <v>43508</v>
      </c>
      <c r="F48" s="92">
        <v>1.9618</v>
      </c>
      <c r="G48" s="92">
        <v>2.0829</v>
      </c>
      <c r="H48" s="92">
        <v>1.8482000000000001</v>
      </c>
      <c r="I48" s="92">
        <v>1.1125</v>
      </c>
      <c r="J48" s="92">
        <v>1.9587000000000001</v>
      </c>
      <c r="K48" s="92">
        <v>3.1371000000000002</v>
      </c>
      <c r="L48" s="92">
        <v>3.4224000000000001</v>
      </c>
      <c r="M48" s="93">
        <v>3.2820999999999998</v>
      </c>
      <c r="N48" s="103">
        <v>2.8475999999999999</v>
      </c>
      <c r="O48" s="92">
        <v>2.0840000000000001</v>
      </c>
      <c r="P48" s="106">
        <v>1.401</v>
      </c>
      <c r="Q48" s="92">
        <v>2.7544999999999997</v>
      </c>
      <c r="R48" s="92">
        <v>2.0947</v>
      </c>
      <c r="S48" s="92">
        <v>1.6793</v>
      </c>
      <c r="T48" s="92">
        <v>1.6910999999999998</v>
      </c>
      <c r="U48" s="92">
        <v>1.0851</v>
      </c>
      <c r="V48" s="92">
        <v>1.1098999999999999</v>
      </c>
      <c r="W48" s="92"/>
      <c r="X48" s="92">
        <v>0.52080000000000004</v>
      </c>
    </row>
    <row r="49" spans="1:24" x14ac:dyDescent="0.25">
      <c r="A49" s="34" t="s">
        <v>127</v>
      </c>
      <c r="B49" s="101">
        <f t="shared" si="1"/>
        <v>43509</v>
      </c>
      <c r="C49" s="34">
        <f>+C48</f>
        <v>7</v>
      </c>
      <c r="D49" s="78">
        <v>42048</v>
      </c>
      <c r="E49" s="102">
        <f t="shared" si="2"/>
        <v>43509</v>
      </c>
      <c r="F49" s="92">
        <v>1.9618</v>
      </c>
      <c r="G49" s="92">
        <v>2.0829</v>
      </c>
      <c r="H49" s="92">
        <v>1.8246</v>
      </c>
      <c r="I49" s="92">
        <v>1.1125</v>
      </c>
      <c r="J49" s="92">
        <v>2.0404</v>
      </c>
      <c r="K49" s="92">
        <v>3.1371000000000002</v>
      </c>
      <c r="L49" s="92">
        <v>3.4119999999999999</v>
      </c>
      <c r="M49" s="93">
        <v>3.2624</v>
      </c>
      <c r="N49" s="103">
        <v>2.8475999999999999</v>
      </c>
      <c r="O49" s="92">
        <v>2.0840000000000001</v>
      </c>
      <c r="P49" s="106">
        <v>1.3985000000000001</v>
      </c>
      <c r="Q49" s="92">
        <v>2.7239999999999998</v>
      </c>
      <c r="R49" s="92">
        <v>2.0381</v>
      </c>
      <c r="S49" s="92">
        <v>1.6853</v>
      </c>
      <c r="T49" s="92">
        <v>1.6910999999999998</v>
      </c>
      <c r="U49" s="92">
        <v>1.0906</v>
      </c>
      <c r="V49" s="92">
        <v>1.1155999999999999</v>
      </c>
      <c r="W49" s="92"/>
      <c r="X49" s="92">
        <v>0.52880000000000005</v>
      </c>
    </row>
    <row r="50" spans="1:24" x14ac:dyDescent="0.25">
      <c r="A50" s="34" t="s">
        <v>127</v>
      </c>
      <c r="B50" s="101">
        <f t="shared" si="1"/>
        <v>43510</v>
      </c>
      <c r="C50" s="34">
        <f>+C49</f>
        <v>7</v>
      </c>
      <c r="D50" s="78">
        <v>42049</v>
      </c>
      <c r="E50" s="102">
        <f t="shared" si="2"/>
        <v>43510</v>
      </c>
      <c r="F50" s="92">
        <v>1.9618</v>
      </c>
      <c r="G50" s="92">
        <v>2.0829</v>
      </c>
      <c r="H50" s="92">
        <v>1.8169</v>
      </c>
      <c r="I50" s="92">
        <v>1.1125</v>
      </c>
      <c r="J50" s="92">
        <v>2.0404</v>
      </c>
      <c r="K50" s="92">
        <v>3.1371000000000002</v>
      </c>
      <c r="L50" s="92">
        <v>3.3889999999999998</v>
      </c>
      <c r="M50" s="93">
        <v>3.2624</v>
      </c>
      <c r="N50" s="103">
        <v>2.8643000000000001</v>
      </c>
      <c r="O50" s="92">
        <v>2.0840000000000001</v>
      </c>
      <c r="P50" s="106">
        <v>1.3985000000000001</v>
      </c>
      <c r="Q50" s="92">
        <v>2.7239999999999998</v>
      </c>
      <c r="R50" s="92">
        <v>2.0789</v>
      </c>
      <c r="S50" s="92">
        <v>1.6882999999999999</v>
      </c>
      <c r="T50" s="92">
        <v>1.7910999999999999</v>
      </c>
      <c r="U50" s="92">
        <v>1.0906</v>
      </c>
      <c r="V50" s="92">
        <v>1.1155999999999999</v>
      </c>
      <c r="W50" s="92"/>
      <c r="X50" s="92">
        <v>0.5353</v>
      </c>
    </row>
    <row r="51" spans="1:24" x14ac:dyDescent="0.25">
      <c r="A51" s="34" t="s">
        <v>127</v>
      </c>
      <c r="B51" s="101">
        <f t="shared" si="1"/>
        <v>43511</v>
      </c>
      <c r="C51" s="34">
        <f>+C50</f>
        <v>7</v>
      </c>
      <c r="D51" s="78">
        <v>42050</v>
      </c>
      <c r="E51" s="102">
        <f t="shared" si="2"/>
        <v>43511</v>
      </c>
      <c r="F51" s="92">
        <v>2.0655999999999999</v>
      </c>
      <c r="G51" s="92">
        <v>2.0829</v>
      </c>
      <c r="H51" s="92">
        <v>1.8169</v>
      </c>
      <c r="I51" s="92">
        <v>1.1734</v>
      </c>
      <c r="J51" s="92">
        <v>2.0404</v>
      </c>
      <c r="K51" s="92">
        <v>3.1371000000000002</v>
      </c>
      <c r="L51" s="92">
        <v>3.4068999999999998</v>
      </c>
      <c r="M51" s="93">
        <v>3.2608000000000001</v>
      </c>
      <c r="N51" s="103">
        <v>2.8942000000000001</v>
      </c>
      <c r="O51" s="92">
        <v>2.0459999999999998</v>
      </c>
      <c r="P51" s="106">
        <v>1.3985000000000001</v>
      </c>
      <c r="Q51" s="92">
        <v>2.7982999999999998</v>
      </c>
      <c r="R51" s="92">
        <v>2.0030999999999999</v>
      </c>
      <c r="S51" s="92">
        <v>1.6882999999999999</v>
      </c>
      <c r="T51" s="92">
        <v>1.8591</v>
      </c>
      <c r="U51" s="92">
        <v>1.0906</v>
      </c>
      <c r="V51" s="92">
        <v>1.1155999999999999</v>
      </c>
      <c r="W51" s="92"/>
      <c r="X51" s="92">
        <v>0.54330000000000001</v>
      </c>
    </row>
    <row r="52" spans="1:24" x14ac:dyDescent="0.25">
      <c r="A52" s="34" t="s">
        <v>127</v>
      </c>
      <c r="B52" s="101">
        <f t="shared" si="1"/>
        <v>43512</v>
      </c>
      <c r="C52" s="34">
        <f t="shared" ref="C52:C54" si="15">+C51</f>
        <v>7</v>
      </c>
      <c r="D52" s="78">
        <v>42051</v>
      </c>
      <c r="E52" s="102">
        <f t="shared" si="2"/>
        <v>43512</v>
      </c>
      <c r="F52" s="92">
        <v>2.0655999999999999</v>
      </c>
      <c r="G52" s="92">
        <v>2.0829</v>
      </c>
      <c r="H52" s="92">
        <v>1.8169</v>
      </c>
      <c r="I52" s="92">
        <v>1.1734</v>
      </c>
      <c r="J52" s="92">
        <v>2.1019000000000001</v>
      </c>
      <c r="K52" s="92">
        <v>3.1371000000000002</v>
      </c>
      <c r="L52" s="92">
        <v>3.4068999999999998</v>
      </c>
      <c r="M52" s="93">
        <v>3.3060999999999998</v>
      </c>
      <c r="N52" s="103">
        <v>2.8763999999999998</v>
      </c>
      <c r="O52" s="92">
        <v>2.0470000000000002</v>
      </c>
      <c r="P52" s="106">
        <v>1.3985000000000001</v>
      </c>
      <c r="Q52" s="92">
        <v>2.7982999999999998</v>
      </c>
      <c r="R52" s="92">
        <v>1.9839</v>
      </c>
      <c r="S52" s="92">
        <v>1.754</v>
      </c>
      <c r="T52" s="92">
        <v>1.9045999999999998</v>
      </c>
      <c r="U52" s="92">
        <v>1.0962999999999998</v>
      </c>
      <c r="V52" s="92">
        <v>1.1158999999999999</v>
      </c>
      <c r="W52" s="92"/>
      <c r="X52" s="92">
        <v>0.54330000000000001</v>
      </c>
    </row>
    <row r="53" spans="1:24" x14ac:dyDescent="0.25">
      <c r="A53" s="34" t="s">
        <v>127</v>
      </c>
      <c r="B53" s="101">
        <f t="shared" si="1"/>
        <v>43513</v>
      </c>
      <c r="C53" s="34">
        <f t="shared" si="15"/>
        <v>7</v>
      </c>
      <c r="D53" s="78">
        <v>42052</v>
      </c>
      <c r="E53" s="102">
        <f t="shared" si="2"/>
        <v>43513</v>
      </c>
      <c r="F53" s="92">
        <v>2.0655999999999999</v>
      </c>
      <c r="G53" s="92">
        <v>2.0829</v>
      </c>
      <c r="H53" s="92">
        <v>1.8169</v>
      </c>
      <c r="I53" s="92">
        <v>1.1734</v>
      </c>
      <c r="J53" s="92">
        <v>2.0987</v>
      </c>
      <c r="K53" s="92">
        <v>3.1371000000000002</v>
      </c>
      <c r="L53" s="92">
        <v>3.4068999999999998</v>
      </c>
      <c r="M53" s="93">
        <v>3.3045</v>
      </c>
      <c r="N53" s="103">
        <v>2.9298999999999999</v>
      </c>
      <c r="O53" s="92">
        <v>2.1259999999999999</v>
      </c>
      <c r="P53" s="106">
        <v>1.3485</v>
      </c>
      <c r="Q53" s="92">
        <v>2.7982999999999998</v>
      </c>
      <c r="R53" s="92">
        <v>1.9839</v>
      </c>
      <c r="S53" s="92">
        <v>1.819</v>
      </c>
      <c r="T53" s="92">
        <v>1.9245999999999999</v>
      </c>
      <c r="U53" s="92">
        <v>1.0991</v>
      </c>
      <c r="V53" s="92">
        <v>1.1158999999999999</v>
      </c>
      <c r="W53" s="92"/>
      <c r="X53" s="92">
        <v>0.54330000000000001</v>
      </c>
    </row>
    <row r="54" spans="1:24" x14ac:dyDescent="0.25">
      <c r="A54" s="34" t="s">
        <v>127</v>
      </c>
      <c r="B54" s="101">
        <f t="shared" si="1"/>
        <v>43514</v>
      </c>
      <c r="C54" s="34">
        <f t="shared" si="15"/>
        <v>7</v>
      </c>
      <c r="D54" s="78">
        <v>42053</v>
      </c>
      <c r="E54" s="102">
        <f t="shared" si="2"/>
        <v>43514</v>
      </c>
      <c r="F54" s="92">
        <v>2.1113</v>
      </c>
      <c r="G54" s="92">
        <v>2.0829</v>
      </c>
      <c r="H54" s="92">
        <v>1.8169</v>
      </c>
      <c r="I54" s="92">
        <v>1.1734</v>
      </c>
      <c r="J54" s="92">
        <v>2.1023999999999998</v>
      </c>
      <c r="K54" s="92">
        <v>3.1371000000000002</v>
      </c>
      <c r="L54" s="92">
        <v>3.4070999999999998</v>
      </c>
      <c r="M54" s="93">
        <v>3.3045</v>
      </c>
      <c r="N54" s="103">
        <v>2.899</v>
      </c>
      <c r="O54" s="92">
        <v>2.1280000000000001</v>
      </c>
      <c r="P54" s="106">
        <v>1.2609999999999999</v>
      </c>
      <c r="Q54" s="92">
        <v>2.7841999999999998</v>
      </c>
      <c r="R54" s="92">
        <v>1.9839</v>
      </c>
      <c r="S54" s="92">
        <v>1.819</v>
      </c>
      <c r="T54" s="92">
        <v>1.9245999999999999</v>
      </c>
      <c r="U54" s="92">
        <v>1.1060999999999999</v>
      </c>
      <c r="V54" s="92">
        <v>1.1183999999999998</v>
      </c>
      <c r="W54" s="92"/>
      <c r="X54" s="92">
        <v>0.55830000000000002</v>
      </c>
    </row>
    <row r="55" spans="1:24" x14ac:dyDescent="0.25">
      <c r="A55" s="34" t="s">
        <v>127</v>
      </c>
      <c r="B55" s="101">
        <f t="shared" si="1"/>
        <v>43515</v>
      </c>
      <c r="C55" s="34">
        <f>+C48+1</f>
        <v>8</v>
      </c>
      <c r="D55" s="78">
        <v>42054</v>
      </c>
      <c r="E55" s="102">
        <f t="shared" si="2"/>
        <v>43515</v>
      </c>
      <c r="F55" s="92">
        <v>2.1113</v>
      </c>
      <c r="G55" s="92">
        <v>2.0829</v>
      </c>
      <c r="H55" s="92">
        <v>1.8169</v>
      </c>
      <c r="I55" s="92">
        <v>1.1734</v>
      </c>
      <c r="J55" s="92">
        <v>2.0827</v>
      </c>
      <c r="K55" s="92">
        <v>3.1223000000000001</v>
      </c>
      <c r="L55" s="92">
        <v>3.4064000000000001</v>
      </c>
      <c r="M55" s="93">
        <v>3.3045</v>
      </c>
      <c r="N55" s="103">
        <v>2.899</v>
      </c>
      <c r="O55" s="92">
        <v>2.1709999999999998</v>
      </c>
      <c r="P55" s="106">
        <v>1.2010000000000001</v>
      </c>
      <c r="Q55" s="92">
        <v>2.7829999999999999</v>
      </c>
      <c r="R55" s="92">
        <v>1.9627999999999999</v>
      </c>
      <c r="S55" s="92">
        <v>1.819</v>
      </c>
      <c r="T55" s="92">
        <v>1.9245999999999999</v>
      </c>
      <c r="U55" s="92">
        <v>1.1111</v>
      </c>
      <c r="V55" s="92">
        <v>1.1358999999999999</v>
      </c>
      <c r="W55" s="92"/>
      <c r="X55" s="92">
        <v>0.56030000000000002</v>
      </c>
    </row>
    <row r="56" spans="1:24" x14ac:dyDescent="0.25">
      <c r="A56" s="34" t="s">
        <v>127</v>
      </c>
      <c r="B56" s="101">
        <f t="shared" si="1"/>
        <v>43516</v>
      </c>
      <c r="C56" s="34">
        <f>+C55</f>
        <v>8</v>
      </c>
      <c r="D56" s="78">
        <v>42055</v>
      </c>
      <c r="E56" s="102">
        <f t="shared" si="2"/>
        <v>43516</v>
      </c>
      <c r="F56" s="92">
        <v>2.0847000000000002</v>
      </c>
      <c r="G56" s="92">
        <v>2.0829</v>
      </c>
      <c r="H56" s="92">
        <v>1.8169</v>
      </c>
      <c r="I56" s="92">
        <v>1.1734</v>
      </c>
      <c r="J56" s="92">
        <v>2.1257000000000001</v>
      </c>
      <c r="K56" s="92">
        <v>3.1861999999999999</v>
      </c>
      <c r="L56" s="92">
        <v>3.4350000000000001</v>
      </c>
      <c r="M56" s="93">
        <v>3.2877999999999998</v>
      </c>
      <c r="N56" s="103">
        <v>2.899</v>
      </c>
      <c r="O56" s="92">
        <v>2.1709999999999998</v>
      </c>
      <c r="P56" s="106">
        <v>1.228</v>
      </c>
      <c r="Q56" s="92">
        <v>2.9091999999999998</v>
      </c>
      <c r="R56" s="92">
        <v>1.9261999999999999</v>
      </c>
      <c r="S56" s="92">
        <v>1.8859999999999999</v>
      </c>
      <c r="T56" s="92">
        <v>1.9245999999999999</v>
      </c>
      <c r="U56" s="92">
        <v>1.1545999999999998</v>
      </c>
      <c r="V56" s="92">
        <v>1.1598999999999999</v>
      </c>
      <c r="W56" s="92"/>
      <c r="X56" s="92">
        <v>0.55980000000000008</v>
      </c>
    </row>
    <row r="57" spans="1:24" x14ac:dyDescent="0.25">
      <c r="A57" s="34" t="s">
        <v>127</v>
      </c>
      <c r="B57" s="101">
        <f t="shared" si="1"/>
        <v>43517</v>
      </c>
      <c r="C57" s="34">
        <f>+C56</f>
        <v>8</v>
      </c>
      <c r="D57" s="78">
        <v>42056</v>
      </c>
      <c r="E57" s="102">
        <f t="shared" si="2"/>
        <v>43517</v>
      </c>
      <c r="F57" s="92">
        <v>2.1061999999999999</v>
      </c>
      <c r="G57" s="92">
        <v>2.0829</v>
      </c>
      <c r="H57" s="92">
        <v>1.81</v>
      </c>
      <c r="I57" s="92">
        <v>1.1734</v>
      </c>
      <c r="J57" s="92">
        <v>2.1257000000000001</v>
      </c>
      <c r="K57" s="92">
        <v>3.2027999999999999</v>
      </c>
      <c r="L57" s="92">
        <v>3.407</v>
      </c>
      <c r="M57" s="93">
        <v>3.3361000000000001</v>
      </c>
      <c r="N57" s="103">
        <v>2.8847</v>
      </c>
      <c r="O57" s="92">
        <v>2.1709999999999998</v>
      </c>
      <c r="P57" s="106">
        <v>1.228</v>
      </c>
      <c r="Q57" s="92">
        <v>2.9539999999999997</v>
      </c>
      <c r="R57" s="92">
        <v>1.8985999999999998</v>
      </c>
      <c r="S57" s="92">
        <v>1.907</v>
      </c>
      <c r="T57" s="92">
        <v>1.9276</v>
      </c>
      <c r="U57" s="92">
        <v>1.1545999999999998</v>
      </c>
      <c r="V57" s="92">
        <v>1.1598999999999999</v>
      </c>
      <c r="W57" s="92"/>
      <c r="X57" s="92">
        <v>0.55430000000000001</v>
      </c>
    </row>
    <row r="58" spans="1:24" x14ac:dyDescent="0.25">
      <c r="A58" s="34" t="s">
        <v>127</v>
      </c>
      <c r="B58" s="101">
        <f t="shared" si="1"/>
        <v>43518</v>
      </c>
      <c r="C58" s="34">
        <f>+C57</f>
        <v>8</v>
      </c>
      <c r="D58" s="78">
        <v>42057</v>
      </c>
      <c r="E58" s="102">
        <f t="shared" si="2"/>
        <v>43518</v>
      </c>
      <c r="F58" s="92">
        <v>2.1234000000000002</v>
      </c>
      <c r="G58" s="92">
        <v>2.0829</v>
      </c>
      <c r="H58" s="92">
        <v>1.81</v>
      </c>
      <c r="I58" s="92">
        <v>1.0921000000000001</v>
      </c>
      <c r="J58" s="92">
        <v>2.1257000000000001</v>
      </c>
      <c r="K58" s="92">
        <v>3.2027999999999999</v>
      </c>
      <c r="L58" s="92">
        <v>3.3965000000000001</v>
      </c>
      <c r="M58" s="93">
        <v>3.5062000000000002</v>
      </c>
      <c r="N58" s="103">
        <v>2.9167999999999998</v>
      </c>
      <c r="O58" s="92">
        <v>2.1970000000000001</v>
      </c>
      <c r="P58" s="106">
        <v>1.228</v>
      </c>
      <c r="Q58" s="92">
        <v>2.919</v>
      </c>
      <c r="R58" s="92">
        <v>1.9258999999999999</v>
      </c>
      <c r="S58" s="92">
        <v>1.944</v>
      </c>
      <c r="T58" s="92">
        <v>1.9256</v>
      </c>
      <c r="U58" s="92">
        <v>1.1545999999999998</v>
      </c>
      <c r="V58" s="92">
        <v>1.1598999999999999</v>
      </c>
      <c r="W58" s="92"/>
      <c r="X58" s="92">
        <v>0.55680000000000007</v>
      </c>
    </row>
    <row r="59" spans="1:24" outlineLevel="1" x14ac:dyDescent="0.25">
      <c r="A59" s="34" t="s">
        <v>127</v>
      </c>
      <c r="B59" s="101">
        <f t="shared" si="1"/>
        <v>43519</v>
      </c>
      <c r="C59" s="34">
        <f t="shared" ref="C59:C61" si="16">+C58</f>
        <v>8</v>
      </c>
      <c r="D59" s="78">
        <v>42058</v>
      </c>
      <c r="E59" s="102">
        <f t="shared" si="2"/>
        <v>43519</v>
      </c>
      <c r="F59" s="92">
        <v>2.1234000000000002</v>
      </c>
      <c r="G59" s="92">
        <v>2.0848</v>
      </c>
      <c r="H59" s="92">
        <v>1.8343</v>
      </c>
      <c r="I59" s="92">
        <v>1.0993999999999999</v>
      </c>
      <c r="J59" s="92">
        <v>2.0950000000000002</v>
      </c>
      <c r="K59" s="92">
        <v>3.2027999999999999</v>
      </c>
      <c r="L59" s="92">
        <v>3.3965000000000001</v>
      </c>
      <c r="M59" s="93">
        <v>3.5276999999999998</v>
      </c>
      <c r="N59" s="103">
        <v>2.9624999999999999</v>
      </c>
      <c r="O59" s="92">
        <v>2.2069999999999999</v>
      </c>
      <c r="P59" s="106">
        <v>1.2154</v>
      </c>
      <c r="Q59" s="92">
        <v>2.919</v>
      </c>
      <c r="R59" s="92">
        <v>1.9308999999999998</v>
      </c>
      <c r="S59" s="92">
        <v>1.97</v>
      </c>
      <c r="T59" s="92">
        <v>1.9665999999999999</v>
      </c>
      <c r="U59" s="92">
        <v>1.1676</v>
      </c>
      <c r="V59" s="92">
        <v>1.2054</v>
      </c>
      <c r="W59" s="92"/>
      <c r="X59" s="92">
        <v>0.55680000000000007</v>
      </c>
    </row>
    <row r="60" spans="1:24" outlineLevel="1" x14ac:dyDescent="0.25">
      <c r="A60" s="34" t="s">
        <v>127</v>
      </c>
      <c r="B60" s="101">
        <f t="shared" si="1"/>
        <v>43520</v>
      </c>
      <c r="C60" s="34">
        <f t="shared" si="16"/>
        <v>8</v>
      </c>
      <c r="D60" s="78">
        <v>42059</v>
      </c>
      <c r="E60" s="102">
        <f t="shared" si="2"/>
        <v>43520</v>
      </c>
      <c r="F60" s="92">
        <v>2.1234000000000002</v>
      </c>
      <c r="G60" s="92">
        <v>2.0848</v>
      </c>
      <c r="H60" s="92">
        <v>1.8343</v>
      </c>
      <c r="I60" s="92">
        <v>1.0831</v>
      </c>
      <c r="J60" s="92">
        <v>2.1680000000000001</v>
      </c>
      <c r="K60" s="92">
        <v>3.1219000000000001</v>
      </c>
      <c r="L60" s="92">
        <v>3.3965000000000001</v>
      </c>
      <c r="M60" s="93">
        <v>3.5851999999999999</v>
      </c>
      <c r="N60" s="103">
        <v>3.0912999999999999</v>
      </c>
      <c r="O60" s="92">
        <v>2.1720000000000002</v>
      </c>
      <c r="P60" s="106">
        <v>1.1948000000000001</v>
      </c>
      <c r="Q60" s="92">
        <v>2.919</v>
      </c>
      <c r="R60" s="92">
        <v>1.9308999999999998</v>
      </c>
      <c r="S60" s="92">
        <v>2.0282</v>
      </c>
      <c r="T60" s="92">
        <v>1.9705999999999999</v>
      </c>
      <c r="U60" s="92">
        <v>1.1704999999999999</v>
      </c>
      <c r="V60" s="92">
        <v>1.2154</v>
      </c>
      <c r="W60" s="92"/>
      <c r="X60" s="92">
        <v>0.55680000000000007</v>
      </c>
    </row>
    <row r="61" spans="1:24" outlineLevel="1" collapsed="1" x14ac:dyDescent="0.25">
      <c r="A61" s="34" t="s">
        <v>127</v>
      </c>
      <c r="B61" s="101">
        <f t="shared" si="1"/>
        <v>43521</v>
      </c>
      <c r="C61" s="34">
        <f t="shared" si="16"/>
        <v>8</v>
      </c>
      <c r="D61" s="78">
        <v>42060</v>
      </c>
      <c r="E61" s="102">
        <f t="shared" si="2"/>
        <v>43521</v>
      </c>
      <c r="F61" s="92">
        <v>2.1177999999999999</v>
      </c>
      <c r="G61" s="92">
        <v>2.0848</v>
      </c>
      <c r="H61" s="92">
        <v>1.8343</v>
      </c>
      <c r="I61" s="92">
        <v>1.1439999999999999</v>
      </c>
      <c r="J61" s="92">
        <v>2.0874999999999999</v>
      </c>
      <c r="K61" s="92">
        <v>3.1145</v>
      </c>
      <c r="L61" s="92">
        <v>3.3965000000000001</v>
      </c>
      <c r="M61" s="93">
        <v>3.5851999999999999</v>
      </c>
      <c r="N61" s="103">
        <v>3.0741999999999998</v>
      </c>
      <c r="O61" s="92">
        <v>2.1800000000000002</v>
      </c>
      <c r="P61" s="106">
        <v>1.2193000000000001</v>
      </c>
      <c r="Q61" s="92">
        <v>2.9428000000000001</v>
      </c>
      <c r="R61" s="92">
        <v>1.9308999999999998</v>
      </c>
      <c r="S61" s="92">
        <v>2.0282</v>
      </c>
      <c r="T61" s="92">
        <v>2.0226000000000002</v>
      </c>
      <c r="U61" s="92">
        <v>1.1739999999999999</v>
      </c>
      <c r="V61" s="92">
        <v>1.2499</v>
      </c>
      <c r="W61" s="92"/>
      <c r="X61" s="92">
        <v>0.55930000000000002</v>
      </c>
    </row>
    <row r="62" spans="1:24" outlineLevel="1" x14ac:dyDescent="0.25">
      <c r="A62" s="34" t="s">
        <v>127</v>
      </c>
      <c r="B62" s="101">
        <f t="shared" si="1"/>
        <v>43522</v>
      </c>
      <c r="C62" s="34">
        <f t="shared" si="10"/>
        <v>9</v>
      </c>
      <c r="D62" s="78">
        <v>42061</v>
      </c>
      <c r="E62" s="102">
        <f t="shared" si="2"/>
        <v>43522</v>
      </c>
      <c r="F62" s="92">
        <v>2.1059999999999999</v>
      </c>
      <c r="G62" s="92">
        <v>2.1225000000000001</v>
      </c>
      <c r="H62" s="92">
        <v>1.8343</v>
      </c>
      <c r="I62" s="92">
        <v>1.1429</v>
      </c>
      <c r="J62" s="92">
        <v>2.1214</v>
      </c>
      <c r="K62" s="92">
        <v>3.109</v>
      </c>
      <c r="L62" s="92">
        <v>3.3908</v>
      </c>
      <c r="M62" s="93">
        <v>3.5851999999999999</v>
      </c>
      <c r="N62" s="103">
        <v>3.0741999999999998</v>
      </c>
      <c r="O62" s="92">
        <v>2.1459999999999999</v>
      </c>
      <c r="P62" s="106">
        <v>1.2491000000000001</v>
      </c>
      <c r="Q62" s="92">
        <v>2.9884999999999997</v>
      </c>
      <c r="R62" s="92">
        <v>1.9621</v>
      </c>
      <c r="S62" s="92">
        <v>2.0282</v>
      </c>
      <c r="T62" s="92">
        <v>2.0226000000000002</v>
      </c>
      <c r="U62" s="92">
        <v>1.216</v>
      </c>
      <c r="V62" s="92">
        <v>1.2768999999999999</v>
      </c>
      <c r="W62" s="92"/>
      <c r="X62" s="92">
        <v>0.55530000000000002</v>
      </c>
    </row>
    <row r="63" spans="1:24" outlineLevel="1" x14ac:dyDescent="0.25">
      <c r="A63" s="34" t="s">
        <v>127</v>
      </c>
      <c r="B63" s="101">
        <f t="shared" si="1"/>
        <v>43523</v>
      </c>
      <c r="C63" s="34">
        <f>+C62</f>
        <v>9</v>
      </c>
      <c r="D63" s="78">
        <v>42062</v>
      </c>
      <c r="E63" s="102">
        <f t="shared" si="2"/>
        <v>43523</v>
      </c>
      <c r="F63" s="92">
        <v>2.1059999999999999</v>
      </c>
      <c r="G63" s="92">
        <v>2.1406999999999998</v>
      </c>
      <c r="H63" s="92">
        <v>1.8343</v>
      </c>
      <c r="I63" s="92">
        <v>1.1429</v>
      </c>
      <c r="J63" s="92">
        <v>2.0874999999999999</v>
      </c>
      <c r="K63" s="92">
        <v>3.0933000000000002</v>
      </c>
      <c r="L63" s="92">
        <v>3.3266</v>
      </c>
      <c r="M63" s="93">
        <v>3.6366000000000001</v>
      </c>
      <c r="N63" s="103">
        <v>3.0741999999999998</v>
      </c>
      <c r="O63" s="92">
        <v>2.1459999999999999</v>
      </c>
      <c r="P63" s="106">
        <v>1.2841</v>
      </c>
      <c r="Q63" s="92">
        <v>3.0352999999999999</v>
      </c>
      <c r="R63" s="92">
        <v>1.9562999999999999</v>
      </c>
      <c r="S63" s="92">
        <v>2.1067999999999998</v>
      </c>
      <c r="T63" s="92">
        <v>2.0226000000000002</v>
      </c>
      <c r="U63" s="92">
        <v>1.236</v>
      </c>
      <c r="V63" s="92">
        <v>1.2988999999999999</v>
      </c>
      <c r="W63" s="92"/>
      <c r="X63" s="92">
        <v>0.56630000000000003</v>
      </c>
    </row>
    <row r="64" spans="1:24" outlineLevel="1" x14ac:dyDescent="0.25">
      <c r="A64" s="34" t="s">
        <v>127</v>
      </c>
      <c r="B64" s="101">
        <f t="shared" si="1"/>
        <v>43524</v>
      </c>
      <c r="C64" s="34">
        <f>+C63</f>
        <v>9</v>
      </c>
      <c r="D64" s="78">
        <v>42063</v>
      </c>
      <c r="E64" s="102">
        <f t="shared" si="2"/>
        <v>43524</v>
      </c>
      <c r="F64" s="92">
        <v>2.1080999999999999</v>
      </c>
      <c r="G64" s="92">
        <v>2.1206</v>
      </c>
      <c r="H64" s="92">
        <v>1.7795000000000001</v>
      </c>
      <c r="I64" s="92">
        <v>1.1429</v>
      </c>
      <c r="J64" s="92">
        <v>2.0874999999999999</v>
      </c>
      <c r="K64" s="92">
        <v>3.0747</v>
      </c>
      <c r="L64" s="92">
        <v>3.3266</v>
      </c>
      <c r="M64" s="93">
        <v>3.6118999999999999</v>
      </c>
      <c r="N64" s="103">
        <v>3.1274999999999999</v>
      </c>
      <c r="O64" s="92">
        <v>2.1459999999999999</v>
      </c>
      <c r="P64" s="106">
        <v>1.2841</v>
      </c>
      <c r="Q64" s="92">
        <v>3.0015999999999998</v>
      </c>
      <c r="R64" s="92">
        <v>1.9828999999999999</v>
      </c>
      <c r="S64" s="92">
        <v>2.1067999999999998</v>
      </c>
      <c r="T64" s="92">
        <v>2.0234999999999999</v>
      </c>
      <c r="U64" s="92">
        <v>1.236</v>
      </c>
      <c r="V64" s="92">
        <v>1.2988999999999999</v>
      </c>
      <c r="W64" s="92"/>
      <c r="X64" s="92">
        <v>0.58479999999999999</v>
      </c>
    </row>
    <row r="65" spans="1:33" outlineLevel="1" x14ac:dyDescent="0.25">
      <c r="A65" s="34" t="s">
        <v>127</v>
      </c>
      <c r="B65" s="101"/>
      <c r="D65" s="78">
        <v>42429</v>
      </c>
      <c r="E65" s="102">
        <v>42429</v>
      </c>
      <c r="F65" s="112"/>
      <c r="G65" s="112"/>
      <c r="H65" s="112"/>
      <c r="I65" s="92">
        <v>1.1429</v>
      </c>
      <c r="J65" s="92">
        <v>2.09</v>
      </c>
      <c r="K65" s="92">
        <v>3.07</v>
      </c>
      <c r="L65" s="92">
        <v>3.33</v>
      </c>
      <c r="M65" s="93">
        <v>3.5752999999999999</v>
      </c>
      <c r="N65" s="103">
        <v>3.1230000000000002</v>
      </c>
      <c r="O65" s="92">
        <v>2.1789999999999998</v>
      </c>
      <c r="P65" s="106">
        <v>1.2841</v>
      </c>
      <c r="Q65" s="92">
        <v>3.0657999999999999</v>
      </c>
      <c r="R65" s="92">
        <v>1.9928999999999999</v>
      </c>
      <c r="S65" s="92">
        <v>2.1368</v>
      </c>
      <c r="T65" s="92">
        <v>2.0318000000000001</v>
      </c>
      <c r="U65" s="92">
        <v>1.2357</v>
      </c>
      <c r="V65" s="92">
        <v>1.2988999999999999</v>
      </c>
      <c r="W65" s="92"/>
      <c r="X65" s="92">
        <v>0.6018</v>
      </c>
      <c r="AG65" s="103"/>
    </row>
    <row r="66" spans="1:33" ht="12.75" customHeight="1" outlineLevel="1" x14ac:dyDescent="0.25">
      <c r="A66" s="34" t="s">
        <v>128</v>
      </c>
      <c r="B66" s="101">
        <f t="shared" si="1"/>
        <v>43525</v>
      </c>
      <c r="C66" s="34">
        <f>+C64</f>
        <v>9</v>
      </c>
      <c r="D66" s="78">
        <v>42430</v>
      </c>
      <c r="E66" s="102">
        <f>E64+1</f>
        <v>43525</v>
      </c>
      <c r="F66" s="92">
        <v>2.1179000000000001</v>
      </c>
      <c r="G66" s="92">
        <v>2.0750000000000002</v>
      </c>
      <c r="H66" s="92">
        <v>1.7850999999999999</v>
      </c>
      <c r="I66" s="92">
        <v>1.1565000000000001</v>
      </c>
      <c r="J66" s="92">
        <v>2.1675</v>
      </c>
      <c r="K66" s="92">
        <v>3.0747</v>
      </c>
      <c r="L66" s="92">
        <v>3.37</v>
      </c>
      <c r="M66" s="93">
        <v>3.629</v>
      </c>
      <c r="N66" s="103">
        <v>3.2109000000000001</v>
      </c>
      <c r="O66" s="92">
        <v>2.1949999999999998</v>
      </c>
      <c r="P66" s="106">
        <v>1.2841</v>
      </c>
      <c r="Q66" s="92">
        <v>3.0657999999999999</v>
      </c>
      <c r="R66" s="92">
        <v>2.0188000000000001</v>
      </c>
      <c r="S66" s="92">
        <v>2.1705000000000001</v>
      </c>
      <c r="T66" s="92">
        <v>2.0051000000000001</v>
      </c>
      <c r="U66" s="92">
        <v>1.2379</v>
      </c>
      <c r="V66" s="92">
        <v>1.3518999999999999</v>
      </c>
      <c r="W66" s="92"/>
      <c r="X66" s="92">
        <v>0.6018</v>
      </c>
    </row>
    <row r="67" spans="1:33" outlineLevel="1" x14ac:dyDescent="0.25">
      <c r="A67" s="34" t="s">
        <v>128</v>
      </c>
      <c r="B67" s="101">
        <f t="shared" si="1"/>
        <v>43526</v>
      </c>
      <c r="C67" s="34">
        <f t="shared" ref="C67:C68" si="17">+C66</f>
        <v>9</v>
      </c>
      <c r="D67" s="78">
        <v>42431</v>
      </c>
      <c r="E67" s="102">
        <f t="shared" si="2"/>
        <v>43526</v>
      </c>
      <c r="F67" s="92">
        <v>2.1179000000000001</v>
      </c>
      <c r="G67" s="92">
        <v>2.0750000000000002</v>
      </c>
      <c r="H67" s="92">
        <v>1.7795000000000001</v>
      </c>
      <c r="I67" s="92">
        <v>1.1838</v>
      </c>
      <c r="J67" s="92">
        <v>2.0874999999999999</v>
      </c>
      <c r="K67" s="92">
        <v>3.0998999999999999</v>
      </c>
      <c r="L67" s="92">
        <v>3.37</v>
      </c>
      <c r="M67" s="93">
        <v>3.629</v>
      </c>
      <c r="N67" s="103">
        <v>3.2486000000000002</v>
      </c>
      <c r="O67" s="92">
        <v>2.2349999999999999</v>
      </c>
      <c r="P67" s="106">
        <v>1.1473</v>
      </c>
      <c r="Q67" s="92">
        <v>3.0657999999999999</v>
      </c>
      <c r="R67" s="92">
        <v>2.0188000000000001</v>
      </c>
      <c r="S67" s="92">
        <v>2.2311000000000001</v>
      </c>
      <c r="T67" s="92">
        <v>1.9642999999999999</v>
      </c>
      <c r="U67" s="92">
        <v>1.2273999999999998</v>
      </c>
      <c r="V67" s="92">
        <v>1.3978999999999999</v>
      </c>
      <c r="W67" s="92"/>
      <c r="X67" s="92">
        <v>0.6018</v>
      </c>
    </row>
    <row r="68" spans="1:33" outlineLevel="1" x14ac:dyDescent="0.25">
      <c r="A68" s="34" t="s">
        <v>128</v>
      </c>
      <c r="B68" s="101">
        <f t="shared" si="1"/>
        <v>43527</v>
      </c>
      <c r="C68" s="34">
        <f t="shared" si="17"/>
        <v>9</v>
      </c>
      <c r="D68" s="78">
        <v>42432</v>
      </c>
      <c r="E68" s="102">
        <f t="shared" si="2"/>
        <v>43527</v>
      </c>
      <c r="F68" s="92">
        <v>2.1179000000000001</v>
      </c>
      <c r="G68" s="92">
        <v>2.0750000000000002</v>
      </c>
      <c r="H68" s="92">
        <v>1.7795000000000001</v>
      </c>
      <c r="I68" s="92">
        <v>1.1838</v>
      </c>
      <c r="J68" s="92">
        <v>2.1291000000000002</v>
      </c>
      <c r="K68" s="92">
        <v>3.1785999999999999</v>
      </c>
      <c r="L68" s="92">
        <v>3.37</v>
      </c>
      <c r="M68" s="93">
        <v>3.629</v>
      </c>
      <c r="N68" s="103">
        <v>3.2393999999999998</v>
      </c>
      <c r="O68" s="92">
        <v>2.2829999999999999</v>
      </c>
      <c r="P68" s="106">
        <v>1.161</v>
      </c>
      <c r="Q68" s="92">
        <v>3.0430000000000001</v>
      </c>
      <c r="R68" s="92">
        <v>2.0188000000000001</v>
      </c>
      <c r="S68" s="92">
        <v>2.2311000000000001</v>
      </c>
      <c r="T68" s="92">
        <v>1.9435</v>
      </c>
      <c r="U68" s="92">
        <v>1.1899</v>
      </c>
      <c r="V68" s="92">
        <v>1.4579</v>
      </c>
      <c r="W68" s="92"/>
      <c r="X68" s="92">
        <v>0.62080000000000002</v>
      </c>
    </row>
    <row r="69" spans="1:33" outlineLevel="1" x14ac:dyDescent="0.25">
      <c r="A69" s="34" t="s">
        <v>128</v>
      </c>
      <c r="B69" s="101">
        <f t="shared" si="1"/>
        <v>43528</v>
      </c>
      <c r="C69" s="34">
        <f>+C68</f>
        <v>9</v>
      </c>
      <c r="D69" s="78">
        <v>42433</v>
      </c>
      <c r="E69" s="102">
        <f t="shared" si="2"/>
        <v>43528</v>
      </c>
      <c r="F69" s="92">
        <v>2.1179000000000001</v>
      </c>
      <c r="G69" s="92">
        <v>2.0750000000000002</v>
      </c>
      <c r="H69" s="92">
        <v>1.7795000000000001</v>
      </c>
      <c r="I69" s="92">
        <v>1.1838</v>
      </c>
      <c r="J69" s="92">
        <v>2.0771000000000002</v>
      </c>
      <c r="K69" s="92">
        <v>3.1440999999999999</v>
      </c>
      <c r="L69" s="92">
        <v>3.3650000000000002</v>
      </c>
      <c r="M69" s="93">
        <v>3.5775000000000001</v>
      </c>
      <c r="N69" s="103">
        <v>3.2393999999999998</v>
      </c>
      <c r="O69" s="92">
        <v>2.2559999999999998</v>
      </c>
      <c r="P69" s="106">
        <v>1.1848000000000001</v>
      </c>
      <c r="Q69" s="92">
        <v>3.0951</v>
      </c>
      <c r="R69" s="92">
        <v>2.0213000000000001</v>
      </c>
      <c r="S69" s="92">
        <v>2.2311000000000001</v>
      </c>
      <c r="T69" s="92">
        <v>1.9435</v>
      </c>
      <c r="U69" s="92">
        <v>1.1634</v>
      </c>
      <c r="V69" s="92">
        <v>1.4278999999999999</v>
      </c>
      <c r="W69" s="92"/>
      <c r="X69" s="92">
        <v>0.64729999999999999</v>
      </c>
    </row>
    <row r="70" spans="1:33" outlineLevel="1" x14ac:dyDescent="0.25">
      <c r="A70" s="34" t="s">
        <v>128</v>
      </c>
      <c r="B70" s="101">
        <f t="shared" si="1"/>
        <v>43529</v>
      </c>
      <c r="C70" s="34">
        <f>+C62+1</f>
        <v>10</v>
      </c>
      <c r="D70" s="78">
        <v>42434</v>
      </c>
      <c r="E70" s="102">
        <f t="shared" si="2"/>
        <v>43529</v>
      </c>
      <c r="F70" s="92">
        <v>2.1179000000000001</v>
      </c>
      <c r="G70" s="92">
        <v>2.0750000000000002</v>
      </c>
      <c r="H70" s="92">
        <v>1.7795000000000001</v>
      </c>
      <c r="I70" s="92">
        <v>1.1838</v>
      </c>
      <c r="J70" s="92">
        <v>2.0771000000000002</v>
      </c>
      <c r="K70" s="92">
        <v>3.1015999999999999</v>
      </c>
      <c r="L70" s="92">
        <v>3.2576999999999998</v>
      </c>
      <c r="M70" s="93">
        <v>3.58</v>
      </c>
      <c r="N70" s="103">
        <v>3.2393999999999998</v>
      </c>
      <c r="O70" s="92">
        <v>2.2559999999999998</v>
      </c>
      <c r="P70" s="106">
        <v>1.0834999999999999</v>
      </c>
      <c r="Q70" s="92">
        <v>3.0480999999999998</v>
      </c>
      <c r="R70" s="92">
        <v>1.9945999999999999</v>
      </c>
      <c r="S70" s="92">
        <v>2.2768999999999999</v>
      </c>
      <c r="T70" s="92">
        <v>1.9435</v>
      </c>
      <c r="U70" s="92">
        <v>1.1634</v>
      </c>
      <c r="V70" s="92">
        <v>1.4659</v>
      </c>
      <c r="W70" s="92"/>
      <c r="X70" s="92">
        <v>0.67180000000000006</v>
      </c>
    </row>
    <row r="71" spans="1:33" outlineLevel="1" x14ac:dyDescent="0.25">
      <c r="A71" s="34" t="s">
        <v>128</v>
      </c>
      <c r="B71" s="101">
        <f t="shared" ref="B71:B134" si="18">E71</f>
        <v>43530</v>
      </c>
      <c r="C71" s="34">
        <f>+C70</f>
        <v>10</v>
      </c>
      <c r="D71" s="78">
        <v>42435</v>
      </c>
      <c r="E71" s="102">
        <f t="shared" ref="E71:E134" si="19">E70+1</f>
        <v>43530</v>
      </c>
      <c r="F71" s="92">
        <v>2.1103000000000001</v>
      </c>
      <c r="G71" s="92">
        <v>2.0987</v>
      </c>
      <c r="H71" s="92">
        <v>1.7795000000000001</v>
      </c>
      <c r="I71" s="92">
        <v>1.1838</v>
      </c>
      <c r="J71" s="92">
        <v>2.0771000000000002</v>
      </c>
      <c r="K71" s="92">
        <v>3.1044</v>
      </c>
      <c r="L71" s="92">
        <v>3.2858999999999998</v>
      </c>
      <c r="M71" s="93">
        <v>3.5821000000000001</v>
      </c>
      <c r="N71" s="103">
        <v>3.2852000000000001</v>
      </c>
      <c r="O71" s="92">
        <v>2.2559999999999998</v>
      </c>
      <c r="P71" s="106">
        <v>1.0834999999999999</v>
      </c>
      <c r="Q71" s="92">
        <v>3.1602999999999999</v>
      </c>
      <c r="R71" s="92">
        <v>2.0270999999999999</v>
      </c>
      <c r="S71" s="92">
        <v>2.2132999999999998</v>
      </c>
      <c r="T71" s="92">
        <v>1.9276</v>
      </c>
      <c r="U71" s="92">
        <v>1.1634</v>
      </c>
      <c r="V71" s="92">
        <v>1.4659</v>
      </c>
      <c r="W71" s="92"/>
      <c r="X71" s="92">
        <v>0.68880000000000008</v>
      </c>
    </row>
    <row r="72" spans="1:33" outlineLevel="1" x14ac:dyDescent="0.25">
      <c r="A72" s="34" t="s">
        <v>128</v>
      </c>
      <c r="B72" s="101">
        <f t="shared" si="18"/>
        <v>43531</v>
      </c>
      <c r="C72" s="34">
        <f>+C71</f>
        <v>10</v>
      </c>
      <c r="D72" s="78">
        <v>42436</v>
      </c>
      <c r="E72" s="102">
        <f t="shared" si="19"/>
        <v>43531</v>
      </c>
      <c r="F72" s="92">
        <v>2.1103999999999998</v>
      </c>
      <c r="G72" s="92">
        <v>2.1124000000000001</v>
      </c>
      <c r="H72" s="92">
        <v>1.7836000000000001</v>
      </c>
      <c r="I72" s="92">
        <v>1.2124999999999999</v>
      </c>
      <c r="J72" s="92">
        <v>2.0771000000000002</v>
      </c>
      <c r="K72" s="92">
        <v>3.1044</v>
      </c>
      <c r="L72" s="92">
        <v>3.3047</v>
      </c>
      <c r="M72" s="93">
        <v>3.5895999999999999</v>
      </c>
      <c r="N72" s="103">
        <v>3.2606000000000002</v>
      </c>
      <c r="O72" s="92">
        <v>2.2869999999999999</v>
      </c>
      <c r="P72" s="106">
        <v>1.0834999999999999</v>
      </c>
      <c r="Q72" s="92">
        <v>3.1884999999999999</v>
      </c>
      <c r="R72" s="92">
        <v>2.0688</v>
      </c>
      <c r="S72" s="92">
        <v>2.1442999999999999</v>
      </c>
      <c r="T72" s="92">
        <v>1.9163999999999999</v>
      </c>
      <c r="U72" s="92">
        <v>1.1608999999999998</v>
      </c>
      <c r="V72" s="92">
        <v>1.4659</v>
      </c>
      <c r="W72" s="92"/>
      <c r="X72" s="92">
        <v>0.70080000000000009</v>
      </c>
    </row>
    <row r="73" spans="1:33" outlineLevel="1" x14ac:dyDescent="0.25">
      <c r="A73" s="34" t="s">
        <v>128</v>
      </c>
      <c r="B73" s="101">
        <f t="shared" si="18"/>
        <v>43532</v>
      </c>
      <c r="C73" s="34">
        <f>+C72</f>
        <v>10</v>
      </c>
      <c r="D73" s="78">
        <v>42437</v>
      </c>
      <c r="E73" s="102">
        <f t="shared" si="19"/>
        <v>43532</v>
      </c>
      <c r="F73" s="92">
        <v>2.1093999999999999</v>
      </c>
      <c r="G73" s="92">
        <v>2.0971000000000002</v>
      </c>
      <c r="H73" s="92">
        <v>1.7836000000000001</v>
      </c>
      <c r="I73" s="92">
        <v>1.2707999999999999</v>
      </c>
      <c r="J73" s="92">
        <v>2.0771000000000002</v>
      </c>
      <c r="K73" s="92">
        <v>3.1044</v>
      </c>
      <c r="L73" s="92">
        <v>3.3047</v>
      </c>
      <c r="M73" s="93">
        <v>3.6313</v>
      </c>
      <c r="N73" s="103">
        <v>3.2111000000000001</v>
      </c>
      <c r="O73" s="92">
        <v>2.29</v>
      </c>
      <c r="P73" s="106">
        <v>1.1548</v>
      </c>
      <c r="Q73" s="92">
        <v>3.1884999999999999</v>
      </c>
      <c r="R73" s="92">
        <v>2.0838000000000001</v>
      </c>
      <c r="S73" s="92">
        <v>2.0989</v>
      </c>
      <c r="T73" s="92">
        <v>1.8942999999999999</v>
      </c>
      <c r="U73" s="92">
        <v>1.1418999999999999</v>
      </c>
      <c r="V73" s="92">
        <v>1.4708999999999999</v>
      </c>
      <c r="W73" s="92"/>
      <c r="X73" s="92">
        <v>0.70080000000000009</v>
      </c>
    </row>
    <row r="74" spans="1:33" outlineLevel="1" x14ac:dyDescent="0.25">
      <c r="A74" s="34" t="s">
        <v>128</v>
      </c>
      <c r="B74" s="101">
        <f t="shared" si="18"/>
        <v>43533</v>
      </c>
      <c r="C74" s="34">
        <f t="shared" ref="C74:C76" si="20">+C73</f>
        <v>10</v>
      </c>
      <c r="D74" s="78">
        <v>42438</v>
      </c>
      <c r="E74" s="102">
        <f t="shared" si="19"/>
        <v>43533</v>
      </c>
      <c r="F74" s="92">
        <v>2.1093999999999999</v>
      </c>
      <c r="G74" s="92">
        <v>2.0804999999999998</v>
      </c>
      <c r="H74" s="92">
        <v>1.7613000000000001</v>
      </c>
      <c r="I74" s="92">
        <v>1.2512000000000001</v>
      </c>
      <c r="J74" s="92">
        <v>2.0219</v>
      </c>
      <c r="K74" s="92">
        <v>3.1211000000000002</v>
      </c>
      <c r="L74" s="92">
        <v>3.3047</v>
      </c>
      <c r="M74" s="93">
        <v>3.6313</v>
      </c>
      <c r="N74" s="103">
        <v>3.2563</v>
      </c>
      <c r="O74" s="92">
        <v>2.278</v>
      </c>
      <c r="P74" s="106">
        <v>1.1548</v>
      </c>
      <c r="Q74" s="92">
        <v>3.1884999999999999</v>
      </c>
      <c r="R74" s="92">
        <v>2.0838000000000001</v>
      </c>
      <c r="S74" s="92">
        <v>2.0886</v>
      </c>
      <c r="T74" s="92">
        <v>1.8842999999999999</v>
      </c>
      <c r="U74" s="92">
        <v>1.1098999999999999</v>
      </c>
      <c r="V74" s="92">
        <v>1.4768999999999999</v>
      </c>
      <c r="W74" s="92"/>
      <c r="X74" s="92">
        <v>0.70080000000000009</v>
      </c>
    </row>
    <row r="75" spans="1:33" outlineLevel="1" x14ac:dyDescent="0.25">
      <c r="A75" s="34" t="s">
        <v>128</v>
      </c>
      <c r="B75" s="101">
        <f t="shared" si="18"/>
        <v>43534</v>
      </c>
      <c r="C75" s="34">
        <f t="shared" si="20"/>
        <v>10</v>
      </c>
      <c r="D75" s="78">
        <v>42439</v>
      </c>
      <c r="E75" s="102">
        <f t="shared" si="19"/>
        <v>43534</v>
      </c>
      <c r="F75" s="92">
        <v>2.1093999999999999</v>
      </c>
      <c r="G75" s="92">
        <v>2.0804999999999998</v>
      </c>
      <c r="H75" s="92">
        <v>1.7613000000000001</v>
      </c>
      <c r="I75" s="92">
        <v>1.2783</v>
      </c>
      <c r="J75" s="92">
        <v>2.0219</v>
      </c>
      <c r="K75" s="92">
        <v>3.1093000000000002</v>
      </c>
      <c r="L75" s="92">
        <v>3.2484000000000002</v>
      </c>
      <c r="M75" s="93">
        <v>3.6313</v>
      </c>
      <c r="N75" s="103">
        <v>3.2391000000000001</v>
      </c>
      <c r="O75" s="92">
        <v>2.2938999999999998</v>
      </c>
      <c r="P75" s="106">
        <v>1.1375999999999999</v>
      </c>
      <c r="Q75" s="92">
        <v>3.1459999999999999</v>
      </c>
      <c r="R75" s="92">
        <v>2.0838000000000001</v>
      </c>
      <c r="S75" s="92">
        <v>2.0886</v>
      </c>
      <c r="T75" s="92">
        <v>1.8617999999999999</v>
      </c>
      <c r="U75" s="92">
        <v>1.0738999999999999</v>
      </c>
      <c r="V75" s="92">
        <v>1.4136</v>
      </c>
      <c r="W75" s="92"/>
      <c r="X75" s="92">
        <v>0.71279999999999999</v>
      </c>
    </row>
    <row r="76" spans="1:33" outlineLevel="1" x14ac:dyDescent="0.25">
      <c r="A76" s="34" t="s">
        <v>128</v>
      </c>
      <c r="B76" s="101">
        <f t="shared" si="18"/>
        <v>43535</v>
      </c>
      <c r="C76" s="34">
        <f t="shared" si="20"/>
        <v>10</v>
      </c>
      <c r="D76" s="78">
        <v>42440</v>
      </c>
      <c r="E76" s="102">
        <f t="shared" si="19"/>
        <v>43535</v>
      </c>
      <c r="F76" s="92">
        <v>2.0956999999999999</v>
      </c>
      <c r="G76" s="92">
        <v>2.0804999999999998</v>
      </c>
      <c r="H76" s="92">
        <v>1.7613000000000001</v>
      </c>
      <c r="I76" s="92">
        <v>1.2456</v>
      </c>
      <c r="J76" s="92">
        <v>2.0219</v>
      </c>
      <c r="K76" s="92">
        <v>3.1093000000000002</v>
      </c>
      <c r="L76" s="92">
        <v>3.2827999999999999</v>
      </c>
      <c r="M76" s="93">
        <v>3.6313</v>
      </c>
      <c r="N76" s="103">
        <v>3.2391000000000001</v>
      </c>
      <c r="O76" s="92">
        <v>2.2913000000000001</v>
      </c>
      <c r="P76" s="106">
        <v>1.0739000000000001</v>
      </c>
      <c r="Q76" s="92">
        <v>3.2290000000000001</v>
      </c>
      <c r="R76" s="92">
        <v>2.0425</v>
      </c>
      <c r="S76" s="92">
        <v>2.0886</v>
      </c>
      <c r="T76" s="92">
        <v>1.8617999999999999</v>
      </c>
      <c r="U76" s="92">
        <v>1.0604</v>
      </c>
      <c r="V76" s="92">
        <v>1.3958999999999999</v>
      </c>
      <c r="W76" s="92"/>
      <c r="X76" s="92">
        <v>0.73440000000000005</v>
      </c>
    </row>
    <row r="77" spans="1:33" outlineLevel="1" x14ac:dyDescent="0.25">
      <c r="A77" s="34" t="s">
        <v>128</v>
      </c>
      <c r="B77" s="101">
        <f t="shared" si="18"/>
        <v>43536</v>
      </c>
      <c r="C77" s="34">
        <f>+C70+1</f>
        <v>11</v>
      </c>
      <c r="D77" s="78">
        <v>42441</v>
      </c>
      <c r="E77" s="102">
        <f t="shared" si="19"/>
        <v>43536</v>
      </c>
      <c r="F77" s="92">
        <v>2.0842999999999998</v>
      </c>
      <c r="G77" s="92">
        <v>2.1074999999999999</v>
      </c>
      <c r="H77" s="92">
        <v>1.7270000000000001</v>
      </c>
      <c r="I77" s="92">
        <v>1.2456</v>
      </c>
      <c r="J77" s="92">
        <v>2.0219</v>
      </c>
      <c r="K77" s="92">
        <v>3.0857000000000001</v>
      </c>
      <c r="L77" s="92">
        <v>3.2827000000000002</v>
      </c>
      <c r="M77" s="93">
        <v>3.6331000000000002</v>
      </c>
      <c r="N77" s="103">
        <v>3.2391000000000001</v>
      </c>
      <c r="O77" s="92">
        <v>2.2913000000000001</v>
      </c>
      <c r="P77" s="106">
        <v>1.1685000000000001</v>
      </c>
      <c r="Q77" s="92">
        <v>3.2471999999999999</v>
      </c>
      <c r="R77" s="92">
        <v>2.0074000000000001</v>
      </c>
      <c r="S77" s="92">
        <v>2.0754999999999999</v>
      </c>
      <c r="T77" s="92">
        <v>1.8617999999999999</v>
      </c>
      <c r="U77" s="92">
        <v>1.0604</v>
      </c>
      <c r="V77" s="92">
        <v>1.3709</v>
      </c>
      <c r="W77" s="92"/>
      <c r="X77" s="92">
        <v>0.7238</v>
      </c>
    </row>
    <row r="78" spans="1:33" outlineLevel="1" x14ac:dyDescent="0.25">
      <c r="A78" s="34" t="s">
        <v>128</v>
      </c>
      <c r="B78" s="101">
        <f t="shared" si="18"/>
        <v>43537</v>
      </c>
      <c r="C78" s="34">
        <f>+C77</f>
        <v>11</v>
      </c>
      <c r="D78" s="78">
        <v>42442</v>
      </c>
      <c r="E78" s="102">
        <f t="shared" si="19"/>
        <v>43537</v>
      </c>
      <c r="F78" s="92"/>
      <c r="G78" s="92">
        <v>2.1074999999999999</v>
      </c>
      <c r="H78" s="92">
        <v>1.7270000000000001</v>
      </c>
      <c r="I78" s="92">
        <v>1.2456</v>
      </c>
      <c r="J78" s="92">
        <v>2.0219</v>
      </c>
      <c r="K78" s="92">
        <v>3.0857000000000001</v>
      </c>
      <c r="L78" s="92">
        <v>3.2284999999999999</v>
      </c>
      <c r="M78" s="93">
        <v>3.6139000000000001</v>
      </c>
      <c r="N78" s="103">
        <v>3.2513999999999998</v>
      </c>
      <c r="O78" s="92">
        <v>2.2913000000000001</v>
      </c>
      <c r="P78" s="106">
        <v>1.1685000000000001</v>
      </c>
      <c r="Q78" s="92">
        <v>3.2923999999999998</v>
      </c>
      <c r="R78" s="92">
        <v>2.0232000000000001</v>
      </c>
      <c r="S78" s="92">
        <v>2.0973999999999999</v>
      </c>
      <c r="T78" s="92">
        <v>1.8437999999999999</v>
      </c>
      <c r="U78" s="92">
        <v>1.0604</v>
      </c>
      <c r="V78" s="92">
        <v>1.3709</v>
      </c>
      <c r="W78" s="92"/>
      <c r="X78" s="92">
        <v>0.73130000000000006</v>
      </c>
    </row>
    <row r="79" spans="1:33" outlineLevel="1" x14ac:dyDescent="0.25">
      <c r="A79" s="34" t="s">
        <v>128</v>
      </c>
      <c r="B79" s="101">
        <f t="shared" si="18"/>
        <v>43538</v>
      </c>
      <c r="C79" s="34">
        <f>+C78</f>
        <v>11</v>
      </c>
      <c r="D79" s="78">
        <v>42443</v>
      </c>
      <c r="E79" s="102">
        <f t="shared" si="19"/>
        <v>43538</v>
      </c>
      <c r="F79" s="92"/>
      <c r="G79" s="92">
        <v>2.1172</v>
      </c>
      <c r="H79" s="92">
        <v>1.7270000000000001</v>
      </c>
      <c r="I79" s="92">
        <v>1.2424999999999999</v>
      </c>
      <c r="J79" s="92">
        <v>2.0219</v>
      </c>
      <c r="K79" s="92">
        <v>3.0857000000000001</v>
      </c>
      <c r="L79" s="92">
        <v>3.2311000000000001</v>
      </c>
      <c r="M79" s="93">
        <v>3.6520999999999999</v>
      </c>
      <c r="N79" s="103">
        <v>3.3050999999999999</v>
      </c>
      <c r="O79" s="92">
        <v>2.2675999999999998</v>
      </c>
      <c r="P79" s="106">
        <v>1.1685000000000001</v>
      </c>
      <c r="Q79" s="92">
        <v>3.3624000000000001</v>
      </c>
      <c r="R79" s="92">
        <v>2.028</v>
      </c>
      <c r="S79" s="92">
        <v>2.0341</v>
      </c>
      <c r="T79" s="92">
        <v>1.8109999999999999</v>
      </c>
      <c r="U79" s="92">
        <v>1.0308999999999999</v>
      </c>
      <c r="V79" s="92">
        <v>1.3709</v>
      </c>
      <c r="W79" s="92"/>
      <c r="X79" s="92">
        <v>0.73380000000000001</v>
      </c>
    </row>
    <row r="80" spans="1:33" outlineLevel="1" x14ac:dyDescent="0.25">
      <c r="A80" s="34" t="s">
        <v>128</v>
      </c>
      <c r="B80" s="101">
        <f t="shared" si="18"/>
        <v>43539</v>
      </c>
      <c r="C80" s="34">
        <f>+C79</f>
        <v>11</v>
      </c>
      <c r="D80" s="78">
        <v>42444</v>
      </c>
      <c r="E80" s="102">
        <f t="shared" si="19"/>
        <v>43539</v>
      </c>
      <c r="F80" s="92"/>
      <c r="G80" s="92">
        <v>2.1172</v>
      </c>
      <c r="H80" s="92">
        <v>1.7270000000000001</v>
      </c>
      <c r="I80" s="92">
        <v>1.232</v>
      </c>
      <c r="J80" s="92">
        <v>1.8701000000000001</v>
      </c>
      <c r="K80" s="92">
        <v>3.0857000000000001</v>
      </c>
      <c r="L80" s="92">
        <v>3.2311000000000001</v>
      </c>
      <c r="M80" s="93">
        <v>3.6520999999999999</v>
      </c>
      <c r="N80" s="103">
        <v>3.2105999999999999</v>
      </c>
      <c r="O80" s="92">
        <v>2.2336</v>
      </c>
      <c r="P80" s="106">
        <v>1.121</v>
      </c>
      <c r="Q80" s="92">
        <v>3.3624000000000001</v>
      </c>
      <c r="R80" s="92">
        <v>1.9961</v>
      </c>
      <c r="S80" s="92">
        <v>2.0068999999999999</v>
      </c>
      <c r="T80" s="92">
        <v>1.7862</v>
      </c>
      <c r="U80" s="92">
        <v>1.0411999999999999</v>
      </c>
      <c r="V80" s="92">
        <v>1.3233999999999999</v>
      </c>
      <c r="W80" s="92"/>
      <c r="X80" s="92">
        <v>0.73380000000000001</v>
      </c>
    </row>
    <row r="81" spans="1:33" outlineLevel="1" x14ac:dyDescent="0.25">
      <c r="A81" s="34" t="s">
        <v>128</v>
      </c>
      <c r="B81" s="101">
        <f t="shared" si="18"/>
        <v>43540</v>
      </c>
      <c r="C81" s="34">
        <f t="shared" ref="C81:C83" si="21">+C80</f>
        <v>11</v>
      </c>
      <c r="D81" s="78">
        <v>42445</v>
      </c>
      <c r="E81" s="102">
        <f t="shared" si="19"/>
        <v>43540</v>
      </c>
      <c r="F81" s="92"/>
      <c r="G81" s="92">
        <v>2.1558000000000002</v>
      </c>
      <c r="H81" s="92">
        <v>1.7270000000000001</v>
      </c>
      <c r="I81" s="92">
        <v>1.2150000000000001</v>
      </c>
      <c r="J81" s="92">
        <v>1.8701000000000001</v>
      </c>
      <c r="K81" s="92">
        <v>3.0857000000000001</v>
      </c>
      <c r="L81" s="92">
        <v>3.2311000000000001</v>
      </c>
      <c r="M81" s="93">
        <v>3.6124999999999998</v>
      </c>
      <c r="N81" s="103">
        <v>3.2364000000000002</v>
      </c>
      <c r="O81" s="92">
        <v>2.2618999999999998</v>
      </c>
      <c r="P81" s="106">
        <v>1.1635</v>
      </c>
      <c r="Q81" s="92">
        <v>3.3624000000000001</v>
      </c>
      <c r="R81" s="92">
        <v>1.9961</v>
      </c>
      <c r="S81" s="92">
        <v>2.0211999999999999</v>
      </c>
      <c r="T81" s="92">
        <v>1.7511999999999999</v>
      </c>
      <c r="U81" s="92">
        <v>1.0422</v>
      </c>
      <c r="V81" s="92">
        <v>1.2964</v>
      </c>
      <c r="W81" s="92"/>
      <c r="X81" s="92">
        <v>0.73380000000000001</v>
      </c>
    </row>
    <row r="82" spans="1:33" outlineLevel="1" x14ac:dyDescent="0.25">
      <c r="A82" s="34" t="s">
        <v>128</v>
      </c>
      <c r="B82" s="101">
        <f t="shared" si="18"/>
        <v>43541</v>
      </c>
      <c r="C82" s="34">
        <f t="shared" si="21"/>
        <v>11</v>
      </c>
      <c r="D82" s="78">
        <v>42446</v>
      </c>
      <c r="E82" s="102">
        <f t="shared" si="19"/>
        <v>43541</v>
      </c>
      <c r="F82" s="92"/>
      <c r="G82" s="92">
        <v>2.1558000000000002</v>
      </c>
      <c r="H82" s="92">
        <v>1.7270000000000001</v>
      </c>
      <c r="I82" s="92">
        <v>1.2635000000000001</v>
      </c>
      <c r="J82" s="92">
        <v>1.8701000000000001</v>
      </c>
      <c r="K82" s="92">
        <v>3.0857000000000001</v>
      </c>
      <c r="L82" s="92">
        <v>3.2311000000000001</v>
      </c>
      <c r="M82" s="93">
        <v>3.6124999999999998</v>
      </c>
      <c r="N82" s="103">
        <v>3.2985000000000002</v>
      </c>
      <c r="O82" s="92">
        <v>2.2928999999999999</v>
      </c>
      <c r="P82" s="106">
        <v>1.2282999999999999</v>
      </c>
      <c r="Q82" s="92">
        <v>3.3624000000000001</v>
      </c>
      <c r="R82" s="92">
        <v>1.9961</v>
      </c>
      <c r="S82" s="92">
        <v>2.0211999999999999</v>
      </c>
      <c r="T82" s="92">
        <v>1.7132999999999998</v>
      </c>
      <c r="U82" s="92">
        <v>1.0701999999999998</v>
      </c>
      <c r="V82" s="92">
        <v>1.2604</v>
      </c>
      <c r="W82" s="92"/>
      <c r="X82" s="92">
        <v>0.74380000000000002</v>
      </c>
    </row>
    <row r="83" spans="1:33" outlineLevel="1" x14ac:dyDescent="0.25">
      <c r="A83" s="34" t="s">
        <v>128</v>
      </c>
      <c r="B83" s="101">
        <f t="shared" si="18"/>
        <v>43542</v>
      </c>
      <c r="C83" s="34">
        <f t="shared" si="21"/>
        <v>11</v>
      </c>
      <c r="D83" s="78">
        <v>42447</v>
      </c>
      <c r="E83" s="102">
        <f t="shared" si="19"/>
        <v>43542</v>
      </c>
      <c r="F83" s="92"/>
      <c r="G83" s="92">
        <v>2.1558000000000002</v>
      </c>
      <c r="H83" s="92">
        <v>1.7270000000000001</v>
      </c>
      <c r="I83" s="92">
        <v>1.2836000000000001</v>
      </c>
      <c r="J83" s="92">
        <v>1.8876999999999999</v>
      </c>
      <c r="K83" s="92">
        <v>3.0857000000000001</v>
      </c>
      <c r="L83" s="92">
        <v>3.2311000000000001</v>
      </c>
      <c r="M83" s="93">
        <v>3.6124999999999998</v>
      </c>
      <c r="N83" s="103">
        <v>3.2985000000000002</v>
      </c>
      <c r="O83" s="92">
        <v>2.266</v>
      </c>
      <c r="P83" s="106">
        <v>1.2504999999999999</v>
      </c>
      <c r="Q83" s="92">
        <v>3.2944999999999998</v>
      </c>
      <c r="R83" s="92">
        <v>2.0002</v>
      </c>
      <c r="S83" s="92">
        <v>2.0211999999999999</v>
      </c>
      <c r="T83" s="92">
        <v>1.7132999999999998</v>
      </c>
      <c r="U83" s="92">
        <v>1.0729</v>
      </c>
      <c r="V83" s="92">
        <v>1.2313999999999998</v>
      </c>
      <c r="W83" s="92"/>
      <c r="X83" s="92">
        <v>0.75180000000000002</v>
      </c>
    </row>
    <row r="84" spans="1:33" outlineLevel="1" x14ac:dyDescent="0.25">
      <c r="A84" s="34" t="s">
        <v>128</v>
      </c>
      <c r="B84" s="101">
        <f t="shared" si="18"/>
        <v>43543</v>
      </c>
      <c r="C84" s="34">
        <f t="shared" ref="C84:C112" si="22">+C77+1</f>
        <v>12</v>
      </c>
      <c r="D84" s="78">
        <v>42448</v>
      </c>
      <c r="E84" s="102">
        <f t="shared" si="19"/>
        <v>43543</v>
      </c>
      <c r="F84" s="92"/>
      <c r="G84" s="92">
        <v>2.1953999999999998</v>
      </c>
      <c r="H84" s="92">
        <v>1.7270000000000001</v>
      </c>
      <c r="I84" s="92">
        <v>1.2836000000000001</v>
      </c>
      <c r="J84" s="92">
        <v>1.8701000000000001</v>
      </c>
      <c r="K84" s="92">
        <v>3.0857000000000001</v>
      </c>
      <c r="L84" s="92">
        <v>3.2435</v>
      </c>
      <c r="M84" s="93">
        <v>3.6707000000000001</v>
      </c>
      <c r="N84" s="103">
        <v>3.2985000000000002</v>
      </c>
      <c r="O84" s="92">
        <v>2.266</v>
      </c>
      <c r="P84" s="106">
        <v>1.3483000000000001</v>
      </c>
      <c r="Q84" s="92">
        <v>3.3445</v>
      </c>
      <c r="R84" s="92">
        <v>2.0045000000000002</v>
      </c>
      <c r="S84" s="92">
        <v>1.9186999999999999</v>
      </c>
      <c r="T84" s="92">
        <v>1.7132999999999998</v>
      </c>
      <c r="U84" s="92">
        <v>1.0729</v>
      </c>
      <c r="V84" s="92">
        <v>1.1754</v>
      </c>
      <c r="W84" s="92"/>
      <c r="X84" s="92">
        <v>0.74880000000000002</v>
      </c>
    </row>
    <row r="85" spans="1:33" outlineLevel="1" x14ac:dyDescent="0.25">
      <c r="A85" s="34" t="s">
        <v>128</v>
      </c>
      <c r="B85" s="101">
        <f t="shared" si="18"/>
        <v>43544</v>
      </c>
      <c r="C85" s="34">
        <f>+C84</f>
        <v>12</v>
      </c>
      <c r="D85" s="78">
        <v>42449</v>
      </c>
      <c r="E85" s="102">
        <f t="shared" si="19"/>
        <v>43544</v>
      </c>
      <c r="F85" s="92"/>
      <c r="G85" s="92">
        <v>2.2158000000000002</v>
      </c>
      <c r="H85" s="92">
        <v>1.7270000000000001</v>
      </c>
      <c r="I85" s="92">
        <v>1.2836000000000001</v>
      </c>
      <c r="J85" s="92">
        <v>1.8701000000000001</v>
      </c>
      <c r="K85" s="92">
        <v>3.0857000000000001</v>
      </c>
      <c r="L85" s="92">
        <v>3.2435</v>
      </c>
      <c r="M85" s="93">
        <v>3.6598000000000002</v>
      </c>
      <c r="N85" s="103">
        <v>3.2601</v>
      </c>
      <c r="O85" s="92">
        <v>2.266</v>
      </c>
      <c r="P85" s="106">
        <v>1.3483000000000001</v>
      </c>
      <c r="Q85" s="92">
        <v>3.2088999999999999</v>
      </c>
      <c r="R85" s="92">
        <v>1.9927999999999999</v>
      </c>
      <c r="S85" s="92">
        <v>1.8789</v>
      </c>
      <c r="T85" s="92">
        <v>1.6982999999999999</v>
      </c>
      <c r="U85" s="92">
        <v>1.0729</v>
      </c>
      <c r="V85" s="92">
        <v>1.1754</v>
      </c>
      <c r="W85" s="92"/>
      <c r="X85" s="92">
        <v>0.74880000000000002</v>
      </c>
    </row>
    <row r="86" spans="1:33" outlineLevel="1" x14ac:dyDescent="0.25">
      <c r="A86" s="34" t="s">
        <v>128</v>
      </c>
      <c r="B86" s="101">
        <f t="shared" si="18"/>
        <v>43545</v>
      </c>
      <c r="C86" s="34">
        <f>+C85</f>
        <v>12</v>
      </c>
      <c r="D86" s="78">
        <v>42450</v>
      </c>
      <c r="E86" s="102">
        <f t="shared" si="19"/>
        <v>43545</v>
      </c>
      <c r="F86" s="92"/>
      <c r="G86" s="92">
        <v>2.2614999999999998</v>
      </c>
      <c r="H86" s="92">
        <v>1.7270000000000001</v>
      </c>
      <c r="I86" s="92">
        <v>1.2719</v>
      </c>
      <c r="J86" s="92">
        <v>1.8701000000000001</v>
      </c>
      <c r="K86" s="92">
        <v>3.0857000000000001</v>
      </c>
      <c r="L86" s="92">
        <v>3.2435</v>
      </c>
      <c r="M86" s="93">
        <v>3.6516000000000002</v>
      </c>
      <c r="N86" s="103">
        <v>3.2835000000000001</v>
      </c>
      <c r="O86" s="92">
        <v>2.2343999999999999</v>
      </c>
      <c r="P86" s="106">
        <v>1.3483000000000001</v>
      </c>
      <c r="Q86" s="92">
        <v>3.2243999999999997</v>
      </c>
      <c r="R86" s="92">
        <v>1.9744999999999999</v>
      </c>
      <c r="S86" s="92">
        <v>1.8596999999999999</v>
      </c>
      <c r="T86" s="92">
        <v>1.6765999999999999</v>
      </c>
      <c r="U86" s="92">
        <v>1.0820999999999998</v>
      </c>
      <c r="V86" s="92">
        <v>1.1754</v>
      </c>
      <c r="W86" s="92"/>
      <c r="X86" s="92">
        <v>0.74580000000000002</v>
      </c>
    </row>
    <row r="87" spans="1:33" outlineLevel="1" x14ac:dyDescent="0.25">
      <c r="A87" s="34" t="s">
        <v>128</v>
      </c>
      <c r="B87" s="101">
        <f t="shared" si="18"/>
        <v>43546</v>
      </c>
      <c r="C87" s="34">
        <f>+C86</f>
        <v>12</v>
      </c>
      <c r="D87" s="78">
        <v>42451</v>
      </c>
      <c r="E87" s="102">
        <f t="shared" si="19"/>
        <v>43546</v>
      </c>
      <c r="F87" s="92"/>
      <c r="G87" s="92">
        <v>2.3159999999999998</v>
      </c>
      <c r="H87" s="92">
        <v>1.7270000000000001</v>
      </c>
      <c r="I87" s="92">
        <v>1.2669999999999999</v>
      </c>
      <c r="J87" s="92">
        <v>1.8701000000000001</v>
      </c>
      <c r="K87" s="92">
        <v>3.0857000000000001</v>
      </c>
      <c r="L87" s="92">
        <v>3.2435</v>
      </c>
      <c r="M87" s="93">
        <v>3.6389999999999998</v>
      </c>
      <c r="N87" s="103">
        <v>3.3229000000000002</v>
      </c>
      <c r="O87" s="92">
        <v>2.2296</v>
      </c>
      <c r="P87" s="106">
        <v>1.3993</v>
      </c>
      <c r="Q87" s="92">
        <v>3.2243999999999997</v>
      </c>
      <c r="R87" s="92">
        <v>2.0112000000000001</v>
      </c>
      <c r="S87" s="92">
        <v>1.8205</v>
      </c>
      <c r="T87" s="92">
        <v>1.6872</v>
      </c>
      <c r="U87" s="92">
        <v>1.0740999999999998</v>
      </c>
      <c r="V87" s="92">
        <v>1.1003999999999998</v>
      </c>
      <c r="W87" s="92"/>
      <c r="X87" s="92">
        <v>0.74580000000000002</v>
      </c>
    </row>
    <row r="88" spans="1:33" outlineLevel="1" x14ac:dyDescent="0.25">
      <c r="A88" s="34" t="s">
        <v>128</v>
      </c>
      <c r="B88" s="101">
        <f t="shared" si="18"/>
        <v>43547</v>
      </c>
      <c r="C88" s="34">
        <f t="shared" ref="C88:C90" si="23">+C87</f>
        <v>12</v>
      </c>
      <c r="D88" s="78">
        <v>42452</v>
      </c>
      <c r="E88" s="102">
        <f t="shared" si="19"/>
        <v>43547</v>
      </c>
      <c r="F88" s="92"/>
      <c r="G88" s="92">
        <v>2.3035999999999999</v>
      </c>
      <c r="H88" s="92">
        <v>1.7270000000000001</v>
      </c>
      <c r="I88" s="92">
        <v>1.2841</v>
      </c>
      <c r="J88" s="92">
        <v>1.8701000000000001</v>
      </c>
      <c r="K88" s="92">
        <v>3.0857000000000001</v>
      </c>
      <c r="L88" s="92">
        <v>3.2435</v>
      </c>
      <c r="M88" s="93">
        <v>3.6073</v>
      </c>
      <c r="N88" s="103">
        <v>3.3104</v>
      </c>
      <c r="O88" s="92">
        <v>2.2490000000000001</v>
      </c>
      <c r="P88" s="106">
        <v>1.496</v>
      </c>
      <c r="Q88" s="92">
        <v>3.2243999999999997</v>
      </c>
      <c r="R88" s="92">
        <v>2.0112000000000001</v>
      </c>
      <c r="S88" s="92">
        <v>1.8546</v>
      </c>
      <c r="T88" s="92">
        <v>1.7212999999999998</v>
      </c>
      <c r="U88" s="92">
        <v>1.0826</v>
      </c>
      <c r="V88" s="92">
        <v>1.0705</v>
      </c>
      <c r="W88" s="92"/>
      <c r="X88" s="92">
        <v>0.74580000000000002</v>
      </c>
    </row>
    <row r="89" spans="1:33" outlineLevel="1" x14ac:dyDescent="0.25">
      <c r="A89" s="34" t="s">
        <v>128</v>
      </c>
      <c r="B89" s="101">
        <f t="shared" si="18"/>
        <v>43548</v>
      </c>
      <c r="C89" s="34">
        <f t="shared" si="23"/>
        <v>12</v>
      </c>
      <c r="D89" s="78">
        <v>42453</v>
      </c>
      <c r="E89" s="102">
        <f t="shared" si="19"/>
        <v>43548</v>
      </c>
      <c r="F89" s="92"/>
      <c r="G89" s="92">
        <v>2.3035999999999999</v>
      </c>
      <c r="H89" s="92">
        <v>1.6653</v>
      </c>
      <c r="I89" s="92">
        <v>1.2841</v>
      </c>
      <c r="J89" s="92">
        <v>1.8701000000000001</v>
      </c>
      <c r="K89" s="92">
        <v>3.0857000000000001</v>
      </c>
      <c r="L89" s="92">
        <v>3.2435</v>
      </c>
      <c r="M89" s="93">
        <v>3.6073</v>
      </c>
      <c r="N89" s="103">
        <v>3.3155999999999999</v>
      </c>
      <c r="O89" s="92">
        <v>2.2256999999999998</v>
      </c>
      <c r="P89" s="106">
        <v>1.5409999999999999</v>
      </c>
      <c r="Q89" s="92">
        <v>3.2109000000000001</v>
      </c>
      <c r="R89" s="92">
        <v>2.0112000000000001</v>
      </c>
      <c r="S89" s="92">
        <v>1.8546</v>
      </c>
      <c r="T89" s="92">
        <v>1.748</v>
      </c>
      <c r="U89" s="92">
        <v>1.0998999999999999</v>
      </c>
      <c r="V89" s="92">
        <v>1.0148999999999999</v>
      </c>
      <c r="W89" s="92"/>
      <c r="X89" s="92">
        <v>0.74580000000000002</v>
      </c>
    </row>
    <row r="90" spans="1:33" outlineLevel="1" x14ac:dyDescent="0.25">
      <c r="A90" s="34" t="s">
        <v>128</v>
      </c>
      <c r="B90" s="101">
        <f t="shared" si="18"/>
        <v>43549</v>
      </c>
      <c r="C90" s="34">
        <f t="shared" si="23"/>
        <v>12</v>
      </c>
      <c r="D90" s="78">
        <v>42454</v>
      </c>
      <c r="E90" s="102">
        <f t="shared" si="19"/>
        <v>43549</v>
      </c>
      <c r="F90" s="92"/>
      <c r="G90" s="92">
        <v>2.3035999999999999</v>
      </c>
      <c r="H90" s="92">
        <v>1.6653</v>
      </c>
      <c r="I90" s="92">
        <v>1.2733000000000001</v>
      </c>
      <c r="J90" s="92">
        <v>1.8701000000000001</v>
      </c>
      <c r="K90" s="92">
        <v>3.1206999999999998</v>
      </c>
      <c r="L90" s="92">
        <v>3.2768000000000002</v>
      </c>
      <c r="M90" s="93">
        <v>3.6073</v>
      </c>
      <c r="N90" s="103">
        <v>3.3155999999999999</v>
      </c>
      <c r="O90" s="92">
        <v>2.2372000000000001</v>
      </c>
      <c r="P90" s="106">
        <v>1.5085</v>
      </c>
      <c r="Q90" s="92">
        <v>3.2151000000000001</v>
      </c>
      <c r="R90" s="92">
        <v>2.0322</v>
      </c>
      <c r="S90" s="92">
        <v>1.8546</v>
      </c>
      <c r="T90" s="92">
        <v>1.748</v>
      </c>
      <c r="U90" s="92">
        <v>1.1049</v>
      </c>
      <c r="V90" s="92">
        <v>0.96940000000000004</v>
      </c>
      <c r="W90" s="92"/>
      <c r="X90" s="92">
        <v>0.75030000000000008</v>
      </c>
    </row>
    <row r="91" spans="1:33" outlineLevel="1" x14ac:dyDescent="0.25">
      <c r="A91" s="34" t="s">
        <v>128</v>
      </c>
      <c r="B91" s="101">
        <f t="shared" si="18"/>
        <v>43550</v>
      </c>
      <c r="C91" s="34">
        <f>+C84+1</f>
        <v>13</v>
      </c>
      <c r="D91" s="78">
        <v>42455</v>
      </c>
      <c r="E91" s="102">
        <f t="shared" si="19"/>
        <v>43550</v>
      </c>
      <c r="F91" s="92"/>
      <c r="G91" s="92">
        <v>2.3248000000000002</v>
      </c>
      <c r="H91" s="92">
        <v>1.6653</v>
      </c>
      <c r="I91" s="92">
        <v>1.2733000000000001</v>
      </c>
      <c r="J91" s="92">
        <v>1.8701000000000001</v>
      </c>
      <c r="K91" s="92">
        <v>3.1206999999999998</v>
      </c>
      <c r="L91" s="92">
        <v>3.2667999999999999</v>
      </c>
      <c r="M91" s="93">
        <v>3.64</v>
      </c>
      <c r="N91" s="103">
        <v>3.3155999999999999</v>
      </c>
      <c r="O91" s="92">
        <v>2.2372000000000001</v>
      </c>
      <c r="P91" s="106">
        <v>1.536</v>
      </c>
      <c r="Q91" s="92">
        <v>3.2033999999999998</v>
      </c>
      <c r="R91" s="92">
        <v>2.0897000000000001</v>
      </c>
      <c r="S91" s="92">
        <v>1.883</v>
      </c>
      <c r="T91" s="92">
        <v>1.748</v>
      </c>
      <c r="U91" s="92">
        <v>1.1049</v>
      </c>
      <c r="V91" s="92">
        <v>0.97440000000000004</v>
      </c>
      <c r="W91" s="92"/>
      <c r="X91" s="92">
        <v>0.75180000000000002</v>
      </c>
    </row>
    <row r="92" spans="1:33" outlineLevel="1" x14ac:dyDescent="0.25">
      <c r="A92" s="34" t="s">
        <v>128</v>
      </c>
      <c r="B92" s="101">
        <f t="shared" si="18"/>
        <v>43551</v>
      </c>
      <c r="C92" s="34">
        <f>+C91</f>
        <v>13</v>
      </c>
      <c r="D92" s="78">
        <v>42456</v>
      </c>
      <c r="E92" s="102">
        <f t="shared" si="19"/>
        <v>43551</v>
      </c>
      <c r="F92" s="92"/>
      <c r="G92" s="92">
        <v>2.3168000000000002</v>
      </c>
      <c r="H92" s="92">
        <v>1.6823999999999999</v>
      </c>
      <c r="I92" s="92">
        <v>1.2733000000000001</v>
      </c>
      <c r="J92" s="92">
        <v>1.8701000000000001</v>
      </c>
      <c r="K92" s="92">
        <v>3.12</v>
      </c>
      <c r="L92" s="92">
        <v>3.2568000000000001</v>
      </c>
      <c r="M92" s="93">
        <v>3.6562000000000001</v>
      </c>
      <c r="N92" s="103">
        <v>3.3159000000000001</v>
      </c>
      <c r="O92" s="92">
        <v>2.2372000000000001</v>
      </c>
      <c r="P92" s="106">
        <v>1.536</v>
      </c>
      <c r="Q92" s="92">
        <v>3.3071000000000002</v>
      </c>
      <c r="R92" s="92">
        <v>2.0796999999999999</v>
      </c>
      <c r="S92" s="92">
        <v>1.9115</v>
      </c>
      <c r="T92" s="92">
        <v>1.748</v>
      </c>
      <c r="U92" s="92">
        <v>1.1049</v>
      </c>
      <c r="V92" s="92">
        <v>0.97440000000000004</v>
      </c>
      <c r="W92" s="92"/>
      <c r="X92" s="92">
        <v>0.75609999999999999</v>
      </c>
    </row>
    <row r="93" spans="1:33" outlineLevel="1" x14ac:dyDescent="0.25">
      <c r="A93" s="34" t="s">
        <v>128</v>
      </c>
      <c r="B93" s="101">
        <f t="shared" si="18"/>
        <v>43552</v>
      </c>
      <c r="C93" s="34">
        <f>+C92</f>
        <v>13</v>
      </c>
      <c r="D93" s="78">
        <v>42457</v>
      </c>
      <c r="E93" s="102">
        <f t="shared" si="19"/>
        <v>43552</v>
      </c>
      <c r="F93" s="92"/>
      <c r="G93" s="92">
        <v>2.3411</v>
      </c>
      <c r="H93" s="92">
        <v>1.6832</v>
      </c>
      <c r="I93" s="92">
        <v>1.2475000000000001</v>
      </c>
      <c r="J93" s="92">
        <v>1.8701000000000001</v>
      </c>
      <c r="K93" s="92">
        <v>3.12</v>
      </c>
      <c r="L93" s="92">
        <v>3.2568000000000001</v>
      </c>
      <c r="M93" s="93">
        <v>3.6554000000000002</v>
      </c>
      <c r="N93" s="103">
        <v>3.3159000000000001</v>
      </c>
      <c r="O93" s="92">
        <v>2.2564000000000002</v>
      </c>
      <c r="P93" s="106">
        <v>1.536</v>
      </c>
      <c r="Q93" s="92">
        <v>3.3130999999999999</v>
      </c>
      <c r="R93" s="92">
        <v>2.1097000000000001</v>
      </c>
      <c r="S93" s="92">
        <v>1.9348999999999998</v>
      </c>
      <c r="T93" s="92">
        <v>1.7646999999999999</v>
      </c>
      <c r="U93" s="92">
        <v>1.1169</v>
      </c>
      <c r="V93" s="92">
        <v>0.97440000000000004</v>
      </c>
      <c r="W93" s="92"/>
      <c r="X93" s="92">
        <v>0.75660000000000005</v>
      </c>
    </row>
    <row r="94" spans="1:33" outlineLevel="1" x14ac:dyDescent="0.25">
      <c r="A94" s="34" t="s">
        <v>128</v>
      </c>
      <c r="B94" s="101">
        <f t="shared" si="18"/>
        <v>43553</v>
      </c>
      <c r="C94" s="34">
        <f>+C93</f>
        <v>13</v>
      </c>
      <c r="D94" s="78">
        <v>42458</v>
      </c>
      <c r="E94" s="102">
        <f t="shared" si="19"/>
        <v>43553</v>
      </c>
      <c r="F94" s="92"/>
      <c r="G94" s="92">
        <v>2.3365999999999998</v>
      </c>
      <c r="H94" s="92">
        <v>1.7105999999999999</v>
      </c>
      <c r="I94" s="92">
        <v>1.2606999999999999</v>
      </c>
      <c r="J94" s="92">
        <v>1.8088</v>
      </c>
      <c r="K94" s="92">
        <v>3.12</v>
      </c>
      <c r="L94" s="92">
        <v>3.2568000000000001</v>
      </c>
      <c r="M94" s="93">
        <v>3.6440000000000001</v>
      </c>
      <c r="N94" s="103">
        <v>3.3353999999999999</v>
      </c>
      <c r="O94" s="92">
        <v>2.2564000000000002</v>
      </c>
      <c r="P94" s="106">
        <v>1.5118</v>
      </c>
      <c r="Q94" s="92">
        <v>3.3130999999999999</v>
      </c>
      <c r="R94" s="92">
        <v>2.1637999999999997</v>
      </c>
      <c r="S94" s="92">
        <v>1.9471999999999998</v>
      </c>
      <c r="T94" s="92">
        <v>1.778</v>
      </c>
      <c r="U94" s="92">
        <v>1.1319999999999999</v>
      </c>
      <c r="V94" s="92">
        <v>0.98040000000000005</v>
      </c>
      <c r="W94" s="92"/>
      <c r="X94" s="92">
        <v>0.75660000000000005</v>
      </c>
    </row>
    <row r="95" spans="1:33" outlineLevel="1" x14ac:dyDescent="0.25">
      <c r="A95" s="34" t="s">
        <v>128</v>
      </c>
      <c r="B95" s="101">
        <f t="shared" si="18"/>
        <v>43554</v>
      </c>
      <c r="C95" s="34">
        <f t="shared" ref="C95:C97" si="24">+C94</f>
        <v>13</v>
      </c>
      <c r="D95" s="78">
        <v>42459</v>
      </c>
      <c r="E95" s="102">
        <f t="shared" si="19"/>
        <v>43554</v>
      </c>
      <c r="F95" s="92"/>
      <c r="G95" s="92">
        <v>2.3721999999999999</v>
      </c>
      <c r="H95" s="92">
        <v>1.7484999999999999</v>
      </c>
      <c r="I95" s="92">
        <v>1.2606999999999999</v>
      </c>
      <c r="J95" s="92">
        <v>1.8217000000000001</v>
      </c>
      <c r="K95" s="92">
        <v>3.1215999999999999</v>
      </c>
      <c r="L95" s="92">
        <v>3.2568000000000001</v>
      </c>
      <c r="M95" s="93">
        <v>3.6368</v>
      </c>
      <c r="N95" s="103">
        <v>3.3144</v>
      </c>
      <c r="O95" s="92">
        <v>2.3591000000000002</v>
      </c>
      <c r="P95" s="106">
        <v>1.4255</v>
      </c>
      <c r="Q95" s="92">
        <v>3.3130999999999999</v>
      </c>
      <c r="R95" s="92">
        <v>2.1637999999999997</v>
      </c>
      <c r="S95" s="92">
        <v>2.0009000000000001</v>
      </c>
      <c r="T95" s="92">
        <v>1.7963</v>
      </c>
      <c r="U95" s="92">
        <v>1.1484999999999999</v>
      </c>
      <c r="V95" s="92">
        <v>0.98540000000000005</v>
      </c>
      <c r="W95" s="92"/>
      <c r="X95" s="92">
        <v>0.75660000000000005</v>
      </c>
    </row>
    <row r="96" spans="1:33" outlineLevel="1" x14ac:dyDescent="0.25">
      <c r="A96" s="34" t="s">
        <v>128</v>
      </c>
      <c r="B96" s="101">
        <f t="shared" si="18"/>
        <v>43555</v>
      </c>
      <c r="C96" s="34">
        <f t="shared" si="24"/>
        <v>13</v>
      </c>
      <c r="D96" s="78">
        <v>42460</v>
      </c>
      <c r="E96" s="102">
        <f t="shared" si="19"/>
        <v>43555</v>
      </c>
      <c r="F96" s="92"/>
      <c r="G96" s="92">
        <v>2.3721999999999999</v>
      </c>
      <c r="H96" s="92">
        <v>1.7676000000000001</v>
      </c>
      <c r="I96" s="92">
        <v>1.2606999999999999</v>
      </c>
      <c r="J96" s="92">
        <v>1.8031999999999999</v>
      </c>
      <c r="K96" s="92">
        <v>3.0419999999999998</v>
      </c>
      <c r="L96" s="92">
        <v>3.2955999999999999</v>
      </c>
      <c r="M96" s="93">
        <v>3.6368</v>
      </c>
      <c r="N96" s="103">
        <v>3.3641999999999999</v>
      </c>
      <c r="O96" s="92">
        <v>2.3591000000000002</v>
      </c>
      <c r="P96" s="106">
        <v>1.4530000000000001</v>
      </c>
      <c r="Q96" s="92">
        <v>3.3376000000000001</v>
      </c>
      <c r="R96" s="92">
        <v>2.1637999999999997</v>
      </c>
      <c r="S96" s="92">
        <v>2.0009000000000001</v>
      </c>
      <c r="T96" s="92">
        <v>1.8808</v>
      </c>
      <c r="U96" s="92">
        <v>1.1556</v>
      </c>
      <c r="V96" s="92">
        <v>0.97940000000000005</v>
      </c>
      <c r="W96" s="92"/>
      <c r="X96" s="92">
        <v>0.75660000000000005</v>
      </c>
      <c r="AG96" s="103"/>
    </row>
    <row r="97" spans="1:24" outlineLevel="1" collapsed="1" x14ac:dyDescent="0.25">
      <c r="A97" s="34" t="s">
        <v>129</v>
      </c>
      <c r="B97" s="101">
        <f t="shared" si="18"/>
        <v>43556</v>
      </c>
      <c r="C97" s="34">
        <f t="shared" si="24"/>
        <v>13</v>
      </c>
      <c r="D97" s="78">
        <v>42461</v>
      </c>
      <c r="E97" s="102">
        <f t="shared" si="19"/>
        <v>43556</v>
      </c>
      <c r="F97" s="92"/>
      <c r="G97" s="92">
        <v>2.3721999999999999</v>
      </c>
      <c r="H97" s="92">
        <v>1.7676000000000001</v>
      </c>
      <c r="I97" s="92">
        <v>1.2367999999999999</v>
      </c>
      <c r="J97" s="92">
        <v>1.8673</v>
      </c>
      <c r="K97" s="92">
        <v>3.0419999999999998</v>
      </c>
      <c r="L97" s="92">
        <v>3.3452000000000002</v>
      </c>
      <c r="M97" s="93">
        <v>3.6368</v>
      </c>
      <c r="N97" s="103">
        <v>3.3641999999999999</v>
      </c>
      <c r="O97" s="92">
        <v>2.4483999999999999</v>
      </c>
      <c r="P97" s="106">
        <v>1.4704999999999999</v>
      </c>
      <c r="Q97" s="92">
        <v>3.2202999999999999</v>
      </c>
      <c r="R97" s="92">
        <v>2.1775000000000002</v>
      </c>
      <c r="S97" s="92">
        <v>2.0009000000000001</v>
      </c>
      <c r="T97" s="92">
        <v>1.8808</v>
      </c>
      <c r="U97" s="92">
        <v>1.1876</v>
      </c>
      <c r="V97" s="92">
        <v>0.95340000000000003</v>
      </c>
      <c r="W97" s="92"/>
      <c r="X97" s="92">
        <v>0.7591</v>
      </c>
    </row>
    <row r="98" spans="1:24" outlineLevel="1" x14ac:dyDescent="0.25">
      <c r="A98" s="34" t="s">
        <v>129</v>
      </c>
      <c r="B98" s="101">
        <f t="shared" si="18"/>
        <v>43557</v>
      </c>
      <c r="C98" s="34">
        <f t="shared" si="22"/>
        <v>14</v>
      </c>
      <c r="D98" s="78">
        <v>42462</v>
      </c>
      <c r="E98" s="102">
        <f t="shared" si="19"/>
        <v>43557</v>
      </c>
      <c r="F98" s="92"/>
      <c r="G98" s="92">
        <v>2.3736999999999999</v>
      </c>
      <c r="H98" s="92">
        <v>1.7676000000000001</v>
      </c>
      <c r="I98" s="92">
        <v>1.2367999999999999</v>
      </c>
      <c r="J98" s="92">
        <v>1.8031999999999999</v>
      </c>
      <c r="K98" s="92">
        <v>3.0419999999999998</v>
      </c>
      <c r="L98" s="92">
        <v>3.3677999999999999</v>
      </c>
      <c r="M98" s="93">
        <v>3.6505999999999998</v>
      </c>
      <c r="N98" s="103">
        <v>3.3641999999999999</v>
      </c>
      <c r="O98" s="92">
        <v>2.4483999999999999</v>
      </c>
      <c r="P98" s="106">
        <v>1.5654999999999999</v>
      </c>
      <c r="Q98" s="92">
        <v>3.1656</v>
      </c>
      <c r="R98" s="92">
        <v>2.1724999999999999</v>
      </c>
      <c r="S98" s="92">
        <v>2.0068999999999999</v>
      </c>
      <c r="T98" s="92">
        <v>1.8808</v>
      </c>
      <c r="U98" s="92">
        <v>1.1876</v>
      </c>
      <c r="V98" s="92">
        <v>0.9294</v>
      </c>
      <c r="W98" s="92"/>
      <c r="X98" s="92">
        <v>0.7661</v>
      </c>
    </row>
    <row r="99" spans="1:24" outlineLevel="1" x14ac:dyDescent="0.25">
      <c r="A99" s="34" t="s">
        <v>129</v>
      </c>
      <c r="B99" s="101">
        <f t="shared" si="18"/>
        <v>43558</v>
      </c>
      <c r="C99" s="34">
        <f>+C98</f>
        <v>14</v>
      </c>
      <c r="D99" s="78">
        <v>42463</v>
      </c>
      <c r="E99" s="102">
        <f t="shared" si="19"/>
        <v>43558</v>
      </c>
      <c r="F99" s="92"/>
      <c r="G99" s="92">
        <v>2.339</v>
      </c>
      <c r="H99" s="92">
        <v>1.7926</v>
      </c>
      <c r="I99" s="92">
        <v>1.2367999999999999</v>
      </c>
      <c r="J99" s="92">
        <v>1.8031999999999999</v>
      </c>
      <c r="K99" s="92">
        <v>3.0419999999999998</v>
      </c>
      <c r="L99" s="92">
        <v>3.2542</v>
      </c>
      <c r="M99" s="93">
        <v>3.7574999999999998</v>
      </c>
      <c r="N99" s="103">
        <v>3.3744999999999998</v>
      </c>
      <c r="O99" s="92">
        <v>2.4483999999999999</v>
      </c>
      <c r="P99" s="106">
        <v>1.5654999999999999</v>
      </c>
      <c r="Q99" s="92">
        <v>3.2431999999999999</v>
      </c>
      <c r="R99" s="92">
        <v>2.1629999999999998</v>
      </c>
      <c r="S99" s="92">
        <v>2.0486999999999997</v>
      </c>
      <c r="T99" s="92">
        <v>1.9682999999999999</v>
      </c>
      <c r="U99" s="92">
        <v>1.1876</v>
      </c>
      <c r="V99" s="92">
        <v>0.9294</v>
      </c>
      <c r="W99" s="92"/>
      <c r="X99" s="92">
        <v>0.77810000000000001</v>
      </c>
    </row>
    <row r="100" spans="1:24" outlineLevel="1" x14ac:dyDescent="0.25">
      <c r="A100" s="34" t="s">
        <v>129</v>
      </c>
      <c r="B100" s="101">
        <f t="shared" si="18"/>
        <v>43559</v>
      </c>
      <c r="C100" s="34">
        <f>+C99</f>
        <v>14</v>
      </c>
      <c r="D100" s="78">
        <v>42464</v>
      </c>
      <c r="E100" s="102">
        <f t="shared" si="19"/>
        <v>43559</v>
      </c>
      <c r="F100" s="92"/>
      <c r="G100" s="92">
        <v>2.3696000000000002</v>
      </c>
      <c r="H100" s="92">
        <v>1.7996000000000001</v>
      </c>
      <c r="I100" s="92">
        <v>1.2335</v>
      </c>
      <c r="J100" s="92">
        <v>1.8031999999999999</v>
      </c>
      <c r="K100" s="92">
        <v>3.0419999999999998</v>
      </c>
      <c r="L100" s="92">
        <v>3.2542</v>
      </c>
      <c r="M100" s="93">
        <v>3.7696999999999998</v>
      </c>
      <c r="N100" s="103">
        <v>3.4234</v>
      </c>
      <c r="O100" s="92">
        <v>2.4559000000000002</v>
      </c>
      <c r="P100" s="106">
        <v>1.5654999999999999</v>
      </c>
      <c r="Q100" s="92">
        <v>3.2321999999999997</v>
      </c>
      <c r="R100" s="92">
        <v>2.2096999999999998</v>
      </c>
      <c r="S100" s="92">
        <v>2.0457000000000001</v>
      </c>
      <c r="T100" s="92">
        <v>1.9932999999999998</v>
      </c>
      <c r="U100" s="92">
        <v>1.2555999999999998</v>
      </c>
      <c r="V100" s="92">
        <v>0.9294</v>
      </c>
      <c r="W100" s="92"/>
      <c r="X100" s="92">
        <v>0.77310000000000001</v>
      </c>
    </row>
    <row r="101" spans="1:24" outlineLevel="1" x14ac:dyDescent="0.25">
      <c r="A101" s="34" t="s">
        <v>129</v>
      </c>
      <c r="B101" s="101">
        <f t="shared" si="18"/>
        <v>43560</v>
      </c>
      <c r="C101" s="34">
        <f>+C100</f>
        <v>14</v>
      </c>
      <c r="D101" s="78">
        <v>42465</v>
      </c>
      <c r="E101" s="102">
        <f t="shared" si="19"/>
        <v>43560</v>
      </c>
      <c r="F101" s="92"/>
      <c r="G101" s="92">
        <v>2.3532000000000002</v>
      </c>
      <c r="H101" s="92">
        <v>1.8414999999999999</v>
      </c>
      <c r="I101" s="92">
        <v>1.2335</v>
      </c>
      <c r="J101" s="92">
        <v>1.8031999999999999</v>
      </c>
      <c r="K101" s="92">
        <v>3.0419999999999998</v>
      </c>
      <c r="L101" s="92">
        <v>3.2542</v>
      </c>
      <c r="M101" s="93">
        <v>3.7343999999999999</v>
      </c>
      <c r="N101" s="103">
        <v>3.4453999999999998</v>
      </c>
      <c r="O101" s="92">
        <v>2.5375999999999999</v>
      </c>
      <c r="P101" s="106">
        <v>1.5654999999999999</v>
      </c>
      <c r="Q101" s="92">
        <v>3.2321999999999997</v>
      </c>
      <c r="R101" s="92">
        <v>2.1779999999999999</v>
      </c>
      <c r="S101" s="92">
        <v>2.0644999999999998</v>
      </c>
      <c r="T101" s="92">
        <v>2.0213999999999999</v>
      </c>
      <c r="U101" s="92">
        <v>1.2489999999999999</v>
      </c>
      <c r="V101" s="92">
        <v>0.90939999999999999</v>
      </c>
      <c r="W101" s="92"/>
      <c r="X101" s="92">
        <v>0.77310000000000001</v>
      </c>
    </row>
    <row r="102" spans="1:24" outlineLevel="1" x14ac:dyDescent="0.25">
      <c r="A102" s="34" t="s">
        <v>129</v>
      </c>
      <c r="B102" s="101">
        <f t="shared" si="18"/>
        <v>43561</v>
      </c>
      <c r="C102" s="34">
        <f t="shared" ref="C102:C104" si="25">+C101</f>
        <v>14</v>
      </c>
      <c r="D102" s="78">
        <v>42466</v>
      </c>
      <c r="E102" s="102">
        <f t="shared" si="19"/>
        <v>43561</v>
      </c>
      <c r="F102" s="92"/>
      <c r="G102" s="92">
        <v>2.3532000000000002</v>
      </c>
      <c r="H102" s="92">
        <v>1.8782000000000001</v>
      </c>
      <c r="I102" s="92">
        <v>1.2335</v>
      </c>
      <c r="J102" s="92">
        <v>1.8836999999999999</v>
      </c>
      <c r="K102" s="92">
        <v>3.0419999999999998</v>
      </c>
      <c r="L102" s="92">
        <v>3.2542</v>
      </c>
      <c r="M102" s="93">
        <v>3.7433000000000001</v>
      </c>
      <c r="N102" s="103">
        <v>3.4493</v>
      </c>
      <c r="O102" s="92">
        <v>2.5749</v>
      </c>
      <c r="P102" s="106">
        <v>1.5605</v>
      </c>
      <c r="Q102" s="92">
        <v>3.2321999999999997</v>
      </c>
      <c r="R102" s="92">
        <v>2.1779999999999999</v>
      </c>
      <c r="S102" s="92">
        <v>2.0709999999999997</v>
      </c>
      <c r="T102" s="92">
        <v>2.0127000000000002</v>
      </c>
      <c r="U102" s="92">
        <v>1.2454999999999998</v>
      </c>
      <c r="V102" s="92">
        <v>0.89440000000000008</v>
      </c>
      <c r="W102" s="92"/>
      <c r="X102" s="92">
        <v>0.77310000000000001</v>
      </c>
    </row>
    <row r="103" spans="1:24" outlineLevel="1" x14ac:dyDescent="0.25">
      <c r="A103" s="34" t="s">
        <v>129</v>
      </c>
      <c r="B103" s="101">
        <f t="shared" si="18"/>
        <v>43562</v>
      </c>
      <c r="C103" s="34">
        <f t="shared" si="25"/>
        <v>14</v>
      </c>
      <c r="D103" s="78">
        <v>42467</v>
      </c>
      <c r="E103" s="102">
        <f t="shared" si="19"/>
        <v>43562</v>
      </c>
      <c r="F103" s="92"/>
      <c r="G103" s="92">
        <v>2.3532000000000002</v>
      </c>
      <c r="H103" s="92">
        <v>1.8997999999999999</v>
      </c>
      <c r="I103" s="92">
        <v>1.2335</v>
      </c>
      <c r="J103" s="92">
        <v>1.8983000000000001</v>
      </c>
      <c r="K103" s="92">
        <v>3.0419999999999998</v>
      </c>
      <c r="L103" s="92">
        <v>3.1943999999999999</v>
      </c>
      <c r="M103" s="93">
        <v>3.7433000000000001</v>
      </c>
      <c r="N103" s="103">
        <v>3.4668000000000001</v>
      </c>
      <c r="O103" s="92">
        <v>2.5581</v>
      </c>
      <c r="P103" s="106">
        <v>1.5455000000000001</v>
      </c>
      <c r="Q103" s="92">
        <v>3.3174000000000001</v>
      </c>
      <c r="R103" s="92">
        <v>2.1779999999999999</v>
      </c>
      <c r="S103" s="92">
        <v>2.0709999999999997</v>
      </c>
      <c r="T103" s="92">
        <v>1.9777</v>
      </c>
      <c r="U103" s="92">
        <v>1.2675000000000001</v>
      </c>
      <c r="V103" s="92">
        <v>0.88790000000000002</v>
      </c>
      <c r="W103" s="92"/>
      <c r="X103" s="92">
        <v>0.76660000000000006</v>
      </c>
    </row>
    <row r="104" spans="1:24" outlineLevel="1" x14ac:dyDescent="0.25">
      <c r="A104" s="34" t="s">
        <v>129</v>
      </c>
      <c r="B104" s="101">
        <f t="shared" si="18"/>
        <v>43563</v>
      </c>
      <c r="C104" s="34">
        <f t="shared" si="25"/>
        <v>14</v>
      </c>
      <c r="D104" s="78">
        <v>42468</v>
      </c>
      <c r="E104" s="102">
        <f t="shared" si="19"/>
        <v>43563</v>
      </c>
      <c r="F104" s="92"/>
      <c r="G104" s="92">
        <v>2.3532000000000002</v>
      </c>
      <c r="H104" s="92">
        <v>1.8997999999999999</v>
      </c>
      <c r="I104" s="92">
        <v>1.2335</v>
      </c>
      <c r="J104" s="92">
        <v>1.8331999999999999</v>
      </c>
      <c r="K104" s="92">
        <v>3.0419999999999998</v>
      </c>
      <c r="L104" s="92">
        <v>3.2227999999999999</v>
      </c>
      <c r="M104" s="93">
        <v>3.7433000000000001</v>
      </c>
      <c r="N104" s="103">
        <v>3.4668000000000001</v>
      </c>
      <c r="O104" s="92">
        <v>2.5272999999999999</v>
      </c>
      <c r="P104" s="106">
        <v>1.5805</v>
      </c>
      <c r="Q104" s="92">
        <v>3.4142999999999999</v>
      </c>
      <c r="R104" s="92">
        <v>2.1747000000000001</v>
      </c>
      <c r="S104" s="92">
        <v>2.0709999999999997</v>
      </c>
      <c r="T104" s="92">
        <v>1.9777</v>
      </c>
      <c r="U104" s="92">
        <v>1.3354999999999999</v>
      </c>
      <c r="V104" s="92">
        <v>0.88130000000000008</v>
      </c>
      <c r="W104" s="92"/>
      <c r="X104" s="92">
        <v>0.77810000000000001</v>
      </c>
    </row>
    <row r="105" spans="1:24" outlineLevel="1" x14ac:dyDescent="0.25">
      <c r="A105" s="34" t="s">
        <v>129</v>
      </c>
      <c r="B105" s="101">
        <f t="shared" si="18"/>
        <v>43564</v>
      </c>
      <c r="C105" s="34">
        <f>+C98+1</f>
        <v>15</v>
      </c>
      <c r="D105" s="78">
        <v>42469</v>
      </c>
      <c r="E105" s="102">
        <f t="shared" si="19"/>
        <v>43564</v>
      </c>
      <c r="F105" s="92"/>
      <c r="G105" s="92">
        <v>2.3668999999999998</v>
      </c>
      <c r="H105" s="92">
        <v>1.8997999999999999</v>
      </c>
      <c r="I105" s="92">
        <v>1.2335</v>
      </c>
      <c r="J105" s="92">
        <v>1.9013</v>
      </c>
      <c r="K105" s="92">
        <v>3.0434999999999999</v>
      </c>
      <c r="L105" s="92">
        <v>3.2109999999999999</v>
      </c>
      <c r="M105" s="93">
        <v>3.7416</v>
      </c>
      <c r="N105" s="103">
        <v>3.4668000000000001</v>
      </c>
      <c r="O105" s="92">
        <v>2.5272999999999999</v>
      </c>
      <c r="P105" s="106">
        <v>1.6134999999999999</v>
      </c>
      <c r="Q105" s="92">
        <v>3.4478</v>
      </c>
      <c r="R105" s="92">
        <v>2.1463000000000001</v>
      </c>
      <c r="S105" s="92">
        <v>2.0579000000000001</v>
      </c>
      <c r="T105" s="92">
        <v>1.9777</v>
      </c>
      <c r="U105" s="92">
        <v>1.3354999999999999</v>
      </c>
      <c r="V105" s="92">
        <v>0.87980000000000003</v>
      </c>
      <c r="W105" s="92"/>
      <c r="X105" s="92">
        <v>0.77360000000000007</v>
      </c>
    </row>
    <row r="106" spans="1:24" outlineLevel="1" x14ac:dyDescent="0.25">
      <c r="A106" s="34" t="s">
        <v>129</v>
      </c>
      <c r="B106" s="101">
        <f t="shared" si="18"/>
        <v>43565</v>
      </c>
      <c r="C106" s="34">
        <f>+C105</f>
        <v>15</v>
      </c>
      <c r="D106" s="78">
        <v>42470</v>
      </c>
      <c r="E106" s="102">
        <f t="shared" si="19"/>
        <v>43565</v>
      </c>
      <c r="F106" s="92"/>
      <c r="G106" s="92">
        <v>2.3826999999999998</v>
      </c>
      <c r="H106" s="92">
        <v>1.9196</v>
      </c>
      <c r="I106" s="92">
        <v>1.2335</v>
      </c>
      <c r="J106" s="92">
        <v>1.9013</v>
      </c>
      <c r="K106" s="92">
        <v>3.0703999999999998</v>
      </c>
      <c r="L106" s="92">
        <v>3.1913</v>
      </c>
      <c r="M106" s="93">
        <v>3.7265000000000001</v>
      </c>
      <c r="N106" s="103">
        <v>3.5733999999999999</v>
      </c>
      <c r="O106" s="92">
        <v>2.5272999999999999</v>
      </c>
      <c r="P106" s="106">
        <v>1.6134999999999999</v>
      </c>
      <c r="Q106" s="92">
        <v>3.5764</v>
      </c>
      <c r="R106" s="92">
        <v>2.1696999999999997</v>
      </c>
      <c r="S106" s="92">
        <v>2.1194999999999999</v>
      </c>
      <c r="T106" s="92">
        <v>1.9527999999999999</v>
      </c>
      <c r="U106" s="92">
        <v>1.3354999999999999</v>
      </c>
      <c r="V106" s="92">
        <v>0.87980000000000003</v>
      </c>
      <c r="W106" s="92"/>
      <c r="X106" s="92">
        <v>0.76360000000000006</v>
      </c>
    </row>
    <row r="107" spans="1:24" outlineLevel="1" x14ac:dyDescent="0.25">
      <c r="A107" s="34" t="s">
        <v>129</v>
      </c>
      <c r="B107" s="101">
        <f t="shared" si="18"/>
        <v>43566</v>
      </c>
      <c r="C107" s="34">
        <f>+C106</f>
        <v>15</v>
      </c>
      <c r="D107" s="78">
        <v>42471</v>
      </c>
      <c r="E107" s="102">
        <f t="shared" si="19"/>
        <v>43566</v>
      </c>
      <c r="F107" s="92"/>
      <c r="G107" s="92">
        <v>2.4481000000000002</v>
      </c>
      <c r="H107" s="92">
        <v>1.9075</v>
      </c>
      <c r="I107" s="92">
        <v>1.2972999999999999</v>
      </c>
      <c r="J107" s="92">
        <v>1.9013</v>
      </c>
      <c r="K107" s="92">
        <v>3.0703999999999998</v>
      </c>
      <c r="L107" s="92">
        <v>3.1960000000000002</v>
      </c>
      <c r="M107" s="93">
        <v>3.6806000000000001</v>
      </c>
      <c r="N107" s="103">
        <v>3.5179999999999998</v>
      </c>
      <c r="O107" s="92">
        <v>2.5668000000000002</v>
      </c>
      <c r="P107" s="106">
        <v>1.6134999999999999</v>
      </c>
      <c r="Q107" s="92">
        <v>3.54</v>
      </c>
      <c r="R107" s="92">
        <v>2.1947000000000001</v>
      </c>
      <c r="S107" s="92">
        <v>2.14</v>
      </c>
      <c r="T107" s="92">
        <v>1.9259999999999999</v>
      </c>
      <c r="U107" s="92">
        <v>1.3434999999999999</v>
      </c>
      <c r="V107" s="92">
        <v>0.87980000000000003</v>
      </c>
      <c r="W107" s="92"/>
      <c r="X107" s="92">
        <v>0.74180000000000001</v>
      </c>
    </row>
    <row r="108" spans="1:24" outlineLevel="1" x14ac:dyDescent="0.25">
      <c r="A108" s="34" t="s">
        <v>129</v>
      </c>
      <c r="B108" s="101">
        <f t="shared" si="18"/>
        <v>43567</v>
      </c>
      <c r="C108" s="34">
        <f>+C107</f>
        <v>15</v>
      </c>
      <c r="D108" s="78">
        <v>42472</v>
      </c>
      <c r="E108" s="102">
        <f t="shared" si="19"/>
        <v>43567</v>
      </c>
      <c r="F108" s="92"/>
      <c r="G108" s="92">
        <v>2.4727000000000001</v>
      </c>
      <c r="H108" s="92">
        <v>1.9238</v>
      </c>
      <c r="I108" s="92">
        <v>1.2982</v>
      </c>
      <c r="J108" s="92">
        <v>1.9189000000000001</v>
      </c>
      <c r="K108" s="92">
        <v>3.0703999999999998</v>
      </c>
      <c r="L108" s="92">
        <v>3.1960000000000002</v>
      </c>
      <c r="M108" s="93">
        <v>3.6341999999999999</v>
      </c>
      <c r="N108" s="103">
        <v>3.4371999999999998</v>
      </c>
      <c r="O108" s="92">
        <v>2.5710000000000002</v>
      </c>
      <c r="P108" s="106">
        <v>1.6234999999999999</v>
      </c>
      <c r="Q108" s="92">
        <v>3.54</v>
      </c>
      <c r="R108" s="92">
        <v>2.2347000000000001</v>
      </c>
      <c r="S108" s="92">
        <v>2.1429</v>
      </c>
      <c r="T108" s="92">
        <v>1.9297</v>
      </c>
      <c r="U108" s="92">
        <v>1.3684999999999998</v>
      </c>
      <c r="V108" s="92">
        <v>0.88130000000000008</v>
      </c>
      <c r="W108" s="92"/>
      <c r="X108" s="92">
        <v>0.74180000000000001</v>
      </c>
    </row>
    <row r="109" spans="1:24" outlineLevel="1" x14ac:dyDescent="0.25">
      <c r="A109" s="34" t="s">
        <v>129</v>
      </c>
      <c r="B109" s="101">
        <f t="shared" si="18"/>
        <v>43568</v>
      </c>
      <c r="C109" s="34">
        <f t="shared" ref="C109:C111" si="26">+C108</f>
        <v>15</v>
      </c>
      <c r="D109" s="78">
        <v>42473</v>
      </c>
      <c r="E109" s="102">
        <f t="shared" si="19"/>
        <v>43568</v>
      </c>
      <c r="F109" s="92"/>
      <c r="G109" s="92">
        <v>2.4466000000000001</v>
      </c>
      <c r="H109" s="92">
        <v>1.9306000000000001</v>
      </c>
      <c r="I109" s="92">
        <v>1.3493999999999999</v>
      </c>
      <c r="J109" s="92">
        <v>1.9286000000000001</v>
      </c>
      <c r="K109" s="92">
        <v>3.0840000000000001</v>
      </c>
      <c r="L109" s="92">
        <v>3.1960000000000002</v>
      </c>
      <c r="M109" s="93">
        <v>3.625</v>
      </c>
      <c r="N109" s="103">
        <v>3.4451999999999998</v>
      </c>
      <c r="O109" s="92">
        <v>2.5649999999999999</v>
      </c>
      <c r="P109" s="106">
        <v>1.6040000000000001</v>
      </c>
      <c r="Q109" s="92">
        <v>3.54</v>
      </c>
      <c r="R109" s="92">
        <v>2.2347000000000001</v>
      </c>
      <c r="S109" s="92">
        <v>2.1438999999999999</v>
      </c>
      <c r="T109" s="92">
        <v>1.9321999999999999</v>
      </c>
      <c r="U109" s="92">
        <v>1.3779999999999999</v>
      </c>
      <c r="V109" s="92">
        <v>0.89230000000000009</v>
      </c>
      <c r="W109" s="92"/>
      <c r="X109" s="92">
        <v>0.74180000000000001</v>
      </c>
    </row>
    <row r="110" spans="1:24" outlineLevel="1" x14ac:dyDescent="0.25">
      <c r="A110" s="34" t="s">
        <v>129</v>
      </c>
      <c r="B110" s="101">
        <f t="shared" si="18"/>
        <v>43569</v>
      </c>
      <c r="C110" s="34">
        <f t="shared" si="26"/>
        <v>15</v>
      </c>
      <c r="D110" s="78">
        <v>42474</v>
      </c>
      <c r="E110" s="102">
        <f t="shared" si="19"/>
        <v>43569</v>
      </c>
      <c r="F110" s="92"/>
      <c r="G110" s="92">
        <v>2.4466000000000001</v>
      </c>
      <c r="H110" s="92">
        <v>1.9198999999999999</v>
      </c>
      <c r="I110" s="92">
        <v>1.3406</v>
      </c>
      <c r="J110" s="92">
        <v>1.946</v>
      </c>
      <c r="K110" s="92">
        <v>3.1055999999999999</v>
      </c>
      <c r="L110" s="92">
        <v>3.0914999999999999</v>
      </c>
      <c r="M110" s="93">
        <v>3.625</v>
      </c>
      <c r="N110" s="103">
        <v>3.4279000000000002</v>
      </c>
      <c r="O110" s="92">
        <v>2.5945999999999998</v>
      </c>
      <c r="P110" s="106">
        <v>1.6134999999999999</v>
      </c>
      <c r="Q110" s="92">
        <v>3.5663999999999998</v>
      </c>
      <c r="R110" s="92">
        <v>2.2347000000000001</v>
      </c>
      <c r="S110" s="92">
        <v>2.1438999999999999</v>
      </c>
      <c r="T110" s="92">
        <v>1.946</v>
      </c>
      <c r="U110" s="92">
        <v>1.3759999999999999</v>
      </c>
      <c r="V110" s="92">
        <v>0.88430000000000009</v>
      </c>
      <c r="W110" s="92"/>
      <c r="X110" s="92">
        <v>0.71579999999999999</v>
      </c>
    </row>
    <row r="111" spans="1:24" outlineLevel="1" x14ac:dyDescent="0.25">
      <c r="A111" s="34" t="s">
        <v>129</v>
      </c>
      <c r="B111" s="101">
        <f t="shared" si="18"/>
        <v>43570</v>
      </c>
      <c r="C111" s="34">
        <f t="shared" si="26"/>
        <v>15</v>
      </c>
      <c r="D111" s="78">
        <v>42475</v>
      </c>
      <c r="E111" s="102">
        <f t="shared" si="19"/>
        <v>43570</v>
      </c>
      <c r="F111" s="92"/>
      <c r="G111" s="92">
        <v>2.4466000000000001</v>
      </c>
      <c r="H111" s="92">
        <v>1.9198999999999999</v>
      </c>
      <c r="I111" s="92">
        <v>1.3294999999999999</v>
      </c>
      <c r="J111" s="92">
        <v>2.0327000000000002</v>
      </c>
      <c r="K111" s="92">
        <v>3.1097000000000001</v>
      </c>
      <c r="L111" s="92">
        <v>3.0548999999999999</v>
      </c>
      <c r="M111" s="93">
        <v>3.625</v>
      </c>
      <c r="N111" s="103">
        <v>3.4279000000000002</v>
      </c>
      <c r="O111" s="92">
        <v>2.6034000000000002</v>
      </c>
      <c r="P111" s="106">
        <v>1.6160000000000001</v>
      </c>
      <c r="Q111" s="92">
        <v>3.5804999999999998</v>
      </c>
      <c r="R111" s="92">
        <v>2.2462999999999997</v>
      </c>
      <c r="S111" s="92">
        <v>2.1438999999999999</v>
      </c>
      <c r="T111" s="92">
        <v>1.946</v>
      </c>
      <c r="U111" s="92">
        <v>1.3591</v>
      </c>
      <c r="V111" s="92">
        <v>0.88380000000000003</v>
      </c>
      <c r="W111" s="92"/>
      <c r="X111" s="92">
        <v>0.7218</v>
      </c>
    </row>
    <row r="112" spans="1:24" outlineLevel="1" x14ac:dyDescent="0.25">
      <c r="A112" s="34" t="s">
        <v>129</v>
      </c>
      <c r="B112" s="101">
        <f t="shared" si="18"/>
        <v>43571</v>
      </c>
      <c r="C112" s="34">
        <f t="shared" si="22"/>
        <v>16</v>
      </c>
      <c r="D112" s="78">
        <v>42476</v>
      </c>
      <c r="E112" s="102">
        <f t="shared" si="19"/>
        <v>43571</v>
      </c>
      <c r="F112" s="92"/>
      <c r="G112" s="92">
        <v>2.4194</v>
      </c>
      <c r="H112" s="92">
        <v>1.9198999999999999</v>
      </c>
      <c r="I112" s="92">
        <v>1.3294999999999999</v>
      </c>
      <c r="J112" s="92">
        <v>2.0609000000000002</v>
      </c>
      <c r="K112" s="92">
        <v>3.1591999999999998</v>
      </c>
      <c r="L112" s="92">
        <v>3.0548999999999999</v>
      </c>
      <c r="M112" s="93">
        <v>3.6042999999999998</v>
      </c>
      <c r="N112" s="103">
        <v>3.4279000000000002</v>
      </c>
      <c r="O112" s="92">
        <v>2.6034000000000002</v>
      </c>
      <c r="P112" s="106">
        <v>1.6798</v>
      </c>
      <c r="Q112" s="92">
        <v>3.58</v>
      </c>
      <c r="R112" s="92">
        <v>2.2178999999999998</v>
      </c>
      <c r="S112" s="92">
        <v>2.1438999999999999</v>
      </c>
      <c r="T112" s="92">
        <v>1.946</v>
      </c>
      <c r="U112" s="92">
        <v>1.3591</v>
      </c>
      <c r="V112" s="92">
        <v>0.88380000000000003</v>
      </c>
      <c r="W112" s="92"/>
      <c r="X112" s="92">
        <v>0.71830000000000005</v>
      </c>
    </row>
    <row r="113" spans="1:33" outlineLevel="1" x14ac:dyDescent="0.25">
      <c r="A113" s="34" t="s">
        <v>129</v>
      </c>
      <c r="B113" s="101">
        <f t="shared" si="18"/>
        <v>43572</v>
      </c>
      <c r="C113" s="34">
        <f>+C112</f>
        <v>16</v>
      </c>
      <c r="D113" s="78">
        <v>42477</v>
      </c>
      <c r="E113" s="102">
        <f t="shared" si="19"/>
        <v>43572</v>
      </c>
      <c r="F113" s="92"/>
      <c r="G113" s="92">
        <v>2.4194</v>
      </c>
      <c r="H113" s="92">
        <v>1.9188000000000001</v>
      </c>
      <c r="I113" s="92">
        <v>1.3294999999999999</v>
      </c>
      <c r="J113" s="92">
        <v>2.0609000000000002</v>
      </c>
      <c r="K113" s="92">
        <v>3.1591999999999998</v>
      </c>
      <c r="L113" s="92">
        <v>3.0548999999999999</v>
      </c>
      <c r="M113" s="93">
        <v>3.5371999999999999</v>
      </c>
      <c r="N113" s="103">
        <v>3.4573</v>
      </c>
      <c r="O113" s="92">
        <v>2.6034000000000002</v>
      </c>
      <c r="P113" s="106">
        <v>1.6798</v>
      </c>
      <c r="Q113" s="92">
        <v>3.6124000000000001</v>
      </c>
      <c r="R113" s="92">
        <v>2.1997</v>
      </c>
      <c r="S113" s="92">
        <v>2.1848999999999998</v>
      </c>
      <c r="T113" s="92">
        <v>1.9337</v>
      </c>
      <c r="U113" s="92">
        <v>1.3591</v>
      </c>
      <c r="V113" s="92">
        <v>0.88380000000000003</v>
      </c>
      <c r="W113" s="92"/>
      <c r="X113" s="92">
        <v>0.73830000000000007</v>
      </c>
    </row>
    <row r="114" spans="1:33" outlineLevel="1" x14ac:dyDescent="0.25">
      <c r="A114" s="34" t="s">
        <v>129</v>
      </c>
      <c r="B114" s="101">
        <f t="shared" si="18"/>
        <v>43573</v>
      </c>
      <c r="C114" s="34">
        <f>+C113</f>
        <v>16</v>
      </c>
      <c r="D114" s="78">
        <v>42478</v>
      </c>
      <c r="E114" s="102">
        <f t="shared" si="19"/>
        <v>43573</v>
      </c>
      <c r="F114" s="92"/>
      <c r="G114" s="92">
        <v>2.4011</v>
      </c>
      <c r="H114" s="92">
        <v>1.8967000000000001</v>
      </c>
      <c r="I114" s="92">
        <v>1.2996000000000001</v>
      </c>
      <c r="J114" s="92">
        <v>2.0609000000000002</v>
      </c>
      <c r="K114" s="92">
        <v>3.1591999999999998</v>
      </c>
      <c r="L114" s="92">
        <v>3.0548999999999999</v>
      </c>
      <c r="M114" s="93">
        <v>3.5051000000000001</v>
      </c>
      <c r="N114" s="103">
        <v>3.4186999999999999</v>
      </c>
      <c r="O114" s="92">
        <v>2.5802</v>
      </c>
      <c r="P114" s="106">
        <v>1.6798</v>
      </c>
      <c r="Q114" s="92">
        <v>3.5798000000000001</v>
      </c>
      <c r="R114" s="92">
        <v>2.1922000000000001</v>
      </c>
      <c r="S114" s="92">
        <v>2.2265999999999999</v>
      </c>
      <c r="T114" s="92">
        <v>1.9238</v>
      </c>
      <c r="U114" s="92">
        <v>1.3508</v>
      </c>
      <c r="V114" s="92">
        <v>0.88380000000000003</v>
      </c>
      <c r="W114" s="92"/>
      <c r="X114" s="92">
        <v>0.74330000000000007</v>
      </c>
    </row>
    <row r="115" spans="1:33" outlineLevel="1" x14ac:dyDescent="0.25">
      <c r="A115" s="34" t="s">
        <v>129</v>
      </c>
      <c r="B115" s="101">
        <f t="shared" si="18"/>
        <v>43574</v>
      </c>
      <c r="C115" s="34">
        <f>+C114</f>
        <v>16</v>
      </c>
      <c r="D115" s="78">
        <v>42479</v>
      </c>
      <c r="E115" s="102">
        <f t="shared" si="19"/>
        <v>43574</v>
      </c>
      <c r="F115" s="92"/>
      <c r="G115" s="92">
        <v>2.4228000000000001</v>
      </c>
      <c r="H115" s="92">
        <v>1.8915</v>
      </c>
      <c r="I115" s="92">
        <v>1.3186</v>
      </c>
      <c r="J115" s="92">
        <v>2.0754999999999999</v>
      </c>
      <c r="K115" s="92">
        <v>3.1591999999999998</v>
      </c>
      <c r="L115" s="92">
        <v>3.0548999999999999</v>
      </c>
      <c r="M115" s="93">
        <v>3.4908999999999999</v>
      </c>
      <c r="N115" s="103">
        <v>3.4186999999999999</v>
      </c>
      <c r="O115" s="92">
        <v>2.5472999999999999</v>
      </c>
      <c r="P115" s="106">
        <v>1.6595</v>
      </c>
      <c r="Q115" s="92">
        <v>3.5798000000000001</v>
      </c>
      <c r="R115" s="92">
        <v>2.1938</v>
      </c>
      <c r="S115" s="92">
        <v>2.2605</v>
      </c>
      <c r="T115" s="92">
        <v>1.9350000000000001</v>
      </c>
      <c r="U115" s="92">
        <v>1.3397999999999999</v>
      </c>
      <c r="V115" s="92">
        <v>0.87770000000000004</v>
      </c>
      <c r="W115" s="92"/>
      <c r="X115" s="92">
        <v>0.74330000000000007</v>
      </c>
    </row>
    <row r="116" spans="1:33" outlineLevel="1" x14ac:dyDescent="0.25">
      <c r="A116" s="34" t="s">
        <v>129</v>
      </c>
      <c r="B116" s="101">
        <f t="shared" si="18"/>
        <v>43575</v>
      </c>
      <c r="C116" s="34">
        <f t="shared" ref="C116:C118" si="27">+C115</f>
        <v>16</v>
      </c>
      <c r="D116" s="78">
        <v>42480</v>
      </c>
      <c r="E116" s="102">
        <f t="shared" si="19"/>
        <v>43575</v>
      </c>
      <c r="F116" s="92"/>
      <c r="G116" s="92">
        <v>2.4516</v>
      </c>
      <c r="H116" s="92">
        <v>1.8915</v>
      </c>
      <c r="I116" s="92">
        <v>1.3307</v>
      </c>
      <c r="J116" s="92">
        <v>2.0524</v>
      </c>
      <c r="K116" s="92">
        <v>3.1591999999999998</v>
      </c>
      <c r="L116" s="92">
        <v>3.0548999999999999</v>
      </c>
      <c r="M116" s="93">
        <v>3.4679000000000002</v>
      </c>
      <c r="N116" s="103">
        <v>3.4668000000000001</v>
      </c>
      <c r="O116" s="92">
        <v>2.5667</v>
      </c>
      <c r="P116" s="106">
        <v>1.5748</v>
      </c>
      <c r="Q116" s="92">
        <v>3.5798000000000001</v>
      </c>
      <c r="R116" s="92">
        <v>2.1938</v>
      </c>
      <c r="S116" s="92">
        <v>2.2662999999999998</v>
      </c>
      <c r="T116" s="92">
        <v>1.925</v>
      </c>
      <c r="U116" s="92">
        <v>1.3397999999999999</v>
      </c>
      <c r="V116" s="92">
        <v>0.88370000000000004</v>
      </c>
      <c r="W116" s="92"/>
      <c r="X116" s="92">
        <v>0.74330000000000007</v>
      </c>
    </row>
    <row r="117" spans="1:33" outlineLevel="1" x14ac:dyDescent="0.25">
      <c r="A117" s="34" t="s">
        <v>129</v>
      </c>
      <c r="B117" s="101">
        <f t="shared" si="18"/>
        <v>43576</v>
      </c>
      <c r="C117" s="34">
        <f t="shared" si="27"/>
        <v>16</v>
      </c>
      <c r="D117" s="78">
        <v>42481</v>
      </c>
      <c r="E117" s="102">
        <f t="shared" si="19"/>
        <v>43576</v>
      </c>
      <c r="F117" s="92"/>
      <c r="G117" s="92">
        <v>2.4516</v>
      </c>
      <c r="H117" s="92">
        <v>1.8915</v>
      </c>
      <c r="I117" s="92">
        <v>1.4009</v>
      </c>
      <c r="J117" s="92">
        <v>2.0459000000000001</v>
      </c>
      <c r="K117" s="92">
        <v>3.1434000000000002</v>
      </c>
      <c r="L117" s="92">
        <v>2.9628999999999999</v>
      </c>
      <c r="M117" s="93">
        <v>3.4679000000000002</v>
      </c>
      <c r="N117" s="103">
        <v>3.4527000000000001</v>
      </c>
      <c r="O117" s="92">
        <v>2.5779999999999998</v>
      </c>
      <c r="P117" s="106">
        <v>1.5798000000000001</v>
      </c>
      <c r="Q117" s="92">
        <v>3.6334999999999997</v>
      </c>
      <c r="R117" s="92">
        <v>2.1938</v>
      </c>
      <c r="S117" s="92">
        <v>2.2662999999999998</v>
      </c>
      <c r="T117" s="92">
        <v>1.9187999999999998</v>
      </c>
      <c r="U117" s="92">
        <v>1.3357999999999999</v>
      </c>
      <c r="V117" s="92">
        <v>0.87420000000000009</v>
      </c>
      <c r="W117" s="92"/>
      <c r="X117" s="92">
        <v>0.74330000000000007</v>
      </c>
    </row>
    <row r="118" spans="1:33" outlineLevel="1" x14ac:dyDescent="0.25">
      <c r="A118" s="34" t="s">
        <v>129</v>
      </c>
      <c r="B118" s="101">
        <f t="shared" si="18"/>
        <v>43577</v>
      </c>
      <c r="C118" s="34">
        <f t="shared" si="27"/>
        <v>16</v>
      </c>
      <c r="D118" s="78">
        <v>42482</v>
      </c>
      <c r="E118" s="102">
        <f t="shared" si="19"/>
        <v>43577</v>
      </c>
      <c r="F118" s="92"/>
      <c r="G118" s="92">
        <v>2.4516</v>
      </c>
      <c r="H118" s="92">
        <v>1.8915</v>
      </c>
      <c r="I118" s="92">
        <v>1.3896999999999999</v>
      </c>
      <c r="J118" s="92">
        <v>2.0808</v>
      </c>
      <c r="K118" s="92">
        <v>3.1059000000000001</v>
      </c>
      <c r="L118" s="92">
        <v>2.9676999999999998</v>
      </c>
      <c r="M118" s="93">
        <v>3.4679000000000002</v>
      </c>
      <c r="N118" s="103">
        <v>3.4527000000000001</v>
      </c>
      <c r="O118" s="92">
        <v>2.5779999999999998</v>
      </c>
      <c r="P118" s="106">
        <v>1.546</v>
      </c>
      <c r="Q118" s="92">
        <v>3.653</v>
      </c>
      <c r="R118" s="92">
        <v>2.2121999999999997</v>
      </c>
      <c r="S118" s="92">
        <v>2.2662999999999998</v>
      </c>
      <c r="T118" s="92">
        <v>1.9187999999999998</v>
      </c>
      <c r="U118" s="92">
        <v>1.3597999999999999</v>
      </c>
      <c r="V118" s="92">
        <v>0.85170000000000001</v>
      </c>
      <c r="W118" s="92"/>
      <c r="X118" s="92">
        <v>0.74180000000000001</v>
      </c>
    </row>
    <row r="119" spans="1:33" outlineLevel="1" x14ac:dyDescent="0.25">
      <c r="A119" s="34" t="s">
        <v>129</v>
      </c>
      <c r="B119" s="101">
        <f t="shared" si="18"/>
        <v>43578</v>
      </c>
      <c r="C119" s="34">
        <f>+C112+1</f>
        <v>17</v>
      </c>
      <c r="D119" s="78">
        <v>42483</v>
      </c>
      <c r="E119" s="102">
        <f t="shared" si="19"/>
        <v>43578</v>
      </c>
      <c r="F119" s="92"/>
      <c r="G119" s="92">
        <v>2.4369999999999998</v>
      </c>
      <c r="H119" s="92">
        <v>1.8915</v>
      </c>
      <c r="I119" s="92">
        <v>1.3896999999999999</v>
      </c>
      <c r="J119" s="92">
        <v>2.1433</v>
      </c>
      <c r="K119" s="92">
        <v>3.1004</v>
      </c>
      <c r="L119" s="92">
        <v>2.9558</v>
      </c>
      <c r="M119" s="93">
        <v>3.4908000000000001</v>
      </c>
      <c r="N119" s="103">
        <v>3.4527000000000001</v>
      </c>
      <c r="O119" s="92">
        <v>2.5779999999999998</v>
      </c>
      <c r="P119" s="106">
        <v>1.5585</v>
      </c>
      <c r="Q119" s="92">
        <v>3.6339999999999999</v>
      </c>
      <c r="R119" s="92">
        <v>2.2330000000000001</v>
      </c>
      <c r="S119" s="92">
        <v>2.3258000000000001</v>
      </c>
      <c r="T119" s="92">
        <v>1.9187999999999998</v>
      </c>
      <c r="U119" s="92">
        <v>1.3597999999999999</v>
      </c>
      <c r="V119" s="92">
        <v>0.84870000000000001</v>
      </c>
      <c r="W119" s="92"/>
      <c r="X119" s="92">
        <v>0.73980000000000001</v>
      </c>
    </row>
    <row r="120" spans="1:33" outlineLevel="1" x14ac:dyDescent="0.25">
      <c r="A120" s="34" t="s">
        <v>129</v>
      </c>
      <c r="B120" s="101">
        <f t="shared" si="18"/>
        <v>43579</v>
      </c>
      <c r="C120" s="34">
        <f t="shared" ref="C120:C125" si="28">+C113+1</f>
        <v>17</v>
      </c>
      <c r="D120" s="78">
        <v>42484</v>
      </c>
      <c r="E120" s="102">
        <f t="shared" si="19"/>
        <v>43579</v>
      </c>
      <c r="F120" s="92"/>
      <c r="G120" s="92">
        <v>2.4369999999999998</v>
      </c>
      <c r="H120" s="92">
        <v>1.8915</v>
      </c>
      <c r="I120" s="92">
        <v>1.3896999999999999</v>
      </c>
      <c r="J120" s="92">
        <v>2.1433</v>
      </c>
      <c r="K120" s="92">
        <v>3.1091000000000002</v>
      </c>
      <c r="L120" s="92">
        <v>2.9857</v>
      </c>
      <c r="M120" s="93">
        <v>3.4615999999999998</v>
      </c>
      <c r="N120" s="103">
        <v>3.4527000000000001</v>
      </c>
      <c r="O120" s="92">
        <v>2.5779999999999998</v>
      </c>
      <c r="P120" s="106">
        <v>1.5585</v>
      </c>
      <c r="Q120" s="92">
        <v>3.589</v>
      </c>
      <c r="R120" s="92">
        <v>2.1812999999999998</v>
      </c>
      <c r="S120" s="92">
        <v>2.3180000000000001</v>
      </c>
      <c r="T120" s="92">
        <v>1.9043999999999999</v>
      </c>
      <c r="U120" s="92">
        <v>1.3597999999999999</v>
      </c>
      <c r="V120" s="92">
        <v>0.84870000000000001</v>
      </c>
      <c r="W120" s="92"/>
      <c r="X120" s="92">
        <v>0.74330000000000007</v>
      </c>
    </row>
    <row r="121" spans="1:33" outlineLevel="1" x14ac:dyDescent="0.25">
      <c r="A121" s="34" t="s">
        <v>129</v>
      </c>
      <c r="B121" s="101">
        <f t="shared" si="18"/>
        <v>43580</v>
      </c>
      <c r="C121" s="34">
        <f t="shared" si="28"/>
        <v>17</v>
      </c>
      <c r="D121" s="78">
        <v>42485</v>
      </c>
      <c r="E121" s="102">
        <f t="shared" si="19"/>
        <v>43580</v>
      </c>
      <c r="F121" s="92"/>
      <c r="G121" s="92">
        <v>2.4333999999999998</v>
      </c>
      <c r="H121" s="92">
        <v>1.8915</v>
      </c>
      <c r="I121" s="92">
        <v>1.4078999999999999</v>
      </c>
      <c r="J121" s="92">
        <v>2.1433</v>
      </c>
      <c r="K121" s="92">
        <v>3.1091000000000002</v>
      </c>
      <c r="L121" s="92">
        <v>3.0468000000000002</v>
      </c>
      <c r="M121" s="93">
        <v>3.4676999999999998</v>
      </c>
      <c r="N121" s="103">
        <v>3.4335</v>
      </c>
      <c r="O121" s="92">
        <v>2.5882000000000001</v>
      </c>
      <c r="P121" s="106">
        <v>1.5585</v>
      </c>
      <c r="Q121" s="92">
        <v>3.5737000000000001</v>
      </c>
      <c r="R121" s="92">
        <v>2.2612999999999999</v>
      </c>
      <c r="S121" s="92">
        <v>2.3388999999999998</v>
      </c>
      <c r="T121" s="92">
        <v>1.9005999999999998</v>
      </c>
      <c r="U121" s="92">
        <v>1.3653</v>
      </c>
      <c r="V121" s="92">
        <v>0.84870000000000001</v>
      </c>
      <c r="W121" s="92"/>
      <c r="X121" s="92">
        <v>0.75930000000000009</v>
      </c>
    </row>
    <row r="122" spans="1:33" outlineLevel="1" x14ac:dyDescent="0.25">
      <c r="A122" s="34" t="s">
        <v>129</v>
      </c>
      <c r="B122" s="101">
        <f t="shared" si="18"/>
        <v>43581</v>
      </c>
      <c r="C122" s="34">
        <f t="shared" si="28"/>
        <v>17</v>
      </c>
      <c r="D122" s="78">
        <v>42486</v>
      </c>
      <c r="E122" s="102">
        <f t="shared" si="19"/>
        <v>43581</v>
      </c>
      <c r="F122" s="92"/>
      <c r="G122" s="92">
        <v>2.4365000000000001</v>
      </c>
      <c r="H122" s="92">
        <v>1.8915</v>
      </c>
      <c r="I122" s="92">
        <v>1.4581999999999999</v>
      </c>
      <c r="J122" s="92">
        <v>2.1778</v>
      </c>
      <c r="K122" s="92">
        <v>3.1091000000000002</v>
      </c>
      <c r="L122" s="92">
        <v>3.0468000000000002</v>
      </c>
      <c r="M122" s="93">
        <v>3.5112999999999999</v>
      </c>
      <c r="N122" s="103">
        <v>3.4544000000000001</v>
      </c>
      <c r="O122" s="92">
        <v>2.5487000000000002</v>
      </c>
      <c r="P122" s="106">
        <v>1.6323000000000001</v>
      </c>
      <c r="Q122" s="92">
        <v>3.5737000000000001</v>
      </c>
      <c r="R122" s="92">
        <v>2.2805</v>
      </c>
      <c r="S122" s="92">
        <v>2.3464999999999998</v>
      </c>
      <c r="T122" s="92">
        <v>1.8618999999999999</v>
      </c>
      <c r="U122" s="92">
        <v>1.3747</v>
      </c>
      <c r="V122" s="92">
        <v>0.84970000000000001</v>
      </c>
      <c r="W122" s="92"/>
      <c r="X122" s="92">
        <v>0.75930000000000009</v>
      </c>
    </row>
    <row r="123" spans="1:33" outlineLevel="1" x14ac:dyDescent="0.25">
      <c r="A123" s="34" t="s">
        <v>129</v>
      </c>
      <c r="B123" s="101">
        <f t="shared" si="18"/>
        <v>43582</v>
      </c>
      <c r="C123" s="34">
        <f t="shared" si="28"/>
        <v>17</v>
      </c>
      <c r="D123" s="78">
        <v>42487</v>
      </c>
      <c r="E123" s="102">
        <f t="shared" si="19"/>
        <v>43582</v>
      </c>
      <c r="F123" s="92"/>
      <c r="G123" s="92">
        <v>2.4529000000000001</v>
      </c>
      <c r="H123" s="92">
        <v>1.8915</v>
      </c>
      <c r="I123" s="92">
        <v>1.46</v>
      </c>
      <c r="J123" s="92">
        <v>2.1760000000000002</v>
      </c>
      <c r="K123" s="92">
        <v>3.1415999999999999</v>
      </c>
      <c r="L123" s="92">
        <v>3.0468000000000002</v>
      </c>
      <c r="M123" s="93">
        <v>3.5427</v>
      </c>
      <c r="N123" s="103">
        <v>3.4863</v>
      </c>
      <c r="O123" s="92">
        <v>2.5409999999999999</v>
      </c>
      <c r="P123" s="106">
        <v>1.6052999999999999</v>
      </c>
      <c r="Q123" s="92">
        <v>3.5737000000000001</v>
      </c>
      <c r="R123" s="92">
        <v>2.2805</v>
      </c>
      <c r="S123" s="92">
        <v>2.3426</v>
      </c>
      <c r="T123" s="92">
        <v>1.8174999999999999</v>
      </c>
      <c r="U123" s="92">
        <v>1.4036999999999999</v>
      </c>
      <c r="V123" s="92">
        <v>0.8417</v>
      </c>
      <c r="W123" s="92"/>
      <c r="X123" s="92">
        <v>0.75930000000000009</v>
      </c>
    </row>
    <row r="124" spans="1:33" outlineLevel="1" x14ac:dyDescent="0.25">
      <c r="A124" s="34" t="s">
        <v>129</v>
      </c>
      <c r="B124" s="101">
        <f t="shared" si="18"/>
        <v>43583</v>
      </c>
      <c r="C124" s="34">
        <f t="shared" si="28"/>
        <v>17</v>
      </c>
      <c r="D124" s="78">
        <v>42488</v>
      </c>
      <c r="E124" s="102">
        <f t="shared" si="19"/>
        <v>43583</v>
      </c>
      <c r="F124" s="92"/>
      <c r="G124" s="92">
        <v>2.4529000000000001</v>
      </c>
      <c r="H124" s="92">
        <v>1.9161999999999999</v>
      </c>
      <c r="I124" s="92">
        <v>1.5102</v>
      </c>
      <c r="J124" s="92">
        <v>2.1717</v>
      </c>
      <c r="K124" s="92">
        <v>3.1456</v>
      </c>
      <c r="L124" s="92">
        <v>3.0493000000000001</v>
      </c>
      <c r="M124" s="93">
        <v>3.5427</v>
      </c>
      <c r="N124" s="103">
        <v>3.4939</v>
      </c>
      <c r="O124" s="92">
        <v>2.5305</v>
      </c>
      <c r="P124" s="106">
        <v>1.6040000000000001</v>
      </c>
      <c r="Q124" s="92">
        <v>3.6048</v>
      </c>
      <c r="R124" s="92">
        <v>2.2805</v>
      </c>
      <c r="S124" s="92">
        <v>2.3426</v>
      </c>
      <c r="T124" s="92">
        <v>1.7877999999999998</v>
      </c>
      <c r="U124" s="92">
        <v>1.4337</v>
      </c>
      <c r="V124" s="92">
        <v>0.83320000000000005</v>
      </c>
      <c r="W124" s="92"/>
      <c r="X124" s="92">
        <v>0.76030000000000009</v>
      </c>
    </row>
    <row r="125" spans="1:33" outlineLevel="1" x14ac:dyDescent="0.25">
      <c r="A125" s="34" t="s">
        <v>129</v>
      </c>
      <c r="B125" s="101">
        <f t="shared" si="18"/>
        <v>43584</v>
      </c>
      <c r="C125" s="34">
        <f t="shared" si="28"/>
        <v>17</v>
      </c>
      <c r="D125" s="78">
        <v>42489</v>
      </c>
      <c r="E125" s="102">
        <f t="shared" si="19"/>
        <v>43584</v>
      </c>
      <c r="F125" s="92"/>
      <c r="G125" s="92">
        <v>2.4529000000000001</v>
      </c>
      <c r="H125" s="92">
        <v>1.8915</v>
      </c>
      <c r="I125" s="92">
        <v>1.5415000000000001</v>
      </c>
      <c r="J125" s="92">
        <v>2.2065000000000001</v>
      </c>
      <c r="K125" s="92">
        <v>3.1456</v>
      </c>
      <c r="L125" s="92">
        <v>3.0326</v>
      </c>
      <c r="M125" s="93">
        <v>3.5427</v>
      </c>
      <c r="N125" s="103">
        <v>3.4939</v>
      </c>
      <c r="O125" s="92">
        <v>2.5405000000000002</v>
      </c>
      <c r="P125" s="106">
        <v>1.6328</v>
      </c>
      <c r="Q125" s="92">
        <v>3.5777999999999999</v>
      </c>
      <c r="R125" s="92">
        <v>2.2563</v>
      </c>
      <c r="S125" s="92">
        <v>2.3426</v>
      </c>
      <c r="T125" s="92">
        <v>1.7877999999999998</v>
      </c>
      <c r="U125" s="92">
        <v>1.4641999999999999</v>
      </c>
      <c r="V125" s="92">
        <v>0.84220000000000006</v>
      </c>
      <c r="W125" s="92"/>
      <c r="X125" s="92">
        <v>0.76430000000000009</v>
      </c>
    </row>
    <row r="126" spans="1:33" outlineLevel="1" x14ac:dyDescent="0.25">
      <c r="A126" s="34" t="s">
        <v>129</v>
      </c>
      <c r="B126" s="101">
        <f t="shared" si="18"/>
        <v>43585</v>
      </c>
      <c r="C126" s="34">
        <f>+C119+1</f>
        <v>18</v>
      </c>
      <c r="D126" s="78">
        <v>42490</v>
      </c>
      <c r="E126" s="102">
        <f t="shared" si="19"/>
        <v>43585</v>
      </c>
      <c r="F126" s="92"/>
      <c r="G126" s="92">
        <v>2.4708999999999999</v>
      </c>
      <c r="H126" s="92">
        <v>1.9161999999999999</v>
      </c>
      <c r="I126" s="92">
        <v>1.5415000000000001</v>
      </c>
      <c r="J126" s="92">
        <v>2.2664</v>
      </c>
      <c r="K126" s="92">
        <v>3.1456</v>
      </c>
      <c r="L126" s="92">
        <v>3.0112000000000001</v>
      </c>
      <c r="M126" s="93">
        <v>3.5611999999999999</v>
      </c>
      <c r="N126" s="103">
        <v>3.4939</v>
      </c>
      <c r="O126" s="92">
        <v>2.5405000000000002</v>
      </c>
      <c r="P126" s="106">
        <v>1.6328</v>
      </c>
      <c r="Q126" s="92">
        <v>3.5228999999999999</v>
      </c>
      <c r="R126" s="92">
        <v>2.2172000000000001</v>
      </c>
      <c r="S126" s="92">
        <v>2.3641999999999999</v>
      </c>
      <c r="T126" s="92">
        <v>1.7877999999999998</v>
      </c>
      <c r="U126" s="92">
        <v>1.4641999999999999</v>
      </c>
      <c r="V126" s="92">
        <v>0.84620000000000006</v>
      </c>
      <c r="W126" s="92"/>
      <c r="X126" s="92">
        <v>0.76280000000000003</v>
      </c>
      <c r="AF126" s="104"/>
      <c r="AG126" s="103"/>
    </row>
    <row r="127" spans="1:33" outlineLevel="1" collapsed="1" x14ac:dyDescent="0.25">
      <c r="A127" s="34" t="s">
        <v>68</v>
      </c>
      <c r="B127" s="101">
        <f t="shared" si="18"/>
        <v>43586</v>
      </c>
      <c r="C127" s="34">
        <f>+C126</f>
        <v>18</v>
      </c>
      <c r="D127" s="78">
        <v>42491</v>
      </c>
      <c r="E127" s="102">
        <f t="shared" si="19"/>
        <v>43586</v>
      </c>
      <c r="F127" s="92"/>
      <c r="G127" s="92">
        <v>2.464</v>
      </c>
      <c r="H127" s="92">
        <v>1.8058000000000001</v>
      </c>
      <c r="I127" s="92">
        <v>1.5415000000000001</v>
      </c>
      <c r="J127" s="92">
        <v>2.2664</v>
      </c>
      <c r="K127" s="92">
        <v>3.0983999999999998</v>
      </c>
      <c r="L127" s="92">
        <v>2.9710999999999999</v>
      </c>
      <c r="M127" s="93">
        <v>3.5611999999999999</v>
      </c>
      <c r="N127" s="103">
        <v>3.5327000000000002</v>
      </c>
      <c r="O127" s="92">
        <v>2.5405000000000002</v>
      </c>
      <c r="P127" s="106">
        <v>1.6328</v>
      </c>
      <c r="Q127" s="92">
        <v>3.4510000000000001</v>
      </c>
      <c r="R127" s="92">
        <v>2.2037999999999998</v>
      </c>
      <c r="S127" s="92">
        <v>2.4424999999999999</v>
      </c>
      <c r="T127" s="92">
        <v>1.7552999999999999</v>
      </c>
      <c r="U127" s="92">
        <v>1.4641999999999999</v>
      </c>
      <c r="V127" s="92">
        <v>0.84620000000000006</v>
      </c>
      <c r="W127" s="92"/>
      <c r="X127" s="92">
        <v>0.76280000000000003</v>
      </c>
    </row>
    <row r="128" spans="1:33" outlineLevel="1" x14ac:dyDescent="0.25">
      <c r="A128" s="34" t="s">
        <v>68</v>
      </c>
      <c r="B128" s="101">
        <f t="shared" si="18"/>
        <v>43587</v>
      </c>
      <c r="C128" s="34">
        <f>+C127</f>
        <v>18</v>
      </c>
      <c r="D128" s="78">
        <v>42492</v>
      </c>
      <c r="E128" s="102">
        <f t="shared" si="19"/>
        <v>43587</v>
      </c>
      <c r="F128" s="92"/>
      <c r="G128" s="92">
        <v>2.4359999999999999</v>
      </c>
      <c r="H128" s="92">
        <v>1.8058000000000001</v>
      </c>
      <c r="I128" s="92">
        <v>1.5333000000000001</v>
      </c>
      <c r="J128" s="92">
        <v>2.2664</v>
      </c>
      <c r="K128" s="92">
        <v>3.0983999999999998</v>
      </c>
      <c r="L128" s="92">
        <v>3.0548999999999999</v>
      </c>
      <c r="M128" s="93">
        <v>3.5861000000000001</v>
      </c>
      <c r="N128" s="103">
        <v>3.5335000000000001</v>
      </c>
      <c r="O128" s="92">
        <v>2.5345</v>
      </c>
      <c r="P128" s="106">
        <v>1.6328</v>
      </c>
      <c r="Q128" s="92">
        <v>3.3988999999999998</v>
      </c>
      <c r="R128" s="92">
        <v>2.1896999999999998</v>
      </c>
      <c r="S128" s="92">
        <v>2.4981</v>
      </c>
      <c r="T128" s="92">
        <v>1.7685999999999999</v>
      </c>
      <c r="U128" s="92">
        <v>1.5011999999999999</v>
      </c>
      <c r="V128" s="92">
        <v>0.84620000000000006</v>
      </c>
      <c r="W128" s="92"/>
      <c r="X128" s="92">
        <v>0.75830000000000009</v>
      </c>
    </row>
    <row r="129" spans="1:24" outlineLevel="1" x14ac:dyDescent="0.25">
      <c r="A129" s="34" t="s">
        <v>68</v>
      </c>
      <c r="B129" s="101">
        <f t="shared" si="18"/>
        <v>43588</v>
      </c>
      <c r="C129" s="34">
        <f>+C128</f>
        <v>18</v>
      </c>
      <c r="D129" s="78">
        <v>42493</v>
      </c>
      <c r="E129" s="102">
        <f t="shared" si="19"/>
        <v>43588</v>
      </c>
      <c r="F129" s="92"/>
      <c r="G129" s="92">
        <v>2.4563999999999999</v>
      </c>
      <c r="H129" s="92">
        <v>1.8058000000000001</v>
      </c>
      <c r="I129" s="92">
        <v>1.5229999999999999</v>
      </c>
      <c r="J129" s="92">
        <v>2.2597999999999998</v>
      </c>
      <c r="K129" s="92">
        <v>3.0983999999999998</v>
      </c>
      <c r="L129" s="92">
        <v>3.0548999999999999</v>
      </c>
      <c r="M129" s="93">
        <v>3.5661</v>
      </c>
      <c r="N129" s="103">
        <v>3.4956</v>
      </c>
      <c r="O129" s="92">
        <v>2.5501</v>
      </c>
      <c r="P129" s="106">
        <v>1.6372</v>
      </c>
      <c r="Q129" s="92">
        <v>3.3988999999999998</v>
      </c>
      <c r="R129" s="92">
        <v>2.1989000000000001</v>
      </c>
      <c r="S129" s="92">
        <v>2.452</v>
      </c>
      <c r="T129" s="92">
        <v>1.7575999999999998</v>
      </c>
      <c r="U129" s="92">
        <v>1.5141</v>
      </c>
      <c r="V129" s="92">
        <v>0.84179999999999999</v>
      </c>
      <c r="W129" s="92"/>
      <c r="X129" s="92">
        <v>0.75830000000000009</v>
      </c>
    </row>
    <row r="130" spans="1:24" outlineLevel="1" x14ac:dyDescent="0.25">
      <c r="A130" s="34" t="s">
        <v>68</v>
      </c>
      <c r="B130" s="101">
        <f t="shared" si="18"/>
        <v>43589</v>
      </c>
      <c r="C130" s="34">
        <f t="shared" ref="C130:C132" si="29">+C129</f>
        <v>18</v>
      </c>
      <c r="D130" s="78">
        <v>42494</v>
      </c>
      <c r="E130" s="102">
        <f t="shared" si="19"/>
        <v>43589</v>
      </c>
      <c r="F130" s="92"/>
      <c r="G130" s="92">
        <v>2.4563999999999999</v>
      </c>
      <c r="H130" s="92">
        <v>1.8058000000000001</v>
      </c>
      <c r="I130" s="92">
        <v>1.5185</v>
      </c>
      <c r="J130" s="92">
        <v>2.2511000000000001</v>
      </c>
      <c r="K130" s="92">
        <v>3.0983999999999998</v>
      </c>
      <c r="L130" s="92">
        <v>3.0548999999999999</v>
      </c>
      <c r="M130" s="93">
        <v>3.5038</v>
      </c>
      <c r="N130" s="103">
        <v>3.4554999999999998</v>
      </c>
      <c r="O130" s="92">
        <v>2.4746000000000001</v>
      </c>
      <c r="P130" s="106">
        <v>1.659</v>
      </c>
      <c r="Q130" s="92">
        <v>3.3988999999999998</v>
      </c>
      <c r="R130" s="92">
        <v>2.1989000000000001</v>
      </c>
      <c r="S130" s="92">
        <v>2.2921</v>
      </c>
      <c r="T130" s="92">
        <v>1.7383</v>
      </c>
      <c r="U130" s="92">
        <v>1.5586</v>
      </c>
      <c r="V130" s="92">
        <v>0.8478</v>
      </c>
      <c r="W130" s="92"/>
      <c r="X130" s="92">
        <v>0.75830000000000009</v>
      </c>
    </row>
    <row r="131" spans="1:24" outlineLevel="1" x14ac:dyDescent="0.25">
      <c r="A131" s="34" t="s">
        <v>68</v>
      </c>
      <c r="B131" s="101">
        <f t="shared" si="18"/>
        <v>43590</v>
      </c>
      <c r="C131" s="34">
        <f t="shared" si="29"/>
        <v>18</v>
      </c>
      <c r="D131" s="78">
        <v>42495</v>
      </c>
      <c r="E131" s="102">
        <f t="shared" si="19"/>
        <v>43590</v>
      </c>
      <c r="F131" s="92"/>
      <c r="G131" s="92">
        <v>2.4563999999999999</v>
      </c>
      <c r="H131" s="92">
        <v>1.8058000000000001</v>
      </c>
      <c r="I131" s="92">
        <v>1.5331999999999999</v>
      </c>
      <c r="J131" s="92">
        <v>2.2829999999999999</v>
      </c>
      <c r="K131" s="92">
        <v>3.0659000000000001</v>
      </c>
      <c r="L131" s="92">
        <v>3.0994999999999999</v>
      </c>
      <c r="M131" s="93">
        <v>3.5038</v>
      </c>
      <c r="N131" s="103">
        <v>3.4554999999999998</v>
      </c>
      <c r="O131" s="92">
        <v>2.4060000000000001</v>
      </c>
      <c r="P131" s="106">
        <v>1.6386000000000001</v>
      </c>
      <c r="Q131" s="92">
        <v>3.4956</v>
      </c>
      <c r="R131" s="92">
        <v>2.1989000000000001</v>
      </c>
      <c r="S131" s="92">
        <v>2.2921</v>
      </c>
      <c r="T131" s="92">
        <v>1.7107999999999999</v>
      </c>
      <c r="U131" s="92">
        <v>1.5800999999999998</v>
      </c>
      <c r="V131" s="92">
        <v>0.84179999999999999</v>
      </c>
      <c r="W131" s="92"/>
      <c r="X131" s="92">
        <v>0.75630000000000008</v>
      </c>
    </row>
    <row r="132" spans="1:24" outlineLevel="1" x14ac:dyDescent="0.25">
      <c r="A132" s="34" t="s">
        <v>68</v>
      </c>
      <c r="B132" s="101">
        <f t="shared" si="18"/>
        <v>43591</v>
      </c>
      <c r="C132" s="34">
        <f t="shared" si="29"/>
        <v>18</v>
      </c>
      <c r="D132" s="78">
        <v>42496</v>
      </c>
      <c r="E132" s="102">
        <f t="shared" si="19"/>
        <v>43591</v>
      </c>
      <c r="F132" s="92"/>
      <c r="G132" s="92">
        <v>2.4563999999999999</v>
      </c>
      <c r="H132" s="92">
        <v>1.8058000000000001</v>
      </c>
      <c r="I132" s="92">
        <v>1.534</v>
      </c>
      <c r="J132" s="92">
        <v>2.2865000000000002</v>
      </c>
      <c r="K132" s="92">
        <v>3.0783999999999998</v>
      </c>
      <c r="L132" s="92">
        <v>3.1423000000000001</v>
      </c>
      <c r="M132" s="93">
        <v>3.5038</v>
      </c>
      <c r="N132" s="103">
        <v>3.4554999999999998</v>
      </c>
      <c r="O132" s="92">
        <v>2.3401000000000001</v>
      </c>
      <c r="P132" s="106">
        <v>1.6711</v>
      </c>
      <c r="Q132" s="92">
        <v>3.5548000000000002</v>
      </c>
      <c r="R132" s="92">
        <v>2.1917999999999997</v>
      </c>
      <c r="S132" s="92">
        <v>2.2921</v>
      </c>
      <c r="T132" s="92">
        <v>1.7107999999999999</v>
      </c>
      <c r="U132" s="92">
        <v>1.5900999999999998</v>
      </c>
      <c r="V132" s="92">
        <v>0.83930000000000005</v>
      </c>
      <c r="W132" s="92"/>
      <c r="X132" s="92">
        <v>0.74930000000000008</v>
      </c>
    </row>
    <row r="133" spans="1:24" outlineLevel="1" x14ac:dyDescent="0.25">
      <c r="A133" s="34" t="s">
        <v>68</v>
      </c>
      <c r="B133" s="101">
        <f t="shared" si="18"/>
        <v>43592</v>
      </c>
      <c r="C133" s="34">
        <f t="shared" ref="C133:C147" si="30">+C126+1</f>
        <v>19</v>
      </c>
      <c r="D133" s="78">
        <v>42497</v>
      </c>
      <c r="E133" s="102">
        <f t="shared" si="19"/>
        <v>43592</v>
      </c>
      <c r="F133" s="92"/>
      <c r="G133" s="92">
        <v>2.4611000000000001</v>
      </c>
      <c r="H133" s="92">
        <v>1.8058000000000001</v>
      </c>
      <c r="I133" s="92">
        <v>1.534</v>
      </c>
      <c r="J133" s="92">
        <v>2.2728000000000002</v>
      </c>
      <c r="K133" s="92">
        <v>3.0783999999999998</v>
      </c>
      <c r="L133" s="92">
        <v>3.1673</v>
      </c>
      <c r="M133" s="93">
        <v>3.5038</v>
      </c>
      <c r="N133" s="103">
        <v>3.4554999999999998</v>
      </c>
      <c r="O133" s="92">
        <v>2.3401000000000001</v>
      </c>
      <c r="P133" s="106">
        <v>1.6822999999999999</v>
      </c>
      <c r="Q133" s="92">
        <v>3.5808</v>
      </c>
      <c r="R133" s="92">
        <v>2.1804999999999999</v>
      </c>
      <c r="S133" s="92">
        <v>2.2856000000000001</v>
      </c>
      <c r="T133" s="92">
        <v>1.7107999999999999</v>
      </c>
      <c r="U133" s="92">
        <v>1.5900999999999998</v>
      </c>
      <c r="V133" s="92">
        <v>0.82920000000000005</v>
      </c>
      <c r="W133" s="92"/>
      <c r="X133" s="92">
        <v>0.74530000000000007</v>
      </c>
    </row>
    <row r="134" spans="1:24" outlineLevel="1" x14ac:dyDescent="0.25">
      <c r="A134" s="34" t="s">
        <v>68</v>
      </c>
      <c r="B134" s="101">
        <f t="shared" si="18"/>
        <v>43593</v>
      </c>
      <c r="C134" s="34">
        <f>+C133</f>
        <v>19</v>
      </c>
      <c r="D134" s="78">
        <v>42498</v>
      </c>
      <c r="E134" s="102">
        <f t="shared" si="19"/>
        <v>43593</v>
      </c>
      <c r="F134" s="92"/>
      <c r="G134" s="92">
        <v>2.4815999999999998</v>
      </c>
      <c r="H134" s="92">
        <v>1.7476</v>
      </c>
      <c r="I134" s="92">
        <v>1.534</v>
      </c>
      <c r="J134" s="92">
        <v>2.2728000000000002</v>
      </c>
      <c r="K134" s="92">
        <v>3.1128999999999998</v>
      </c>
      <c r="L134" s="92">
        <v>3.1707999999999998</v>
      </c>
      <c r="M134" s="93">
        <v>3.4437000000000002</v>
      </c>
      <c r="N134" s="103">
        <v>3.4554999999999998</v>
      </c>
      <c r="O134" s="92">
        <v>2.3401000000000001</v>
      </c>
      <c r="P134" s="106">
        <v>1.6822999999999999</v>
      </c>
      <c r="Q134" s="92">
        <v>3.6577000000000002</v>
      </c>
      <c r="R134" s="92">
        <v>2.1749999999999998</v>
      </c>
      <c r="S134" s="92">
        <v>2.3243999999999998</v>
      </c>
      <c r="T134" s="92">
        <v>1.6976</v>
      </c>
      <c r="U134" s="92">
        <v>1.5900999999999998</v>
      </c>
      <c r="V134" s="92">
        <v>0.82920000000000005</v>
      </c>
      <c r="W134" s="92"/>
      <c r="X134" s="92">
        <v>0.74530000000000007</v>
      </c>
    </row>
    <row r="135" spans="1:24" outlineLevel="1" x14ac:dyDescent="0.25">
      <c r="A135" s="34" t="s">
        <v>68</v>
      </c>
      <c r="B135" s="101">
        <f t="shared" ref="B135:B198" si="31">E135</f>
        <v>43594</v>
      </c>
      <c r="C135" s="34">
        <f>+C134</f>
        <v>19</v>
      </c>
      <c r="D135" s="78">
        <v>42499</v>
      </c>
      <c r="E135" s="102">
        <f t="shared" ref="E135:E198" si="32">E134+1</f>
        <v>43594</v>
      </c>
      <c r="F135" s="92"/>
      <c r="G135" s="92">
        <v>2.4695</v>
      </c>
      <c r="H135" s="92">
        <v>1.7476</v>
      </c>
      <c r="I135" s="92">
        <v>1.5490999999999999</v>
      </c>
      <c r="J135" s="92">
        <v>2.2728000000000002</v>
      </c>
      <c r="K135" s="92">
        <v>3.1128999999999998</v>
      </c>
      <c r="L135" s="92">
        <v>3.2646999999999999</v>
      </c>
      <c r="M135" s="93">
        <v>3.44</v>
      </c>
      <c r="N135" s="103">
        <v>3.3262</v>
      </c>
      <c r="O135" s="92">
        <v>2.3016999999999999</v>
      </c>
      <c r="P135" s="106">
        <v>1.6822999999999999</v>
      </c>
      <c r="Q135" s="92">
        <v>3.7039</v>
      </c>
      <c r="R135" s="92">
        <v>2.1583999999999999</v>
      </c>
      <c r="S135" s="92">
        <v>2.3786</v>
      </c>
      <c r="T135" s="92">
        <v>1.6751</v>
      </c>
      <c r="U135" s="92">
        <v>1.6071</v>
      </c>
      <c r="V135" s="92">
        <v>0.82920000000000005</v>
      </c>
      <c r="W135" s="92"/>
      <c r="X135" s="92">
        <v>0.75570000000000004</v>
      </c>
    </row>
    <row r="136" spans="1:24" outlineLevel="1" x14ac:dyDescent="0.25">
      <c r="A136" s="34" t="s">
        <v>68</v>
      </c>
      <c r="B136" s="101">
        <f t="shared" si="31"/>
        <v>43595</v>
      </c>
      <c r="C136" s="34">
        <f>+C135</f>
        <v>19</v>
      </c>
      <c r="D136" s="78">
        <v>42500</v>
      </c>
      <c r="E136" s="102">
        <f t="shared" si="32"/>
        <v>43595</v>
      </c>
      <c r="F136" s="92"/>
      <c r="G136" s="92">
        <v>2.5135000000000001</v>
      </c>
      <c r="H136" s="92">
        <v>1.7476</v>
      </c>
      <c r="I136" s="92">
        <v>1.5443</v>
      </c>
      <c r="J136" s="92">
        <v>2.2770000000000001</v>
      </c>
      <c r="K136" s="92">
        <v>3.1128999999999998</v>
      </c>
      <c r="L136" s="92">
        <v>3.2646999999999999</v>
      </c>
      <c r="M136" s="93">
        <v>3.4908000000000001</v>
      </c>
      <c r="N136" s="103">
        <v>3.3915999999999999</v>
      </c>
      <c r="O136" s="92">
        <v>2.2907000000000002</v>
      </c>
      <c r="P136" s="106">
        <v>1.6973</v>
      </c>
      <c r="Q136" s="92">
        <v>3.7039</v>
      </c>
      <c r="R136" s="92">
        <v>2.1867000000000001</v>
      </c>
      <c r="S136" s="92">
        <v>2.4453999999999998</v>
      </c>
      <c r="T136" s="92">
        <v>1.6275999999999999</v>
      </c>
      <c r="U136" s="92">
        <v>1.5730999999999999</v>
      </c>
      <c r="V136" s="92">
        <v>0.82520000000000004</v>
      </c>
      <c r="W136" s="92"/>
      <c r="X136" s="92">
        <v>0.75570000000000004</v>
      </c>
    </row>
    <row r="137" spans="1:24" outlineLevel="1" x14ac:dyDescent="0.25">
      <c r="A137" s="34" t="s">
        <v>68</v>
      </c>
      <c r="B137" s="101">
        <f t="shared" si="31"/>
        <v>43596</v>
      </c>
      <c r="C137" s="34">
        <f t="shared" ref="C137:C139" si="33">+C136</f>
        <v>19</v>
      </c>
      <c r="D137" s="78">
        <v>42501</v>
      </c>
      <c r="E137" s="102">
        <f t="shared" si="32"/>
        <v>43596</v>
      </c>
      <c r="F137" s="92"/>
      <c r="G137" s="92">
        <v>2.5213000000000001</v>
      </c>
      <c r="H137" s="92">
        <v>1.7303999999999999</v>
      </c>
      <c r="I137" s="92">
        <v>1.5628</v>
      </c>
      <c r="J137" s="92">
        <v>2.2980999999999998</v>
      </c>
      <c r="K137" s="92">
        <v>3.0931999999999999</v>
      </c>
      <c r="L137" s="92">
        <v>3.2646999999999999</v>
      </c>
      <c r="M137" s="93">
        <v>3.5573999999999999</v>
      </c>
      <c r="N137" s="103">
        <v>3.3915999999999999</v>
      </c>
      <c r="O137" s="92">
        <v>2.3506999999999998</v>
      </c>
      <c r="P137" s="106">
        <v>1.6822999999999999</v>
      </c>
      <c r="Q137" s="92">
        <v>3.7039</v>
      </c>
      <c r="R137" s="92">
        <v>2.1867000000000001</v>
      </c>
      <c r="S137" s="92">
        <v>2.5004999999999997</v>
      </c>
      <c r="T137" s="92">
        <v>1.5596999999999999</v>
      </c>
      <c r="U137" s="92">
        <v>1.5685</v>
      </c>
      <c r="V137" s="92">
        <v>0.8197000000000001</v>
      </c>
      <c r="W137" s="92"/>
      <c r="X137" s="92">
        <v>0.75570000000000004</v>
      </c>
    </row>
    <row r="138" spans="1:24" outlineLevel="1" x14ac:dyDescent="0.25">
      <c r="A138" s="34" t="s">
        <v>68</v>
      </c>
      <c r="B138" s="101">
        <f t="shared" si="31"/>
        <v>43597</v>
      </c>
      <c r="C138" s="34">
        <f t="shared" si="33"/>
        <v>19</v>
      </c>
      <c r="D138" s="78">
        <v>42502</v>
      </c>
      <c r="E138" s="102">
        <f t="shared" si="32"/>
        <v>43597</v>
      </c>
      <c r="F138" s="92"/>
      <c r="G138" s="92">
        <v>2.5213000000000001</v>
      </c>
      <c r="H138" s="92">
        <v>1.7403999999999999</v>
      </c>
      <c r="I138" s="92">
        <v>1.6102000000000001</v>
      </c>
      <c r="J138" s="92">
        <v>2.3277999999999999</v>
      </c>
      <c r="K138" s="92">
        <v>3.1076999999999999</v>
      </c>
      <c r="L138" s="92">
        <v>3.2576000000000001</v>
      </c>
      <c r="M138" s="93">
        <v>3.5573999999999999</v>
      </c>
      <c r="N138" s="103">
        <v>3.3915999999999999</v>
      </c>
      <c r="O138" s="92">
        <v>2.3506999999999998</v>
      </c>
      <c r="P138" s="106">
        <v>1.6835</v>
      </c>
      <c r="Q138" s="92">
        <v>3.8370000000000002</v>
      </c>
      <c r="R138" s="92">
        <v>2.1867000000000001</v>
      </c>
      <c r="S138" s="92">
        <v>2.5004999999999997</v>
      </c>
      <c r="T138" s="92">
        <v>1.5194999999999999</v>
      </c>
      <c r="U138" s="92">
        <v>1.5610999999999999</v>
      </c>
      <c r="V138" s="92">
        <v>0.81370000000000009</v>
      </c>
      <c r="W138" s="92"/>
      <c r="X138" s="92">
        <v>0.75270000000000004</v>
      </c>
    </row>
    <row r="139" spans="1:24" outlineLevel="1" x14ac:dyDescent="0.25">
      <c r="A139" s="34" t="s">
        <v>68</v>
      </c>
      <c r="B139" s="101">
        <f t="shared" si="31"/>
        <v>43598</v>
      </c>
      <c r="C139" s="34">
        <f t="shared" si="33"/>
        <v>19</v>
      </c>
      <c r="D139" s="78">
        <v>42503</v>
      </c>
      <c r="E139" s="102">
        <f t="shared" si="32"/>
        <v>43598</v>
      </c>
      <c r="F139" s="92"/>
      <c r="G139" s="92">
        <v>2.5213000000000001</v>
      </c>
      <c r="H139" s="92">
        <v>1.7403999999999999</v>
      </c>
      <c r="I139" s="92">
        <v>1.6031</v>
      </c>
      <c r="J139" s="92">
        <v>2.3469000000000002</v>
      </c>
      <c r="K139" s="92">
        <v>3.1301999999999999</v>
      </c>
      <c r="L139" s="92">
        <v>3.2711999999999999</v>
      </c>
      <c r="M139" s="93">
        <v>3.5573999999999999</v>
      </c>
      <c r="N139" s="103">
        <v>3.3915999999999999</v>
      </c>
      <c r="O139" s="92">
        <v>2.3506999999999998</v>
      </c>
      <c r="P139" s="106">
        <v>1.6628000000000001</v>
      </c>
      <c r="Q139" s="92">
        <v>3.9239000000000002</v>
      </c>
      <c r="R139" s="92">
        <v>2.2166000000000001</v>
      </c>
      <c r="S139" s="92">
        <v>2.5004999999999997</v>
      </c>
      <c r="T139" s="92">
        <v>1.5194999999999999</v>
      </c>
      <c r="U139" s="92">
        <v>1.5690999999999999</v>
      </c>
      <c r="V139" s="92">
        <v>0.81470000000000009</v>
      </c>
      <c r="W139" s="92"/>
      <c r="X139" s="92">
        <v>0.74690000000000001</v>
      </c>
    </row>
    <row r="140" spans="1:24" outlineLevel="1" x14ac:dyDescent="0.25">
      <c r="A140" s="34" t="s">
        <v>68</v>
      </c>
      <c r="B140" s="101">
        <f t="shared" si="31"/>
        <v>43599</v>
      </c>
      <c r="C140" s="34">
        <f>+C133+1</f>
        <v>20</v>
      </c>
      <c r="D140" s="78">
        <v>42504</v>
      </c>
      <c r="E140" s="102">
        <f t="shared" si="32"/>
        <v>43599</v>
      </c>
      <c r="F140" s="92"/>
      <c r="G140" s="92">
        <v>2.5236000000000001</v>
      </c>
      <c r="H140" s="92">
        <v>1.7638</v>
      </c>
      <c r="I140" s="92">
        <v>1.6336999999999999</v>
      </c>
      <c r="J140" s="92">
        <v>2.3683999999999998</v>
      </c>
      <c r="K140" s="92">
        <v>3.1604999999999999</v>
      </c>
      <c r="L140" s="92">
        <v>3.2448999999999999</v>
      </c>
      <c r="M140" s="93">
        <v>3.5737999999999999</v>
      </c>
      <c r="N140" s="103">
        <v>3.3915999999999999</v>
      </c>
      <c r="O140" s="92">
        <v>2.3506999999999998</v>
      </c>
      <c r="P140" s="106">
        <v>1.661</v>
      </c>
      <c r="Q140" s="92">
        <v>3.9285000000000001</v>
      </c>
      <c r="R140" s="92">
        <v>2.1938</v>
      </c>
      <c r="S140" s="92">
        <v>2.4716</v>
      </c>
      <c r="T140" s="92">
        <v>1.5194999999999999</v>
      </c>
      <c r="U140" s="92">
        <v>1.5690999999999999</v>
      </c>
      <c r="V140" s="92">
        <v>0.82620000000000005</v>
      </c>
      <c r="W140" s="92"/>
      <c r="X140" s="92">
        <v>0.75580000000000003</v>
      </c>
    </row>
    <row r="141" spans="1:24" outlineLevel="1" x14ac:dyDescent="0.25">
      <c r="A141" s="34" t="s">
        <v>68</v>
      </c>
      <c r="B141" s="101">
        <f t="shared" si="31"/>
        <v>43600</v>
      </c>
      <c r="C141" s="34">
        <f>+C140</f>
        <v>20</v>
      </c>
      <c r="D141" s="78">
        <v>42505</v>
      </c>
      <c r="E141" s="102">
        <f t="shared" si="32"/>
        <v>43600</v>
      </c>
      <c r="F141" s="92"/>
      <c r="G141" s="92">
        <v>2.5451999999999999</v>
      </c>
      <c r="H141" s="92">
        <v>1.7638</v>
      </c>
      <c r="I141" s="92">
        <v>1.6336999999999999</v>
      </c>
      <c r="J141" s="92">
        <v>2.3683999999999998</v>
      </c>
      <c r="K141" s="92">
        <v>3.1320999999999999</v>
      </c>
      <c r="L141" s="92">
        <v>3.2050000000000001</v>
      </c>
      <c r="M141" s="93">
        <v>3.52</v>
      </c>
      <c r="N141" s="103">
        <v>3.3915999999999999</v>
      </c>
      <c r="O141" s="92">
        <v>2.3506999999999998</v>
      </c>
      <c r="P141" s="106">
        <v>1.661</v>
      </c>
      <c r="Q141" s="92">
        <v>3.8690000000000002</v>
      </c>
      <c r="R141" s="92">
        <v>2.2147000000000001</v>
      </c>
      <c r="S141" s="92">
        <v>2.3978999999999999</v>
      </c>
      <c r="T141" s="92">
        <v>1.5345</v>
      </c>
      <c r="U141" s="92">
        <v>1.5690999999999999</v>
      </c>
      <c r="V141" s="92">
        <v>0.82620000000000005</v>
      </c>
      <c r="W141" s="92"/>
      <c r="X141" s="92">
        <v>0.76719999999999999</v>
      </c>
    </row>
    <row r="142" spans="1:24" outlineLevel="1" x14ac:dyDescent="0.25">
      <c r="A142" s="34" t="s">
        <v>68</v>
      </c>
      <c r="B142" s="101">
        <f t="shared" si="31"/>
        <v>43601</v>
      </c>
      <c r="C142" s="34">
        <f>+C141</f>
        <v>20</v>
      </c>
      <c r="D142" s="78">
        <v>42506</v>
      </c>
      <c r="E142" s="102">
        <f t="shared" si="32"/>
        <v>43601</v>
      </c>
      <c r="F142" s="92"/>
      <c r="G142" s="92">
        <v>2.5432000000000001</v>
      </c>
      <c r="H142" s="92">
        <v>1.7664</v>
      </c>
      <c r="I142" s="92">
        <v>1.6336999999999999</v>
      </c>
      <c r="J142" s="92">
        <v>2.3683999999999998</v>
      </c>
      <c r="K142" s="92">
        <v>3.1320999999999999</v>
      </c>
      <c r="L142" s="92">
        <v>3.2271000000000001</v>
      </c>
      <c r="M142" s="93">
        <v>3.4758</v>
      </c>
      <c r="N142" s="103">
        <v>3.3704999999999998</v>
      </c>
      <c r="O142" s="92">
        <v>2.2696000000000001</v>
      </c>
      <c r="P142" s="106">
        <v>1.661</v>
      </c>
      <c r="Q142" s="92">
        <v>3.8809999999999998</v>
      </c>
      <c r="R142" s="92">
        <v>2.1997</v>
      </c>
      <c r="S142" s="92">
        <v>2.3805999999999998</v>
      </c>
      <c r="T142" s="92">
        <v>1.5269999999999999</v>
      </c>
      <c r="U142" s="92">
        <v>1.5610999999999999</v>
      </c>
      <c r="V142" s="92">
        <v>0.82620000000000005</v>
      </c>
      <c r="W142" s="92"/>
      <c r="X142" s="92">
        <v>0.76919999999999999</v>
      </c>
    </row>
    <row r="143" spans="1:24" outlineLevel="1" x14ac:dyDescent="0.25">
      <c r="A143" s="34" t="s">
        <v>68</v>
      </c>
      <c r="B143" s="101">
        <f t="shared" si="31"/>
        <v>43602</v>
      </c>
      <c r="C143" s="34">
        <f>+C142</f>
        <v>20</v>
      </c>
      <c r="D143" s="78">
        <v>42507</v>
      </c>
      <c r="E143" s="102">
        <f t="shared" si="32"/>
        <v>43602</v>
      </c>
      <c r="F143" s="92"/>
      <c r="G143" s="92">
        <v>2.5419999999999998</v>
      </c>
      <c r="H143" s="92">
        <v>1.7643</v>
      </c>
      <c r="I143" s="92">
        <v>1.6964999999999999</v>
      </c>
      <c r="J143" s="92">
        <v>2.3687</v>
      </c>
      <c r="K143" s="92">
        <v>3.1320999999999999</v>
      </c>
      <c r="L143" s="92">
        <v>3.2271000000000001</v>
      </c>
      <c r="M143" s="93">
        <v>3.3995000000000002</v>
      </c>
      <c r="N143" s="103">
        <v>3.3580999999999999</v>
      </c>
      <c r="O143" s="92">
        <v>2.1920000000000002</v>
      </c>
      <c r="P143" s="106">
        <v>1.5609999999999999</v>
      </c>
      <c r="Q143" s="92">
        <v>3.8809999999999998</v>
      </c>
      <c r="R143" s="92">
        <v>2.2721999999999998</v>
      </c>
      <c r="S143" s="92">
        <v>2.3761000000000001</v>
      </c>
      <c r="T143" s="92">
        <v>1.5457999999999998</v>
      </c>
      <c r="U143" s="92">
        <v>1.5190999999999999</v>
      </c>
      <c r="V143" s="92">
        <v>0.83020000000000005</v>
      </c>
      <c r="W143" s="92"/>
      <c r="X143" s="92">
        <v>0.76919999999999999</v>
      </c>
    </row>
    <row r="144" spans="1:24" outlineLevel="1" x14ac:dyDescent="0.25">
      <c r="A144" s="34" t="s">
        <v>68</v>
      </c>
      <c r="B144" s="101">
        <f t="shared" si="31"/>
        <v>43603</v>
      </c>
      <c r="C144" s="34">
        <f t="shared" ref="C144:C146" si="34">+C143</f>
        <v>20</v>
      </c>
      <c r="D144" s="78">
        <v>42508</v>
      </c>
      <c r="E144" s="102">
        <f t="shared" si="32"/>
        <v>43603</v>
      </c>
      <c r="F144" s="92"/>
      <c r="G144" s="92">
        <v>2.5533000000000001</v>
      </c>
      <c r="H144" s="92">
        <v>1.7726</v>
      </c>
      <c r="I144" s="92">
        <v>1.7332000000000001</v>
      </c>
      <c r="J144" s="92">
        <v>2.3538000000000001</v>
      </c>
      <c r="K144" s="92">
        <v>3.1472000000000002</v>
      </c>
      <c r="L144" s="92">
        <v>3.2271000000000001</v>
      </c>
      <c r="M144" s="93">
        <v>3.3426</v>
      </c>
      <c r="N144" s="103">
        <v>3.4251999999999998</v>
      </c>
      <c r="O144" s="92">
        <v>2.1516999999999999</v>
      </c>
      <c r="P144" s="106">
        <v>1.6125</v>
      </c>
      <c r="Q144" s="92">
        <v>3.8809999999999998</v>
      </c>
      <c r="R144" s="92">
        <v>2.2721999999999998</v>
      </c>
      <c r="S144" s="92">
        <v>2.3771</v>
      </c>
      <c r="T144" s="92">
        <v>1.542</v>
      </c>
      <c r="U144" s="92">
        <v>1.4936</v>
      </c>
      <c r="V144" s="92">
        <v>0.83020000000000005</v>
      </c>
      <c r="W144" s="92"/>
      <c r="X144" s="92">
        <v>0.76919999999999999</v>
      </c>
    </row>
    <row r="145" spans="1:33" outlineLevel="1" x14ac:dyDescent="0.25">
      <c r="A145" s="34" t="s">
        <v>68</v>
      </c>
      <c r="B145" s="101">
        <f t="shared" si="31"/>
        <v>43604</v>
      </c>
      <c r="C145" s="34">
        <f t="shared" si="34"/>
        <v>20</v>
      </c>
      <c r="D145" s="78">
        <v>42509</v>
      </c>
      <c r="E145" s="102">
        <f t="shared" si="32"/>
        <v>43604</v>
      </c>
      <c r="F145" s="92"/>
      <c r="G145" s="92">
        <v>2.5533000000000001</v>
      </c>
      <c r="H145" s="92">
        <v>1.7802</v>
      </c>
      <c r="I145" s="92">
        <v>1.7591000000000001</v>
      </c>
      <c r="J145" s="92">
        <v>2.3538000000000001</v>
      </c>
      <c r="K145" s="92">
        <v>3.1196999999999999</v>
      </c>
      <c r="L145" s="92">
        <v>3.2404000000000002</v>
      </c>
      <c r="M145" s="93">
        <v>3.3426</v>
      </c>
      <c r="N145" s="103">
        <v>3.4327999999999999</v>
      </c>
      <c r="O145" s="92">
        <v>2.1351</v>
      </c>
      <c r="P145" s="106">
        <v>1.6185</v>
      </c>
      <c r="Q145" s="92">
        <v>3.9914000000000001</v>
      </c>
      <c r="R145" s="92">
        <v>2.2721999999999998</v>
      </c>
      <c r="S145" s="92">
        <v>2.3771</v>
      </c>
      <c r="T145" s="92">
        <v>1.5389999999999999</v>
      </c>
      <c r="U145" s="92">
        <v>1.4756</v>
      </c>
      <c r="V145" s="92">
        <v>0.8256</v>
      </c>
      <c r="W145" s="92"/>
      <c r="X145" s="92">
        <v>0.7792</v>
      </c>
    </row>
    <row r="146" spans="1:33" outlineLevel="1" x14ac:dyDescent="0.25">
      <c r="A146" s="34" t="s">
        <v>68</v>
      </c>
      <c r="B146" s="101">
        <f t="shared" si="31"/>
        <v>43605</v>
      </c>
      <c r="C146" s="34">
        <f t="shared" si="34"/>
        <v>20</v>
      </c>
      <c r="D146" s="78">
        <v>42510</v>
      </c>
      <c r="E146" s="102">
        <f t="shared" si="32"/>
        <v>43605</v>
      </c>
      <c r="F146" s="92"/>
      <c r="G146" s="92">
        <v>2.5533000000000001</v>
      </c>
      <c r="H146" s="92">
        <v>1.7802</v>
      </c>
      <c r="I146" s="92">
        <v>1.7542</v>
      </c>
      <c r="J146" s="92">
        <v>2.3538000000000001</v>
      </c>
      <c r="K146" s="92">
        <v>3.1364000000000001</v>
      </c>
      <c r="L146" s="92">
        <v>3.2587999999999999</v>
      </c>
      <c r="M146" s="93">
        <v>3.3426</v>
      </c>
      <c r="N146" s="103">
        <v>3.4327999999999999</v>
      </c>
      <c r="O146" s="92">
        <v>2.1194999999999999</v>
      </c>
      <c r="P146" s="106">
        <v>1.6659999999999999</v>
      </c>
      <c r="Q146" s="92">
        <v>3.9325000000000001</v>
      </c>
      <c r="R146" s="92">
        <v>2.2563</v>
      </c>
      <c r="S146" s="92">
        <v>2.3771</v>
      </c>
      <c r="T146" s="92">
        <v>1.5389999999999999</v>
      </c>
      <c r="U146" s="92">
        <v>1.4565999999999999</v>
      </c>
      <c r="V146" s="92">
        <v>0.8286</v>
      </c>
      <c r="W146" s="92"/>
      <c r="X146" s="92">
        <v>0.78320000000000001</v>
      </c>
    </row>
    <row r="147" spans="1:33" outlineLevel="1" x14ac:dyDescent="0.25">
      <c r="A147" s="34" t="s">
        <v>68</v>
      </c>
      <c r="B147" s="101">
        <f t="shared" si="31"/>
        <v>43606</v>
      </c>
      <c r="C147" s="34">
        <f t="shared" si="30"/>
        <v>21</v>
      </c>
      <c r="D147" s="78">
        <v>42511</v>
      </c>
      <c r="E147" s="102">
        <f t="shared" si="32"/>
        <v>43606</v>
      </c>
      <c r="F147" s="92"/>
      <c r="G147" s="92">
        <v>2.5404</v>
      </c>
      <c r="H147" s="92">
        <v>1.7802</v>
      </c>
      <c r="I147" s="92">
        <v>1.7542</v>
      </c>
      <c r="J147" s="92">
        <v>2.3782000000000001</v>
      </c>
      <c r="K147" s="92">
        <v>3.1522999999999999</v>
      </c>
      <c r="L147" s="92">
        <v>3.2050000000000001</v>
      </c>
      <c r="M147" s="93">
        <v>3.3203</v>
      </c>
      <c r="N147" s="103">
        <v>3.4327999999999999</v>
      </c>
      <c r="O147" s="92">
        <v>2.1194999999999999</v>
      </c>
      <c r="P147" s="106">
        <v>1.651</v>
      </c>
      <c r="Q147" s="92">
        <v>4.0225</v>
      </c>
      <c r="R147" s="92">
        <v>2.2696999999999998</v>
      </c>
      <c r="S147" s="92">
        <v>2.3630999999999998</v>
      </c>
      <c r="T147" s="92">
        <v>1.5389999999999999</v>
      </c>
      <c r="U147" s="92">
        <v>1.4565999999999999</v>
      </c>
      <c r="V147" s="92">
        <v>0.83510000000000006</v>
      </c>
      <c r="W147" s="92"/>
      <c r="X147" s="92">
        <v>0.7792</v>
      </c>
    </row>
    <row r="148" spans="1:33" outlineLevel="1" x14ac:dyDescent="0.25">
      <c r="A148" s="34" t="s">
        <v>68</v>
      </c>
      <c r="B148" s="101">
        <f t="shared" si="31"/>
        <v>43607</v>
      </c>
      <c r="C148" s="34">
        <f>+C147</f>
        <v>21</v>
      </c>
      <c r="D148" s="78">
        <v>42512</v>
      </c>
      <c r="E148" s="102">
        <f t="shared" si="32"/>
        <v>43607</v>
      </c>
      <c r="F148" s="92"/>
      <c r="G148" s="92">
        <v>2.5632999999999999</v>
      </c>
      <c r="H148" s="92">
        <v>1.8120000000000001</v>
      </c>
      <c r="I148" s="92">
        <v>1.7542</v>
      </c>
      <c r="J148" s="92">
        <v>2.3782000000000001</v>
      </c>
      <c r="K148" s="92">
        <v>3.1743999999999999</v>
      </c>
      <c r="L148" s="92">
        <v>3.2050000000000001</v>
      </c>
      <c r="M148" s="93">
        <v>3.2705000000000002</v>
      </c>
      <c r="N148" s="103">
        <v>3.4615</v>
      </c>
      <c r="O148" s="92">
        <v>2.1194999999999999</v>
      </c>
      <c r="P148" s="106">
        <v>1.651</v>
      </c>
      <c r="Q148" s="92">
        <v>4.1159999999999997</v>
      </c>
      <c r="R148" s="92">
        <v>2.2302</v>
      </c>
      <c r="S148" s="92">
        <v>2.3759999999999999</v>
      </c>
      <c r="T148" s="92">
        <v>1.5508</v>
      </c>
      <c r="U148" s="92">
        <v>1.4565999999999999</v>
      </c>
      <c r="V148" s="92">
        <v>0.83510000000000006</v>
      </c>
      <c r="W148" s="92"/>
      <c r="X148" s="92">
        <v>0.77600000000000002</v>
      </c>
    </row>
    <row r="149" spans="1:33" outlineLevel="1" x14ac:dyDescent="0.25">
      <c r="A149" s="34" t="s">
        <v>68</v>
      </c>
      <c r="B149" s="101">
        <f t="shared" si="31"/>
        <v>43608</v>
      </c>
      <c r="C149" s="34">
        <f>+C148</f>
        <v>21</v>
      </c>
      <c r="D149" s="78">
        <v>42513</v>
      </c>
      <c r="E149" s="102">
        <f t="shared" si="32"/>
        <v>43608</v>
      </c>
      <c r="F149" s="92"/>
      <c r="G149" s="92">
        <v>2.5796999999999999</v>
      </c>
      <c r="H149" s="92">
        <v>1.8270999999999999</v>
      </c>
      <c r="I149" s="92">
        <v>1.7753000000000001</v>
      </c>
      <c r="J149" s="92">
        <v>2.3782000000000001</v>
      </c>
      <c r="K149" s="92">
        <v>3.1743999999999999</v>
      </c>
      <c r="L149" s="92">
        <v>3.2279</v>
      </c>
      <c r="M149" s="93">
        <v>3.2122999999999999</v>
      </c>
      <c r="N149" s="103">
        <v>3.3956</v>
      </c>
      <c r="O149" s="92">
        <v>2.1128999999999998</v>
      </c>
      <c r="P149" s="106">
        <v>1.651</v>
      </c>
      <c r="Q149" s="92">
        <v>4.1353</v>
      </c>
      <c r="R149" s="92">
        <v>2.2464999999999997</v>
      </c>
      <c r="S149" s="92">
        <v>2.4319999999999999</v>
      </c>
      <c r="T149" s="92">
        <v>1.5508</v>
      </c>
      <c r="U149" s="92">
        <v>1.4125999999999999</v>
      </c>
      <c r="V149" s="92">
        <v>0.83510000000000006</v>
      </c>
      <c r="W149" s="92"/>
      <c r="X149" s="92">
        <v>0.76440000000000008</v>
      </c>
    </row>
    <row r="150" spans="1:33" outlineLevel="1" x14ac:dyDescent="0.25">
      <c r="A150" s="34" t="s">
        <v>68</v>
      </c>
      <c r="B150" s="101">
        <f t="shared" si="31"/>
        <v>43609</v>
      </c>
      <c r="C150" s="34">
        <f>+C149</f>
        <v>21</v>
      </c>
      <c r="D150" s="78">
        <v>42514</v>
      </c>
      <c r="E150" s="102">
        <f t="shared" si="32"/>
        <v>43609</v>
      </c>
      <c r="F150" s="92"/>
      <c r="G150" s="92">
        <v>2.5796999999999999</v>
      </c>
      <c r="H150" s="92">
        <v>1.8306</v>
      </c>
      <c r="I150" s="92">
        <v>1.7831999999999999</v>
      </c>
      <c r="J150" s="92">
        <v>2.3782000000000001</v>
      </c>
      <c r="K150" s="92">
        <v>3.1743999999999999</v>
      </c>
      <c r="L150" s="92">
        <v>3.2279</v>
      </c>
      <c r="M150" s="93">
        <v>3.1735000000000002</v>
      </c>
      <c r="N150" s="103">
        <v>3.4218000000000002</v>
      </c>
      <c r="O150" s="92">
        <v>2.1181000000000001</v>
      </c>
      <c r="P150" s="106">
        <v>1.651</v>
      </c>
      <c r="Q150" s="92">
        <v>4.1353</v>
      </c>
      <c r="R150" s="92">
        <v>2.2464999999999997</v>
      </c>
      <c r="S150" s="92">
        <v>2.3931</v>
      </c>
      <c r="T150" s="92">
        <v>1.5432999999999999</v>
      </c>
      <c r="U150" s="92">
        <v>1.4285999999999999</v>
      </c>
      <c r="V150" s="92">
        <v>0.83510000000000006</v>
      </c>
      <c r="W150" s="92"/>
      <c r="X150" s="92">
        <v>0.76440000000000008</v>
      </c>
    </row>
    <row r="151" spans="1:33" ht="13" outlineLevel="1" collapsed="1" x14ac:dyDescent="0.3">
      <c r="A151" s="34" t="s">
        <v>68</v>
      </c>
      <c r="B151" s="101">
        <f t="shared" si="31"/>
        <v>43610</v>
      </c>
      <c r="C151" s="34">
        <f t="shared" ref="C151:C153" si="35">+C150</f>
        <v>21</v>
      </c>
      <c r="D151" s="78">
        <v>42515</v>
      </c>
      <c r="E151" s="102">
        <f t="shared" si="32"/>
        <v>43610</v>
      </c>
      <c r="F151" s="92"/>
      <c r="G151" s="92">
        <v>2.6046</v>
      </c>
      <c r="H151" s="92">
        <v>1.8353999999999999</v>
      </c>
      <c r="I151" s="92">
        <v>1.8029999999999999</v>
      </c>
      <c r="J151" s="92">
        <v>2.3782000000000001</v>
      </c>
      <c r="K151" s="92">
        <v>3.1743999999999999</v>
      </c>
      <c r="L151" s="92">
        <v>3.2279</v>
      </c>
      <c r="M151" s="93">
        <v>3.1735000000000002</v>
      </c>
      <c r="N151" s="103">
        <v>3.4094000000000002</v>
      </c>
      <c r="O151" s="92">
        <v>2.0901000000000001</v>
      </c>
      <c r="P151" s="106">
        <v>1.6359999999999999</v>
      </c>
      <c r="Q151" s="92">
        <v>4.1353</v>
      </c>
      <c r="R151" s="92">
        <v>2.2464999999999997</v>
      </c>
      <c r="S151" s="92">
        <v>2.4150999999999998</v>
      </c>
      <c r="T151" s="92">
        <v>1.5573999999999999</v>
      </c>
      <c r="U151" s="92">
        <v>1.4425999999999999</v>
      </c>
      <c r="V151" s="92">
        <v>0.83510000000000006</v>
      </c>
      <c r="W151" s="92"/>
      <c r="X151" s="92">
        <v>0.76440000000000008</v>
      </c>
      <c r="Z151" s="113"/>
      <c r="AA151" s="113"/>
    </row>
    <row r="152" spans="1:33" outlineLevel="1" x14ac:dyDescent="0.25">
      <c r="A152" s="34" t="s">
        <v>68</v>
      </c>
      <c r="B152" s="101">
        <f t="shared" si="31"/>
        <v>43611</v>
      </c>
      <c r="C152" s="34">
        <f t="shared" si="35"/>
        <v>21</v>
      </c>
      <c r="D152" s="78">
        <v>42516</v>
      </c>
      <c r="E152" s="102">
        <f t="shared" si="32"/>
        <v>43611</v>
      </c>
      <c r="F152" s="92"/>
      <c r="G152" s="92">
        <v>2.6046</v>
      </c>
      <c r="H152" s="92">
        <v>1.7986</v>
      </c>
      <c r="I152" s="92">
        <v>1.8368</v>
      </c>
      <c r="J152" s="92">
        <v>2.3538000000000001</v>
      </c>
      <c r="K152" s="92">
        <v>3.1783000000000001</v>
      </c>
      <c r="L152" s="92">
        <v>3.2279</v>
      </c>
      <c r="M152" s="93">
        <v>3.1735000000000002</v>
      </c>
      <c r="N152" s="103">
        <v>3.3969</v>
      </c>
      <c r="O152" s="92">
        <v>2.1381000000000001</v>
      </c>
      <c r="P152" s="106">
        <v>1.6411</v>
      </c>
      <c r="Q152" s="92">
        <v>4.1353</v>
      </c>
      <c r="R152" s="92">
        <v>2.2464999999999997</v>
      </c>
      <c r="S152" s="92">
        <v>2.4150999999999998</v>
      </c>
      <c r="T152" s="92">
        <v>1.5880999999999998</v>
      </c>
      <c r="U152" s="92">
        <v>1.4228999999999998</v>
      </c>
      <c r="V152" s="92">
        <v>0.83410000000000006</v>
      </c>
      <c r="W152" s="92"/>
      <c r="X152" s="92">
        <v>0.76440000000000008</v>
      </c>
    </row>
    <row r="153" spans="1:33" outlineLevel="1" x14ac:dyDescent="0.25">
      <c r="A153" s="34" t="s">
        <v>68</v>
      </c>
      <c r="B153" s="101">
        <f t="shared" si="31"/>
        <v>43612</v>
      </c>
      <c r="C153" s="34">
        <f t="shared" si="35"/>
        <v>21</v>
      </c>
      <c r="D153" s="78">
        <v>42517</v>
      </c>
      <c r="E153" s="102">
        <f t="shared" si="32"/>
        <v>43612</v>
      </c>
      <c r="F153" s="92"/>
      <c r="G153" s="92">
        <v>2.6046</v>
      </c>
      <c r="H153" s="92">
        <v>1.7986</v>
      </c>
      <c r="I153" s="92">
        <v>1.8388</v>
      </c>
      <c r="J153" s="92">
        <v>2.3538000000000001</v>
      </c>
      <c r="K153" s="92">
        <v>3.1697000000000002</v>
      </c>
      <c r="L153" s="92">
        <v>3.2279</v>
      </c>
      <c r="M153" s="93">
        <v>3.1735000000000002</v>
      </c>
      <c r="N153" s="103">
        <v>3.3969</v>
      </c>
      <c r="O153" s="92">
        <v>2.2010999999999998</v>
      </c>
      <c r="P153" s="106">
        <v>1.6373</v>
      </c>
      <c r="Q153" s="92">
        <v>4.0609999999999999</v>
      </c>
      <c r="R153" s="92">
        <v>2.2464999999999997</v>
      </c>
      <c r="S153" s="92">
        <v>2.4150999999999998</v>
      </c>
      <c r="T153" s="92">
        <v>1.5880999999999998</v>
      </c>
      <c r="U153" s="92">
        <v>1.3975</v>
      </c>
      <c r="V153" s="92">
        <v>0.83710000000000007</v>
      </c>
      <c r="W153" s="92"/>
      <c r="X153" s="92">
        <v>0.75190000000000001</v>
      </c>
    </row>
    <row r="154" spans="1:33" outlineLevel="1" x14ac:dyDescent="0.25">
      <c r="A154" s="34" t="s">
        <v>68</v>
      </c>
      <c r="B154" s="101">
        <f t="shared" si="31"/>
        <v>43613</v>
      </c>
      <c r="C154" s="34">
        <f>+C147+1</f>
        <v>22</v>
      </c>
      <c r="D154" s="78">
        <v>42518</v>
      </c>
      <c r="E154" s="102">
        <f t="shared" si="32"/>
        <v>43613</v>
      </c>
      <c r="F154" s="92"/>
      <c r="G154" s="92">
        <v>2.6046</v>
      </c>
      <c r="H154" s="92">
        <v>1.7986</v>
      </c>
      <c r="I154" s="92">
        <v>1.8388</v>
      </c>
      <c r="J154" s="92">
        <v>2.3445</v>
      </c>
      <c r="K154" s="92">
        <v>3.1589999999999998</v>
      </c>
      <c r="L154" s="92">
        <v>3.2279</v>
      </c>
      <c r="M154" s="93">
        <v>3.1735000000000002</v>
      </c>
      <c r="N154" s="103">
        <v>3.3969</v>
      </c>
      <c r="O154" s="92">
        <v>2.2010999999999998</v>
      </c>
      <c r="P154" s="106">
        <v>1.6759999999999999</v>
      </c>
      <c r="Q154" s="92">
        <v>3.9750000000000001</v>
      </c>
      <c r="R154" s="92">
        <v>2.2513000000000001</v>
      </c>
      <c r="S154" s="92">
        <v>2.4150999999999998</v>
      </c>
      <c r="T154" s="92">
        <v>1.5880999999999998</v>
      </c>
      <c r="U154" s="92">
        <v>1.3975</v>
      </c>
      <c r="V154" s="92">
        <v>0.85410000000000008</v>
      </c>
      <c r="W154" s="92"/>
      <c r="X154" s="92">
        <v>0.74640000000000006</v>
      </c>
    </row>
    <row r="155" spans="1:33" outlineLevel="1" x14ac:dyDescent="0.25">
      <c r="A155" s="34" t="s">
        <v>68</v>
      </c>
      <c r="B155" s="101">
        <f t="shared" si="31"/>
        <v>43614</v>
      </c>
      <c r="C155" s="34">
        <f t="shared" ref="C155:C160" si="36">+C148+1</f>
        <v>22</v>
      </c>
      <c r="D155" s="78">
        <v>42519</v>
      </c>
      <c r="E155" s="102">
        <f t="shared" si="32"/>
        <v>43614</v>
      </c>
      <c r="F155" s="92"/>
      <c r="G155" s="92">
        <v>2.5897999999999999</v>
      </c>
      <c r="H155" s="92">
        <v>1.7986</v>
      </c>
      <c r="I155" s="92">
        <v>1.8388</v>
      </c>
      <c r="J155" s="92">
        <v>2.3445</v>
      </c>
      <c r="K155" s="92">
        <v>3.1899000000000002</v>
      </c>
      <c r="L155" s="92">
        <v>3.0528</v>
      </c>
      <c r="M155" s="93">
        <v>3.1930000000000001</v>
      </c>
      <c r="N155" s="103">
        <v>3.3969</v>
      </c>
      <c r="O155" s="92">
        <v>2.2010999999999998</v>
      </c>
      <c r="P155" s="106">
        <v>1.6759999999999999</v>
      </c>
      <c r="Q155" s="92">
        <v>3.9790999999999999</v>
      </c>
      <c r="R155" s="92">
        <v>2.1890999999999998</v>
      </c>
      <c r="S155" s="92">
        <v>2.4220999999999999</v>
      </c>
      <c r="T155" s="92">
        <v>1.5880999999999998</v>
      </c>
      <c r="U155" s="92">
        <v>1.3975</v>
      </c>
      <c r="V155" s="92">
        <v>0.85410000000000008</v>
      </c>
      <c r="W155" s="92"/>
      <c r="X155" s="92">
        <v>0.7369</v>
      </c>
    </row>
    <row r="156" spans="1:33" outlineLevel="1" x14ac:dyDescent="0.25">
      <c r="A156" s="34" t="s">
        <v>68</v>
      </c>
      <c r="B156" s="101">
        <f t="shared" si="31"/>
        <v>43615</v>
      </c>
      <c r="C156" s="34">
        <f t="shared" si="36"/>
        <v>22</v>
      </c>
      <c r="D156" s="78">
        <v>42520</v>
      </c>
      <c r="E156" s="102">
        <f t="shared" si="32"/>
        <v>43615</v>
      </c>
      <c r="F156" s="92"/>
      <c r="G156" s="92">
        <v>2.5640000000000001</v>
      </c>
      <c r="H156" s="92">
        <v>1.8080000000000001</v>
      </c>
      <c r="I156" s="92">
        <v>1.8388</v>
      </c>
      <c r="J156" s="92">
        <v>2.3445</v>
      </c>
      <c r="K156" s="92">
        <v>3.1899000000000002</v>
      </c>
      <c r="L156" s="92">
        <v>3.0528</v>
      </c>
      <c r="M156" s="93">
        <v>3.1680000000000001</v>
      </c>
      <c r="N156" s="103">
        <v>3.3740000000000001</v>
      </c>
      <c r="O156" s="92">
        <v>2.2010999999999998</v>
      </c>
      <c r="P156" s="106">
        <v>1.6759999999999999</v>
      </c>
      <c r="Q156" s="92">
        <v>3.855</v>
      </c>
      <c r="R156" s="92">
        <v>2.1911</v>
      </c>
      <c r="S156" s="92">
        <v>2.452</v>
      </c>
      <c r="T156" s="92">
        <v>1.6080999999999999</v>
      </c>
      <c r="U156" s="92">
        <v>1.3975</v>
      </c>
      <c r="V156" s="92">
        <v>0.85410000000000008</v>
      </c>
      <c r="W156" s="92"/>
      <c r="X156" s="92">
        <v>0.72989999999999999</v>
      </c>
    </row>
    <row r="157" spans="1:33" outlineLevel="1" x14ac:dyDescent="0.25">
      <c r="A157" s="34" t="s">
        <v>68</v>
      </c>
      <c r="B157" s="101">
        <f t="shared" si="31"/>
        <v>43616</v>
      </c>
      <c r="C157" s="34">
        <f t="shared" si="36"/>
        <v>22</v>
      </c>
      <c r="D157" s="78">
        <v>42521</v>
      </c>
      <c r="E157" s="102">
        <f t="shared" si="32"/>
        <v>43616</v>
      </c>
      <c r="F157" s="92"/>
      <c r="G157" s="92">
        <v>2.6297999999999999</v>
      </c>
      <c r="H157" s="92">
        <v>1.7922</v>
      </c>
      <c r="I157" s="92">
        <v>1.8212999999999999</v>
      </c>
      <c r="J157" s="92">
        <v>2.3532999999999999</v>
      </c>
      <c r="K157" s="92">
        <v>3.1899000000000002</v>
      </c>
      <c r="L157" s="92">
        <v>3.0528</v>
      </c>
      <c r="M157" s="93">
        <v>3.0461</v>
      </c>
      <c r="N157" s="103">
        <v>3.3740000000000001</v>
      </c>
      <c r="O157" s="92">
        <v>2.2042000000000002</v>
      </c>
      <c r="P157" s="106">
        <v>1.706</v>
      </c>
      <c r="Q157" s="92">
        <v>3.855</v>
      </c>
      <c r="R157" s="92">
        <v>2.1936</v>
      </c>
      <c r="S157" s="92">
        <v>2.4300000000000002</v>
      </c>
      <c r="T157" s="92">
        <v>1.5921999999999998</v>
      </c>
      <c r="U157" s="92">
        <v>1.3975</v>
      </c>
      <c r="V157" s="92">
        <v>0.85210000000000008</v>
      </c>
      <c r="W157" s="92"/>
      <c r="X157" s="92">
        <v>0.72989999999999999</v>
      </c>
      <c r="AG157" s="103"/>
    </row>
    <row r="158" spans="1:33" outlineLevel="1" x14ac:dyDescent="0.25">
      <c r="A158" s="34" t="s">
        <v>130</v>
      </c>
      <c r="B158" s="101">
        <f t="shared" si="31"/>
        <v>43617</v>
      </c>
      <c r="C158" s="34">
        <f t="shared" si="36"/>
        <v>22</v>
      </c>
      <c r="D158" s="78">
        <v>42522</v>
      </c>
      <c r="E158" s="102">
        <f t="shared" si="32"/>
        <v>43617</v>
      </c>
      <c r="F158" s="92"/>
      <c r="G158" s="92">
        <v>2.6206</v>
      </c>
      <c r="H158" s="92">
        <v>1.7874000000000001</v>
      </c>
      <c r="I158" s="92">
        <v>1.8109999999999999</v>
      </c>
      <c r="J158" s="92">
        <v>2.3445</v>
      </c>
      <c r="K158" s="92">
        <v>3.1791</v>
      </c>
      <c r="L158" s="92">
        <v>3.0528</v>
      </c>
      <c r="M158" s="93">
        <v>2.9533999999999998</v>
      </c>
      <c r="N158" s="103">
        <v>3.2547999999999999</v>
      </c>
      <c r="O158" s="92">
        <v>2.1776</v>
      </c>
      <c r="P158" s="106">
        <v>1.8367</v>
      </c>
      <c r="Q158" s="92">
        <v>3.855</v>
      </c>
      <c r="R158" s="92">
        <v>2.1936</v>
      </c>
      <c r="S158" s="92">
        <v>2.4005000000000001</v>
      </c>
      <c r="T158" s="92">
        <v>1.6472</v>
      </c>
      <c r="U158" s="92">
        <v>1.3915</v>
      </c>
      <c r="V158" s="92">
        <v>0.86210000000000009</v>
      </c>
      <c r="W158" s="92"/>
      <c r="X158" s="92">
        <v>0.72989999999999999</v>
      </c>
    </row>
    <row r="159" spans="1:33" outlineLevel="1" x14ac:dyDescent="0.25">
      <c r="A159" s="34" t="s">
        <v>130</v>
      </c>
      <c r="B159" s="101">
        <f t="shared" si="31"/>
        <v>43618</v>
      </c>
      <c r="C159" s="34">
        <f t="shared" si="36"/>
        <v>22</v>
      </c>
      <c r="D159" s="78">
        <v>42523</v>
      </c>
      <c r="E159" s="102">
        <f t="shared" si="32"/>
        <v>43618</v>
      </c>
      <c r="F159" s="92"/>
      <c r="G159" s="92">
        <v>2.6206</v>
      </c>
      <c r="H159" s="92">
        <v>1.7874000000000001</v>
      </c>
      <c r="I159" s="92">
        <v>1.8409</v>
      </c>
      <c r="J159" s="92">
        <v>2.3330000000000002</v>
      </c>
      <c r="K159" s="92">
        <v>3.1772</v>
      </c>
      <c r="L159" s="92">
        <v>2.8900999999999999</v>
      </c>
      <c r="M159" s="93">
        <v>2.9533999999999998</v>
      </c>
      <c r="N159" s="103">
        <v>3.2888000000000002</v>
      </c>
      <c r="O159" s="92">
        <v>2.2208999999999999</v>
      </c>
      <c r="P159" s="106">
        <v>1.8435999999999999</v>
      </c>
      <c r="Q159" s="92">
        <v>3.8302999999999998</v>
      </c>
      <c r="R159" s="92">
        <v>2.1936</v>
      </c>
      <c r="S159" s="92">
        <v>2.4005000000000001</v>
      </c>
      <c r="T159" s="92">
        <v>1.6872</v>
      </c>
      <c r="U159" s="92">
        <v>1.3784999999999998</v>
      </c>
      <c r="V159" s="92">
        <v>0.8821</v>
      </c>
      <c r="W159" s="92"/>
      <c r="X159" s="92">
        <v>0.72689999999999999</v>
      </c>
    </row>
    <row r="160" spans="1:33" outlineLevel="1" x14ac:dyDescent="0.25">
      <c r="A160" s="34" t="s">
        <v>130</v>
      </c>
      <c r="B160" s="101">
        <f t="shared" si="31"/>
        <v>43619</v>
      </c>
      <c r="C160" s="34">
        <f t="shared" si="36"/>
        <v>22</v>
      </c>
      <c r="D160" s="78">
        <v>42524</v>
      </c>
      <c r="E160" s="102">
        <f t="shared" si="32"/>
        <v>43619</v>
      </c>
      <c r="F160" s="92"/>
      <c r="G160" s="92">
        <v>2.6206</v>
      </c>
      <c r="H160" s="92">
        <v>1.7874000000000001</v>
      </c>
      <c r="I160" s="114">
        <v>1.8446</v>
      </c>
      <c r="J160" s="92">
        <v>2.2589999999999999</v>
      </c>
      <c r="K160" s="92">
        <v>3.1522000000000001</v>
      </c>
      <c r="L160" s="92">
        <v>2.91</v>
      </c>
      <c r="M160" s="93">
        <v>2.9533999999999998</v>
      </c>
      <c r="N160" s="103">
        <v>3.2888000000000002</v>
      </c>
      <c r="O160" s="92">
        <v>2.2637</v>
      </c>
      <c r="P160" s="106">
        <v>1.7888999999999999</v>
      </c>
      <c r="Q160" s="92">
        <v>3.8879999999999999</v>
      </c>
      <c r="R160" s="92">
        <v>2.2246000000000001</v>
      </c>
      <c r="S160" s="92">
        <v>2.4005000000000001</v>
      </c>
      <c r="T160" s="92">
        <v>1.6872</v>
      </c>
      <c r="U160" s="92">
        <v>1.3195999999999999</v>
      </c>
      <c r="V160" s="92">
        <v>0.87909999999999999</v>
      </c>
      <c r="W160" s="92"/>
      <c r="X160" s="92">
        <v>0.72540000000000004</v>
      </c>
    </row>
    <row r="161" spans="1:24" outlineLevel="1" x14ac:dyDescent="0.25">
      <c r="A161" s="34" t="s">
        <v>130</v>
      </c>
      <c r="B161" s="101">
        <f t="shared" si="31"/>
        <v>43620</v>
      </c>
      <c r="C161" s="34">
        <f>+C154+1</f>
        <v>23</v>
      </c>
      <c r="D161" s="78">
        <v>42525</v>
      </c>
      <c r="E161" s="102">
        <f t="shared" si="32"/>
        <v>43620</v>
      </c>
      <c r="F161" s="92"/>
      <c r="G161" s="92">
        <v>2.6111</v>
      </c>
      <c r="H161" s="92">
        <v>1.7874000000000001</v>
      </c>
      <c r="I161" s="114">
        <v>1.8446</v>
      </c>
      <c r="J161" s="92">
        <v>2.2589999999999999</v>
      </c>
      <c r="K161" s="92">
        <v>3.1522000000000001</v>
      </c>
      <c r="L161" s="92">
        <v>2.9451999999999998</v>
      </c>
      <c r="M161" s="93">
        <v>2.8687999999999998</v>
      </c>
      <c r="N161" s="103">
        <v>3.2888000000000002</v>
      </c>
      <c r="O161" s="92">
        <v>2.2637</v>
      </c>
      <c r="P161" s="106">
        <v>1.8315999999999999</v>
      </c>
      <c r="Q161" s="92">
        <v>3.7768000000000002</v>
      </c>
      <c r="R161" s="92">
        <v>2.2563</v>
      </c>
      <c r="S161" s="92">
        <v>2.4445000000000001</v>
      </c>
      <c r="T161" s="92">
        <v>1.6872</v>
      </c>
      <c r="U161" s="92">
        <v>1.3195999999999999</v>
      </c>
      <c r="V161" s="92">
        <v>0.88550000000000006</v>
      </c>
      <c r="W161" s="92"/>
      <c r="X161" s="92">
        <v>0.71740000000000004</v>
      </c>
    </row>
    <row r="162" spans="1:24" outlineLevel="1" x14ac:dyDescent="0.25">
      <c r="A162" s="34" t="s">
        <v>130</v>
      </c>
      <c r="B162" s="101">
        <f t="shared" si="31"/>
        <v>43621</v>
      </c>
      <c r="C162" s="34">
        <f>+C161</f>
        <v>23</v>
      </c>
      <c r="D162" s="78">
        <v>42526</v>
      </c>
      <c r="E162" s="102">
        <f t="shared" si="32"/>
        <v>43621</v>
      </c>
      <c r="F162" s="92"/>
      <c r="G162" s="92">
        <v>2.5943000000000001</v>
      </c>
      <c r="H162" s="92">
        <v>1.7517</v>
      </c>
      <c r="I162" s="114">
        <v>1.8446</v>
      </c>
      <c r="J162" s="92">
        <v>2.2589999999999999</v>
      </c>
      <c r="K162" s="92">
        <v>3.1522000000000001</v>
      </c>
      <c r="L162" s="92">
        <v>2.96</v>
      </c>
      <c r="M162" s="93">
        <v>2.85</v>
      </c>
      <c r="N162" s="103">
        <v>3.2795999999999998</v>
      </c>
      <c r="O162" s="92">
        <v>2.2637</v>
      </c>
      <c r="P162" s="106">
        <v>1.8315999999999999</v>
      </c>
      <c r="Q162" s="92">
        <v>3.6798000000000002</v>
      </c>
      <c r="R162" s="92">
        <v>2.2454000000000001</v>
      </c>
      <c r="S162" s="92">
        <v>2.4674999999999998</v>
      </c>
      <c r="T162" s="92">
        <v>1.6834</v>
      </c>
      <c r="U162" s="92">
        <v>1.3195999999999999</v>
      </c>
      <c r="V162" s="92">
        <v>0.88550000000000006</v>
      </c>
      <c r="W162" s="92"/>
      <c r="X162" s="92">
        <v>0.71740000000000004</v>
      </c>
    </row>
    <row r="163" spans="1:24" outlineLevel="1" x14ac:dyDescent="0.25">
      <c r="A163" s="34" t="s">
        <v>130</v>
      </c>
      <c r="B163" s="101">
        <f t="shared" si="31"/>
        <v>43622</v>
      </c>
      <c r="C163" s="34">
        <f>+C162</f>
        <v>23</v>
      </c>
      <c r="D163" s="78">
        <v>42527</v>
      </c>
      <c r="E163" s="102">
        <f t="shared" si="32"/>
        <v>43622</v>
      </c>
      <c r="F163" s="92"/>
      <c r="G163" s="92">
        <v>2.5680999999999998</v>
      </c>
      <c r="H163" s="92">
        <v>1.7246999999999999</v>
      </c>
      <c r="I163" s="92">
        <v>1.8183</v>
      </c>
      <c r="J163" s="92">
        <v>2.2589999999999999</v>
      </c>
      <c r="K163" s="92">
        <v>3.1522000000000001</v>
      </c>
      <c r="L163" s="92">
        <v>3.0122</v>
      </c>
      <c r="M163" s="93">
        <v>2.8393000000000002</v>
      </c>
      <c r="N163" s="103">
        <v>3.2273999999999998</v>
      </c>
      <c r="O163" s="92">
        <v>2.1901000000000002</v>
      </c>
      <c r="P163" s="106">
        <v>1.8315999999999999</v>
      </c>
      <c r="Q163" s="92">
        <v>3.8022999999999998</v>
      </c>
      <c r="R163" s="92">
        <v>2.2578999999999998</v>
      </c>
      <c r="S163" s="92">
        <v>2.4485000000000001</v>
      </c>
      <c r="T163" s="92">
        <v>1.7040999999999999</v>
      </c>
      <c r="U163" s="92">
        <v>1.2861</v>
      </c>
      <c r="V163" s="92">
        <v>0.88550000000000006</v>
      </c>
      <c r="W163" s="92"/>
      <c r="X163" s="92">
        <v>0.70640000000000003</v>
      </c>
    </row>
    <row r="164" spans="1:24" outlineLevel="1" x14ac:dyDescent="0.25">
      <c r="A164" s="34" t="s">
        <v>130</v>
      </c>
      <c r="B164" s="101">
        <f t="shared" si="31"/>
        <v>43623</v>
      </c>
      <c r="C164" s="34">
        <f>+C163</f>
        <v>23</v>
      </c>
      <c r="D164" s="78">
        <v>42528</v>
      </c>
      <c r="E164" s="102">
        <f t="shared" si="32"/>
        <v>43623</v>
      </c>
      <c r="F164" s="92"/>
      <c r="G164" s="92">
        <v>2.5678000000000001</v>
      </c>
      <c r="H164" s="92">
        <v>1.7246999999999999</v>
      </c>
      <c r="I164" s="92">
        <v>1.8273999999999999</v>
      </c>
      <c r="J164" s="92">
        <v>2.2589999999999999</v>
      </c>
      <c r="K164" s="92">
        <v>3.1522000000000001</v>
      </c>
      <c r="L164" s="92">
        <v>3.0122</v>
      </c>
      <c r="M164" s="93">
        <v>2.8618999999999999</v>
      </c>
      <c r="N164" s="103">
        <v>3.2273999999999998</v>
      </c>
      <c r="O164" s="92">
        <v>2.1545999999999998</v>
      </c>
      <c r="P164" s="106">
        <v>1.8474999999999999</v>
      </c>
      <c r="Q164" s="92">
        <v>3.8022999999999998</v>
      </c>
      <c r="R164" s="92">
        <v>2.2545999999999999</v>
      </c>
      <c r="S164" s="92">
        <v>2.4064999999999999</v>
      </c>
      <c r="T164" s="92">
        <v>1.7040999999999999</v>
      </c>
      <c r="U164" s="92">
        <v>1.2595999999999998</v>
      </c>
      <c r="V164" s="92">
        <v>0.89150000000000007</v>
      </c>
      <c r="W164" s="92"/>
      <c r="X164" s="92">
        <v>0.70640000000000003</v>
      </c>
    </row>
    <row r="165" spans="1:24" outlineLevel="1" x14ac:dyDescent="0.25">
      <c r="A165" s="34" t="s">
        <v>130</v>
      </c>
      <c r="B165" s="101">
        <f t="shared" si="31"/>
        <v>43624</v>
      </c>
      <c r="C165" s="34">
        <f t="shared" ref="C165:C167" si="37">+C164</f>
        <v>23</v>
      </c>
      <c r="D165" s="78">
        <v>42529</v>
      </c>
      <c r="E165" s="102">
        <f t="shared" si="32"/>
        <v>43624</v>
      </c>
      <c r="F165" s="92"/>
      <c r="G165" s="92">
        <v>2.6192000000000002</v>
      </c>
      <c r="H165" s="92">
        <v>1.7246999999999999</v>
      </c>
      <c r="I165" s="92">
        <v>1.8596999999999999</v>
      </c>
      <c r="J165" s="92">
        <v>2.1907999999999999</v>
      </c>
      <c r="K165" s="92">
        <v>3.1522000000000001</v>
      </c>
      <c r="L165" s="92">
        <v>3.0122</v>
      </c>
      <c r="M165" s="93">
        <v>2.8586</v>
      </c>
      <c r="N165" s="103">
        <v>3.2633000000000001</v>
      </c>
      <c r="O165" s="92">
        <v>2.1545999999999998</v>
      </c>
      <c r="P165" s="106">
        <v>1.8523000000000001</v>
      </c>
      <c r="Q165" s="92">
        <v>3.8022999999999998</v>
      </c>
      <c r="R165" s="92">
        <v>2.2545999999999999</v>
      </c>
      <c r="S165" s="92">
        <v>2.3645</v>
      </c>
      <c r="T165" s="92">
        <v>1.661</v>
      </c>
      <c r="U165" s="92">
        <v>1.2501</v>
      </c>
      <c r="V165" s="92">
        <v>0.91850000000000009</v>
      </c>
      <c r="W165" s="92"/>
      <c r="X165" s="92">
        <v>0.70640000000000003</v>
      </c>
    </row>
    <row r="166" spans="1:24" outlineLevel="1" x14ac:dyDescent="0.25">
      <c r="A166" s="34" t="s">
        <v>130</v>
      </c>
      <c r="B166" s="101">
        <f t="shared" si="31"/>
        <v>43625</v>
      </c>
      <c r="C166" s="34">
        <f t="shared" si="37"/>
        <v>23</v>
      </c>
      <c r="D166" s="78">
        <v>42530</v>
      </c>
      <c r="E166" s="102">
        <f t="shared" si="32"/>
        <v>43625</v>
      </c>
      <c r="F166" s="92"/>
      <c r="G166" s="92">
        <v>2.6192000000000002</v>
      </c>
      <c r="H166" s="92">
        <v>1.7246999999999999</v>
      </c>
      <c r="I166" s="92">
        <v>1.8596999999999999</v>
      </c>
      <c r="J166" s="92">
        <v>2.2709000000000001</v>
      </c>
      <c r="K166" s="92">
        <v>3.1475</v>
      </c>
      <c r="L166" s="92">
        <v>3.0407000000000002</v>
      </c>
      <c r="M166" s="93">
        <v>2.8586</v>
      </c>
      <c r="N166" s="103">
        <v>3.3098000000000001</v>
      </c>
      <c r="O166" s="92">
        <v>2.1856</v>
      </c>
      <c r="P166" s="106">
        <v>1.8847</v>
      </c>
      <c r="Q166" s="92">
        <v>4.0522999999999998</v>
      </c>
      <c r="R166" s="92">
        <v>2.2545999999999999</v>
      </c>
      <c r="S166" s="92">
        <v>2.3645</v>
      </c>
      <c r="T166" s="92">
        <v>1.7071999999999998</v>
      </c>
      <c r="U166" s="92">
        <v>1.2305999999999999</v>
      </c>
      <c r="V166" s="92">
        <v>0.9395</v>
      </c>
      <c r="W166" s="92"/>
      <c r="X166" s="92">
        <v>0.70100000000000007</v>
      </c>
    </row>
    <row r="167" spans="1:24" outlineLevel="1" collapsed="1" x14ac:dyDescent="0.25">
      <c r="A167" s="34" t="s">
        <v>130</v>
      </c>
      <c r="B167" s="101">
        <f t="shared" si="31"/>
        <v>43626</v>
      </c>
      <c r="C167" s="34">
        <f t="shared" si="37"/>
        <v>23</v>
      </c>
      <c r="D167" s="78">
        <v>42531</v>
      </c>
      <c r="E167" s="102">
        <f t="shared" si="32"/>
        <v>43626</v>
      </c>
      <c r="F167" s="92"/>
      <c r="G167" s="92">
        <v>2.6192000000000002</v>
      </c>
      <c r="H167" s="92">
        <v>1.7246999999999999</v>
      </c>
      <c r="I167" s="92">
        <v>1.8616999999999999</v>
      </c>
      <c r="J167" s="92">
        <v>2.3281000000000001</v>
      </c>
      <c r="K167" s="92">
        <v>3.1475</v>
      </c>
      <c r="L167" s="92">
        <v>3.0286</v>
      </c>
      <c r="M167" s="93">
        <v>2.8586</v>
      </c>
      <c r="N167" s="103">
        <v>3.3098000000000001</v>
      </c>
      <c r="O167" s="92">
        <v>2.2040999999999999</v>
      </c>
      <c r="P167" s="106">
        <v>1.9353</v>
      </c>
      <c r="Q167" s="92">
        <v>4.0172999999999996</v>
      </c>
      <c r="R167" s="92">
        <v>2.2145999999999999</v>
      </c>
      <c r="S167" s="92">
        <v>2.3645</v>
      </c>
      <c r="T167" s="92">
        <v>1.7071999999999998</v>
      </c>
      <c r="U167" s="92">
        <v>1.2101999999999999</v>
      </c>
      <c r="V167" s="92">
        <v>0.96750000000000003</v>
      </c>
      <c r="W167" s="92"/>
      <c r="X167" s="92">
        <v>0.70120000000000005</v>
      </c>
    </row>
    <row r="168" spans="1:24" outlineLevel="1" x14ac:dyDescent="0.25">
      <c r="A168" s="34" t="s">
        <v>130</v>
      </c>
      <c r="B168" s="101">
        <f t="shared" si="31"/>
        <v>43627</v>
      </c>
      <c r="C168" s="34">
        <f t="shared" ref="C168:C182" si="38">+C161+1</f>
        <v>24</v>
      </c>
      <c r="D168" s="78">
        <v>42532</v>
      </c>
      <c r="E168" s="102">
        <f t="shared" si="32"/>
        <v>43627</v>
      </c>
      <c r="F168" s="92"/>
      <c r="G168" s="92">
        <v>2.6029</v>
      </c>
      <c r="H168" s="92">
        <v>1.7246999999999999</v>
      </c>
      <c r="I168" s="92">
        <v>1.8616999999999999</v>
      </c>
      <c r="J168" s="92">
        <v>2.3119999999999998</v>
      </c>
      <c r="K168" s="92">
        <v>3.1701000000000001</v>
      </c>
      <c r="L168" s="92">
        <v>3.0059999999999998</v>
      </c>
      <c r="M168" s="93">
        <v>2.83</v>
      </c>
      <c r="N168" s="103">
        <v>3.3098000000000001</v>
      </c>
      <c r="O168" s="92">
        <v>2.2040999999999999</v>
      </c>
      <c r="P168" s="106">
        <v>1.9575</v>
      </c>
      <c r="Q168" s="92">
        <v>3.8925000000000001</v>
      </c>
      <c r="R168" s="92">
        <v>2.2378999999999998</v>
      </c>
      <c r="S168" s="92">
        <v>2.3618000000000001</v>
      </c>
      <c r="T168" s="92">
        <v>1.7071999999999998</v>
      </c>
      <c r="U168" s="92">
        <v>1.2101999999999999</v>
      </c>
      <c r="V168" s="92">
        <v>0.98250000000000004</v>
      </c>
      <c r="W168" s="92"/>
      <c r="X168" s="92">
        <v>0.69820000000000004</v>
      </c>
    </row>
    <row r="169" spans="1:24" outlineLevel="1" x14ac:dyDescent="0.25">
      <c r="A169" s="34" t="s">
        <v>130</v>
      </c>
      <c r="B169" s="101">
        <f t="shared" si="31"/>
        <v>43628</v>
      </c>
      <c r="C169" s="34">
        <f>+C168</f>
        <v>24</v>
      </c>
      <c r="D169" s="78">
        <v>42533</v>
      </c>
      <c r="E169" s="102">
        <f t="shared" si="32"/>
        <v>43628</v>
      </c>
      <c r="F169" s="92"/>
      <c r="G169" s="92">
        <v>2.5988000000000002</v>
      </c>
      <c r="H169" s="92">
        <v>1.6565000000000001</v>
      </c>
      <c r="I169" s="92">
        <v>1.8616999999999999</v>
      </c>
      <c r="J169" s="92">
        <v>2.3119999999999998</v>
      </c>
      <c r="K169" s="92">
        <v>3.2532999999999999</v>
      </c>
      <c r="L169" s="92">
        <v>3.0785999999999998</v>
      </c>
      <c r="M169" s="93">
        <v>2.77</v>
      </c>
      <c r="N169" s="103">
        <v>3.2875999999999999</v>
      </c>
      <c r="O169" s="92">
        <v>2.2040999999999999</v>
      </c>
      <c r="P169" s="106">
        <v>1.9575</v>
      </c>
      <c r="Q169" s="92">
        <v>3.956</v>
      </c>
      <c r="R169" s="92">
        <v>2.1913</v>
      </c>
      <c r="S169" s="92">
        <v>2.3165999999999998</v>
      </c>
      <c r="T169" s="92">
        <v>1.6819999999999999</v>
      </c>
      <c r="U169" s="92">
        <v>1.2101999999999999</v>
      </c>
      <c r="V169" s="92">
        <v>0.98250000000000004</v>
      </c>
      <c r="W169" s="92"/>
      <c r="X169" s="92">
        <v>0.71020000000000005</v>
      </c>
    </row>
    <row r="170" spans="1:24" outlineLevel="1" x14ac:dyDescent="0.25">
      <c r="A170" s="34" t="s">
        <v>130</v>
      </c>
      <c r="B170" s="101">
        <f t="shared" si="31"/>
        <v>43629</v>
      </c>
      <c r="C170" s="34">
        <f>+C169</f>
        <v>24</v>
      </c>
      <c r="D170" s="78">
        <v>42534</v>
      </c>
      <c r="E170" s="102">
        <f t="shared" si="32"/>
        <v>43629</v>
      </c>
      <c r="F170" s="92"/>
      <c r="G170" s="92">
        <v>2.5975999999999999</v>
      </c>
      <c r="H170" s="92">
        <v>1.6527000000000001</v>
      </c>
      <c r="I170" s="92">
        <v>1.8579000000000001</v>
      </c>
      <c r="J170" s="92">
        <v>2.3119999999999998</v>
      </c>
      <c r="K170" s="92">
        <v>3.2515999999999998</v>
      </c>
      <c r="L170" s="92">
        <v>3.1392000000000002</v>
      </c>
      <c r="M170" s="93">
        <v>2.7608000000000001</v>
      </c>
      <c r="N170" s="103">
        <v>3.2789000000000001</v>
      </c>
      <c r="O170" s="92">
        <v>2.1743999999999999</v>
      </c>
      <c r="P170" s="106">
        <v>1.9575</v>
      </c>
      <c r="Q170" s="92">
        <v>3.9887000000000001</v>
      </c>
      <c r="R170" s="92">
        <v>2.1745999999999999</v>
      </c>
      <c r="S170" s="92">
        <v>2.1751</v>
      </c>
      <c r="T170" s="92">
        <v>1.7295</v>
      </c>
      <c r="U170" s="92">
        <v>1.2101999999999999</v>
      </c>
      <c r="V170" s="92">
        <v>0.98250000000000004</v>
      </c>
      <c r="W170" s="92"/>
      <c r="X170" s="92">
        <v>0.71620000000000006</v>
      </c>
    </row>
    <row r="171" spans="1:24" outlineLevel="1" x14ac:dyDescent="0.25">
      <c r="A171" s="34" t="s">
        <v>130</v>
      </c>
      <c r="B171" s="101">
        <f t="shared" si="31"/>
        <v>43630</v>
      </c>
      <c r="C171" s="34">
        <f>+C170</f>
        <v>24</v>
      </c>
      <c r="D171" s="78">
        <v>42535</v>
      </c>
      <c r="E171" s="102">
        <f t="shared" si="32"/>
        <v>43630</v>
      </c>
      <c r="F171" s="92"/>
      <c r="G171" s="92">
        <v>2.6213000000000002</v>
      </c>
      <c r="H171" s="92">
        <v>1.6358999999999999</v>
      </c>
      <c r="I171" s="92">
        <v>1.8534999999999999</v>
      </c>
      <c r="J171" s="92">
        <v>2.3833000000000002</v>
      </c>
      <c r="K171" s="92">
        <v>3.2515999999999998</v>
      </c>
      <c r="L171" s="92">
        <v>3.1392000000000002</v>
      </c>
      <c r="M171" s="93">
        <v>2.7736000000000001</v>
      </c>
      <c r="N171" s="103">
        <v>3.3073000000000001</v>
      </c>
      <c r="O171" s="92">
        <v>2.1943999999999999</v>
      </c>
      <c r="P171" s="106">
        <v>1.9638</v>
      </c>
      <c r="Q171" s="92">
        <v>3.9887000000000001</v>
      </c>
      <c r="R171" s="92">
        <v>2.1879</v>
      </c>
      <c r="S171" s="92">
        <v>2.1364999999999998</v>
      </c>
      <c r="T171" s="92">
        <v>1.722</v>
      </c>
      <c r="U171" s="92">
        <v>1.1850999999999998</v>
      </c>
      <c r="V171" s="92">
        <v>0.96550000000000002</v>
      </c>
      <c r="W171" s="92"/>
      <c r="X171" s="92">
        <v>0.71620000000000006</v>
      </c>
    </row>
    <row r="172" spans="1:24" outlineLevel="1" x14ac:dyDescent="0.25">
      <c r="A172" s="34" t="s">
        <v>130</v>
      </c>
      <c r="B172" s="101">
        <f t="shared" si="31"/>
        <v>43631</v>
      </c>
      <c r="C172" s="34">
        <f t="shared" ref="C172:C174" si="39">+C171</f>
        <v>24</v>
      </c>
      <c r="D172" s="78">
        <v>42536</v>
      </c>
      <c r="E172" s="102">
        <f t="shared" si="32"/>
        <v>43631</v>
      </c>
      <c r="F172" s="92"/>
      <c r="G172" s="92">
        <v>2.5977000000000001</v>
      </c>
      <c r="H172" s="92">
        <v>1.6358999999999999</v>
      </c>
      <c r="I172" s="92">
        <v>1.8466</v>
      </c>
      <c r="J172" s="92">
        <v>2.3889</v>
      </c>
      <c r="K172" s="92">
        <v>3.2515999999999998</v>
      </c>
      <c r="L172" s="92">
        <v>3.1392000000000002</v>
      </c>
      <c r="M172" s="93">
        <v>2.7877000000000001</v>
      </c>
      <c r="N172" s="103">
        <v>3.1762999999999999</v>
      </c>
      <c r="O172" s="92">
        <v>2.2296999999999998</v>
      </c>
      <c r="P172" s="106">
        <v>1.9538</v>
      </c>
      <c r="Q172" s="92">
        <v>3.9887000000000001</v>
      </c>
      <c r="R172" s="92">
        <v>2.1879</v>
      </c>
      <c r="S172" s="92">
        <v>2.1164999999999998</v>
      </c>
      <c r="T172" s="92">
        <v>1.7195</v>
      </c>
      <c r="U172" s="92">
        <v>1.1906999999999999</v>
      </c>
      <c r="V172" s="92">
        <v>0.96850000000000003</v>
      </c>
      <c r="W172" s="92"/>
      <c r="X172" s="92">
        <v>0.71620000000000006</v>
      </c>
    </row>
    <row r="173" spans="1:24" outlineLevel="1" x14ac:dyDescent="0.25">
      <c r="A173" s="34" t="s">
        <v>130</v>
      </c>
      <c r="B173" s="101">
        <f t="shared" si="31"/>
        <v>43632</v>
      </c>
      <c r="C173" s="34">
        <f t="shared" si="39"/>
        <v>24</v>
      </c>
      <c r="D173" s="78">
        <v>42537</v>
      </c>
      <c r="E173" s="102">
        <f t="shared" si="32"/>
        <v>43632</v>
      </c>
      <c r="F173" s="92"/>
      <c r="G173" s="92">
        <v>2.5977000000000001</v>
      </c>
      <c r="H173" s="92">
        <v>1.6358999999999999</v>
      </c>
      <c r="I173" s="92">
        <v>1.8466</v>
      </c>
      <c r="J173" s="92">
        <v>2.3512</v>
      </c>
      <c r="K173" s="92">
        <v>3.2561</v>
      </c>
      <c r="L173" s="92">
        <v>3.1714000000000002</v>
      </c>
      <c r="M173" s="93">
        <v>2.7877000000000001</v>
      </c>
      <c r="N173" s="103">
        <v>3.1840000000000002</v>
      </c>
      <c r="O173" s="92">
        <v>2.2866</v>
      </c>
      <c r="P173" s="106">
        <v>1.9838</v>
      </c>
      <c r="Q173" s="92">
        <v>3.9184000000000001</v>
      </c>
      <c r="R173" s="92">
        <v>2.1879</v>
      </c>
      <c r="S173" s="92">
        <v>2.1164999999999998</v>
      </c>
      <c r="T173" s="92">
        <v>1.7038</v>
      </c>
      <c r="U173" s="92">
        <v>1.1801999999999999</v>
      </c>
      <c r="V173" s="92">
        <v>0.96850000000000003</v>
      </c>
      <c r="W173" s="92"/>
      <c r="X173" s="92">
        <v>0.74020000000000008</v>
      </c>
    </row>
    <row r="174" spans="1:24" outlineLevel="1" x14ac:dyDescent="0.25">
      <c r="A174" s="34" t="s">
        <v>130</v>
      </c>
      <c r="B174" s="101">
        <f t="shared" si="31"/>
        <v>43633</v>
      </c>
      <c r="C174" s="34">
        <f t="shared" si="39"/>
        <v>24</v>
      </c>
      <c r="D174" s="78">
        <v>42538</v>
      </c>
      <c r="E174" s="102">
        <f t="shared" si="32"/>
        <v>43633</v>
      </c>
      <c r="F174" s="92"/>
      <c r="G174" s="92">
        <v>2.5977000000000001</v>
      </c>
      <c r="H174" s="92">
        <v>1.6536999999999999</v>
      </c>
      <c r="I174" s="92">
        <v>1.8418000000000001</v>
      </c>
      <c r="J174" s="92">
        <v>2.3763000000000001</v>
      </c>
      <c r="K174" s="92">
        <v>3.2475000000000001</v>
      </c>
      <c r="L174" s="92">
        <v>3.1286</v>
      </c>
      <c r="M174" s="93">
        <v>2.7877000000000001</v>
      </c>
      <c r="N174" s="103">
        <v>3.1840000000000002</v>
      </c>
      <c r="O174" s="92">
        <v>2.3246000000000002</v>
      </c>
      <c r="P174" s="106">
        <v>2.0263</v>
      </c>
      <c r="Q174" s="92">
        <v>3.9058999999999999</v>
      </c>
      <c r="R174" s="92">
        <v>2.1762999999999999</v>
      </c>
      <c r="S174" s="92">
        <v>2.1164999999999998</v>
      </c>
      <c r="T174" s="92">
        <v>1.7038</v>
      </c>
      <c r="U174" s="92">
        <v>1.1786999999999999</v>
      </c>
      <c r="V174" s="92">
        <v>0.97450000000000003</v>
      </c>
      <c r="W174" s="92"/>
      <c r="X174" s="92">
        <v>0.73320000000000007</v>
      </c>
    </row>
    <row r="175" spans="1:24" outlineLevel="1" x14ac:dyDescent="0.25">
      <c r="A175" s="34" t="s">
        <v>130</v>
      </c>
      <c r="B175" s="101">
        <f t="shared" si="31"/>
        <v>43634</v>
      </c>
      <c r="C175" s="34">
        <f>+C168+1</f>
        <v>25</v>
      </c>
      <c r="D175" s="78">
        <v>42539</v>
      </c>
      <c r="E175" s="102">
        <f t="shared" si="32"/>
        <v>43634</v>
      </c>
      <c r="F175" s="92"/>
      <c r="G175" s="92">
        <v>2.54</v>
      </c>
      <c r="H175" s="92">
        <v>1.6536999999999999</v>
      </c>
      <c r="I175" s="92">
        <v>1.8418000000000001</v>
      </c>
      <c r="J175" s="92">
        <v>2.3820999999999999</v>
      </c>
      <c r="K175" s="92">
        <v>3.2648999999999999</v>
      </c>
      <c r="L175" s="92">
        <v>3.1227999999999998</v>
      </c>
      <c r="M175" s="93">
        <v>2.7991000000000001</v>
      </c>
      <c r="N175" s="103">
        <v>3.1840000000000002</v>
      </c>
      <c r="O175" s="92">
        <v>2.3246000000000002</v>
      </c>
      <c r="P175" s="106">
        <v>2.0363000000000002</v>
      </c>
      <c r="Q175" s="92">
        <v>3.8872</v>
      </c>
      <c r="R175" s="92">
        <v>2.1863000000000001</v>
      </c>
      <c r="S175" s="92">
        <v>2.0525000000000002</v>
      </c>
      <c r="T175" s="92">
        <v>1.7038</v>
      </c>
      <c r="U175" s="92">
        <v>1.1786999999999999</v>
      </c>
      <c r="V175" s="92">
        <v>0.96350000000000002</v>
      </c>
      <c r="W175" s="92"/>
      <c r="X175" s="92">
        <v>0.73120000000000007</v>
      </c>
    </row>
    <row r="176" spans="1:24" outlineLevel="1" x14ac:dyDescent="0.25">
      <c r="A176" s="34" t="s">
        <v>130</v>
      </c>
      <c r="B176" s="101">
        <f t="shared" si="31"/>
        <v>43635</v>
      </c>
      <c r="C176" s="34">
        <f>+C175</f>
        <v>25</v>
      </c>
      <c r="D176" s="78">
        <v>42540</v>
      </c>
      <c r="E176" s="102">
        <f t="shared" si="32"/>
        <v>43635</v>
      </c>
      <c r="F176" s="92"/>
      <c r="G176" s="92">
        <v>2.5829</v>
      </c>
      <c r="H176" s="92">
        <v>1.6536999999999999</v>
      </c>
      <c r="I176" s="92">
        <v>1.8418000000000001</v>
      </c>
      <c r="J176" s="92">
        <v>2.3820999999999999</v>
      </c>
      <c r="K176" s="92">
        <v>3.2736000000000001</v>
      </c>
      <c r="L176" s="92">
        <v>3.1631999999999998</v>
      </c>
      <c r="M176" s="93">
        <v>2.7517999999999998</v>
      </c>
      <c r="N176" s="103">
        <v>3.1698</v>
      </c>
      <c r="O176" s="92">
        <v>2.3246000000000002</v>
      </c>
      <c r="P176" s="106">
        <v>2.0363000000000002</v>
      </c>
      <c r="Q176" s="92">
        <v>3.9523000000000001</v>
      </c>
      <c r="R176" s="92">
        <v>2.1821000000000002</v>
      </c>
      <c r="S176" s="92">
        <v>2.0787999999999998</v>
      </c>
      <c r="T176" s="92">
        <v>1.7293999999999998</v>
      </c>
      <c r="U176" s="92">
        <v>1.1786999999999999</v>
      </c>
      <c r="V176" s="92">
        <v>0.94850000000000001</v>
      </c>
      <c r="W176" s="92"/>
      <c r="X176" s="92">
        <v>0.72920000000000007</v>
      </c>
    </row>
    <row r="177" spans="1:33" outlineLevel="1" x14ac:dyDescent="0.25">
      <c r="A177" s="34" t="s">
        <v>130</v>
      </c>
      <c r="B177" s="101">
        <f t="shared" si="31"/>
        <v>43636</v>
      </c>
      <c r="C177" s="34">
        <f>+C176</f>
        <v>25</v>
      </c>
      <c r="D177" s="78">
        <v>42541</v>
      </c>
      <c r="E177" s="102">
        <f t="shared" si="32"/>
        <v>43636</v>
      </c>
      <c r="F177" s="92"/>
      <c r="G177" s="92">
        <v>2.5891999999999999</v>
      </c>
      <c r="H177" s="92">
        <v>1.6420999999999999</v>
      </c>
      <c r="I177" s="92">
        <v>1.8341000000000001</v>
      </c>
      <c r="J177" s="92">
        <v>2.3820999999999999</v>
      </c>
      <c r="K177" s="92">
        <v>3.2736000000000001</v>
      </c>
      <c r="L177" s="92">
        <v>3.0625</v>
      </c>
      <c r="M177" s="93">
        <v>2.766</v>
      </c>
      <c r="N177" s="103">
        <v>3.11</v>
      </c>
      <c r="O177" s="92">
        <v>2.3056000000000001</v>
      </c>
      <c r="P177" s="106">
        <v>2.0363000000000002</v>
      </c>
      <c r="Q177" s="92">
        <v>3.8077999999999999</v>
      </c>
      <c r="R177" s="92">
        <v>2.1837999999999997</v>
      </c>
      <c r="S177" s="92">
        <v>2.1223999999999998</v>
      </c>
      <c r="T177" s="92">
        <v>1.7293999999999998</v>
      </c>
      <c r="U177" s="92">
        <v>1.1932</v>
      </c>
      <c r="V177" s="92">
        <v>0.94850000000000001</v>
      </c>
      <c r="W177" s="92"/>
      <c r="X177" s="92">
        <v>0.72120000000000006</v>
      </c>
    </row>
    <row r="178" spans="1:33" outlineLevel="1" x14ac:dyDescent="0.25">
      <c r="A178" s="34" t="s">
        <v>130</v>
      </c>
      <c r="B178" s="101">
        <f t="shared" si="31"/>
        <v>43637</v>
      </c>
      <c r="C178" s="34">
        <f>+C177</f>
        <v>25</v>
      </c>
      <c r="D178" s="78">
        <v>42542</v>
      </c>
      <c r="E178" s="102">
        <f t="shared" si="32"/>
        <v>43637</v>
      </c>
      <c r="F178" s="92"/>
      <c r="G178" s="92">
        <v>2.5891999999999999</v>
      </c>
      <c r="H178" s="92">
        <v>1.6319999999999999</v>
      </c>
      <c r="I178" s="92">
        <v>1.8334999999999999</v>
      </c>
      <c r="J178" s="92">
        <v>2.3512</v>
      </c>
      <c r="K178" s="92">
        <v>3.2736000000000001</v>
      </c>
      <c r="L178" s="92">
        <v>3.0625</v>
      </c>
      <c r="M178" s="93">
        <v>2.7494000000000001</v>
      </c>
      <c r="N178" s="103">
        <v>3.11</v>
      </c>
      <c r="O178" s="92">
        <v>2.3254999999999999</v>
      </c>
      <c r="P178" s="106">
        <v>1.9438</v>
      </c>
      <c r="Q178" s="92">
        <v>3.8077999999999999</v>
      </c>
      <c r="R178" s="92">
        <v>2.1804000000000001</v>
      </c>
      <c r="S178" s="92">
        <v>2.1404000000000001</v>
      </c>
      <c r="T178" s="92">
        <v>1.7232999999999998</v>
      </c>
      <c r="U178" s="92">
        <v>1.1796</v>
      </c>
      <c r="V178" s="92">
        <v>0.94850000000000001</v>
      </c>
      <c r="W178" s="92"/>
      <c r="X178" s="92">
        <v>0.72120000000000006</v>
      </c>
    </row>
    <row r="179" spans="1:33" outlineLevel="1" x14ac:dyDescent="0.25">
      <c r="A179" s="34" t="s">
        <v>130</v>
      </c>
      <c r="B179" s="101">
        <f t="shared" si="31"/>
        <v>43638</v>
      </c>
      <c r="C179" s="34">
        <f t="shared" ref="C179:C181" si="40">+C178</f>
        <v>25</v>
      </c>
      <c r="D179" s="78">
        <v>42543</v>
      </c>
      <c r="E179" s="102">
        <f t="shared" si="32"/>
        <v>43638</v>
      </c>
      <c r="F179" s="92"/>
      <c r="G179" s="92">
        <v>2.5891999999999999</v>
      </c>
      <c r="H179" s="92">
        <v>1.6268</v>
      </c>
      <c r="I179" s="92">
        <v>1.7774000000000001</v>
      </c>
      <c r="J179" s="92">
        <v>2.3180000000000001</v>
      </c>
      <c r="K179" s="92">
        <v>3.2749000000000001</v>
      </c>
      <c r="L179" s="92">
        <v>3.0625</v>
      </c>
      <c r="M179" s="93">
        <v>2.6892</v>
      </c>
      <c r="N179" s="103">
        <v>3.11</v>
      </c>
      <c r="O179" s="92">
        <v>2.2799999999999998</v>
      </c>
      <c r="P179" s="106">
        <v>1.9438</v>
      </c>
      <c r="Q179" s="92">
        <v>3.8077999999999999</v>
      </c>
      <c r="R179" s="92">
        <v>2.1804000000000001</v>
      </c>
      <c r="S179" s="92">
        <v>2.1743999999999999</v>
      </c>
      <c r="T179" s="92">
        <v>1.7023999999999999</v>
      </c>
      <c r="U179" s="92">
        <v>1.2025999999999999</v>
      </c>
      <c r="V179" s="92">
        <v>0.95200000000000007</v>
      </c>
      <c r="W179" s="92"/>
      <c r="X179" s="92">
        <v>0.72120000000000006</v>
      </c>
    </row>
    <row r="180" spans="1:33" outlineLevel="1" x14ac:dyDescent="0.25">
      <c r="A180" s="34" t="s">
        <v>130</v>
      </c>
      <c r="B180" s="101">
        <f t="shared" si="31"/>
        <v>43639</v>
      </c>
      <c r="C180" s="34">
        <f t="shared" si="40"/>
        <v>25</v>
      </c>
      <c r="D180" s="78">
        <v>42544</v>
      </c>
      <c r="E180" s="102">
        <f t="shared" si="32"/>
        <v>43639</v>
      </c>
      <c r="F180" s="92"/>
      <c r="G180" s="92">
        <v>2.5891999999999999</v>
      </c>
      <c r="H180" s="92">
        <v>1.6236999999999999</v>
      </c>
      <c r="I180" s="92">
        <v>1.7774000000000001</v>
      </c>
      <c r="J180" s="92">
        <v>2.3521999999999998</v>
      </c>
      <c r="K180" s="92">
        <v>3.2410000000000001</v>
      </c>
      <c r="L180" s="92">
        <v>3.0373999999999999</v>
      </c>
      <c r="M180" s="93">
        <v>2.6892</v>
      </c>
      <c r="N180" s="103">
        <v>2.9432</v>
      </c>
      <c r="O180" s="92">
        <v>2.2585999999999999</v>
      </c>
      <c r="P180" s="106">
        <v>1.9484999999999999</v>
      </c>
      <c r="Q180" s="92">
        <v>3.8569</v>
      </c>
      <c r="R180" s="92">
        <v>2.1804000000000001</v>
      </c>
      <c r="S180" s="92">
        <v>2.1743999999999999</v>
      </c>
      <c r="T180" s="92">
        <v>1.7524</v>
      </c>
      <c r="U180" s="92">
        <v>1.2755999999999998</v>
      </c>
      <c r="V180" s="92">
        <v>0.94100000000000006</v>
      </c>
      <c r="W180" s="92"/>
      <c r="X180" s="92">
        <v>0.70420000000000005</v>
      </c>
    </row>
    <row r="181" spans="1:33" outlineLevel="1" x14ac:dyDescent="0.25">
      <c r="A181" s="34" t="s">
        <v>130</v>
      </c>
      <c r="B181" s="101">
        <f t="shared" si="31"/>
        <v>43640</v>
      </c>
      <c r="C181" s="34">
        <f t="shared" si="40"/>
        <v>25</v>
      </c>
      <c r="D181" s="78">
        <v>42545</v>
      </c>
      <c r="E181" s="102">
        <f t="shared" si="32"/>
        <v>43640</v>
      </c>
      <c r="F181" s="92"/>
      <c r="G181" s="92">
        <v>2.5891999999999999</v>
      </c>
      <c r="H181" s="92">
        <v>1.6236999999999999</v>
      </c>
      <c r="I181" s="92">
        <v>1.7774000000000001</v>
      </c>
      <c r="J181" s="92">
        <v>2.3193000000000001</v>
      </c>
      <c r="K181" s="92">
        <v>3.2339000000000002</v>
      </c>
      <c r="L181" s="92">
        <v>3.0649999999999999</v>
      </c>
      <c r="M181" s="93">
        <v>2.6892</v>
      </c>
      <c r="N181" s="103">
        <v>2.9432</v>
      </c>
      <c r="O181" s="92">
        <v>2.2538</v>
      </c>
      <c r="P181" s="106">
        <v>1.9285000000000001</v>
      </c>
      <c r="Q181" s="92">
        <v>3.8460000000000001</v>
      </c>
      <c r="R181" s="92">
        <v>2.1860999999999997</v>
      </c>
      <c r="S181" s="92">
        <v>2.1743999999999999</v>
      </c>
      <c r="T181" s="92">
        <v>1.7524</v>
      </c>
      <c r="U181" s="92">
        <v>1.3190999999999999</v>
      </c>
      <c r="V181" s="92">
        <v>0.94200000000000006</v>
      </c>
      <c r="W181" s="92"/>
      <c r="X181" s="92">
        <v>0.70020000000000004</v>
      </c>
    </row>
    <row r="182" spans="1:33" outlineLevel="1" x14ac:dyDescent="0.25">
      <c r="A182" s="34" t="s">
        <v>130</v>
      </c>
      <c r="B182" s="101">
        <f t="shared" si="31"/>
        <v>43641</v>
      </c>
      <c r="C182" s="34">
        <f t="shared" si="38"/>
        <v>26</v>
      </c>
      <c r="D182" s="78">
        <v>42546</v>
      </c>
      <c r="E182" s="102">
        <f t="shared" si="32"/>
        <v>43641</v>
      </c>
      <c r="F182" s="92"/>
      <c r="G182" s="92">
        <v>2.5758999999999999</v>
      </c>
      <c r="H182" s="92">
        <v>1.6236999999999999</v>
      </c>
      <c r="I182" s="92">
        <v>1.7774000000000001</v>
      </c>
      <c r="J182" s="92">
        <v>2.3033999999999999</v>
      </c>
      <c r="K182" s="92">
        <v>3.2130000000000001</v>
      </c>
      <c r="L182" s="92">
        <v>3.0400999999999998</v>
      </c>
      <c r="M182" s="93">
        <v>2.7599</v>
      </c>
      <c r="N182" s="103">
        <v>2.9432</v>
      </c>
      <c r="O182" s="92">
        <v>2.2538</v>
      </c>
      <c r="P182" s="106">
        <v>1.9484999999999999</v>
      </c>
      <c r="Q182" s="92">
        <v>3.8647999999999998</v>
      </c>
      <c r="R182" s="92">
        <v>2.1758999999999999</v>
      </c>
      <c r="S182" s="92">
        <v>2.1823999999999999</v>
      </c>
      <c r="T182" s="92">
        <v>1.7524</v>
      </c>
      <c r="U182" s="92">
        <v>1.3190999999999999</v>
      </c>
      <c r="V182" s="92">
        <v>0.95400000000000007</v>
      </c>
      <c r="W182" s="92"/>
      <c r="X182" s="92">
        <v>0.68120000000000003</v>
      </c>
    </row>
    <row r="183" spans="1:33" outlineLevel="1" x14ac:dyDescent="0.25">
      <c r="A183" s="34" t="s">
        <v>130</v>
      </c>
      <c r="B183" s="101">
        <f t="shared" si="31"/>
        <v>43642</v>
      </c>
      <c r="C183" s="34">
        <f>+C182</f>
        <v>26</v>
      </c>
      <c r="D183" s="78">
        <v>42547</v>
      </c>
      <c r="E183" s="102">
        <f t="shared" si="32"/>
        <v>43642</v>
      </c>
      <c r="F183" s="92"/>
      <c r="G183" s="92">
        <v>2.5583</v>
      </c>
      <c r="H183" s="92">
        <v>1.6236999999999999</v>
      </c>
      <c r="I183" s="92">
        <v>1.7774000000000001</v>
      </c>
      <c r="J183" s="92">
        <v>2.3033999999999999</v>
      </c>
      <c r="K183" s="92">
        <v>3.2130000000000001</v>
      </c>
      <c r="L183" s="92">
        <v>3.0327999999999999</v>
      </c>
      <c r="M183" s="93">
        <v>2.7172999999999998</v>
      </c>
      <c r="N183" s="103">
        <v>2.8599000000000001</v>
      </c>
      <c r="O183" s="92">
        <v>2.2538</v>
      </c>
      <c r="P183" s="106">
        <v>1.9484999999999999</v>
      </c>
      <c r="Q183" s="92">
        <v>3.8151000000000002</v>
      </c>
      <c r="R183" s="92">
        <v>2.1539000000000001</v>
      </c>
      <c r="S183" s="92">
        <v>2.2065000000000001</v>
      </c>
      <c r="T183" s="92">
        <v>1.7444999999999999</v>
      </c>
      <c r="U183" s="92">
        <v>1.3190999999999999</v>
      </c>
      <c r="V183" s="92">
        <v>0.95700000000000007</v>
      </c>
      <c r="W183" s="92"/>
      <c r="X183" s="92">
        <v>0.67920000000000003</v>
      </c>
    </row>
    <row r="184" spans="1:33" outlineLevel="1" x14ac:dyDescent="0.25">
      <c r="A184" s="34" t="s">
        <v>130</v>
      </c>
      <c r="B184" s="101">
        <f t="shared" si="31"/>
        <v>43643</v>
      </c>
      <c r="C184" s="34">
        <f>+C183</f>
        <v>26</v>
      </c>
      <c r="D184" s="78">
        <v>42548</v>
      </c>
      <c r="E184" s="102">
        <f t="shared" si="32"/>
        <v>43643</v>
      </c>
      <c r="F184" s="92"/>
      <c r="G184" s="92">
        <v>2.5583</v>
      </c>
      <c r="H184" s="92">
        <v>1.6236999999999999</v>
      </c>
      <c r="I184" s="92">
        <v>1.7774000000000001</v>
      </c>
      <c r="J184" s="92">
        <v>2.3033999999999999</v>
      </c>
      <c r="K184" s="92">
        <v>3.2130000000000001</v>
      </c>
      <c r="L184" s="92">
        <v>3.0634999999999999</v>
      </c>
      <c r="M184" s="93">
        <v>2.7589000000000001</v>
      </c>
      <c r="N184" s="103">
        <v>2.8765999999999998</v>
      </c>
      <c r="O184" s="92">
        <v>2.2978999999999998</v>
      </c>
      <c r="P184" s="106">
        <v>1.9484999999999999</v>
      </c>
      <c r="Q184" s="92">
        <v>3.9277000000000002</v>
      </c>
      <c r="R184" s="92">
        <v>2.1762999999999999</v>
      </c>
      <c r="S184" s="92">
        <v>2.2206999999999999</v>
      </c>
      <c r="T184" s="92">
        <v>1.7469999999999999</v>
      </c>
      <c r="U184" s="92">
        <v>1.3405</v>
      </c>
      <c r="V184" s="92">
        <v>0.95700000000000007</v>
      </c>
      <c r="W184" s="92"/>
      <c r="X184" s="92">
        <v>0.69220000000000004</v>
      </c>
    </row>
    <row r="185" spans="1:33" outlineLevel="1" x14ac:dyDescent="0.25">
      <c r="A185" s="34" t="s">
        <v>130</v>
      </c>
      <c r="B185" s="101">
        <f t="shared" si="31"/>
        <v>43644</v>
      </c>
      <c r="C185" s="34">
        <f>+C184</f>
        <v>26</v>
      </c>
      <c r="D185" s="78">
        <v>42549</v>
      </c>
      <c r="E185" s="102">
        <f t="shared" si="32"/>
        <v>43644</v>
      </c>
      <c r="F185" s="92"/>
      <c r="G185" s="92">
        <v>2.5583</v>
      </c>
      <c r="H185" s="92">
        <v>1.6411</v>
      </c>
      <c r="I185" s="92">
        <v>1.7774000000000001</v>
      </c>
      <c r="J185" s="92">
        <v>2.3033999999999999</v>
      </c>
      <c r="K185" s="92">
        <v>3.2130000000000001</v>
      </c>
      <c r="L185" s="92">
        <v>3.0634999999999999</v>
      </c>
      <c r="M185" s="93">
        <v>2.7589000000000001</v>
      </c>
      <c r="N185" s="103">
        <v>2.9178000000000002</v>
      </c>
      <c r="O185" s="92">
        <v>2.2890999999999999</v>
      </c>
      <c r="P185" s="106">
        <v>1.9448000000000001</v>
      </c>
      <c r="Q185" s="92">
        <v>3.9277000000000002</v>
      </c>
      <c r="R185" s="92">
        <v>2.1518999999999999</v>
      </c>
      <c r="S185" s="92">
        <v>2.2172000000000001</v>
      </c>
      <c r="T185" s="92">
        <v>1.722</v>
      </c>
      <c r="U185" s="92">
        <v>1.3525</v>
      </c>
      <c r="V185" s="92">
        <v>0.95700000000000007</v>
      </c>
      <c r="W185" s="92"/>
      <c r="X185" s="92">
        <v>0.69220000000000004</v>
      </c>
    </row>
    <row r="186" spans="1:33" outlineLevel="1" x14ac:dyDescent="0.25">
      <c r="A186" s="34" t="s">
        <v>130</v>
      </c>
      <c r="B186" s="101">
        <f t="shared" si="31"/>
        <v>43645</v>
      </c>
      <c r="C186" s="34">
        <f t="shared" ref="C186:C188" si="41">+C185</f>
        <v>26</v>
      </c>
      <c r="D186" s="78">
        <v>42550</v>
      </c>
      <c r="E186" s="102">
        <f t="shared" si="32"/>
        <v>43645</v>
      </c>
      <c r="F186" s="92"/>
      <c r="G186" s="92">
        <v>2.5583</v>
      </c>
      <c r="H186" s="92">
        <v>1.6647000000000001</v>
      </c>
      <c r="I186" s="92">
        <v>1.7774000000000001</v>
      </c>
      <c r="J186" s="92">
        <v>2.3033999999999999</v>
      </c>
      <c r="K186" s="92">
        <v>3.2</v>
      </c>
      <c r="L186" s="92">
        <v>3.0634999999999999</v>
      </c>
      <c r="M186" s="93">
        <v>2.7128999999999999</v>
      </c>
      <c r="N186" s="103">
        <v>2.9954000000000001</v>
      </c>
      <c r="O186" s="92">
        <v>2.2227000000000001</v>
      </c>
      <c r="P186" s="106">
        <v>1.9748000000000001</v>
      </c>
      <c r="Q186" s="92">
        <v>3.9277000000000002</v>
      </c>
      <c r="R186" s="92">
        <v>2.1518999999999999</v>
      </c>
      <c r="S186" s="92">
        <v>2.2616999999999998</v>
      </c>
      <c r="T186" s="92">
        <v>1.6811</v>
      </c>
      <c r="U186" s="92">
        <v>1.3694999999999999</v>
      </c>
      <c r="V186" s="92">
        <v>0.96900000000000008</v>
      </c>
      <c r="W186" s="92"/>
      <c r="X186" s="92">
        <v>0.69220000000000004</v>
      </c>
    </row>
    <row r="187" spans="1:33" outlineLevel="1" x14ac:dyDescent="0.25">
      <c r="A187" s="34" t="s">
        <v>130</v>
      </c>
      <c r="B187" s="101">
        <f t="shared" si="31"/>
        <v>43646</v>
      </c>
      <c r="C187" s="34">
        <f t="shared" si="41"/>
        <v>26</v>
      </c>
      <c r="D187" s="78">
        <v>42551</v>
      </c>
      <c r="E187" s="102">
        <f t="shared" si="32"/>
        <v>43646</v>
      </c>
      <c r="F187" s="92"/>
      <c r="G187" s="92">
        <v>2.5583</v>
      </c>
      <c r="H187" s="92">
        <v>1.673</v>
      </c>
      <c r="I187" s="92">
        <v>1.7871999999999999</v>
      </c>
      <c r="J187" s="92">
        <v>2.3365999999999998</v>
      </c>
      <c r="K187" s="92">
        <v>3.2</v>
      </c>
      <c r="L187" s="92">
        <v>3.0634999999999999</v>
      </c>
      <c r="M187" s="93">
        <v>2.7128999999999999</v>
      </c>
      <c r="N187" s="103">
        <v>3.0070000000000001</v>
      </c>
      <c r="O187" s="92">
        <v>2.194</v>
      </c>
      <c r="P187" s="106">
        <v>1.9410000000000001</v>
      </c>
      <c r="Q187" s="92">
        <v>3.9716</v>
      </c>
      <c r="R187" s="92">
        <v>2.1518999999999999</v>
      </c>
      <c r="S187" s="92">
        <v>2.2616999999999998</v>
      </c>
      <c r="T187" s="92">
        <v>1.6985999999999999</v>
      </c>
      <c r="U187" s="92">
        <v>1.3935</v>
      </c>
      <c r="V187" s="92">
        <v>0.99199999999999999</v>
      </c>
      <c r="W187" s="92"/>
      <c r="X187" s="92">
        <v>0.72470000000000001</v>
      </c>
      <c r="AG187" s="104"/>
    </row>
    <row r="188" spans="1:33" outlineLevel="1" collapsed="1" x14ac:dyDescent="0.25">
      <c r="A188" s="34" t="s">
        <v>131</v>
      </c>
      <c r="B188" s="101">
        <f t="shared" si="31"/>
        <v>43647</v>
      </c>
      <c r="C188" s="34">
        <f t="shared" si="41"/>
        <v>26</v>
      </c>
      <c r="D188" s="78">
        <v>42552</v>
      </c>
      <c r="E188" s="102">
        <f t="shared" si="32"/>
        <v>43647</v>
      </c>
      <c r="F188" s="92"/>
      <c r="G188" s="92">
        <v>2.5583</v>
      </c>
      <c r="H188" s="92">
        <v>1.673</v>
      </c>
      <c r="I188" s="92">
        <v>1.7871999999999999</v>
      </c>
      <c r="J188" s="92">
        <v>2.3365999999999998</v>
      </c>
      <c r="K188" s="92">
        <v>3.2000999999999999</v>
      </c>
      <c r="L188" s="92">
        <v>3.0651999999999999</v>
      </c>
      <c r="M188" s="93">
        <v>2.7128999999999999</v>
      </c>
      <c r="N188" s="103">
        <v>3.0070000000000001</v>
      </c>
      <c r="O188" s="92">
        <v>2.1158000000000001</v>
      </c>
      <c r="P188" s="106">
        <v>1.8651</v>
      </c>
      <c r="Q188" s="92">
        <v>3.9518</v>
      </c>
      <c r="R188" s="92">
        <v>2.1551</v>
      </c>
      <c r="S188" s="92">
        <v>2.2616999999999998</v>
      </c>
      <c r="T188" s="92">
        <v>1.6985999999999999</v>
      </c>
      <c r="U188" s="92">
        <v>1.4144999999999999</v>
      </c>
      <c r="V188" s="92">
        <v>0.99399999999999999</v>
      </c>
      <c r="W188" s="92"/>
      <c r="X188" s="92">
        <v>0.73270000000000002</v>
      </c>
    </row>
    <row r="189" spans="1:33" outlineLevel="1" x14ac:dyDescent="0.25">
      <c r="A189" s="34" t="s">
        <v>131</v>
      </c>
      <c r="B189" s="101">
        <f t="shared" si="31"/>
        <v>43648</v>
      </c>
      <c r="C189" s="34">
        <f>+C182+1</f>
        <v>27</v>
      </c>
      <c r="D189" s="78">
        <v>42553</v>
      </c>
      <c r="E189" s="102">
        <f t="shared" si="32"/>
        <v>43648</v>
      </c>
      <c r="F189" s="92"/>
      <c r="G189" s="92">
        <v>2.5583</v>
      </c>
      <c r="H189" s="92">
        <v>1.673</v>
      </c>
      <c r="I189" s="92">
        <v>1.7871999999999999</v>
      </c>
      <c r="J189" s="92">
        <v>2.3365999999999998</v>
      </c>
      <c r="K189" s="92">
        <v>3.1753999999999998</v>
      </c>
      <c r="L189" s="92">
        <v>3.0895000000000001</v>
      </c>
      <c r="M189" s="93">
        <v>2.8584000000000001</v>
      </c>
      <c r="N189" s="103">
        <v>3.0070000000000001</v>
      </c>
      <c r="O189" s="92">
        <v>2.1158000000000001</v>
      </c>
      <c r="P189" s="106">
        <v>1.8651</v>
      </c>
      <c r="Q189" s="92">
        <v>3.9518</v>
      </c>
      <c r="R189" s="92">
        <v>2.1543999999999999</v>
      </c>
      <c r="S189" s="92">
        <v>2.2585999999999999</v>
      </c>
      <c r="T189" s="92">
        <v>1.6985999999999999</v>
      </c>
      <c r="U189" s="92">
        <v>1.4144999999999999</v>
      </c>
      <c r="V189" s="92">
        <v>0.98750000000000004</v>
      </c>
      <c r="W189" s="92"/>
      <c r="X189" s="92">
        <v>0.73610000000000009</v>
      </c>
    </row>
    <row r="190" spans="1:33" outlineLevel="1" x14ac:dyDescent="0.25">
      <c r="A190" s="34" t="s">
        <v>131</v>
      </c>
      <c r="B190" s="101">
        <f t="shared" si="31"/>
        <v>43649</v>
      </c>
      <c r="C190" s="34">
        <f t="shared" ref="C190:C195" si="42">+C183+1</f>
        <v>27</v>
      </c>
      <c r="D190" s="78">
        <v>42554</v>
      </c>
      <c r="E190" s="102">
        <f t="shared" si="32"/>
        <v>43649</v>
      </c>
      <c r="F190" s="92"/>
      <c r="G190" s="92">
        <v>2.5583</v>
      </c>
      <c r="H190" s="92">
        <v>1.7028000000000001</v>
      </c>
      <c r="I190" s="92">
        <v>1.7871999999999999</v>
      </c>
      <c r="J190" s="92">
        <v>2.3365999999999998</v>
      </c>
      <c r="K190" s="92">
        <v>3.1753999999999998</v>
      </c>
      <c r="L190" s="92">
        <v>3.0895000000000001</v>
      </c>
      <c r="M190" s="93">
        <v>2.8361000000000001</v>
      </c>
      <c r="N190" s="103">
        <v>3.0070000000000001</v>
      </c>
      <c r="O190" s="92">
        <v>2.1158000000000001</v>
      </c>
      <c r="P190" s="106">
        <v>1.8651</v>
      </c>
      <c r="Q190" s="92">
        <v>4.1058000000000003</v>
      </c>
      <c r="R190" s="92">
        <v>2.1543999999999999</v>
      </c>
      <c r="S190" s="92">
        <v>2.2585999999999999</v>
      </c>
      <c r="T190" s="92">
        <v>1.6985999999999999</v>
      </c>
      <c r="U190" s="92">
        <v>1.4144999999999999</v>
      </c>
      <c r="V190" s="92">
        <v>0.98750000000000004</v>
      </c>
      <c r="W190" s="92"/>
      <c r="X190" s="92">
        <v>0.73610000000000009</v>
      </c>
    </row>
    <row r="191" spans="1:33" outlineLevel="1" x14ac:dyDescent="0.25">
      <c r="A191" s="34" t="s">
        <v>131</v>
      </c>
      <c r="B191" s="101">
        <f t="shared" si="31"/>
        <v>43650</v>
      </c>
      <c r="C191" s="34">
        <f t="shared" si="42"/>
        <v>27</v>
      </c>
      <c r="D191" s="78">
        <v>42555</v>
      </c>
      <c r="E191" s="102">
        <f t="shared" si="32"/>
        <v>43650</v>
      </c>
      <c r="F191" s="92"/>
      <c r="G191" s="92">
        <v>2.5583</v>
      </c>
      <c r="H191" s="92">
        <v>1.7028000000000001</v>
      </c>
      <c r="I191" s="92">
        <v>1.7871999999999999</v>
      </c>
      <c r="J191" s="92">
        <v>2.3365999999999998</v>
      </c>
      <c r="K191" s="92">
        <v>3.1753999999999998</v>
      </c>
      <c r="L191" s="92">
        <v>3.0895000000000001</v>
      </c>
      <c r="M191" s="93">
        <v>2.8361000000000001</v>
      </c>
      <c r="N191" s="103">
        <v>3.0129000000000001</v>
      </c>
      <c r="O191" s="92">
        <v>2.1158000000000001</v>
      </c>
      <c r="P191" s="106">
        <v>1.8651</v>
      </c>
      <c r="Q191" s="92">
        <v>4.1058000000000003</v>
      </c>
      <c r="R191" s="92">
        <v>2.1477999999999997</v>
      </c>
      <c r="S191" s="92">
        <v>2.2585999999999999</v>
      </c>
      <c r="T191" s="92">
        <v>1.7648999999999999</v>
      </c>
      <c r="U191" s="92">
        <v>1.4144999999999999</v>
      </c>
      <c r="V191" s="92">
        <v>0.98750000000000004</v>
      </c>
      <c r="W191" s="92"/>
      <c r="X191" s="92">
        <v>0.73310000000000008</v>
      </c>
    </row>
    <row r="192" spans="1:33" outlineLevel="1" x14ac:dyDescent="0.25">
      <c r="A192" s="34" t="s">
        <v>131</v>
      </c>
      <c r="B192" s="101">
        <f t="shared" si="31"/>
        <v>43651</v>
      </c>
      <c r="C192" s="34">
        <f t="shared" si="42"/>
        <v>27</v>
      </c>
      <c r="D192" s="78">
        <v>42556</v>
      </c>
      <c r="E192" s="102">
        <f t="shared" si="32"/>
        <v>43651</v>
      </c>
      <c r="F192" s="92"/>
      <c r="G192" s="92">
        <v>2.5289000000000001</v>
      </c>
      <c r="H192" s="92">
        <v>1.7312000000000001</v>
      </c>
      <c r="I192" s="92">
        <v>1.7432000000000001</v>
      </c>
      <c r="J192" s="92">
        <v>2.3365999999999998</v>
      </c>
      <c r="K192" s="92">
        <v>3.1753999999999998</v>
      </c>
      <c r="L192" s="92">
        <v>3.0895000000000001</v>
      </c>
      <c r="M192" s="93">
        <v>2.8927</v>
      </c>
      <c r="N192" s="103">
        <v>3.0503</v>
      </c>
      <c r="O192" s="92">
        <v>2.0937000000000001</v>
      </c>
      <c r="P192" s="106">
        <v>1.8759999999999999</v>
      </c>
      <c r="Q192" s="92">
        <v>4.1058000000000003</v>
      </c>
      <c r="R192" s="92">
        <v>2.1602999999999999</v>
      </c>
      <c r="S192" s="92">
        <v>2.2986</v>
      </c>
      <c r="T192" s="92">
        <v>1.8053999999999999</v>
      </c>
      <c r="U192" s="92">
        <v>1.4304999999999999</v>
      </c>
      <c r="V192" s="92">
        <v>0.98750000000000004</v>
      </c>
      <c r="W192" s="92"/>
      <c r="X192" s="92">
        <v>0.73310000000000008</v>
      </c>
    </row>
    <row r="193" spans="1:24" outlineLevel="1" x14ac:dyDescent="0.25">
      <c r="A193" s="34" t="s">
        <v>131</v>
      </c>
      <c r="B193" s="101">
        <f t="shared" si="31"/>
        <v>43652</v>
      </c>
      <c r="C193" s="34">
        <f t="shared" si="42"/>
        <v>27</v>
      </c>
      <c r="D193" s="78">
        <v>42557</v>
      </c>
      <c r="E193" s="102">
        <f t="shared" si="32"/>
        <v>43652</v>
      </c>
      <c r="F193" s="92"/>
      <c r="G193" s="92">
        <v>2.5289000000000001</v>
      </c>
      <c r="H193" s="92">
        <v>1.6937</v>
      </c>
      <c r="I193" s="92">
        <v>1.6812</v>
      </c>
      <c r="J193" s="92">
        <v>2.3365999999999998</v>
      </c>
      <c r="K193" s="92">
        <v>3.1753999999999998</v>
      </c>
      <c r="L193" s="92">
        <v>3.1728000000000001</v>
      </c>
      <c r="M193" s="93">
        <v>2.9056999999999999</v>
      </c>
      <c r="N193" s="103">
        <v>3.0577000000000001</v>
      </c>
      <c r="O193" s="92">
        <v>2.0937000000000001</v>
      </c>
      <c r="P193" s="106">
        <v>1.75</v>
      </c>
      <c r="Q193" s="92">
        <v>4.1058000000000003</v>
      </c>
      <c r="R193" s="92">
        <v>2.1602999999999999</v>
      </c>
      <c r="S193" s="92">
        <v>2.3035999999999999</v>
      </c>
      <c r="T193" s="92">
        <v>1.9143999999999999</v>
      </c>
      <c r="U193" s="92">
        <v>1.4359999999999999</v>
      </c>
      <c r="V193" s="92">
        <v>0.97050000000000003</v>
      </c>
      <c r="W193" s="92"/>
      <c r="X193" s="92">
        <v>0.73310000000000008</v>
      </c>
    </row>
    <row r="194" spans="1:24" outlineLevel="1" x14ac:dyDescent="0.25">
      <c r="A194" s="34" t="s">
        <v>131</v>
      </c>
      <c r="B194" s="101">
        <f t="shared" si="31"/>
        <v>43653</v>
      </c>
      <c r="C194" s="34">
        <f t="shared" si="42"/>
        <v>27</v>
      </c>
      <c r="D194" s="78">
        <v>42558</v>
      </c>
      <c r="E194" s="102">
        <f t="shared" si="32"/>
        <v>43653</v>
      </c>
      <c r="F194" s="92"/>
      <c r="G194" s="92">
        <v>2.5289000000000001</v>
      </c>
      <c r="H194" s="92">
        <v>1.7004999999999999</v>
      </c>
      <c r="I194" s="92">
        <v>1.72</v>
      </c>
      <c r="J194" s="92">
        <v>2.3365999999999998</v>
      </c>
      <c r="K194" s="92">
        <v>3.0341</v>
      </c>
      <c r="L194" s="92">
        <v>3.1728000000000001</v>
      </c>
      <c r="M194" s="93">
        <v>2.9056999999999999</v>
      </c>
      <c r="N194" s="103">
        <v>3.1932</v>
      </c>
      <c r="O194" s="92">
        <v>2.1389</v>
      </c>
      <c r="P194" s="106">
        <v>1.6879999999999999</v>
      </c>
      <c r="Q194" s="92">
        <v>4.1529999999999996</v>
      </c>
      <c r="R194" s="92">
        <v>2.1602999999999999</v>
      </c>
      <c r="S194" s="92">
        <v>2.3035999999999999</v>
      </c>
      <c r="T194" s="92">
        <v>1.9069</v>
      </c>
      <c r="U194" s="92">
        <v>1.4462999999999999</v>
      </c>
      <c r="V194" s="92">
        <v>0.95600000000000007</v>
      </c>
      <c r="W194" s="92"/>
      <c r="X194" s="92">
        <v>0.72910000000000008</v>
      </c>
    </row>
    <row r="195" spans="1:24" outlineLevel="1" x14ac:dyDescent="0.25">
      <c r="A195" s="34" t="s">
        <v>131</v>
      </c>
      <c r="B195" s="101">
        <f t="shared" si="31"/>
        <v>43654</v>
      </c>
      <c r="C195" s="34">
        <f t="shared" si="42"/>
        <v>27</v>
      </c>
      <c r="D195" s="78">
        <v>42559</v>
      </c>
      <c r="E195" s="102">
        <f t="shared" si="32"/>
        <v>43654</v>
      </c>
      <c r="F195" s="92"/>
      <c r="G195" s="92">
        <v>2.5289000000000001</v>
      </c>
      <c r="H195" s="92">
        <v>1.7004999999999999</v>
      </c>
      <c r="I195" s="92">
        <v>1.72</v>
      </c>
      <c r="J195" s="92">
        <v>2.3365999999999998</v>
      </c>
      <c r="K195" s="92">
        <v>3.0341</v>
      </c>
      <c r="L195" s="92">
        <v>3.1385999999999998</v>
      </c>
      <c r="M195" s="93">
        <v>2.9056999999999999</v>
      </c>
      <c r="N195" s="103">
        <v>3.1932</v>
      </c>
      <c r="O195" s="92">
        <v>2.1617000000000002</v>
      </c>
      <c r="P195" s="106">
        <v>1.6672</v>
      </c>
      <c r="Q195" s="92">
        <v>4.0472999999999999</v>
      </c>
      <c r="R195" s="92">
        <v>2.2035999999999998</v>
      </c>
      <c r="S195" s="92">
        <v>2.3035999999999999</v>
      </c>
      <c r="T195" s="92">
        <v>1.9069</v>
      </c>
      <c r="U195" s="92">
        <v>1.4621</v>
      </c>
      <c r="V195" s="92">
        <v>0.94390000000000007</v>
      </c>
      <c r="W195" s="92"/>
      <c r="X195" s="92">
        <v>0.72460000000000002</v>
      </c>
    </row>
    <row r="196" spans="1:24" outlineLevel="1" x14ac:dyDescent="0.25">
      <c r="A196" s="34" t="s">
        <v>131</v>
      </c>
      <c r="B196" s="101">
        <f t="shared" si="31"/>
        <v>43655</v>
      </c>
      <c r="C196" s="34">
        <f>+C189+1</f>
        <v>28</v>
      </c>
      <c r="D196" s="78">
        <v>42560</v>
      </c>
      <c r="E196" s="102">
        <f t="shared" si="32"/>
        <v>43655</v>
      </c>
      <c r="F196" s="92"/>
      <c r="G196" s="92">
        <v>2.4864999999999999</v>
      </c>
      <c r="H196" s="92">
        <v>1.7004999999999999</v>
      </c>
      <c r="I196" s="92">
        <v>1.72</v>
      </c>
      <c r="J196" s="92">
        <v>2.0590999999999999</v>
      </c>
      <c r="K196" s="92">
        <v>3.0341</v>
      </c>
      <c r="L196" s="92">
        <v>3.1385999999999998</v>
      </c>
      <c r="M196" s="93">
        <v>2.8565999999999998</v>
      </c>
      <c r="N196" s="103">
        <v>3.1932</v>
      </c>
      <c r="O196" s="92">
        <v>2.1617000000000002</v>
      </c>
      <c r="P196" s="106">
        <v>1.6672</v>
      </c>
      <c r="Q196" s="92">
        <v>3.9087999999999998</v>
      </c>
      <c r="R196" s="92">
        <v>2.2002999999999999</v>
      </c>
      <c r="S196" s="92">
        <v>2.2498</v>
      </c>
      <c r="T196" s="92">
        <v>1.9069</v>
      </c>
      <c r="U196" s="92">
        <v>1.4621</v>
      </c>
      <c r="V196" s="92">
        <v>0.94290000000000007</v>
      </c>
      <c r="W196" s="92"/>
      <c r="X196" s="92">
        <v>0.7097</v>
      </c>
    </row>
    <row r="197" spans="1:24" outlineLevel="1" x14ac:dyDescent="0.25">
      <c r="A197" s="34" t="s">
        <v>131</v>
      </c>
      <c r="B197" s="101">
        <f t="shared" si="31"/>
        <v>43656</v>
      </c>
      <c r="C197" s="34">
        <f>+C196</f>
        <v>28</v>
      </c>
      <c r="D197" s="78">
        <v>42561</v>
      </c>
      <c r="E197" s="102">
        <f t="shared" si="32"/>
        <v>43656</v>
      </c>
      <c r="F197" s="92"/>
      <c r="G197" s="92">
        <v>2.4864999999999999</v>
      </c>
      <c r="H197" s="92">
        <v>1.6997</v>
      </c>
      <c r="I197" s="92">
        <v>1.72</v>
      </c>
      <c r="J197" s="92">
        <v>2.0590999999999999</v>
      </c>
      <c r="K197" s="92">
        <v>3.0341</v>
      </c>
      <c r="L197" s="92">
        <v>3.1534</v>
      </c>
      <c r="M197" s="93">
        <v>2.8935</v>
      </c>
      <c r="N197" s="103">
        <v>3.1802000000000001</v>
      </c>
      <c r="O197" s="92">
        <v>2.1617000000000002</v>
      </c>
      <c r="P197" s="106">
        <v>1.6672</v>
      </c>
      <c r="Q197" s="92">
        <v>4.1249000000000002</v>
      </c>
      <c r="R197" s="92">
        <v>2.1886000000000001</v>
      </c>
      <c r="S197" s="92">
        <v>2.2347999999999999</v>
      </c>
      <c r="T197" s="92">
        <v>1.8593999999999999</v>
      </c>
      <c r="U197" s="92">
        <v>1.4621</v>
      </c>
      <c r="V197" s="92">
        <v>0.94290000000000007</v>
      </c>
      <c r="W197" s="92"/>
      <c r="X197" s="92">
        <v>0.70720000000000005</v>
      </c>
    </row>
    <row r="198" spans="1:24" outlineLevel="1" x14ac:dyDescent="0.25">
      <c r="A198" s="34" t="s">
        <v>131</v>
      </c>
      <c r="B198" s="101">
        <f t="shared" si="31"/>
        <v>43657</v>
      </c>
      <c r="C198" s="34">
        <f>+C197</f>
        <v>28</v>
      </c>
      <c r="D198" s="78">
        <v>42562</v>
      </c>
      <c r="E198" s="102">
        <f t="shared" si="32"/>
        <v>43657</v>
      </c>
      <c r="F198" s="92"/>
      <c r="G198" s="92">
        <v>2.4864999999999999</v>
      </c>
      <c r="H198" s="92">
        <v>1.6997</v>
      </c>
      <c r="I198" s="92">
        <v>1.68</v>
      </c>
      <c r="J198" s="92">
        <v>2.0590999999999999</v>
      </c>
      <c r="K198" s="92">
        <v>3.0341</v>
      </c>
      <c r="L198" s="92">
        <v>3.1534</v>
      </c>
      <c r="M198" s="93">
        <v>2.8892000000000002</v>
      </c>
      <c r="N198" s="103">
        <v>3.1661999999999999</v>
      </c>
      <c r="O198" s="92">
        <v>2.1804999999999999</v>
      </c>
      <c r="P198" s="106">
        <v>1.6672</v>
      </c>
      <c r="Q198" s="92">
        <v>4.1249000000000002</v>
      </c>
      <c r="R198" s="92">
        <v>2.1802999999999999</v>
      </c>
      <c r="S198" s="92">
        <v>2.2688000000000001</v>
      </c>
      <c r="T198" s="92">
        <v>1.8444</v>
      </c>
      <c r="U198" s="92">
        <v>1.456</v>
      </c>
      <c r="V198" s="92">
        <v>0.94290000000000007</v>
      </c>
      <c r="W198" s="92"/>
      <c r="X198" s="92">
        <v>0.70820000000000005</v>
      </c>
    </row>
    <row r="199" spans="1:24" outlineLevel="1" x14ac:dyDescent="0.25">
      <c r="A199" s="34" t="s">
        <v>131</v>
      </c>
      <c r="B199" s="101">
        <f t="shared" ref="B199:B262" si="43">E199</f>
        <v>43658</v>
      </c>
      <c r="C199" s="34">
        <f>+C198</f>
        <v>28</v>
      </c>
      <c r="D199" s="78">
        <v>42563</v>
      </c>
      <c r="E199" s="102">
        <f t="shared" ref="E199:E262" si="44">E198+1</f>
        <v>43658</v>
      </c>
      <c r="F199" s="92"/>
      <c r="G199" s="92">
        <v>2.4864999999999999</v>
      </c>
      <c r="H199" s="92">
        <v>1.6997</v>
      </c>
      <c r="I199" s="92">
        <v>1.6846000000000001</v>
      </c>
      <c r="J199" s="92">
        <v>2.0746000000000002</v>
      </c>
      <c r="K199" s="92">
        <v>3.0341</v>
      </c>
      <c r="L199" s="92">
        <v>3.1534</v>
      </c>
      <c r="M199" s="93">
        <v>2.9521999999999999</v>
      </c>
      <c r="N199" s="103">
        <v>3.1686999999999999</v>
      </c>
      <c r="O199" s="92">
        <v>2.1355</v>
      </c>
      <c r="P199" s="106">
        <v>1.7010000000000001</v>
      </c>
      <c r="Q199" s="92">
        <v>4.1249000000000002</v>
      </c>
      <c r="R199" s="92">
        <v>2.2027999999999999</v>
      </c>
      <c r="S199" s="92">
        <v>2.2698</v>
      </c>
      <c r="T199" s="92">
        <v>1.9043999999999999</v>
      </c>
      <c r="U199" s="92">
        <v>1.4551999999999998</v>
      </c>
      <c r="V199" s="92">
        <v>0.94290000000000007</v>
      </c>
      <c r="W199" s="92"/>
      <c r="X199" s="92">
        <v>0.70820000000000005</v>
      </c>
    </row>
    <row r="200" spans="1:24" outlineLevel="1" x14ac:dyDescent="0.25">
      <c r="A200" s="34" t="s">
        <v>131</v>
      </c>
      <c r="B200" s="101">
        <f t="shared" si="43"/>
        <v>43659</v>
      </c>
      <c r="C200" s="34">
        <f t="shared" ref="C200:C202" si="45">+C199</f>
        <v>28</v>
      </c>
      <c r="D200" s="78">
        <v>42564</v>
      </c>
      <c r="E200" s="102">
        <f t="shared" si="44"/>
        <v>43659</v>
      </c>
      <c r="F200" s="92"/>
      <c r="G200" s="92">
        <v>2.4864999999999999</v>
      </c>
      <c r="H200" s="92">
        <v>1.6997</v>
      </c>
      <c r="I200" s="92">
        <v>1.6846000000000001</v>
      </c>
      <c r="J200" s="92">
        <v>2.0423</v>
      </c>
      <c r="K200" s="92">
        <v>3.0341</v>
      </c>
      <c r="L200" s="92">
        <v>3.1534</v>
      </c>
      <c r="M200" s="93">
        <v>2.9815999999999998</v>
      </c>
      <c r="N200" s="103">
        <v>3.1785000000000001</v>
      </c>
      <c r="O200" s="92">
        <v>2.1859999999999999</v>
      </c>
      <c r="P200" s="106">
        <v>1.6685000000000001</v>
      </c>
      <c r="Q200" s="92">
        <v>4.1249000000000002</v>
      </c>
      <c r="R200" s="92">
        <v>2.2027999999999999</v>
      </c>
      <c r="S200" s="92">
        <v>2.3475000000000001</v>
      </c>
      <c r="T200" s="92">
        <v>1.8813</v>
      </c>
      <c r="U200" s="92">
        <v>1.444</v>
      </c>
      <c r="V200" s="92">
        <v>0.94610000000000005</v>
      </c>
      <c r="W200" s="92"/>
      <c r="X200" s="92">
        <v>0.70820000000000005</v>
      </c>
    </row>
    <row r="201" spans="1:24" outlineLevel="1" x14ac:dyDescent="0.25">
      <c r="A201" s="34" t="s">
        <v>131</v>
      </c>
      <c r="B201" s="101">
        <f t="shared" si="43"/>
        <v>43660</v>
      </c>
      <c r="C201" s="34">
        <f t="shared" si="45"/>
        <v>28</v>
      </c>
      <c r="D201" s="78">
        <v>42565</v>
      </c>
      <c r="E201" s="102">
        <f t="shared" si="44"/>
        <v>43660</v>
      </c>
      <c r="F201" s="92"/>
      <c r="G201" s="92">
        <v>2.4864999999999999</v>
      </c>
      <c r="H201" s="92">
        <v>1.6997</v>
      </c>
      <c r="I201" s="92">
        <v>1.704</v>
      </c>
      <c r="J201" s="92">
        <v>2.0423</v>
      </c>
      <c r="K201" s="92">
        <v>3.0341</v>
      </c>
      <c r="L201" s="92">
        <v>3.1789000000000001</v>
      </c>
      <c r="M201" s="93">
        <v>2.9815999999999998</v>
      </c>
      <c r="N201" s="103">
        <v>3.1558999999999999</v>
      </c>
      <c r="O201" s="92">
        <v>2.1869000000000001</v>
      </c>
      <c r="P201" s="106">
        <v>1.6698</v>
      </c>
      <c r="Q201" s="92">
        <v>4.1719999999999997</v>
      </c>
      <c r="R201" s="92">
        <v>2.2027999999999999</v>
      </c>
      <c r="S201" s="92">
        <v>2.3475000000000001</v>
      </c>
      <c r="T201" s="92">
        <v>1.8774999999999999</v>
      </c>
      <c r="U201" s="92">
        <v>1.4400999999999999</v>
      </c>
      <c r="V201" s="92">
        <v>0.93310000000000004</v>
      </c>
      <c r="W201" s="92"/>
      <c r="X201" s="92">
        <v>0.71100000000000008</v>
      </c>
    </row>
    <row r="202" spans="1:24" outlineLevel="1" x14ac:dyDescent="0.25">
      <c r="A202" s="34" t="s">
        <v>131</v>
      </c>
      <c r="B202" s="101">
        <f t="shared" si="43"/>
        <v>43661</v>
      </c>
      <c r="C202" s="34">
        <f t="shared" si="45"/>
        <v>28</v>
      </c>
      <c r="D202" s="78">
        <v>42566</v>
      </c>
      <c r="E202" s="102">
        <f t="shared" si="44"/>
        <v>43661</v>
      </c>
      <c r="F202" s="92"/>
      <c r="G202" s="92">
        <v>2.4864999999999999</v>
      </c>
      <c r="H202" s="92">
        <v>1.7036</v>
      </c>
      <c r="I202" s="92">
        <v>1.704</v>
      </c>
      <c r="J202" s="92">
        <v>2.0249999999999999</v>
      </c>
      <c r="K202" s="92">
        <v>2.9962</v>
      </c>
      <c r="L202" s="92">
        <v>3.1781000000000001</v>
      </c>
      <c r="M202" s="93">
        <v>2.9815999999999998</v>
      </c>
      <c r="N202" s="103">
        <v>3.1558999999999999</v>
      </c>
      <c r="O202" s="92">
        <v>2.1738</v>
      </c>
      <c r="P202" s="106">
        <v>1.7273000000000001</v>
      </c>
      <c r="Q202" s="92">
        <v>4.1599000000000004</v>
      </c>
      <c r="R202" s="92">
        <v>2.2361</v>
      </c>
      <c r="S202" s="92">
        <v>2.3475000000000001</v>
      </c>
      <c r="T202" s="92">
        <v>1.8774999999999999</v>
      </c>
      <c r="U202" s="92">
        <v>1.4117</v>
      </c>
      <c r="V202" s="92">
        <v>0.92010000000000003</v>
      </c>
      <c r="W202" s="92"/>
      <c r="X202" s="92">
        <v>0.71120000000000005</v>
      </c>
    </row>
    <row r="203" spans="1:24" outlineLevel="1" x14ac:dyDescent="0.25">
      <c r="A203" s="34" t="s">
        <v>131</v>
      </c>
      <c r="B203" s="101">
        <f t="shared" si="43"/>
        <v>43662</v>
      </c>
      <c r="C203" s="34">
        <f t="shared" ref="C203:C217" si="46">+C196+1</f>
        <v>29</v>
      </c>
      <c r="D203" s="78">
        <v>42567</v>
      </c>
      <c r="E203" s="102">
        <f t="shared" si="44"/>
        <v>43662</v>
      </c>
      <c r="F203" s="92"/>
      <c r="G203" s="92">
        <v>2.4077000000000002</v>
      </c>
      <c r="H203" s="92">
        <v>1.7036</v>
      </c>
      <c r="I203" s="92">
        <v>1.704</v>
      </c>
      <c r="J203" s="92">
        <v>2.0249999999999999</v>
      </c>
      <c r="K203" s="92">
        <v>3.0135999999999998</v>
      </c>
      <c r="L203" s="92">
        <v>3.181</v>
      </c>
      <c r="M203" s="93">
        <v>3.0529000000000002</v>
      </c>
      <c r="N203" s="103">
        <v>3.1558999999999999</v>
      </c>
      <c r="O203" s="92">
        <v>2.1738</v>
      </c>
      <c r="P203" s="106">
        <v>1.7423</v>
      </c>
      <c r="Q203" s="92">
        <v>4.0373000000000001</v>
      </c>
      <c r="R203" s="92">
        <v>2.2593999999999999</v>
      </c>
      <c r="S203" s="92">
        <v>2.4</v>
      </c>
      <c r="T203" s="92">
        <v>1.8774999999999999</v>
      </c>
      <c r="U203" s="92">
        <v>1.4117</v>
      </c>
      <c r="V203" s="92">
        <v>0.90910000000000002</v>
      </c>
      <c r="W203" s="92"/>
      <c r="X203" s="92">
        <v>0.71870000000000001</v>
      </c>
    </row>
    <row r="204" spans="1:24" outlineLevel="1" x14ac:dyDescent="0.25">
      <c r="A204" s="34" t="s">
        <v>131</v>
      </c>
      <c r="B204" s="101">
        <f t="shared" si="43"/>
        <v>43663</v>
      </c>
      <c r="C204" s="34">
        <f>+C203</f>
        <v>29</v>
      </c>
      <c r="D204" s="78">
        <v>42568</v>
      </c>
      <c r="E204" s="102">
        <f t="shared" si="44"/>
        <v>43663</v>
      </c>
      <c r="F204" s="92"/>
      <c r="G204" s="92">
        <v>2.4077000000000002</v>
      </c>
      <c r="H204" s="92">
        <v>1.7036</v>
      </c>
      <c r="I204" s="92">
        <v>1.704</v>
      </c>
      <c r="J204" s="92">
        <v>2.0249999999999999</v>
      </c>
      <c r="K204" s="92">
        <v>3.0124</v>
      </c>
      <c r="L204" s="92">
        <v>3.2181000000000002</v>
      </c>
      <c r="M204" s="93">
        <v>3.0985999999999998</v>
      </c>
      <c r="N204" s="103">
        <v>3.1564000000000001</v>
      </c>
      <c r="O204" s="92">
        <v>2.1738</v>
      </c>
      <c r="P204" s="106">
        <v>1.7423</v>
      </c>
      <c r="Q204" s="92">
        <v>3.9607999999999999</v>
      </c>
      <c r="R204" s="92">
        <v>2.2574000000000001</v>
      </c>
      <c r="S204" s="92">
        <v>2.39</v>
      </c>
      <c r="T204" s="92">
        <v>1.8774999999999999</v>
      </c>
      <c r="U204" s="92">
        <v>1.4117</v>
      </c>
      <c r="V204" s="92">
        <v>0.91610000000000003</v>
      </c>
      <c r="W204" s="92"/>
      <c r="X204" s="92">
        <v>0.71870000000000001</v>
      </c>
    </row>
    <row r="205" spans="1:24" outlineLevel="1" x14ac:dyDescent="0.25">
      <c r="A205" s="34" t="s">
        <v>131</v>
      </c>
      <c r="B205" s="101">
        <f t="shared" si="43"/>
        <v>43664</v>
      </c>
      <c r="C205" s="34">
        <f>+C204</f>
        <v>29</v>
      </c>
      <c r="D205" s="78">
        <v>42569</v>
      </c>
      <c r="E205" s="102">
        <f t="shared" si="44"/>
        <v>43664</v>
      </c>
      <c r="F205" s="92"/>
      <c r="G205" s="92">
        <v>2.4077000000000002</v>
      </c>
      <c r="H205" s="92">
        <v>1.6892</v>
      </c>
      <c r="I205" s="92">
        <v>1.7</v>
      </c>
      <c r="J205" s="92">
        <v>2.0249999999999999</v>
      </c>
      <c r="K205" s="92">
        <v>3.0124</v>
      </c>
      <c r="L205" s="92">
        <v>3.2505000000000002</v>
      </c>
      <c r="M205" s="93">
        <v>3.1164999999999998</v>
      </c>
      <c r="N205" s="103">
        <v>3.1153</v>
      </c>
      <c r="O205" s="92">
        <v>2.1671</v>
      </c>
      <c r="P205" s="106">
        <v>1.7423</v>
      </c>
      <c r="Q205" s="92">
        <v>3.8727999999999998</v>
      </c>
      <c r="R205" s="92">
        <v>2.2774000000000001</v>
      </c>
      <c r="S205" s="92">
        <v>2.3774999999999999</v>
      </c>
      <c r="T205" s="92">
        <v>1.8560999999999999</v>
      </c>
      <c r="U205" s="92">
        <v>1.3800999999999999</v>
      </c>
      <c r="V205" s="92">
        <v>0.91610000000000003</v>
      </c>
      <c r="W205" s="92"/>
      <c r="X205" s="92">
        <v>0.72170000000000001</v>
      </c>
    </row>
    <row r="206" spans="1:24" outlineLevel="1" x14ac:dyDescent="0.25">
      <c r="A206" s="34" t="s">
        <v>131</v>
      </c>
      <c r="B206" s="101">
        <f t="shared" si="43"/>
        <v>43665</v>
      </c>
      <c r="C206" s="34">
        <f>+C205</f>
        <v>29</v>
      </c>
      <c r="D206" s="78">
        <v>42570</v>
      </c>
      <c r="E206" s="102">
        <f t="shared" si="44"/>
        <v>43665</v>
      </c>
      <c r="F206" s="92"/>
      <c r="G206" s="92">
        <v>2.4077000000000002</v>
      </c>
      <c r="H206" s="92">
        <v>1.6982999999999999</v>
      </c>
      <c r="I206" s="92">
        <v>1.7</v>
      </c>
      <c r="J206" s="92">
        <v>2.0705</v>
      </c>
      <c r="K206" s="92">
        <v>3.0124</v>
      </c>
      <c r="L206" s="92">
        <v>3.2505000000000002</v>
      </c>
      <c r="M206" s="93">
        <v>3.1560999999999999</v>
      </c>
      <c r="N206" s="103">
        <v>3.1240999999999999</v>
      </c>
      <c r="O206" s="92">
        <v>2.1772999999999998</v>
      </c>
      <c r="P206" s="106">
        <v>1.7898000000000001</v>
      </c>
      <c r="Q206" s="92">
        <v>3.8727999999999998</v>
      </c>
      <c r="R206" s="92">
        <v>2.3007999999999997</v>
      </c>
      <c r="S206" s="92">
        <v>2.3774999999999999</v>
      </c>
      <c r="T206" s="92">
        <v>1.8480999999999999</v>
      </c>
      <c r="U206" s="92">
        <v>1.3354999999999999</v>
      </c>
      <c r="V206" s="92">
        <v>0.91610000000000003</v>
      </c>
      <c r="W206" s="92"/>
      <c r="X206" s="92">
        <v>0.72170000000000001</v>
      </c>
    </row>
    <row r="207" spans="1:24" outlineLevel="1" x14ac:dyDescent="0.25">
      <c r="A207" s="34" t="s">
        <v>131</v>
      </c>
      <c r="B207" s="101">
        <f t="shared" si="43"/>
        <v>43666</v>
      </c>
      <c r="C207" s="34">
        <f t="shared" ref="C207:C209" si="47">+C206</f>
        <v>29</v>
      </c>
      <c r="D207" s="78">
        <v>42571</v>
      </c>
      <c r="E207" s="102">
        <f t="shared" si="44"/>
        <v>43666</v>
      </c>
      <c r="F207" s="92"/>
      <c r="G207" s="92">
        <v>2.4077000000000002</v>
      </c>
      <c r="H207" s="92">
        <v>1.7354000000000001</v>
      </c>
      <c r="I207" s="92">
        <v>1.704</v>
      </c>
      <c r="J207" s="92">
        <v>2.0918999999999999</v>
      </c>
      <c r="K207" s="92">
        <v>3.0135999999999998</v>
      </c>
      <c r="L207" s="92">
        <v>3.2505000000000002</v>
      </c>
      <c r="M207" s="93">
        <v>3.2275999999999998</v>
      </c>
      <c r="N207" s="103">
        <v>3.1442000000000001</v>
      </c>
      <c r="O207" s="92">
        <v>2.1806000000000001</v>
      </c>
      <c r="P207" s="106">
        <v>1.8188</v>
      </c>
      <c r="Q207" s="92">
        <v>3.8727999999999998</v>
      </c>
      <c r="R207" s="92">
        <v>2.3007999999999997</v>
      </c>
      <c r="S207" s="92">
        <v>2.41</v>
      </c>
      <c r="T207" s="92">
        <v>1.8175999999999999</v>
      </c>
      <c r="U207" s="92">
        <v>1.3112999999999999</v>
      </c>
      <c r="V207" s="92">
        <v>0.92360000000000009</v>
      </c>
      <c r="W207" s="92"/>
      <c r="X207" s="92">
        <v>0.72170000000000001</v>
      </c>
    </row>
    <row r="208" spans="1:24" outlineLevel="1" x14ac:dyDescent="0.25">
      <c r="A208" s="34" t="s">
        <v>131</v>
      </c>
      <c r="B208" s="101">
        <f t="shared" si="43"/>
        <v>43667</v>
      </c>
      <c r="C208" s="34">
        <f t="shared" si="47"/>
        <v>29</v>
      </c>
      <c r="D208" s="78">
        <v>42572</v>
      </c>
      <c r="E208" s="102">
        <f t="shared" si="44"/>
        <v>43667</v>
      </c>
      <c r="F208" s="92"/>
      <c r="G208" s="92">
        <v>2.4077000000000002</v>
      </c>
      <c r="H208" s="92">
        <v>1.7212000000000001</v>
      </c>
      <c r="I208" s="92">
        <v>1.6633</v>
      </c>
      <c r="J208" s="92">
        <v>2.0607000000000002</v>
      </c>
      <c r="K208" s="92">
        <v>3.0312000000000001</v>
      </c>
      <c r="L208" s="92">
        <v>3.2082000000000002</v>
      </c>
      <c r="M208" s="93">
        <v>3.2275999999999998</v>
      </c>
      <c r="N208" s="103">
        <v>3.1242999999999999</v>
      </c>
      <c r="O208" s="92">
        <v>2.1469999999999998</v>
      </c>
      <c r="P208" s="106">
        <v>1.7835000000000001</v>
      </c>
      <c r="Q208" s="92">
        <v>3.8329</v>
      </c>
      <c r="R208" s="92">
        <v>2.3007999999999997</v>
      </c>
      <c r="S208" s="92">
        <v>2.41</v>
      </c>
      <c r="T208" s="92">
        <v>1.8006</v>
      </c>
      <c r="U208" s="92">
        <v>1.2905</v>
      </c>
      <c r="V208" s="92">
        <v>0.90990000000000004</v>
      </c>
      <c r="W208" s="92"/>
      <c r="X208" s="92">
        <v>0.71870000000000001</v>
      </c>
    </row>
    <row r="209" spans="1:33" outlineLevel="1" x14ac:dyDescent="0.25">
      <c r="A209" s="34" t="s">
        <v>131</v>
      </c>
      <c r="B209" s="101">
        <f t="shared" si="43"/>
        <v>43668</v>
      </c>
      <c r="C209" s="34">
        <f t="shared" si="47"/>
        <v>29</v>
      </c>
      <c r="D209" s="78">
        <v>42573</v>
      </c>
      <c r="E209" s="102">
        <f t="shared" si="44"/>
        <v>43668</v>
      </c>
      <c r="F209" s="92"/>
      <c r="G209" s="92">
        <v>2.4077000000000002</v>
      </c>
      <c r="H209" s="92">
        <v>1.7212000000000001</v>
      </c>
      <c r="I209" s="92">
        <v>1.66</v>
      </c>
      <c r="J209" s="92">
        <v>2.0607000000000002</v>
      </c>
      <c r="K209" s="92">
        <v>3.0611999999999999</v>
      </c>
      <c r="L209" s="92">
        <v>3.2012</v>
      </c>
      <c r="M209" s="93">
        <v>3.2275999999999998</v>
      </c>
      <c r="N209" s="103">
        <v>3.1242999999999999</v>
      </c>
      <c r="O209" s="92">
        <v>2.2170999999999998</v>
      </c>
      <c r="P209" s="106">
        <v>1.8035000000000001</v>
      </c>
      <c r="Q209" s="92">
        <v>3.9066999999999998</v>
      </c>
      <c r="R209" s="92">
        <v>2.2890999999999999</v>
      </c>
      <c r="S209" s="92">
        <v>2.41</v>
      </c>
      <c r="T209" s="92">
        <v>1.8006</v>
      </c>
      <c r="U209" s="92">
        <v>1.2704</v>
      </c>
      <c r="V209" s="92">
        <v>0.89890000000000003</v>
      </c>
      <c r="W209" s="92"/>
      <c r="X209" s="92">
        <v>0.70720000000000005</v>
      </c>
    </row>
    <row r="210" spans="1:33" outlineLevel="1" x14ac:dyDescent="0.25">
      <c r="A210" s="34" t="s">
        <v>131</v>
      </c>
      <c r="B210" s="101">
        <f t="shared" si="43"/>
        <v>43669</v>
      </c>
      <c r="C210" s="34">
        <f>+C203+1</f>
        <v>30</v>
      </c>
      <c r="D210" s="78">
        <v>42574</v>
      </c>
      <c r="E210" s="102">
        <f t="shared" si="44"/>
        <v>43669</v>
      </c>
      <c r="F210" s="92"/>
      <c r="G210" s="92">
        <v>2.3584999999999998</v>
      </c>
      <c r="H210" s="92">
        <v>1.7212000000000001</v>
      </c>
      <c r="I210" s="92">
        <v>1.66</v>
      </c>
      <c r="J210" s="92">
        <v>2.0312000000000001</v>
      </c>
      <c r="K210" s="92">
        <v>3.0628000000000002</v>
      </c>
      <c r="L210" s="92">
        <v>3.2101000000000002</v>
      </c>
      <c r="M210" s="93">
        <v>3.1901999999999999</v>
      </c>
      <c r="N210" s="103">
        <v>3.1242999999999999</v>
      </c>
      <c r="O210" s="92">
        <v>2.2170999999999998</v>
      </c>
      <c r="P210" s="106">
        <v>1.8448</v>
      </c>
      <c r="Q210" s="92">
        <v>3.8264999999999998</v>
      </c>
      <c r="R210" s="92">
        <v>2.2707999999999999</v>
      </c>
      <c r="S210" s="92">
        <v>2.44</v>
      </c>
      <c r="T210" s="92">
        <v>1.8006</v>
      </c>
      <c r="U210" s="92">
        <v>1.2704</v>
      </c>
      <c r="V210" s="92">
        <v>0.89190000000000003</v>
      </c>
      <c r="W210" s="92"/>
      <c r="X210" s="92">
        <v>0.69620000000000004</v>
      </c>
    </row>
    <row r="211" spans="1:33" outlineLevel="1" x14ac:dyDescent="0.25">
      <c r="A211" s="34" t="s">
        <v>131</v>
      </c>
      <c r="B211" s="101">
        <f t="shared" si="43"/>
        <v>43670</v>
      </c>
      <c r="C211" s="34">
        <f>+C210</f>
        <v>30</v>
      </c>
      <c r="D211" s="78">
        <v>42575</v>
      </c>
      <c r="E211" s="102">
        <f t="shared" si="44"/>
        <v>43670</v>
      </c>
      <c r="F211" s="92"/>
      <c r="G211" s="92">
        <v>2.3584999999999998</v>
      </c>
      <c r="H211" s="92">
        <v>1.7007000000000001</v>
      </c>
      <c r="I211" s="92">
        <v>1.66</v>
      </c>
      <c r="J211" s="92">
        <v>2.0312000000000001</v>
      </c>
      <c r="K211" s="92">
        <v>3.0628000000000002</v>
      </c>
      <c r="L211" s="92">
        <v>3.2004999999999999</v>
      </c>
      <c r="M211" s="93">
        <v>3.0185</v>
      </c>
      <c r="N211" s="103">
        <v>3.1764999999999999</v>
      </c>
      <c r="O211" s="92">
        <v>2.2170999999999998</v>
      </c>
      <c r="P211" s="106">
        <v>1.8448</v>
      </c>
      <c r="Q211" s="92">
        <v>3.7174</v>
      </c>
      <c r="R211" s="92">
        <v>2.2898000000000001</v>
      </c>
      <c r="S211" s="92">
        <v>2.4725000000000001</v>
      </c>
      <c r="T211" s="92">
        <v>1.8440999999999999</v>
      </c>
      <c r="U211" s="92">
        <v>1.2704</v>
      </c>
      <c r="V211" s="92">
        <v>0.88570000000000004</v>
      </c>
      <c r="W211" s="92"/>
      <c r="X211" s="92">
        <v>0.70520000000000005</v>
      </c>
    </row>
    <row r="212" spans="1:33" outlineLevel="1" x14ac:dyDescent="0.25">
      <c r="A212" s="34" t="s">
        <v>131</v>
      </c>
      <c r="B212" s="101">
        <f t="shared" si="43"/>
        <v>43671</v>
      </c>
      <c r="C212" s="34">
        <f>+C211</f>
        <v>30</v>
      </c>
      <c r="D212" s="78">
        <v>42576</v>
      </c>
      <c r="E212" s="102">
        <f t="shared" si="44"/>
        <v>43671</v>
      </c>
      <c r="F212" s="92"/>
      <c r="G212" s="92">
        <v>2.3584999999999998</v>
      </c>
      <c r="H212" s="92">
        <v>1.7072000000000001</v>
      </c>
      <c r="I212" s="92">
        <v>1.6633</v>
      </c>
      <c r="J212" s="92">
        <v>2.0312000000000001</v>
      </c>
      <c r="K212" s="92">
        <v>3.0628000000000002</v>
      </c>
      <c r="L212" s="92">
        <v>3.17883</v>
      </c>
      <c r="M212" s="93">
        <v>2.8923000000000001</v>
      </c>
      <c r="N212" s="103">
        <v>3.1532</v>
      </c>
      <c r="O212" s="92">
        <v>2.2081</v>
      </c>
      <c r="P212" s="106">
        <v>1.8448</v>
      </c>
      <c r="Q212" s="92">
        <v>3.7522000000000002</v>
      </c>
      <c r="R212" s="92">
        <v>2.2898000000000001</v>
      </c>
      <c r="S212" s="92">
        <v>2.4725000000000001</v>
      </c>
      <c r="T212" s="92">
        <v>1.8455999999999999</v>
      </c>
      <c r="U212" s="92">
        <v>1.2854000000000001</v>
      </c>
      <c r="V212" s="92">
        <v>0.88570000000000004</v>
      </c>
      <c r="W212" s="92"/>
      <c r="X212" s="92">
        <v>0.71220000000000006</v>
      </c>
    </row>
    <row r="213" spans="1:33" outlineLevel="1" x14ac:dyDescent="0.25">
      <c r="A213" s="34" t="s">
        <v>131</v>
      </c>
      <c r="B213" s="101">
        <f t="shared" si="43"/>
        <v>43672</v>
      </c>
      <c r="C213" s="34">
        <f>+C212</f>
        <v>30</v>
      </c>
      <c r="D213" s="78">
        <v>42577</v>
      </c>
      <c r="E213" s="102">
        <f t="shared" si="44"/>
        <v>43672</v>
      </c>
      <c r="F213" s="92"/>
      <c r="G213" s="92">
        <v>2.3584999999999998</v>
      </c>
      <c r="H213" s="92">
        <v>1.7418</v>
      </c>
      <c r="I213" s="92">
        <v>1.6578999999999999</v>
      </c>
      <c r="J213" s="92">
        <v>2.0160999999999998</v>
      </c>
      <c r="K213" s="92">
        <v>3.0628000000000002</v>
      </c>
      <c r="L213" s="92">
        <v>3.17883</v>
      </c>
      <c r="M213" s="93">
        <v>2.9872000000000001</v>
      </c>
      <c r="N213" s="103">
        <v>3.1515</v>
      </c>
      <c r="O213" s="92">
        <v>2.1976</v>
      </c>
      <c r="P213" s="106">
        <v>1.8485</v>
      </c>
      <c r="Q213" s="92">
        <v>3.7522000000000002</v>
      </c>
      <c r="R213" s="92">
        <v>2.2948</v>
      </c>
      <c r="S213" s="92">
        <v>2.4925000000000002</v>
      </c>
      <c r="T213" s="92">
        <v>1.8666</v>
      </c>
      <c r="U213" s="92">
        <v>1.2854000000000001</v>
      </c>
      <c r="V213" s="92">
        <v>0.88570000000000004</v>
      </c>
      <c r="W213" s="92"/>
      <c r="X213" s="92">
        <v>0.71220000000000006</v>
      </c>
    </row>
    <row r="214" spans="1:33" outlineLevel="1" x14ac:dyDescent="0.25">
      <c r="A214" s="34" t="s">
        <v>131</v>
      </c>
      <c r="B214" s="101">
        <f t="shared" si="43"/>
        <v>43673</v>
      </c>
      <c r="C214" s="34">
        <f t="shared" ref="C214:C216" si="48">+C213</f>
        <v>30</v>
      </c>
      <c r="D214" s="78">
        <v>42578</v>
      </c>
      <c r="E214" s="102">
        <f t="shared" si="44"/>
        <v>43673</v>
      </c>
      <c r="F214" s="92"/>
      <c r="G214" s="92">
        <v>2.3641999999999999</v>
      </c>
      <c r="H214" s="92">
        <v>1.7718</v>
      </c>
      <c r="I214" s="92">
        <v>1.6578999999999999</v>
      </c>
      <c r="J214" s="92">
        <v>2.0160999999999998</v>
      </c>
      <c r="K214" s="92">
        <v>3.1181999999999999</v>
      </c>
      <c r="L214" s="92">
        <v>3.17883</v>
      </c>
      <c r="M214" s="93">
        <v>3.0226000000000002</v>
      </c>
      <c r="N214" s="103">
        <v>3.1381999999999999</v>
      </c>
      <c r="O214" s="92">
        <v>2.198</v>
      </c>
      <c r="P214" s="106">
        <v>1.8548</v>
      </c>
      <c r="Q214" s="92">
        <v>3.7522000000000002</v>
      </c>
      <c r="R214" s="92">
        <v>2.2948</v>
      </c>
      <c r="S214" s="92">
        <v>2.5175000000000001</v>
      </c>
      <c r="T214" s="92">
        <v>1.8595999999999999</v>
      </c>
      <c r="U214" s="92">
        <v>1.2885</v>
      </c>
      <c r="V214" s="92">
        <v>0.89690000000000003</v>
      </c>
      <c r="W214" s="92"/>
      <c r="X214" s="92">
        <v>0.71220000000000006</v>
      </c>
    </row>
    <row r="215" spans="1:33" outlineLevel="1" x14ac:dyDescent="0.25">
      <c r="A215" s="34" t="s">
        <v>131</v>
      </c>
      <c r="B215" s="101">
        <f t="shared" si="43"/>
        <v>43674</v>
      </c>
      <c r="C215" s="34">
        <f t="shared" si="48"/>
        <v>30</v>
      </c>
      <c r="D215" s="78">
        <v>42579</v>
      </c>
      <c r="E215" s="102">
        <f t="shared" si="44"/>
        <v>43674</v>
      </c>
      <c r="F215" s="92"/>
      <c r="G215" s="92">
        <v>2.3641999999999999</v>
      </c>
      <c r="H215" s="92">
        <v>1.7767999999999999</v>
      </c>
      <c r="I215" s="92">
        <v>1.6578999999999999</v>
      </c>
      <c r="J215" s="92">
        <v>2.0160999999999998</v>
      </c>
      <c r="K215" s="92">
        <v>3.1036000000000001</v>
      </c>
      <c r="L215" s="92">
        <v>3.1616</v>
      </c>
      <c r="M215" s="93">
        <v>3.0226000000000002</v>
      </c>
      <c r="N215" s="103">
        <v>3.1444999999999999</v>
      </c>
      <c r="O215" s="92">
        <v>2.1646000000000001</v>
      </c>
      <c r="P215" s="106">
        <v>1.8372999999999999</v>
      </c>
      <c r="Q215" s="92">
        <v>3.7075999999999998</v>
      </c>
      <c r="R215" s="92">
        <v>2.2948</v>
      </c>
      <c r="S215" s="92">
        <v>2.5175000000000001</v>
      </c>
      <c r="T215" s="92">
        <v>1.8825999999999998</v>
      </c>
      <c r="U215" s="92">
        <v>1.2905</v>
      </c>
      <c r="V215" s="92">
        <v>0.90390000000000004</v>
      </c>
      <c r="W215" s="92"/>
      <c r="X215" s="92">
        <v>0.72820000000000007</v>
      </c>
    </row>
    <row r="216" spans="1:33" outlineLevel="1" x14ac:dyDescent="0.25">
      <c r="A216" s="34" t="s">
        <v>131</v>
      </c>
      <c r="B216" s="101">
        <f t="shared" si="43"/>
        <v>43675</v>
      </c>
      <c r="C216" s="34">
        <f t="shared" si="48"/>
        <v>30</v>
      </c>
      <c r="D216" s="78">
        <v>42580</v>
      </c>
      <c r="E216" s="102">
        <f t="shared" si="44"/>
        <v>43675</v>
      </c>
      <c r="F216" s="92"/>
      <c r="G216" s="92">
        <v>2.3641999999999999</v>
      </c>
      <c r="H216" s="92">
        <v>1.7767999999999999</v>
      </c>
      <c r="I216" s="92">
        <v>1.6578999999999999</v>
      </c>
      <c r="J216" s="92">
        <v>2.0160999999999998</v>
      </c>
      <c r="K216" s="92">
        <v>3.1118999999999999</v>
      </c>
      <c r="L216" s="92">
        <v>3.1804999999999999</v>
      </c>
      <c r="M216" s="93">
        <v>3.0226000000000002</v>
      </c>
      <c r="N216" s="103">
        <v>3.1444999999999999</v>
      </c>
      <c r="O216" s="92">
        <v>2.2311000000000001</v>
      </c>
      <c r="P216" s="106">
        <v>1.7273000000000001</v>
      </c>
      <c r="Q216" s="92">
        <v>3.7584</v>
      </c>
      <c r="R216" s="92">
        <v>2.3273000000000001</v>
      </c>
      <c r="S216" s="92">
        <v>2.5175000000000001</v>
      </c>
      <c r="T216" s="92">
        <v>1.8825999999999998</v>
      </c>
      <c r="U216" s="92">
        <v>1.2895000000000001</v>
      </c>
      <c r="V216" s="92">
        <v>0.91190000000000004</v>
      </c>
      <c r="W216" s="92"/>
      <c r="X216" s="92">
        <v>0.73870000000000002</v>
      </c>
    </row>
    <row r="217" spans="1:33" outlineLevel="1" x14ac:dyDescent="0.25">
      <c r="A217" s="34" t="s">
        <v>131</v>
      </c>
      <c r="B217" s="101">
        <f t="shared" si="43"/>
        <v>43676</v>
      </c>
      <c r="C217" s="34">
        <f t="shared" si="46"/>
        <v>31</v>
      </c>
      <c r="D217" s="78">
        <v>42581</v>
      </c>
      <c r="E217" s="102">
        <f t="shared" si="44"/>
        <v>43676</v>
      </c>
      <c r="F217" s="92"/>
      <c r="G217" s="92">
        <v>2.3584999999999998</v>
      </c>
      <c r="H217" s="92">
        <v>1.7767999999999999</v>
      </c>
      <c r="I217" s="92">
        <v>1.6578999999999999</v>
      </c>
      <c r="J217" s="92">
        <v>1.9935</v>
      </c>
      <c r="K217" s="92">
        <v>3.0981000000000001</v>
      </c>
      <c r="L217" s="92">
        <v>3.1722999999999999</v>
      </c>
      <c r="M217" s="93">
        <v>3.0472999999999999</v>
      </c>
      <c r="N217" s="103">
        <v>3.1444999999999999</v>
      </c>
      <c r="O217" s="92">
        <v>2.2458999999999998</v>
      </c>
      <c r="P217" s="106">
        <v>1.7948</v>
      </c>
      <c r="Q217" s="92">
        <v>3.6922000000000001</v>
      </c>
      <c r="R217" s="92">
        <v>2.3422999999999998</v>
      </c>
      <c r="S217" s="92">
        <v>2.5024999999999999</v>
      </c>
      <c r="T217" s="92">
        <v>1.8825999999999998</v>
      </c>
      <c r="U217" s="92">
        <v>1.2895000000000001</v>
      </c>
      <c r="V217" s="92">
        <v>0.92890000000000006</v>
      </c>
      <c r="W217" s="92"/>
      <c r="X217" s="92">
        <v>0.74609999999999999</v>
      </c>
    </row>
    <row r="218" spans="1:33" outlineLevel="1" x14ac:dyDescent="0.25">
      <c r="A218" s="34" t="s">
        <v>131</v>
      </c>
      <c r="B218" s="101">
        <f t="shared" si="43"/>
        <v>43677</v>
      </c>
      <c r="C218" s="34">
        <f>+C217</f>
        <v>31</v>
      </c>
      <c r="D218" s="78">
        <v>42582</v>
      </c>
      <c r="E218" s="102">
        <f t="shared" si="44"/>
        <v>43677</v>
      </c>
      <c r="F218" s="92"/>
      <c r="G218" s="92">
        <v>2.3584999999999998</v>
      </c>
      <c r="H218" s="92">
        <v>1.8083</v>
      </c>
      <c r="I218" s="92">
        <v>1.66</v>
      </c>
      <c r="J218" s="92">
        <v>1.9935</v>
      </c>
      <c r="K218" s="92">
        <v>3.1013999999999999</v>
      </c>
      <c r="L218" s="92">
        <v>3.2128000000000001</v>
      </c>
      <c r="M218" s="93">
        <v>3.0385</v>
      </c>
      <c r="N218" s="103">
        <v>3.1427</v>
      </c>
      <c r="O218" s="92">
        <v>2.3020999999999998</v>
      </c>
      <c r="P218" s="106">
        <v>1.7948</v>
      </c>
      <c r="Q218" s="92">
        <v>3.7313000000000001</v>
      </c>
      <c r="R218" s="92">
        <v>2.3923000000000001</v>
      </c>
      <c r="S218" s="92">
        <v>2.5375000000000001</v>
      </c>
      <c r="T218" s="92">
        <v>1.9065999999999999</v>
      </c>
      <c r="U218" s="92">
        <v>1.2895000000000001</v>
      </c>
      <c r="V218" s="92">
        <v>0.9365</v>
      </c>
      <c r="W218" s="92"/>
      <c r="X218" s="92">
        <v>0.75530000000000008</v>
      </c>
      <c r="AG218" s="104"/>
    </row>
    <row r="219" spans="1:33" outlineLevel="1" collapsed="1" x14ac:dyDescent="0.25">
      <c r="A219" s="34" t="s">
        <v>132</v>
      </c>
      <c r="B219" s="101">
        <f t="shared" si="43"/>
        <v>43678</v>
      </c>
      <c r="C219" s="34">
        <f>+C218</f>
        <v>31</v>
      </c>
      <c r="D219" s="78">
        <v>42583</v>
      </c>
      <c r="E219" s="102">
        <f t="shared" si="44"/>
        <v>43678</v>
      </c>
      <c r="F219" s="92"/>
      <c r="G219" s="92">
        <v>2.3498999999999999</v>
      </c>
      <c r="H219" s="92">
        <v>1.8432999999999999</v>
      </c>
      <c r="I219" s="92">
        <v>1.5550999999999999</v>
      </c>
      <c r="J219" s="92">
        <v>1.9935</v>
      </c>
      <c r="K219" s="92">
        <v>3.1013999999999999</v>
      </c>
      <c r="L219" s="92">
        <v>3.2570999999999999</v>
      </c>
      <c r="M219" s="93">
        <v>3.0186999999999999</v>
      </c>
      <c r="N219" s="103">
        <v>3.1615000000000002</v>
      </c>
      <c r="O219" s="92">
        <v>2.35</v>
      </c>
      <c r="P219" s="106">
        <v>1.7948</v>
      </c>
      <c r="Q219" s="92">
        <v>3.6482999999999999</v>
      </c>
      <c r="R219" s="92">
        <v>2.3698000000000001</v>
      </c>
      <c r="S219" s="92">
        <v>2.5179999999999998</v>
      </c>
      <c r="T219" s="92">
        <v>2.0062000000000002</v>
      </c>
      <c r="U219" s="92">
        <v>1.3106</v>
      </c>
      <c r="V219" s="92">
        <v>0.9365</v>
      </c>
      <c r="W219" s="92"/>
      <c r="X219" s="92">
        <v>0.78080000000000005</v>
      </c>
    </row>
    <row r="220" spans="1:33" outlineLevel="1" x14ac:dyDescent="0.25">
      <c r="A220" s="34" t="s">
        <v>132</v>
      </c>
      <c r="B220" s="101">
        <f t="shared" si="43"/>
        <v>43679</v>
      </c>
      <c r="C220" s="34">
        <f>+C219</f>
        <v>31</v>
      </c>
      <c r="D220" s="78">
        <v>42584</v>
      </c>
      <c r="E220" s="102">
        <f t="shared" si="44"/>
        <v>43679</v>
      </c>
      <c r="F220" s="92"/>
      <c r="G220" s="92">
        <v>2.3498999999999999</v>
      </c>
      <c r="H220" s="92">
        <v>1.8225</v>
      </c>
      <c r="I220" s="92">
        <v>1.5550999999999999</v>
      </c>
      <c r="J220" s="92">
        <v>1.9935</v>
      </c>
      <c r="K220" s="92">
        <v>3.1013999999999999</v>
      </c>
      <c r="L220" s="92">
        <v>3.2570999999999999</v>
      </c>
      <c r="M220" s="93">
        <v>3.0419</v>
      </c>
      <c r="N220" s="103">
        <v>3.1593</v>
      </c>
      <c r="O220" s="92">
        <v>2.3609</v>
      </c>
      <c r="P220" s="106">
        <v>1.8472999999999999</v>
      </c>
      <c r="Q220" s="92">
        <v>3.6482999999999999</v>
      </c>
      <c r="R220" s="92">
        <v>2.4247999999999998</v>
      </c>
      <c r="S220" s="92">
        <v>2.5569999999999999</v>
      </c>
      <c r="T220" s="92">
        <v>2.0343</v>
      </c>
      <c r="U220" s="92">
        <v>1.3146</v>
      </c>
      <c r="V220" s="92">
        <v>0.9365</v>
      </c>
      <c r="W220" s="92"/>
      <c r="X220" s="92">
        <v>0.78080000000000005</v>
      </c>
    </row>
    <row r="221" spans="1:33" outlineLevel="1" x14ac:dyDescent="0.25">
      <c r="A221" s="34" t="s">
        <v>132</v>
      </c>
      <c r="B221" s="101">
        <f t="shared" si="43"/>
        <v>43680</v>
      </c>
      <c r="C221" s="34">
        <f t="shared" ref="C221:C223" si="49">+C220</f>
        <v>31</v>
      </c>
      <c r="D221" s="78">
        <v>42585</v>
      </c>
      <c r="E221" s="102">
        <f t="shared" si="44"/>
        <v>43680</v>
      </c>
      <c r="F221" s="92"/>
      <c r="G221" s="92">
        <v>2.3391999999999999</v>
      </c>
      <c r="H221" s="92">
        <v>1.8391</v>
      </c>
      <c r="I221" s="92">
        <v>1.5550999999999999</v>
      </c>
      <c r="J221" s="92">
        <v>1.9935</v>
      </c>
      <c r="K221" s="92">
        <v>3.0804</v>
      </c>
      <c r="L221" s="92">
        <v>3.2570999999999999</v>
      </c>
      <c r="M221" s="93">
        <v>3.1061000000000001</v>
      </c>
      <c r="N221" s="103">
        <v>3.0979999999999999</v>
      </c>
      <c r="O221" s="92">
        <v>2.3593000000000002</v>
      </c>
      <c r="P221" s="106">
        <v>1.8685</v>
      </c>
      <c r="Q221" s="92">
        <v>3.6482999999999999</v>
      </c>
      <c r="R221" s="92">
        <v>2.4247999999999998</v>
      </c>
      <c r="S221" s="92">
        <v>2.5644999999999998</v>
      </c>
      <c r="T221" s="92">
        <v>2.0365000000000002</v>
      </c>
      <c r="U221" s="92">
        <v>1.3266</v>
      </c>
      <c r="V221" s="92">
        <v>0.95990000000000009</v>
      </c>
      <c r="W221" s="92"/>
      <c r="X221" s="92">
        <v>0.78080000000000005</v>
      </c>
    </row>
    <row r="222" spans="1:33" outlineLevel="1" x14ac:dyDescent="0.25">
      <c r="A222" s="34" t="s">
        <v>132</v>
      </c>
      <c r="B222" s="101">
        <f t="shared" si="43"/>
        <v>43681</v>
      </c>
      <c r="C222" s="34">
        <f t="shared" si="49"/>
        <v>31</v>
      </c>
      <c r="D222" s="78">
        <v>42586</v>
      </c>
      <c r="E222" s="102">
        <f t="shared" si="44"/>
        <v>43681</v>
      </c>
      <c r="F222" s="92"/>
      <c r="G222" s="92">
        <v>2.3391999999999999</v>
      </c>
      <c r="H222" s="92">
        <v>1.8267</v>
      </c>
      <c r="I222" s="92">
        <v>1.5550999999999999</v>
      </c>
      <c r="J222" s="92">
        <v>1.9621999999999999</v>
      </c>
      <c r="K222" s="92">
        <v>3.1019999999999999</v>
      </c>
      <c r="L222" s="92">
        <v>3.2168000000000001</v>
      </c>
      <c r="M222" s="93">
        <v>3.1061000000000001</v>
      </c>
      <c r="N222" s="103">
        <v>2.9998999999999998</v>
      </c>
      <c r="O222" s="92">
        <v>2.3593000000000002</v>
      </c>
      <c r="P222" s="106">
        <v>1.9285000000000001</v>
      </c>
      <c r="Q222" s="92">
        <v>3.6120000000000001</v>
      </c>
      <c r="R222" s="92">
        <v>2.4247999999999998</v>
      </c>
      <c r="S222" s="92">
        <v>2.5644999999999998</v>
      </c>
      <c r="T222" s="92">
        <v>2.0594000000000001</v>
      </c>
      <c r="U222" s="92">
        <v>1.3260000000000001</v>
      </c>
      <c r="V222" s="92">
        <v>0.98940000000000006</v>
      </c>
      <c r="W222" s="92"/>
      <c r="X222" s="92">
        <v>0.79830000000000001</v>
      </c>
    </row>
    <row r="223" spans="1:33" outlineLevel="1" x14ac:dyDescent="0.25">
      <c r="A223" s="34" t="s">
        <v>132</v>
      </c>
      <c r="B223" s="101">
        <f t="shared" si="43"/>
        <v>43682</v>
      </c>
      <c r="C223" s="34">
        <f t="shared" si="49"/>
        <v>31</v>
      </c>
      <c r="D223" s="78">
        <v>42587</v>
      </c>
      <c r="E223" s="102">
        <f t="shared" si="44"/>
        <v>43682</v>
      </c>
      <c r="F223" s="92"/>
      <c r="G223" s="92">
        <v>2.3391999999999999</v>
      </c>
      <c r="H223" s="92">
        <v>1.8351</v>
      </c>
      <c r="I223" s="92">
        <v>1.4731000000000001</v>
      </c>
      <c r="J223" s="92">
        <v>1.9621999999999999</v>
      </c>
      <c r="K223" s="92">
        <v>3.1019999999999999</v>
      </c>
      <c r="L223" s="92">
        <v>3.1966000000000001</v>
      </c>
      <c r="M223" s="93">
        <v>3.1061000000000001</v>
      </c>
      <c r="N223" s="103">
        <v>2.9990000000000001</v>
      </c>
      <c r="O223" s="92">
        <v>2.3593000000000002</v>
      </c>
      <c r="P223" s="106">
        <v>1.9884999999999999</v>
      </c>
      <c r="Q223" s="92">
        <v>3.5337000000000001</v>
      </c>
      <c r="R223" s="92">
        <v>2.3923000000000001</v>
      </c>
      <c r="S223" s="92">
        <v>2.5644999999999998</v>
      </c>
      <c r="T223" s="92">
        <v>2.0594000000000001</v>
      </c>
      <c r="U223" s="92">
        <v>1.3354999999999999</v>
      </c>
      <c r="V223" s="92">
        <v>0.9929</v>
      </c>
      <c r="W223" s="92"/>
      <c r="X223" s="92">
        <v>0.79730000000000001</v>
      </c>
    </row>
    <row r="224" spans="1:33" outlineLevel="1" x14ac:dyDescent="0.25">
      <c r="A224" s="34" t="s">
        <v>132</v>
      </c>
      <c r="B224" s="101">
        <f t="shared" si="43"/>
        <v>43683</v>
      </c>
      <c r="C224" s="34">
        <f>+C217+1</f>
        <v>32</v>
      </c>
      <c r="D224" s="78">
        <v>42588</v>
      </c>
      <c r="E224" s="102">
        <f t="shared" si="44"/>
        <v>43683</v>
      </c>
      <c r="F224" s="92"/>
      <c r="G224" s="92">
        <v>2.3327</v>
      </c>
      <c r="H224" s="92">
        <v>1.8351</v>
      </c>
      <c r="I224" s="92">
        <v>1.4731000000000001</v>
      </c>
      <c r="J224" s="92">
        <v>1.9621999999999999</v>
      </c>
      <c r="K224" s="92">
        <v>3.1105999999999998</v>
      </c>
      <c r="L224" s="92">
        <v>3.1869999999999998</v>
      </c>
      <c r="M224" s="93">
        <v>3.1991999999999998</v>
      </c>
      <c r="N224" s="103">
        <v>2.9998999999999998</v>
      </c>
      <c r="O224" s="92">
        <v>2.3426</v>
      </c>
      <c r="P224" s="106">
        <v>2.0133999999999999</v>
      </c>
      <c r="Q224" s="92">
        <v>3.4409000000000001</v>
      </c>
      <c r="R224" s="92">
        <v>2.3273000000000001</v>
      </c>
      <c r="S224" s="92">
        <v>2.5745</v>
      </c>
      <c r="T224" s="92">
        <v>2.0594000000000001</v>
      </c>
      <c r="U224" s="92">
        <v>1.3354999999999999</v>
      </c>
      <c r="V224" s="92">
        <v>0.98440000000000005</v>
      </c>
      <c r="W224" s="92"/>
      <c r="X224" s="92">
        <v>0.79830000000000001</v>
      </c>
    </row>
    <row r="225" spans="1:24" outlineLevel="1" x14ac:dyDescent="0.25">
      <c r="A225" s="34" t="s">
        <v>132</v>
      </c>
      <c r="B225" s="101">
        <f t="shared" si="43"/>
        <v>43684</v>
      </c>
      <c r="C225" s="34">
        <f t="shared" ref="C225:C230" si="50">+C218+1</f>
        <v>32</v>
      </c>
      <c r="D225" s="78">
        <v>42589</v>
      </c>
      <c r="E225" s="102">
        <f t="shared" si="44"/>
        <v>43684</v>
      </c>
      <c r="F225" s="92"/>
      <c r="G225" s="92">
        <v>2.3353999999999999</v>
      </c>
      <c r="H225" s="92">
        <v>1.8351</v>
      </c>
      <c r="I225" s="92">
        <v>1.4731000000000001</v>
      </c>
      <c r="J225" s="92">
        <v>1.9621999999999999</v>
      </c>
      <c r="K225" s="92">
        <v>3.1105999999999998</v>
      </c>
      <c r="L225" s="92">
        <v>3.1869999999999998</v>
      </c>
      <c r="M225" s="93">
        <v>3.2374999999999998</v>
      </c>
      <c r="N225" s="103">
        <v>3.0602999999999998</v>
      </c>
      <c r="O225" s="92">
        <v>2.3506999999999998</v>
      </c>
      <c r="P225" s="106">
        <v>2.0133999999999999</v>
      </c>
      <c r="Q225" s="92">
        <v>3.4163000000000001</v>
      </c>
      <c r="R225" s="92">
        <v>2.2547999999999999</v>
      </c>
      <c r="S225" s="92">
        <v>2.6644999999999999</v>
      </c>
      <c r="T225" s="92">
        <v>2.0724999999999998</v>
      </c>
      <c r="U225" s="92">
        <v>1.3354999999999999</v>
      </c>
      <c r="V225" s="92">
        <v>0.9899</v>
      </c>
      <c r="W225" s="92"/>
      <c r="X225" s="92">
        <v>0.80030000000000001</v>
      </c>
    </row>
    <row r="226" spans="1:24" outlineLevel="1" x14ac:dyDescent="0.25">
      <c r="A226" s="34" t="s">
        <v>132</v>
      </c>
      <c r="B226" s="101">
        <f t="shared" si="43"/>
        <v>43685</v>
      </c>
      <c r="C226" s="34">
        <f t="shared" si="50"/>
        <v>32</v>
      </c>
      <c r="D226" s="78">
        <v>42590</v>
      </c>
      <c r="E226" s="102">
        <f t="shared" si="44"/>
        <v>43685</v>
      </c>
      <c r="F226" s="92"/>
      <c r="G226" s="92">
        <v>2.3353999999999999</v>
      </c>
      <c r="H226" s="92">
        <v>1.8252999999999999</v>
      </c>
      <c r="I226" s="92">
        <v>1.4706999999999999</v>
      </c>
      <c r="J226" s="92">
        <v>1.9621999999999999</v>
      </c>
      <c r="K226" s="92">
        <v>3.1105999999999998</v>
      </c>
      <c r="L226" s="92">
        <v>3.1869999999999998</v>
      </c>
      <c r="M226" s="93">
        <v>3.3300999999999998</v>
      </c>
      <c r="N226" s="103">
        <v>2.952</v>
      </c>
      <c r="O226" s="92">
        <v>2.3553000000000002</v>
      </c>
      <c r="P226" s="106">
        <v>2.0133999999999999</v>
      </c>
      <c r="Q226" s="92">
        <v>3.4239999999999999</v>
      </c>
      <c r="R226" s="92">
        <v>2.1997999999999998</v>
      </c>
      <c r="S226" s="92">
        <v>2.7275999999999998</v>
      </c>
      <c r="T226" s="92">
        <v>2.0993999999999997</v>
      </c>
      <c r="U226" s="92">
        <v>1.3405</v>
      </c>
      <c r="V226" s="92">
        <v>0.9899</v>
      </c>
      <c r="W226" s="92"/>
      <c r="X226" s="92">
        <v>0.81830000000000003</v>
      </c>
    </row>
    <row r="227" spans="1:24" outlineLevel="1" x14ac:dyDescent="0.25">
      <c r="A227" s="34" t="s">
        <v>132</v>
      </c>
      <c r="B227" s="101">
        <f t="shared" si="43"/>
        <v>43686</v>
      </c>
      <c r="C227" s="34">
        <f t="shared" si="50"/>
        <v>32</v>
      </c>
      <c r="D227" s="78">
        <v>42591</v>
      </c>
      <c r="E227" s="102">
        <f t="shared" si="44"/>
        <v>43686</v>
      </c>
      <c r="F227" s="92"/>
      <c r="G227" s="92">
        <v>2.3353999999999999</v>
      </c>
      <c r="H227" s="92">
        <v>1.8288</v>
      </c>
      <c r="I227" s="92">
        <v>1.4752000000000001</v>
      </c>
      <c r="J227" s="92">
        <v>1.8909</v>
      </c>
      <c r="K227" s="92">
        <v>3.1105999999999998</v>
      </c>
      <c r="L227" s="92">
        <v>3.1869999999999998</v>
      </c>
      <c r="M227" s="93">
        <v>3.3389000000000002</v>
      </c>
      <c r="N227" s="103">
        <v>2.9449999999999998</v>
      </c>
      <c r="O227" s="92">
        <v>2.3553000000000002</v>
      </c>
      <c r="P227" s="106">
        <v>2.0261999999999998</v>
      </c>
      <c r="Q227" s="92">
        <v>3.4239999999999999</v>
      </c>
      <c r="R227" s="92">
        <v>2.1997999999999998</v>
      </c>
      <c r="S227" s="92">
        <v>2.7812999999999999</v>
      </c>
      <c r="T227" s="92">
        <v>2.0914000000000001</v>
      </c>
      <c r="U227" s="92">
        <v>1.3374999999999999</v>
      </c>
      <c r="V227" s="92">
        <v>0.9899</v>
      </c>
      <c r="W227" s="92"/>
      <c r="X227" s="92">
        <v>0.81830000000000003</v>
      </c>
    </row>
    <row r="228" spans="1:24" outlineLevel="1" x14ac:dyDescent="0.25">
      <c r="A228" s="34" t="s">
        <v>132</v>
      </c>
      <c r="B228" s="101">
        <f t="shared" si="43"/>
        <v>43687</v>
      </c>
      <c r="C228" s="34">
        <f t="shared" si="50"/>
        <v>32</v>
      </c>
      <c r="D228" s="78">
        <v>42592</v>
      </c>
      <c r="E228" s="102">
        <f t="shared" si="44"/>
        <v>43687</v>
      </c>
      <c r="F228" s="92"/>
      <c r="G228" s="92">
        <v>2.3353999999999999</v>
      </c>
      <c r="H228" s="92">
        <v>1.8632</v>
      </c>
      <c r="I228" s="92">
        <v>1.4509000000000001</v>
      </c>
      <c r="J228" s="92">
        <v>1.8909</v>
      </c>
      <c r="K228" s="92">
        <v>3.0943999999999998</v>
      </c>
      <c r="L228" s="92">
        <v>3.1869999999999998</v>
      </c>
      <c r="M228" s="93">
        <v>3.4434</v>
      </c>
      <c r="N228" s="103">
        <v>3.0400999999999998</v>
      </c>
      <c r="O228" s="92">
        <v>2.3553000000000002</v>
      </c>
      <c r="P228" s="106">
        <v>2.0510999999999999</v>
      </c>
      <c r="Q228" s="92">
        <v>3.4239999999999999</v>
      </c>
      <c r="R228" s="92">
        <v>2.1997999999999998</v>
      </c>
      <c r="S228" s="92">
        <v>2.8163</v>
      </c>
      <c r="T228" s="92">
        <v>2.0773999999999999</v>
      </c>
      <c r="U228" s="92">
        <v>1.333</v>
      </c>
      <c r="V228" s="92">
        <v>0.9929</v>
      </c>
      <c r="W228" s="92"/>
      <c r="X228" s="92">
        <v>0.81830000000000003</v>
      </c>
    </row>
    <row r="229" spans="1:24" outlineLevel="1" x14ac:dyDescent="0.25">
      <c r="A229" s="34" t="s">
        <v>132</v>
      </c>
      <c r="B229" s="101">
        <f t="shared" si="43"/>
        <v>43688</v>
      </c>
      <c r="C229" s="34">
        <f t="shared" si="50"/>
        <v>32</v>
      </c>
      <c r="D229" s="78">
        <v>42593</v>
      </c>
      <c r="E229" s="102">
        <f t="shared" si="44"/>
        <v>43688</v>
      </c>
      <c r="F229" s="92"/>
      <c r="G229" s="92">
        <v>2.3353999999999999</v>
      </c>
      <c r="H229" s="92">
        <v>1.8954</v>
      </c>
      <c r="I229" s="92">
        <v>1.5202</v>
      </c>
      <c r="J229" s="92">
        <v>1.8909</v>
      </c>
      <c r="K229" s="92">
        <v>3.0996999999999999</v>
      </c>
      <c r="L229" s="92">
        <v>3.2336</v>
      </c>
      <c r="M229" s="93">
        <v>3.4434</v>
      </c>
      <c r="N229" s="103">
        <v>3.0728</v>
      </c>
      <c r="O229" s="92">
        <v>2.3134999999999999</v>
      </c>
      <c r="P229" s="106">
        <v>2.0242</v>
      </c>
      <c r="Q229" s="92">
        <v>3.3273999999999999</v>
      </c>
      <c r="R229" s="92">
        <v>2.1997999999999998</v>
      </c>
      <c r="S229" s="92">
        <v>2.8163</v>
      </c>
      <c r="T229" s="92">
        <v>2.0754000000000001</v>
      </c>
      <c r="U229" s="92">
        <v>1.3371999999999999</v>
      </c>
      <c r="V229" s="92">
        <v>1.0086999999999999</v>
      </c>
      <c r="W229" s="92"/>
      <c r="X229" s="92">
        <v>0.82630000000000003</v>
      </c>
    </row>
    <row r="230" spans="1:24" outlineLevel="1" x14ac:dyDescent="0.25">
      <c r="A230" s="34" t="s">
        <v>132</v>
      </c>
      <c r="B230" s="101">
        <f t="shared" si="43"/>
        <v>43689</v>
      </c>
      <c r="C230" s="34">
        <f t="shared" si="50"/>
        <v>32</v>
      </c>
      <c r="D230" s="78">
        <v>42594</v>
      </c>
      <c r="E230" s="102">
        <f t="shared" si="44"/>
        <v>43689</v>
      </c>
      <c r="F230" s="92"/>
      <c r="G230" s="92">
        <v>2.3353999999999999</v>
      </c>
      <c r="H230" s="92">
        <v>1.9298999999999999</v>
      </c>
      <c r="I230" s="92">
        <v>1.5366</v>
      </c>
      <c r="J230" s="92">
        <v>1.8909</v>
      </c>
      <c r="K230" s="92">
        <v>3.0794000000000001</v>
      </c>
      <c r="L230" s="92">
        <v>3.2336</v>
      </c>
      <c r="M230" s="93">
        <v>3.4434</v>
      </c>
      <c r="N230" s="103">
        <v>3.0728</v>
      </c>
      <c r="O230" s="92">
        <v>2.2563</v>
      </c>
      <c r="P230" s="106">
        <v>2.0051999999999999</v>
      </c>
      <c r="Q230" s="92">
        <v>3.3481999999999998</v>
      </c>
      <c r="R230" s="92">
        <v>2.1848000000000001</v>
      </c>
      <c r="S230" s="92">
        <v>2.8163</v>
      </c>
      <c r="T230" s="92">
        <v>2.0754000000000001</v>
      </c>
      <c r="U230" s="92">
        <v>1.3722000000000001</v>
      </c>
      <c r="V230" s="92">
        <v>1.0411999999999999</v>
      </c>
      <c r="W230" s="92"/>
      <c r="X230" s="92">
        <v>0.82830000000000004</v>
      </c>
    </row>
    <row r="231" spans="1:24" outlineLevel="1" x14ac:dyDescent="0.25">
      <c r="A231" s="34" t="s">
        <v>132</v>
      </c>
      <c r="B231" s="101">
        <f t="shared" si="43"/>
        <v>43690</v>
      </c>
      <c r="C231" s="34">
        <f>+C224+1</f>
        <v>33</v>
      </c>
      <c r="D231" s="78">
        <v>42595</v>
      </c>
      <c r="E231" s="102">
        <f t="shared" si="44"/>
        <v>43690</v>
      </c>
      <c r="F231" s="92"/>
      <c r="G231" s="92">
        <v>2.3003</v>
      </c>
      <c r="H231" s="92">
        <v>1.9298999999999999</v>
      </c>
      <c r="I231" s="92">
        <v>1.5366</v>
      </c>
      <c r="J231" s="92">
        <v>1.8909</v>
      </c>
      <c r="K231" s="92">
        <v>3.125</v>
      </c>
      <c r="L231" s="92">
        <v>3.1604999999999999</v>
      </c>
      <c r="M231" s="93">
        <v>3.4062000000000001</v>
      </c>
      <c r="N231" s="103">
        <v>3.0728</v>
      </c>
      <c r="O231" s="92">
        <v>2.2563</v>
      </c>
      <c r="P231" s="106">
        <v>1.9678</v>
      </c>
      <c r="Q231" s="92">
        <v>3.3174999999999999</v>
      </c>
      <c r="R231" s="92">
        <v>2.1997999999999998</v>
      </c>
      <c r="S231" s="92">
        <v>2.8275999999999999</v>
      </c>
      <c r="T231" s="92">
        <v>2.0754000000000001</v>
      </c>
      <c r="U231" s="92">
        <v>1.3722000000000001</v>
      </c>
      <c r="V231" s="92">
        <v>1.0651999999999999</v>
      </c>
      <c r="W231" s="92"/>
      <c r="X231" s="92">
        <v>0.82480000000000009</v>
      </c>
    </row>
    <row r="232" spans="1:24" outlineLevel="1" x14ac:dyDescent="0.25">
      <c r="A232" s="34" t="s">
        <v>132</v>
      </c>
      <c r="B232" s="101">
        <f t="shared" si="43"/>
        <v>43691</v>
      </c>
      <c r="C232" s="34">
        <f>+C231</f>
        <v>33</v>
      </c>
      <c r="D232" s="78">
        <v>42596</v>
      </c>
      <c r="E232" s="102">
        <f t="shared" si="44"/>
        <v>43691</v>
      </c>
      <c r="F232" s="92"/>
      <c r="G232" s="92">
        <v>2.2915000000000001</v>
      </c>
      <c r="H232" s="92">
        <v>1.9298999999999999</v>
      </c>
      <c r="I232" s="92">
        <v>1.5366</v>
      </c>
      <c r="J232" s="92">
        <v>1.8909</v>
      </c>
      <c r="K232" s="92">
        <v>3.0485000000000002</v>
      </c>
      <c r="L232" s="92">
        <v>3.1505000000000001</v>
      </c>
      <c r="M232" s="93">
        <v>3.3592</v>
      </c>
      <c r="N232" s="103">
        <v>3.0886</v>
      </c>
      <c r="O232" s="92">
        <v>2.2563</v>
      </c>
      <c r="P232" s="106">
        <v>1.9678</v>
      </c>
      <c r="Q232" s="92">
        <v>3.3923999999999999</v>
      </c>
      <c r="R232" s="92">
        <v>2.2197999999999998</v>
      </c>
      <c r="S232" s="92">
        <v>2.5950000000000002</v>
      </c>
      <c r="T232" s="92">
        <v>2.1423000000000001</v>
      </c>
      <c r="U232" s="92">
        <v>1.3722000000000001</v>
      </c>
      <c r="V232" s="92">
        <v>1.0731999999999999</v>
      </c>
      <c r="W232" s="92"/>
      <c r="X232" s="92">
        <v>0.82380000000000009</v>
      </c>
    </row>
    <row r="233" spans="1:24" outlineLevel="1" x14ac:dyDescent="0.25">
      <c r="A233" s="34" t="s">
        <v>132</v>
      </c>
      <c r="B233" s="101">
        <f t="shared" si="43"/>
        <v>43692</v>
      </c>
      <c r="C233" s="34">
        <f>+C232</f>
        <v>33</v>
      </c>
      <c r="D233" s="78">
        <v>42597</v>
      </c>
      <c r="E233" s="102">
        <f t="shared" si="44"/>
        <v>43692</v>
      </c>
      <c r="F233" s="92"/>
      <c r="G233" s="92">
        <v>2.2846000000000002</v>
      </c>
      <c r="H233" s="92">
        <v>1.9103000000000001</v>
      </c>
      <c r="I233" s="92">
        <v>1.5855999999999999</v>
      </c>
      <c r="J233" s="92">
        <v>1.8909</v>
      </c>
      <c r="K233" s="92">
        <v>3.05</v>
      </c>
      <c r="L233" s="92">
        <v>3.21</v>
      </c>
      <c r="M233" s="93">
        <v>3.3376000000000001</v>
      </c>
      <c r="N233" s="103">
        <v>3.1366000000000001</v>
      </c>
      <c r="O233" s="92">
        <v>2.3216999999999999</v>
      </c>
      <c r="P233" s="106">
        <v>1.9678</v>
      </c>
      <c r="Q233" s="92">
        <v>3.3469000000000002</v>
      </c>
      <c r="R233" s="92">
        <v>2.2498</v>
      </c>
      <c r="S233" s="92">
        <v>2.6349999999999998</v>
      </c>
      <c r="T233" s="92">
        <v>2.1233</v>
      </c>
      <c r="U233" s="92">
        <v>1.3936999999999999</v>
      </c>
      <c r="V233" s="92">
        <v>1.0731999999999999</v>
      </c>
      <c r="W233" s="92"/>
      <c r="X233" s="92">
        <v>0.82380000000000009</v>
      </c>
    </row>
    <row r="234" spans="1:24" outlineLevel="1" x14ac:dyDescent="0.25">
      <c r="A234" s="34" t="s">
        <v>132</v>
      </c>
      <c r="B234" s="101">
        <f t="shared" si="43"/>
        <v>43693</v>
      </c>
      <c r="C234" s="34">
        <f>+C233</f>
        <v>33</v>
      </c>
      <c r="D234" s="78">
        <v>42598</v>
      </c>
      <c r="E234" s="102">
        <f t="shared" si="44"/>
        <v>43693</v>
      </c>
      <c r="F234" s="92"/>
      <c r="G234" s="92">
        <v>2.2846000000000002</v>
      </c>
      <c r="H234" s="92">
        <v>1.9038999999999999</v>
      </c>
      <c r="I234" s="92">
        <v>1.5855999999999999</v>
      </c>
      <c r="J234" s="92">
        <v>1.6806000000000001</v>
      </c>
      <c r="K234" s="92">
        <v>3.05</v>
      </c>
      <c r="L234" s="92">
        <v>3.21</v>
      </c>
      <c r="M234" s="93">
        <v>3.5032999999999999</v>
      </c>
      <c r="N234" s="103">
        <v>3.1421000000000001</v>
      </c>
      <c r="O234" s="92">
        <v>2.3041</v>
      </c>
      <c r="P234" s="106">
        <v>1.9827999999999999</v>
      </c>
      <c r="Q234" s="92">
        <v>3.3469000000000002</v>
      </c>
      <c r="R234" s="92">
        <v>2.2073</v>
      </c>
      <c r="S234" s="92">
        <v>2.645</v>
      </c>
      <c r="T234" s="92">
        <v>2.1097999999999999</v>
      </c>
      <c r="U234" s="92">
        <v>1.3807</v>
      </c>
      <c r="V234" s="92">
        <v>1.0731999999999999</v>
      </c>
      <c r="W234" s="92"/>
      <c r="X234" s="92">
        <v>0.82380000000000009</v>
      </c>
    </row>
    <row r="235" spans="1:24" outlineLevel="1" x14ac:dyDescent="0.25">
      <c r="A235" s="34" t="s">
        <v>132</v>
      </c>
      <c r="B235" s="101">
        <f t="shared" si="43"/>
        <v>43694</v>
      </c>
      <c r="C235" s="34">
        <f t="shared" ref="C235:C237" si="51">+C234</f>
        <v>33</v>
      </c>
      <c r="D235" s="78">
        <v>42599</v>
      </c>
      <c r="E235" s="102">
        <f t="shared" si="44"/>
        <v>43694</v>
      </c>
      <c r="F235" s="92"/>
      <c r="G235" s="92">
        <v>2.2772999999999999</v>
      </c>
      <c r="H235" s="92">
        <v>1.8889</v>
      </c>
      <c r="I235" s="92">
        <v>1.5936999999999999</v>
      </c>
      <c r="J235" s="92">
        <v>1.6806000000000001</v>
      </c>
      <c r="K235" s="92">
        <v>3.0682999999999998</v>
      </c>
      <c r="L235" s="92">
        <v>3.21</v>
      </c>
      <c r="M235" s="93">
        <v>3.5585</v>
      </c>
      <c r="N235" s="103">
        <v>3.1638999999999999</v>
      </c>
      <c r="O235" s="92">
        <v>2.3376000000000001</v>
      </c>
      <c r="P235" s="106">
        <v>1.9790000000000001</v>
      </c>
      <c r="Q235" s="92">
        <v>3.3469000000000002</v>
      </c>
      <c r="R235" s="92">
        <v>2.2073</v>
      </c>
      <c r="S235" s="92">
        <v>2.61</v>
      </c>
      <c r="T235" s="92">
        <v>2.1097999999999999</v>
      </c>
      <c r="U235" s="92">
        <v>1.3836999999999999</v>
      </c>
      <c r="V235" s="92">
        <v>1.1001999999999998</v>
      </c>
      <c r="W235" s="92"/>
      <c r="X235" s="92">
        <v>0.82380000000000009</v>
      </c>
    </row>
    <row r="236" spans="1:24" outlineLevel="1" x14ac:dyDescent="0.25">
      <c r="A236" s="34" t="s">
        <v>132</v>
      </c>
      <c r="B236" s="101">
        <f t="shared" si="43"/>
        <v>43695</v>
      </c>
      <c r="C236" s="34">
        <f t="shared" si="51"/>
        <v>33</v>
      </c>
      <c r="D236" s="78">
        <v>42600</v>
      </c>
      <c r="E236" s="102">
        <f t="shared" si="44"/>
        <v>43695</v>
      </c>
      <c r="F236" s="92"/>
      <c r="G236" s="92">
        <v>2.2772999999999999</v>
      </c>
      <c r="H236" s="92">
        <v>1.9019999999999999</v>
      </c>
      <c r="I236" s="92">
        <v>1.633</v>
      </c>
      <c r="J236" s="92">
        <v>1.6806000000000001</v>
      </c>
      <c r="K236" s="92">
        <v>3.07</v>
      </c>
      <c r="L236" s="92">
        <v>3.2450000000000001</v>
      </c>
      <c r="M236" s="93">
        <v>3.5585</v>
      </c>
      <c r="N236" s="103">
        <v>3.1356999999999999</v>
      </c>
      <c r="O236" s="92">
        <v>2.3369</v>
      </c>
      <c r="P236" s="106">
        <v>2.0459999999999998</v>
      </c>
      <c r="Q236" s="92">
        <v>3.3769</v>
      </c>
      <c r="R236" s="92">
        <v>2.2073</v>
      </c>
      <c r="S236" s="92">
        <v>2.61</v>
      </c>
      <c r="T236" s="92">
        <v>2.1017999999999999</v>
      </c>
      <c r="U236" s="92">
        <v>1.3694999999999999</v>
      </c>
      <c r="V236" s="92">
        <v>1.1141999999999999</v>
      </c>
      <c r="W236" s="92"/>
      <c r="X236" s="92">
        <v>0.82380000000000009</v>
      </c>
    </row>
    <row r="237" spans="1:24" outlineLevel="1" x14ac:dyDescent="0.25">
      <c r="A237" s="34" t="s">
        <v>132</v>
      </c>
      <c r="B237" s="101">
        <f t="shared" si="43"/>
        <v>43696</v>
      </c>
      <c r="C237" s="34">
        <f t="shared" si="51"/>
        <v>33</v>
      </c>
      <c r="D237" s="78">
        <v>42601</v>
      </c>
      <c r="E237" s="102">
        <f t="shared" si="44"/>
        <v>43696</v>
      </c>
      <c r="F237" s="92"/>
      <c r="G237" s="92">
        <v>2.2772999999999999</v>
      </c>
      <c r="H237" s="92">
        <v>1.9019999999999999</v>
      </c>
      <c r="I237" s="92">
        <v>1.6808000000000001</v>
      </c>
      <c r="J237" s="92">
        <v>1.6806000000000001</v>
      </c>
      <c r="K237" s="92">
        <v>3.0596999999999999</v>
      </c>
      <c r="L237" s="92">
        <v>3.2450000000000001</v>
      </c>
      <c r="M237" s="93">
        <v>3.5585</v>
      </c>
      <c r="N237" s="103">
        <v>3.1356999999999999</v>
      </c>
      <c r="O237" s="92">
        <v>2.3348</v>
      </c>
      <c r="P237" s="106">
        <v>2.0259999999999998</v>
      </c>
      <c r="Q237" s="92">
        <v>3.3372000000000002</v>
      </c>
      <c r="R237" s="92">
        <v>2.2635000000000001</v>
      </c>
      <c r="S237" s="92">
        <v>2.61</v>
      </c>
      <c r="T237" s="92">
        <v>2.1017999999999999</v>
      </c>
      <c r="U237" s="92">
        <v>1.3805000000000001</v>
      </c>
      <c r="V237" s="92">
        <v>1.1096999999999999</v>
      </c>
      <c r="W237" s="92"/>
      <c r="X237" s="92">
        <v>0.81780000000000008</v>
      </c>
    </row>
    <row r="238" spans="1:24" outlineLevel="1" x14ac:dyDescent="0.25">
      <c r="A238" s="34" t="s">
        <v>132</v>
      </c>
      <c r="B238" s="101">
        <f t="shared" si="43"/>
        <v>43697</v>
      </c>
      <c r="C238" s="34">
        <f t="shared" ref="C238:C252" si="52">+C231+1</f>
        <v>34</v>
      </c>
      <c r="D238" s="78">
        <v>42602</v>
      </c>
      <c r="E238" s="102">
        <f t="shared" si="44"/>
        <v>43697</v>
      </c>
      <c r="F238" s="92"/>
      <c r="G238" s="92">
        <v>2.2772999999999999</v>
      </c>
      <c r="H238" s="92">
        <v>1.9019999999999999</v>
      </c>
      <c r="I238" s="92">
        <v>1.6808000000000001</v>
      </c>
      <c r="J238" s="92">
        <v>1.6806000000000001</v>
      </c>
      <c r="K238" s="92">
        <v>3.06</v>
      </c>
      <c r="L238" s="92">
        <v>3.1619999999999999</v>
      </c>
      <c r="M238" s="93">
        <v>3.5859000000000001</v>
      </c>
      <c r="N238" s="103">
        <v>3.1356999999999999</v>
      </c>
      <c r="O238" s="92">
        <v>2.3348</v>
      </c>
      <c r="P238" s="106">
        <v>1.98</v>
      </c>
      <c r="Q238" s="92">
        <v>3.3725000000000001</v>
      </c>
      <c r="R238" s="92">
        <v>2.2509999999999999</v>
      </c>
      <c r="S238" s="92">
        <v>2.625</v>
      </c>
      <c r="T238" s="92">
        <v>2.1017999999999999</v>
      </c>
      <c r="U238" s="92">
        <v>1.3805000000000001</v>
      </c>
      <c r="V238" s="92">
        <v>1.1147</v>
      </c>
      <c r="W238" s="92"/>
      <c r="X238" s="92">
        <v>0.81780000000000008</v>
      </c>
    </row>
    <row r="239" spans="1:24" outlineLevel="1" x14ac:dyDescent="0.25">
      <c r="A239" s="34" t="s">
        <v>132</v>
      </c>
      <c r="B239" s="101">
        <f t="shared" si="43"/>
        <v>43698</v>
      </c>
      <c r="C239" s="34">
        <f>+C238</f>
        <v>34</v>
      </c>
      <c r="D239" s="78">
        <v>42603</v>
      </c>
      <c r="E239" s="102">
        <f t="shared" si="44"/>
        <v>43698</v>
      </c>
      <c r="F239" s="92"/>
      <c r="G239" s="92">
        <v>2.2679</v>
      </c>
      <c r="H239" s="92">
        <v>1.9437</v>
      </c>
      <c r="I239" s="92">
        <v>1.6808000000000001</v>
      </c>
      <c r="J239" s="92">
        <v>1.6806000000000001</v>
      </c>
      <c r="K239" s="92">
        <v>3.1044</v>
      </c>
      <c r="L239" s="92">
        <v>3.1795</v>
      </c>
      <c r="M239" s="93">
        <v>3.5806</v>
      </c>
      <c r="N239" s="103">
        <v>3.1434000000000002</v>
      </c>
      <c r="O239" s="92">
        <v>2.3348</v>
      </c>
      <c r="P239" s="106">
        <v>1.98</v>
      </c>
      <c r="Q239" s="92">
        <v>3.3912</v>
      </c>
      <c r="R239" s="92">
        <v>2.2309999999999999</v>
      </c>
      <c r="S239" s="92">
        <v>2.63</v>
      </c>
      <c r="T239" s="92">
        <v>2.1168</v>
      </c>
      <c r="U239" s="92">
        <v>1.3805000000000001</v>
      </c>
      <c r="V239" s="92">
        <v>1.1116999999999999</v>
      </c>
      <c r="W239" s="92"/>
      <c r="X239" s="92">
        <v>0.81580000000000008</v>
      </c>
    </row>
    <row r="240" spans="1:24" outlineLevel="1" x14ac:dyDescent="0.25">
      <c r="A240" s="34" t="s">
        <v>132</v>
      </c>
      <c r="B240" s="101">
        <f t="shared" si="43"/>
        <v>43699</v>
      </c>
      <c r="C240" s="34">
        <f>+C239</f>
        <v>34</v>
      </c>
      <c r="D240" s="78">
        <v>42604</v>
      </c>
      <c r="E240" s="102">
        <f t="shared" si="44"/>
        <v>43699</v>
      </c>
      <c r="F240" s="92"/>
      <c r="G240" s="92">
        <v>2.2862</v>
      </c>
      <c r="H240" s="92">
        <v>1.8903000000000001</v>
      </c>
      <c r="I240" s="92">
        <v>1.6863999999999999</v>
      </c>
      <c r="J240" s="92">
        <v>1.6806000000000001</v>
      </c>
      <c r="K240" s="92">
        <v>3.1</v>
      </c>
      <c r="L240" s="92">
        <v>3.1867000000000001</v>
      </c>
      <c r="M240" s="93">
        <v>3.5960000000000001</v>
      </c>
      <c r="N240" s="103">
        <v>3.1558000000000002</v>
      </c>
      <c r="O240" s="92">
        <v>2.3178000000000001</v>
      </c>
      <c r="P240" s="106">
        <v>1.98</v>
      </c>
      <c r="Q240" s="92">
        <v>3.3912</v>
      </c>
      <c r="R240" s="92">
        <v>2.2010000000000001</v>
      </c>
      <c r="S240" s="92">
        <v>2.6349999999999998</v>
      </c>
      <c r="T240" s="92">
        <v>2.1038999999999999</v>
      </c>
      <c r="U240" s="92">
        <v>1.3895</v>
      </c>
      <c r="V240" s="92">
        <v>1.1116999999999999</v>
      </c>
      <c r="W240" s="92"/>
      <c r="X240" s="92">
        <v>0.81930000000000003</v>
      </c>
    </row>
    <row r="241" spans="1:33" outlineLevel="1" x14ac:dyDescent="0.25">
      <c r="A241" s="34" t="s">
        <v>132</v>
      </c>
      <c r="B241" s="101">
        <f t="shared" si="43"/>
        <v>43700</v>
      </c>
      <c r="C241" s="34">
        <f>+C240</f>
        <v>34</v>
      </c>
      <c r="D241" s="78">
        <v>42605</v>
      </c>
      <c r="E241" s="102">
        <f t="shared" si="44"/>
        <v>43700</v>
      </c>
      <c r="F241" s="92"/>
      <c r="G241" s="92">
        <v>2.3172000000000001</v>
      </c>
      <c r="H241" s="92">
        <v>1.9149</v>
      </c>
      <c r="I241" s="92">
        <v>1.6972</v>
      </c>
      <c r="J241" s="92">
        <v>1.6899</v>
      </c>
      <c r="K241" s="92">
        <v>3.1147</v>
      </c>
      <c r="L241" s="92">
        <v>3.1867000000000001</v>
      </c>
      <c r="M241" s="93">
        <v>3.5684999999999998</v>
      </c>
      <c r="N241" s="103">
        <v>3.1861000000000002</v>
      </c>
      <c r="O241" s="92">
        <v>2.3561000000000001</v>
      </c>
      <c r="P241" s="106">
        <v>2.032</v>
      </c>
      <c r="Q241" s="92">
        <v>3.3912</v>
      </c>
      <c r="R241" s="92">
        <v>2.1859999999999999</v>
      </c>
      <c r="S241" s="92">
        <v>2.6150000000000002</v>
      </c>
      <c r="T241" s="92">
        <v>2.1370999999999998</v>
      </c>
      <c r="U241" s="92">
        <v>1.3705000000000001</v>
      </c>
      <c r="V241" s="92">
        <v>1.1116999999999999</v>
      </c>
      <c r="W241" s="92"/>
      <c r="X241" s="92">
        <v>0.81930000000000003</v>
      </c>
    </row>
    <row r="242" spans="1:33" outlineLevel="1" x14ac:dyDescent="0.25">
      <c r="A242" s="34" t="s">
        <v>132</v>
      </c>
      <c r="B242" s="101">
        <f t="shared" si="43"/>
        <v>43701</v>
      </c>
      <c r="C242" s="34">
        <f t="shared" ref="C242:C244" si="53">+C241</f>
        <v>34</v>
      </c>
      <c r="D242" s="78">
        <v>42606</v>
      </c>
      <c r="E242" s="102">
        <f t="shared" si="44"/>
        <v>43701</v>
      </c>
      <c r="F242" s="92"/>
      <c r="G242" s="92">
        <v>2.3191999999999999</v>
      </c>
      <c r="H242" s="92">
        <v>1.9664999999999999</v>
      </c>
      <c r="I242" s="92">
        <v>1.7239</v>
      </c>
      <c r="J242" s="92">
        <v>1.6899</v>
      </c>
      <c r="K242" s="92">
        <v>3.2119</v>
      </c>
      <c r="L242" s="92">
        <v>3.1867000000000001</v>
      </c>
      <c r="M242" s="93">
        <v>3.5632999999999999</v>
      </c>
      <c r="N242" s="103">
        <v>3.2080000000000002</v>
      </c>
      <c r="O242" s="92">
        <v>2.3538999999999999</v>
      </c>
      <c r="P242" s="106">
        <v>2.052</v>
      </c>
      <c r="Q242" s="92">
        <v>3.3912</v>
      </c>
      <c r="R242" s="92">
        <v>2.1859999999999999</v>
      </c>
      <c r="S242" s="92">
        <v>2.5950000000000002</v>
      </c>
      <c r="T242" s="92">
        <v>2.1370999999999998</v>
      </c>
      <c r="U242" s="92">
        <v>1.3674999999999999</v>
      </c>
      <c r="V242" s="92">
        <v>1.1116999999999999</v>
      </c>
      <c r="W242" s="92"/>
      <c r="X242" s="92">
        <v>0.81930000000000003</v>
      </c>
    </row>
    <row r="243" spans="1:33" outlineLevel="1" x14ac:dyDescent="0.25">
      <c r="A243" s="34" t="s">
        <v>132</v>
      </c>
      <c r="B243" s="101">
        <f t="shared" si="43"/>
        <v>43702</v>
      </c>
      <c r="C243" s="34">
        <f t="shared" si="53"/>
        <v>34</v>
      </c>
      <c r="D243" s="78">
        <v>42607</v>
      </c>
      <c r="E243" s="102">
        <f t="shared" si="44"/>
        <v>43702</v>
      </c>
      <c r="F243" s="92"/>
      <c r="G243" s="92">
        <v>2.3191999999999999</v>
      </c>
      <c r="H243" s="92">
        <v>1.9664999999999999</v>
      </c>
      <c r="I243" s="92">
        <v>1.758</v>
      </c>
      <c r="J243" s="92">
        <v>1.6899</v>
      </c>
      <c r="K243" s="92">
        <v>3.2119</v>
      </c>
      <c r="L243" s="92">
        <v>3.2273000000000001</v>
      </c>
      <c r="M243" s="93">
        <v>3.5632999999999999</v>
      </c>
      <c r="N243" s="103">
        <v>3.2702</v>
      </c>
      <c r="O243" s="92">
        <v>2.3706999999999998</v>
      </c>
      <c r="P243" s="106">
        <v>2.0470000000000002</v>
      </c>
      <c r="Q243" s="92">
        <v>3.3551000000000002</v>
      </c>
      <c r="R243" s="92">
        <v>2.1859999999999999</v>
      </c>
      <c r="S243" s="92">
        <v>2.5950000000000002</v>
      </c>
      <c r="T243" s="92">
        <v>2.153</v>
      </c>
      <c r="U243" s="92">
        <v>1.3534999999999999</v>
      </c>
      <c r="V243" s="92">
        <v>1.0847</v>
      </c>
      <c r="W243" s="92"/>
      <c r="X243" s="92">
        <v>0.81030000000000002</v>
      </c>
    </row>
    <row r="244" spans="1:33" outlineLevel="1" x14ac:dyDescent="0.25">
      <c r="A244" s="34" t="s">
        <v>132</v>
      </c>
      <c r="B244" s="101">
        <f t="shared" si="43"/>
        <v>43703</v>
      </c>
      <c r="C244" s="34">
        <f t="shared" si="53"/>
        <v>34</v>
      </c>
      <c r="D244" s="78">
        <v>42608</v>
      </c>
      <c r="E244" s="102">
        <f t="shared" si="44"/>
        <v>43703</v>
      </c>
      <c r="F244" s="92"/>
      <c r="G244" s="92">
        <v>2.3191999999999999</v>
      </c>
      <c r="H244" s="92">
        <v>1.9664999999999999</v>
      </c>
      <c r="I244" s="92">
        <v>1.758</v>
      </c>
      <c r="J244" s="92">
        <v>1.5644</v>
      </c>
      <c r="K244" s="92">
        <v>3.2172999999999998</v>
      </c>
      <c r="L244" s="92">
        <v>3.2069999999999999</v>
      </c>
      <c r="M244" s="93">
        <v>3.5632999999999999</v>
      </c>
      <c r="N244" s="103">
        <v>3.2702</v>
      </c>
      <c r="O244" s="92">
        <v>2.3974000000000002</v>
      </c>
      <c r="P244" s="106">
        <v>2.0783</v>
      </c>
      <c r="Q244" s="92">
        <v>3.3702000000000001</v>
      </c>
      <c r="R244" s="92">
        <v>2.2359999999999998</v>
      </c>
      <c r="S244" s="92">
        <v>2.5950000000000002</v>
      </c>
      <c r="T244" s="92">
        <v>2.153</v>
      </c>
      <c r="U244" s="92">
        <v>1.3385</v>
      </c>
      <c r="V244" s="92">
        <v>1.0676999999999999</v>
      </c>
      <c r="W244" s="92"/>
      <c r="X244" s="92">
        <v>0.80530000000000002</v>
      </c>
    </row>
    <row r="245" spans="1:33" outlineLevel="1" x14ac:dyDescent="0.25">
      <c r="A245" s="34" t="s">
        <v>132</v>
      </c>
      <c r="B245" s="101">
        <f t="shared" si="43"/>
        <v>43704</v>
      </c>
      <c r="C245" s="34">
        <f>+C238+1</f>
        <v>35</v>
      </c>
      <c r="D245" s="78">
        <v>42609</v>
      </c>
      <c r="E245" s="102">
        <f t="shared" si="44"/>
        <v>43704</v>
      </c>
      <c r="F245" s="92"/>
      <c r="G245" s="92">
        <v>2.3420999999999998</v>
      </c>
      <c r="H245" s="92">
        <v>1.9721</v>
      </c>
      <c r="I245" s="92">
        <v>1.758</v>
      </c>
      <c r="J245" s="92">
        <v>1.5939000000000001</v>
      </c>
      <c r="K245" s="92">
        <v>3.3073999999999999</v>
      </c>
      <c r="L245" s="92">
        <v>3.2906</v>
      </c>
      <c r="M245" s="93">
        <v>3.4916</v>
      </c>
      <c r="N245" s="103">
        <v>3.2702</v>
      </c>
      <c r="O245" s="92">
        <v>2.3974000000000002</v>
      </c>
      <c r="P245" s="106">
        <v>2.0983000000000001</v>
      </c>
      <c r="Q245" s="92">
        <v>3.4264000000000001</v>
      </c>
      <c r="R245" s="92">
        <v>2.2372999999999998</v>
      </c>
      <c r="S245" s="92">
        <v>2.6124999999999998</v>
      </c>
      <c r="T245" s="92">
        <v>2.153</v>
      </c>
      <c r="U245" s="92">
        <v>1.3385</v>
      </c>
      <c r="V245" s="92">
        <v>1.0337000000000001</v>
      </c>
      <c r="W245" s="92"/>
      <c r="X245" s="92">
        <v>0.81780000000000008</v>
      </c>
    </row>
    <row r="246" spans="1:33" outlineLevel="1" x14ac:dyDescent="0.25">
      <c r="A246" s="34" t="s">
        <v>132</v>
      </c>
      <c r="B246" s="101">
        <f t="shared" si="43"/>
        <v>43705</v>
      </c>
      <c r="C246" s="34">
        <f>+C245</f>
        <v>35</v>
      </c>
      <c r="D246" s="78">
        <v>42610</v>
      </c>
      <c r="E246" s="102">
        <f t="shared" si="44"/>
        <v>43705</v>
      </c>
      <c r="F246" s="92"/>
      <c r="G246" s="92">
        <v>2.3517999999999999</v>
      </c>
      <c r="H246" s="92">
        <v>1.9845999999999999</v>
      </c>
      <c r="I246" s="92">
        <v>1.758</v>
      </c>
      <c r="J246" s="92">
        <v>1.5939000000000001</v>
      </c>
      <c r="K246" s="92">
        <v>3.3755000000000002</v>
      </c>
      <c r="L246" s="92">
        <v>3.3384999999999998</v>
      </c>
      <c r="M246" s="93">
        <v>3.4878999999999998</v>
      </c>
      <c r="N246" s="103">
        <v>3.3107000000000002</v>
      </c>
      <c r="O246" s="92">
        <v>2.3974000000000002</v>
      </c>
      <c r="P246" s="106">
        <v>2.0983000000000001</v>
      </c>
      <c r="Q246" s="92">
        <v>3.4738000000000002</v>
      </c>
      <c r="R246" s="92">
        <v>2.2109999999999999</v>
      </c>
      <c r="S246" s="92">
        <v>2.5874999999999999</v>
      </c>
      <c r="T246" s="92">
        <v>2.1880999999999999</v>
      </c>
      <c r="U246" s="92">
        <v>1.3385</v>
      </c>
      <c r="V246" s="92">
        <v>1.0182</v>
      </c>
      <c r="W246" s="92"/>
      <c r="X246" s="92">
        <v>0.84560000000000002</v>
      </c>
    </row>
    <row r="247" spans="1:33" outlineLevel="1" x14ac:dyDescent="0.25">
      <c r="A247" s="34" t="s">
        <v>132</v>
      </c>
      <c r="B247" s="101">
        <f t="shared" si="43"/>
        <v>43706</v>
      </c>
      <c r="C247" s="34">
        <f>+C246</f>
        <v>35</v>
      </c>
      <c r="D247" s="78">
        <v>42611</v>
      </c>
      <c r="E247" s="102">
        <f t="shared" si="44"/>
        <v>43706</v>
      </c>
      <c r="F247" s="92"/>
      <c r="G247" s="92">
        <v>2.3616999999999999</v>
      </c>
      <c r="H247" s="92">
        <v>2.0059</v>
      </c>
      <c r="I247" s="92">
        <v>1.7598</v>
      </c>
      <c r="J247" s="92">
        <v>1.5939000000000001</v>
      </c>
      <c r="K247" s="92">
        <v>3.3755000000000002</v>
      </c>
      <c r="L247" s="92">
        <v>3.3117000000000001</v>
      </c>
      <c r="M247" s="93">
        <v>3.4487000000000001</v>
      </c>
      <c r="N247" s="103">
        <v>3.2911000000000001</v>
      </c>
      <c r="O247" s="92">
        <v>2.4289999999999998</v>
      </c>
      <c r="P247" s="106">
        <v>2.0983000000000001</v>
      </c>
      <c r="Q247" s="92">
        <v>3.3885000000000001</v>
      </c>
      <c r="R247" s="92">
        <v>2.2509999999999999</v>
      </c>
      <c r="S247" s="92">
        <v>2.5024999999999999</v>
      </c>
      <c r="T247" s="92">
        <v>2.2570000000000001</v>
      </c>
      <c r="U247" s="92">
        <v>1.3264</v>
      </c>
      <c r="V247" s="92">
        <v>1.0182</v>
      </c>
      <c r="W247" s="92"/>
      <c r="X247" s="92">
        <v>0.84560000000000002</v>
      </c>
    </row>
    <row r="248" spans="1:33" outlineLevel="1" x14ac:dyDescent="0.25">
      <c r="A248" s="34" t="s">
        <v>132</v>
      </c>
      <c r="B248" s="101">
        <f t="shared" si="43"/>
        <v>43707</v>
      </c>
      <c r="C248" s="34">
        <f>+C247</f>
        <v>35</v>
      </c>
      <c r="D248" s="78">
        <v>42612</v>
      </c>
      <c r="E248" s="102">
        <f t="shared" si="44"/>
        <v>43707</v>
      </c>
      <c r="F248" s="92"/>
      <c r="G248" s="92">
        <v>2.3953000000000002</v>
      </c>
      <c r="H248" s="92">
        <v>2.0402</v>
      </c>
      <c r="I248" s="92">
        <v>1.7598</v>
      </c>
      <c r="J248" s="92">
        <v>1.6686000000000001</v>
      </c>
      <c r="K248" s="92">
        <v>3.3755000000000002</v>
      </c>
      <c r="L248" s="92">
        <v>3.3117000000000001</v>
      </c>
      <c r="M248" s="93">
        <v>3.4544999999999999</v>
      </c>
      <c r="N248" s="103">
        <v>3.3166000000000002</v>
      </c>
      <c r="O248" s="92">
        <v>2.4053</v>
      </c>
      <c r="P248" s="106">
        <v>2.1070000000000002</v>
      </c>
      <c r="Q248" s="92">
        <v>3.3885000000000001</v>
      </c>
      <c r="R248" s="92">
        <v>2.246</v>
      </c>
      <c r="S248" s="92">
        <v>2.42</v>
      </c>
      <c r="T248" s="92">
        <v>2.4009999999999998</v>
      </c>
      <c r="U248" s="92">
        <v>1.2958000000000001</v>
      </c>
      <c r="V248" s="92">
        <v>1.0182</v>
      </c>
      <c r="W248" s="92"/>
      <c r="X248" s="92">
        <v>0.84560000000000002</v>
      </c>
    </row>
    <row r="249" spans="1:33" outlineLevel="1" x14ac:dyDescent="0.25">
      <c r="A249" s="34" t="s">
        <v>132</v>
      </c>
      <c r="B249" s="101">
        <f t="shared" si="43"/>
        <v>43708</v>
      </c>
      <c r="C249" s="34">
        <f t="shared" ref="C249:C251" si="54">+C248</f>
        <v>35</v>
      </c>
      <c r="D249" s="78">
        <v>42613</v>
      </c>
      <c r="E249" s="102">
        <f t="shared" si="44"/>
        <v>43708</v>
      </c>
      <c r="F249" s="92"/>
      <c r="G249" s="92">
        <v>2.3982000000000001</v>
      </c>
      <c r="H249" s="92">
        <v>2.0474000000000001</v>
      </c>
      <c r="I249" s="92">
        <v>1.7250000000000001</v>
      </c>
      <c r="J249" s="92">
        <v>1.7742</v>
      </c>
      <c r="K249" s="92">
        <v>3.3755000000000002</v>
      </c>
      <c r="L249" s="92">
        <v>3.3117000000000001</v>
      </c>
      <c r="M249" s="93">
        <v>3.5007999999999999</v>
      </c>
      <c r="N249" s="103">
        <v>3.3353000000000002</v>
      </c>
      <c r="O249" s="92">
        <v>2.3656999999999999</v>
      </c>
      <c r="P249" s="106">
        <v>2.1057000000000001</v>
      </c>
      <c r="Q249" s="92">
        <v>3.3885000000000001</v>
      </c>
      <c r="R249" s="92">
        <v>2.246</v>
      </c>
      <c r="S249" s="92">
        <v>2.3849999999999998</v>
      </c>
      <c r="T249" s="92">
        <v>2.3982999999999999</v>
      </c>
      <c r="U249" s="92">
        <v>1.2804</v>
      </c>
      <c r="V249" s="92">
        <v>1.0182</v>
      </c>
      <c r="W249" s="92"/>
      <c r="X249" s="92">
        <v>0.84560000000000002</v>
      </c>
      <c r="AG249" s="104"/>
    </row>
    <row r="250" spans="1:33" outlineLevel="1" collapsed="1" x14ac:dyDescent="0.25">
      <c r="A250" s="34" t="s">
        <v>160</v>
      </c>
      <c r="B250" s="101">
        <f t="shared" si="43"/>
        <v>43709</v>
      </c>
      <c r="C250" s="34">
        <f t="shared" si="54"/>
        <v>35</v>
      </c>
      <c r="D250" s="78">
        <v>42614</v>
      </c>
      <c r="E250" s="102">
        <f t="shared" si="44"/>
        <v>43709</v>
      </c>
      <c r="F250" s="92"/>
      <c r="G250" s="92">
        <v>2.3982000000000001</v>
      </c>
      <c r="H250" s="92">
        <v>2.1539999999999999</v>
      </c>
      <c r="I250" s="92">
        <v>1.6761999999999999</v>
      </c>
      <c r="J250" s="92">
        <v>1.6871</v>
      </c>
      <c r="K250" s="92">
        <v>3.3853</v>
      </c>
      <c r="L250" s="92">
        <v>3.3117000000000001</v>
      </c>
      <c r="M250" s="93">
        <v>3.5007999999999999</v>
      </c>
      <c r="N250" s="103">
        <v>3.3178000000000001</v>
      </c>
      <c r="O250" s="92">
        <v>2.3567999999999998</v>
      </c>
      <c r="P250" s="106">
        <v>2.1547000000000001</v>
      </c>
      <c r="Q250" s="92">
        <v>3.3885000000000001</v>
      </c>
      <c r="R250" s="92">
        <v>2.246</v>
      </c>
      <c r="S250" s="92">
        <v>2.3849999999999998</v>
      </c>
      <c r="T250" s="92">
        <v>2.4922</v>
      </c>
      <c r="U250" s="92">
        <v>1.3413999999999999</v>
      </c>
      <c r="V250" s="92">
        <v>0.98070000000000002</v>
      </c>
      <c r="W250" s="92"/>
      <c r="X250" s="92">
        <v>0.84560000000000002</v>
      </c>
    </row>
    <row r="251" spans="1:33" outlineLevel="1" x14ac:dyDescent="0.25">
      <c r="A251" s="34" t="s">
        <v>160</v>
      </c>
      <c r="B251" s="101">
        <f t="shared" si="43"/>
        <v>43710</v>
      </c>
      <c r="C251" s="34">
        <f t="shared" si="54"/>
        <v>35</v>
      </c>
      <c r="D251" s="78">
        <v>42615</v>
      </c>
      <c r="E251" s="102">
        <f t="shared" si="44"/>
        <v>43710</v>
      </c>
      <c r="F251" s="92"/>
      <c r="G251" s="92">
        <v>2.3982000000000001</v>
      </c>
      <c r="H251" s="92">
        <v>2.1539999999999999</v>
      </c>
      <c r="I251" s="92">
        <v>1.6761999999999999</v>
      </c>
      <c r="J251" s="92">
        <v>1.7179</v>
      </c>
      <c r="K251" s="92">
        <v>3.3256000000000001</v>
      </c>
      <c r="L251" s="92">
        <v>3.2789000000000001</v>
      </c>
      <c r="M251" s="93">
        <v>3.5007999999999999</v>
      </c>
      <c r="N251" s="103">
        <v>3.3178000000000001</v>
      </c>
      <c r="O251" s="92">
        <v>2.3809999999999998</v>
      </c>
      <c r="P251" s="106">
        <v>2.1476999999999999</v>
      </c>
      <c r="Q251" s="92">
        <v>3.3782000000000001</v>
      </c>
      <c r="R251" s="92">
        <v>2.246</v>
      </c>
      <c r="S251" s="92">
        <v>2.3849999999999998</v>
      </c>
      <c r="T251" s="92">
        <v>2.4922</v>
      </c>
      <c r="U251" s="92">
        <v>1.3453999999999999</v>
      </c>
      <c r="V251" s="92">
        <v>0.96240000000000003</v>
      </c>
      <c r="W251" s="92"/>
      <c r="X251" s="92">
        <v>0.85160000000000002</v>
      </c>
    </row>
    <row r="252" spans="1:33" outlineLevel="1" x14ac:dyDescent="0.25">
      <c r="A252" s="34" t="s">
        <v>160</v>
      </c>
      <c r="B252" s="101">
        <f t="shared" si="43"/>
        <v>43711</v>
      </c>
      <c r="C252" s="34">
        <f t="shared" si="52"/>
        <v>36</v>
      </c>
      <c r="D252" s="78">
        <v>42616</v>
      </c>
      <c r="E252" s="102">
        <f t="shared" si="44"/>
        <v>43711</v>
      </c>
      <c r="F252" s="92"/>
      <c r="G252" s="92">
        <v>2.3982000000000001</v>
      </c>
      <c r="H252" s="92">
        <v>2.1539999999999999</v>
      </c>
      <c r="I252" s="92">
        <v>1.6761999999999999</v>
      </c>
      <c r="J252" s="92">
        <v>1.7561</v>
      </c>
      <c r="K252" s="92">
        <v>3.3954</v>
      </c>
      <c r="L252" s="92">
        <v>3.2852999999999999</v>
      </c>
      <c r="M252" s="93">
        <v>3.5007999999999999</v>
      </c>
      <c r="N252" s="103">
        <v>3.3178000000000001</v>
      </c>
      <c r="O252" s="92">
        <v>2.3809999999999998</v>
      </c>
      <c r="P252" s="106">
        <v>2.1196999999999999</v>
      </c>
      <c r="Q252" s="92">
        <v>3.3782000000000001</v>
      </c>
      <c r="R252" s="92">
        <v>2.2479999999999998</v>
      </c>
      <c r="S252" s="92">
        <v>2.3849999999999998</v>
      </c>
      <c r="T252" s="92">
        <v>2.4922</v>
      </c>
      <c r="U252" s="92">
        <v>1.3453999999999999</v>
      </c>
      <c r="V252" s="92">
        <v>0.93060000000000009</v>
      </c>
      <c r="W252" s="92"/>
      <c r="X252" s="92">
        <v>0.85060000000000002</v>
      </c>
    </row>
    <row r="253" spans="1:33" outlineLevel="1" x14ac:dyDescent="0.25">
      <c r="A253" s="34" t="s">
        <v>160</v>
      </c>
      <c r="B253" s="101">
        <f t="shared" si="43"/>
        <v>43712</v>
      </c>
      <c r="C253" s="34">
        <f>+C252</f>
        <v>36</v>
      </c>
      <c r="D253" s="78">
        <v>42617</v>
      </c>
      <c r="E253" s="102">
        <f t="shared" si="44"/>
        <v>43712</v>
      </c>
      <c r="F253" s="92"/>
      <c r="G253" s="92">
        <v>2.3982000000000001</v>
      </c>
      <c r="H253" s="92">
        <v>2.1539999999999999</v>
      </c>
      <c r="I253" s="92">
        <v>1.6761999999999999</v>
      </c>
      <c r="J253" s="92">
        <v>1.7561</v>
      </c>
      <c r="K253" s="92">
        <v>3.3818000000000001</v>
      </c>
      <c r="L253" s="92">
        <v>3.2742</v>
      </c>
      <c r="M253" s="93">
        <v>3.597</v>
      </c>
      <c r="N253" s="103">
        <v>3.3178000000000001</v>
      </c>
      <c r="O253" s="92">
        <v>2.3809999999999998</v>
      </c>
      <c r="P253" s="106">
        <v>2.1196999999999999</v>
      </c>
      <c r="Q253" s="92">
        <v>3.278</v>
      </c>
      <c r="R253" s="92">
        <v>2.2704999999999997</v>
      </c>
      <c r="S253" s="92">
        <v>2.355</v>
      </c>
      <c r="T253" s="92">
        <v>2.4922</v>
      </c>
      <c r="U253" s="92">
        <v>1.3453999999999999</v>
      </c>
      <c r="V253" s="92">
        <v>0.88749999999999996</v>
      </c>
      <c r="W253" s="92"/>
      <c r="X253" s="92">
        <v>0.87560000000000004</v>
      </c>
    </row>
    <row r="254" spans="1:33" outlineLevel="1" x14ac:dyDescent="0.25">
      <c r="A254" s="34" t="s">
        <v>160</v>
      </c>
      <c r="B254" s="101">
        <f t="shared" si="43"/>
        <v>43713</v>
      </c>
      <c r="C254" s="34">
        <f>+C253</f>
        <v>36</v>
      </c>
      <c r="D254" s="78">
        <v>42618</v>
      </c>
      <c r="E254" s="102">
        <f t="shared" si="44"/>
        <v>43713</v>
      </c>
      <c r="F254" s="92"/>
      <c r="G254" s="92">
        <v>2.4053</v>
      </c>
      <c r="H254" s="92">
        <v>2.1688999999999998</v>
      </c>
      <c r="I254" s="92">
        <v>1.7391000000000001</v>
      </c>
      <c r="J254" s="92">
        <v>1.7561</v>
      </c>
      <c r="K254" s="92">
        <v>3.3818000000000001</v>
      </c>
      <c r="L254" s="92">
        <v>3.2606000000000002</v>
      </c>
      <c r="M254" s="93">
        <v>3.5148999999999999</v>
      </c>
      <c r="N254" s="103">
        <v>3.2597999999999998</v>
      </c>
      <c r="O254" s="92">
        <v>2.3809999999999998</v>
      </c>
      <c r="P254" s="106">
        <v>2.1196999999999999</v>
      </c>
      <c r="Q254" s="92">
        <v>3.2073</v>
      </c>
      <c r="R254" s="92">
        <v>2.2479999999999998</v>
      </c>
      <c r="S254" s="92">
        <v>2.36</v>
      </c>
      <c r="T254" s="92">
        <v>2.4270999999999998</v>
      </c>
      <c r="U254" s="92">
        <v>1.3453999999999999</v>
      </c>
      <c r="V254" s="92">
        <v>0.88749999999999996</v>
      </c>
      <c r="W254" s="92"/>
      <c r="X254" s="92">
        <v>0.89060000000000006</v>
      </c>
    </row>
    <row r="255" spans="1:33" outlineLevel="1" x14ac:dyDescent="0.25">
      <c r="A255" s="34" t="s">
        <v>160</v>
      </c>
      <c r="B255" s="101">
        <f t="shared" si="43"/>
        <v>43714</v>
      </c>
      <c r="C255" s="34">
        <f>+C254</f>
        <v>36</v>
      </c>
      <c r="D255" s="78">
        <v>42619</v>
      </c>
      <c r="E255" s="102">
        <f t="shared" si="44"/>
        <v>43714</v>
      </c>
      <c r="F255" s="92"/>
      <c r="G255" s="92">
        <v>2.4058000000000002</v>
      </c>
      <c r="H255" s="92">
        <v>2.1621000000000001</v>
      </c>
      <c r="I255" s="92">
        <v>1.7391000000000001</v>
      </c>
      <c r="J255" s="92">
        <v>1.7561</v>
      </c>
      <c r="K255" s="92">
        <v>3.3818000000000001</v>
      </c>
      <c r="L255" s="92">
        <v>3.2606000000000002</v>
      </c>
      <c r="M255" s="93">
        <v>3.4817</v>
      </c>
      <c r="N255" s="103">
        <v>3.2566000000000002</v>
      </c>
      <c r="O255" s="92">
        <v>2.3769</v>
      </c>
      <c r="P255" s="106">
        <v>2.1196999999999999</v>
      </c>
      <c r="Q255" s="92">
        <v>3.2073</v>
      </c>
      <c r="R255" s="92">
        <v>2.2429999999999999</v>
      </c>
      <c r="S255" s="92">
        <v>2.3149999999999999</v>
      </c>
      <c r="T255" s="92">
        <v>2.3498000000000001</v>
      </c>
      <c r="U255" s="92">
        <v>1.3495999999999999</v>
      </c>
      <c r="V255" s="92">
        <v>0.88749999999999996</v>
      </c>
      <c r="W255" s="92"/>
      <c r="X255" s="92">
        <v>0.89060000000000006</v>
      </c>
    </row>
    <row r="256" spans="1:33" outlineLevel="1" x14ac:dyDescent="0.25">
      <c r="A256" s="34" t="s">
        <v>160</v>
      </c>
      <c r="B256" s="101">
        <f t="shared" si="43"/>
        <v>43715</v>
      </c>
      <c r="C256" s="34">
        <f t="shared" ref="C256:C258" si="55">+C255</f>
        <v>36</v>
      </c>
      <c r="D256" s="78">
        <v>42620</v>
      </c>
      <c r="E256" s="102">
        <f t="shared" si="44"/>
        <v>43715</v>
      </c>
      <c r="F256" s="92"/>
      <c r="G256" s="92">
        <v>2.4058000000000002</v>
      </c>
      <c r="H256" s="92">
        <v>2.1739000000000002</v>
      </c>
      <c r="I256" s="92">
        <v>1.7391000000000001</v>
      </c>
      <c r="J256" s="92">
        <v>1.7350000000000001</v>
      </c>
      <c r="K256" s="92">
        <v>3.3671000000000002</v>
      </c>
      <c r="L256" s="92">
        <v>3.2606000000000002</v>
      </c>
      <c r="M256" s="93">
        <v>3.4546000000000001</v>
      </c>
      <c r="N256" s="103">
        <v>3.3100999999999998</v>
      </c>
      <c r="O256" s="92">
        <v>2.3995000000000002</v>
      </c>
      <c r="P256" s="106">
        <v>2.1219999999999999</v>
      </c>
      <c r="Q256" s="92">
        <v>3.2073</v>
      </c>
      <c r="R256" s="92">
        <v>2.2429999999999999</v>
      </c>
      <c r="S256" s="92">
        <v>2.2625000000000002</v>
      </c>
      <c r="T256" s="92">
        <v>2.2643999999999997</v>
      </c>
      <c r="U256" s="92">
        <v>1.3415999999999999</v>
      </c>
      <c r="V256" s="92">
        <v>0.83080000000000009</v>
      </c>
      <c r="W256" s="92"/>
      <c r="X256" s="92">
        <v>0.89060000000000006</v>
      </c>
    </row>
    <row r="257" spans="1:24" outlineLevel="1" x14ac:dyDescent="0.25">
      <c r="A257" s="34" t="s">
        <v>160</v>
      </c>
      <c r="B257" s="101">
        <f t="shared" si="43"/>
        <v>43716</v>
      </c>
      <c r="C257" s="34">
        <f t="shared" si="55"/>
        <v>36</v>
      </c>
      <c r="D257" s="78">
        <v>42621</v>
      </c>
      <c r="E257" s="102">
        <f t="shared" si="44"/>
        <v>43716</v>
      </c>
      <c r="F257" s="92"/>
      <c r="G257" s="92">
        <v>2.4058000000000002</v>
      </c>
      <c r="H257" s="92">
        <v>2.1871</v>
      </c>
      <c r="I257" s="92">
        <v>1.7391000000000001</v>
      </c>
      <c r="J257" s="92">
        <v>1.7303999999999999</v>
      </c>
      <c r="K257" s="92">
        <v>3.3671000000000002</v>
      </c>
      <c r="L257" s="92">
        <v>3.2877999999999998</v>
      </c>
      <c r="M257" s="93">
        <v>3.4550000000000001</v>
      </c>
      <c r="N257" s="103">
        <v>3.2770000000000001</v>
      </c>
      <c r="O257" s="92">
        <v>2.3683000000000001</v>
      </c>
      <c r="P257" s="106">
        <v>2.2362000000000002</v>
      </c>
      <c r="Q257" s="92">
        <v>3.1650999999999998</v>
      </c>
      <c r="R257" s="92">
        <v>2.2429999999999999</v>
      </c>
      <c r="S257" s="92">
        <v>2.2625000000000002</v>
      </c>
      <c r="T257" s="92">
        <v>2.2311999999999999</v>
      </c>
      <c r="U257" s="92">
        <v>1.3535999999999999</v>
      </c>
      <c r="V257" s="92">
        <v>0.82200000000000006</v>
      </c>
      <c r="W257" s="92"/>
      <c r="X257" s="92">
        <v>0.90610000000000002</v>
      </c>
    </row>
    <row r="258" spans="1:24" outlineLevel="1" x14ac:dyDescent="0.25">
      <c r="A258" s="34" t="s">
        <v>160</v>
      </c>
      <c r="B258" s="101">
        <f t="shared" si="43"/>
        <v>43717</v>
      </c>
      <c r="C258" s="34">
        <f t="shared" si="55"/>
        <v>36</v>
      </c>
      <c r="D258" s="78">
        <v>42622</v>
      </c>
      <c r="E258" s="102">
        <f t="shared" si="44"/>
        <v>43717</v>
      </c>
      <c r="F258" s="92"/>
      <c r="G258" s="92">
        <v>2.4058000000000002</v>
      </c>
      <c r="H258" s="92">
        <f>+H257</f>
        <v>2.1871</v>
      </c>
      <c r="I258" s="92">
        <v>1.7391000000000001</v>
      </c>
      <c r="J258" s="92">
        <v>1.6653</v>
      </c>
      <c r="K258" s="92">
        <v>3.3671000000000002</v>
      </c>
      <c r="L258" s="92">
        <v>3.2688000000000001</v>
      </c>
      <c r="M258" s="93">
        <v>3.456</v>
      </c>
      <c r="N258" s="103">
        <v>3.2770000000000001</v>
      </c>
      <c r="O258" s="92">
        <v>2.3712</v>
      </c>
      <c r="P258" s="106">
        <v>2.2336999999999998</v>
      </c>
      <c r="Q258" s="92">
        <v>3.1573000000000002</v>
      </c>
      <c r="R258" s="92">
        <v>2.2454999999999998</v>
      </c>
      <c r="S258" s="92">
        <v>2.2625000000000002</v>
      </c>
      <c r="T258" s="92">
        <v>2.2311999999999999</v>
      </c>
      <c r="U258" s="92">
        <v>1.3875999999999999</v>
      </c>
      <c r="V258" s="92">
        <v>0.81330000000000002</v>
      </c>
      <c r="W258" s="92"/>
      <c r="X258" s="92">
        <v>0.90890000000000004</v>
      </c>
    </row>
    <row r="259" spans="1:24" outlineLevel="1" x14ac:dyDescent="0.25">
      <c r="A259" s="34" t="s">
        <v>160</v>
      </c>
      <c r="B259" s="101">
        <f t="shared" si="43"/>
        <v>43718</v>
      </c>
      <c r="C259" s="34">
        <f>+C252+1</f>
        <v>37</v>
      </c>
      <c r="D259" s="78">
        <v>42623</v>
      </c>
      <c r="E259" s="102">
        <f t="shared" si="44"/>
        <v>43718</v>
      </c>
      <c r="F259" s="92"/>
      <c r="G259" s="92">
        <v>2.4123999999999999</v>
      </c>
      <c r="H259" s="92">
        <f>+H258</f>
        <v>2.1871</v>
      </c>
      <c r="I259" s="92">
        <v>1.7391000000000001</v>
      </c>
      <c r="J259" s="92">
        <v>1.6949000000000001</v>
      </c>
      <c r="K259" s="92">
        <v>3.3671000000000002</v>
      </c>
      <c r="L259" s="92">
        <v>3.2688000000000001</v>
      </c>
      <c r="M259" s="93">
        <v>3.3805000000000001</v>
      </c>
      <c r="N259" s="103">
        <v>3.2770000000000001</v>
      </c>
      <c r="O259" s="92">
        <v>2.3712</v>
      </c>
      <c r="P259" s="106">
        <v>2.2336999999999998</v>
      </c>
      <c r="Q259" s="92">
        <v>3.0581999999999998</v>
      </c>
      <c r="R259" s="92">
        <v>2.2305000000000001</v>
      </c>
      <c r="S259" s="92">
        <v>2.2124999999999999</v>
      </c>
      <c r="T259" s="92">
        <v>2.2311999999999999</v>
      </c>
      <c r="U259" s="92">
        <v>1.3875999999999999</v>
      </c>
      <c r="V259" s="92">
        <v>0.79949999999999999</v>
      </c>
      <c r="W259" s="92"/>
      <c r="X259" s="92">
        <v>0.89690000000000003</v>
      </c>
    </row>
    <row r="260" spans="1:24" outlineLevel="1" x14ac:dyDescent="0.25">
      <c r="A260" s="34" t="s">
        <v>160</v>
      </c>
      <c r="B260" s="101">
        <f t="shared" si="43"/>
        <v>43719</v>
      </c>
      <c r="C260" s="34">
        <f t="shared" ref="C260:C265" si="56">+C253+1</f>
        <v>37</v>
      </c>
      <c r="D260" s="78">
        <v>42624</v>
      </c>
      <c r="E260" s="102">
        <f t="shared" si="44"/>
        <v>43719</v>
      </c>
      <c r="F260" s="92"/>
      <c r="G260" s="92">
        <v>2.4123999999999999</v>
      </c>
      <c r="H260" s="92">
        <v>2.1629</v>
      </c>
      <c r="I260" s="92">
        <v>1.7391000000000001</v>
      </c>
      <c r="J260" s="92">
        <v>1.6949000000000001</v>
      </c>
      <c r="K260" s="92">
        <v>3.3407</v>
      </c>
      <c r="L260" s="92">
        <v>3.2688000000000001</v>
      </c>
      <c r="M260" s="93">
        <v>3.4053</v>
      </c>
      <c r="N260" s="103">
        <v>3.2158000000000002</v>
      </c>
      <c r="O260" s="92">
        <v>2.3712</v>
      </c>
      <c r="P260" s="106">
        <v>2.2336999999999998</v>
      </c>
      <c r="Q260" s="92">
        <v>3.0581999999999998</v>
      </c>
      <c r="R260" s="92">
        <v>2.2542999999999997</v>
      </c>
      <c r="S260" s="92">
        <v>2.1425000000000001</v>
      </c>
      <c r="T260" s="92">
        <v>2.2037</v>
      </c>
      <c r="U260" s="92">
        <v>1.3875999999999999</v>
      </c>
      <c r="V260" s="92">
        <v>0.81950000000000001</v>
      </c>
      <c r="W260" s="92"/>
      <c r="X260" s="92">
        <v>0.89430000000000009</v>
      </c>
    </row>
    <row r="261" spans="1:24" outlineLevel="1" x14ac:dyDescent="0.25">
      <c r="A261" s="34" t="s">
        <v>160</v>
      </c>
      <c r="B261" s="101">
        <f t="shared" si="43"/>
        <v>43720</v>
      </c>
      <c r="C261" s="34">
        <f t="shared" si="56"/>
        <v>37</v>
      </c>
      <c r="D261" s="78">
        <v>42625</v>
      </c>
      <c r="E261" s="102">
        <f t="shared" si="44"/>
        <v>43720</v>
      </c>
      <c r="F261" s="92"/>
      <c r="G261" s="92">
        <v>2.3915999999999999</v>
      </c>
      <c r="H261" s="92">
        <v>2.1337000000000002</v>
      </c>
      <c r="I261" s="92">
        <v>1.6627000000000001</v>
      </c>
      <c r="J261" s="92">
        <v>1.6949000000000001</v>
      </c>
      <c r="K261" s="92">
        <v>3.3407</v>
      </c>
      <c r="L261" s="92">
        <v>3.2378999999999998</v>
      </c>
      <c r="M261" s="93">
        <v>3.4053</v>
      </c>
      <c r="N261" s="103">
        <v>3.1815000000000002</v>
      </c>
      <c r="O261" s="92">
        <v>2.4390999999999998</v>
      </c>
      <c r="P261" s="106">
        <v>2.2336999999999998</v>
      </c>
      <c r="Q261" s="92">
        <v>3.0310000000000001</v>
      </c>
      <c r="R261" s="92">
        <v>2.2643</v>
      </c>
      <c r="S261" s="92">
        <v>2.0674999999999999</v>
      </c>
      <c r="T261" s="92">
        <v>2.0985999999999998</v>
      </c>
      <c r="U261" s="92">
        <v>1.4016</v>
      </c>
      <c r="V261" s="92">
        <v>0.81950000000000001</v>
      </c>
      <c r="W261" s="92"/>
      <c r="X261" s="92">
        <v>0.88460000000000005</v>
      </c>
    </row>
    <row r="262" spans="1:24" outlineLevel="1" x14ac:dyDescent="0.25">
      <c r="A262" s="34" t="s">
        <v>160</v>
      </c>
      <c r="B262" s="101">
        <f t="shared" si="43"/>
        <v>43721</v>
      </c>
      <c r="C262" s="34">
        <f t="shared" si="56"/>
        <v>37</v>
      </c>
      <c r="D262" s="78">
        <v>42626</v>
      </c>
      <c r="E262" s="102">
        <f t="shared" si="44"/>
        <v>43721</v>
      </c>
      <c r="F262" s="92"/>
      <c r="G262" s="92">
        <v>2.3965000000000001</v>
      </c>
      <c r="H262" s="92">
        <v>2.1320000000000001</v>
      </c>
      <c r="I262" s="92">
        <v>1.6873</v>
      </c>
      <c r="J262" s="92">
        <v>1.6692</v>
      </c>
      <c r="K262" s="92">
        <v>3.3407</v>
      </c>
      <c r="L262" s="92">
        <v>3.2378999999999998</v>
      </c>
      <c r="M262" s="93">
        <v>3.4053</v>
      </c>
      <c r="N262" s="103">
        <v>3.1638000000000002</v>
      </c>
      <c r="O262" s="92">
        <v>2.4628000000000001</v>
      </c>
      <c r="P262" s="106">
        <v>2.1758999999999999</v>
      </c>
      <c r="Q262" s="92">
        <v>3.0310000000000001</v>
      </c>
      <c r="R262" s="92">
        <v>2.3092999999999999</v>
      </c>
      <c r="S262" s="92">
        <v>1.9924999999999999</v>
      </c>
      <c r="T262" s="92">
        <v>2.0806</v>
      </c>
      <c r="U262" s="92">
        <v>1.4446000000000001</v>
      </c>
      <c r="V262" s="92">
        <v>0.81950000000000001</v>
      </c>
      <c r="W262" s="92"/>
      <c r="X262" s="92">
        <v>0.88460000000000005</v>
      </c>
    </row>
    <row r="263" spans="1:24" outlineLevel="1" x14ac:dyDescent="0.25">
      <c r="A263" s="34" t="s">
        <v>160</v>
      </c>
      <c r="B263" s="101">
        <f t="shared" ref="B263:B326" si="57">E263</f>
        <v>43722</v>
      </c>
      <c r="C263" s="34">
        <f t="shared" si="56"/>
        <v>37</v>
      </c>
      <c r="D263" s="78">
        <v>42627</v>
      </c>
      <c r="E263" s="102">
        <f t="shared" ref="E263:E326" si="58">E262+1</f>
        <v>43722</v>
      </c>
      <c r="F263" s="92"/>
      <c r="G263" s="92">
        <v>2.3687999999999998</v>
      </c>
      <c r="H263" s="92">
        <v>2.1553</v>
      </c>
      <c r="I263" s="92">
        <v>1.6873</v>
      </c>
      <c r="J263" s="92">
        <v>1.7412000000000001</v>
      </c>
      <c r="K263" s="92">
        <v>3.3407</v>
      </c>
      <c r="L263" s="92">
        <v>3.2378999999999998</v>
      </c>
      <c r="M263" s="93">
        <v>3.4037000000000002</v>
      </c>
      <c r="N263" s="103">
        <v>3.1638000000000002</v>
      </c>
      <c r="O263" s="92">
        <v>2.4910000000000001</v>
      </c>
      <c r="P263" s="106">
        <v>2.1573000000000002</v>
      </c>
      <c r="Q263" s="92">
        <v>3.0310000000000001</v>
      </c>
      <c r="R263" s="92">
        <v>2.3092999999999999</v>
      </c>
      <c r="S263" s="92">
        <v>1.9424999999999999</v>
      </c>
      <c r="T263" s="92">
        <v>2.1158999999999999</v>
      </c>
      <c r="U263" s="92">
        <v>1.4601</v>
      </c>
      <c r="V263" s="92">
        <v>0.82080000000000009</v>
      </c>
      <c r="W263" s="92"/>
      <c r="X263" s="92">
        <v>0.88460000000000005</v>
      </c>
    </row>
    <row r="264" spans="1:24" outlineLevel="1" x14ac:dyDescent="0.25">
      <c r="A264" s="34" t="s">
        <v>160</v>
      </c>
      <c r="B264" s="101">
        <f t="shared" si="57"/>
        <v>43723</v>
      </c>
      <c r="C264" s="34">
        <f t="shared" si="56"/>
        <v>37</v>
      </c>
      <c r="D264" s="78">
        <v>42628</v>
      </c>
      <c r="E264" s="102">
        <f t="shared" si="58"/>
        <v>43723</v>
      </c>
      <c r="F264" s="92"/>
      <c r="G264" s="92">
        <v>2.3687999999999998</v>
      </c>
      <c r="H264" s="92">
        <v>2.1606999999999998</v>
      </c>
      <c r="I264" s="92">
        <v>1.6873</v>
      </c>
      <c r="J264" s="92">
        <v>1.7412000000000001</v>
      </c>
      <c r="K264" s="92">
        <v>3.3407</v>
      </c>
      <c r="L264" s="92">
        <v>3.2307999999999999</v>
      </c>
      <c r="M264" s="93">
        <v>3.4037000000000002</v>
      </c>
      <c r="N264" s="103">
        <v>3.2431000000000001</v>
      </c>
      <c r="O264" s="92">
        <v>2.5278999999999998</v>
      </c>
      <c r="P264" s="106">
        <v>2.1137000000000001</v>
      </c>
      <c r="Q264" s="92">
        <v>3.0514999999999999</v>
      </c>
      <c r="R264" s="92">
        <v>2.3092999999999999</v>
      </c>
      <c r="S264" s="92">
        <v>1.9424999999999999</v>
      </c>
      <c r="T264" s="92">
        <v>2.0829</v>
      </c>
      <c r="U264" s="92">
        <v>1.4711000000000001</v>
      </c>
      <c r="V264" s="92">
        <v>0.82580000000000009</v>
      </c>
      <c r="W264" s="92"/>
      <c r="X264" s="92">
        <v>0.88660000000000005</v>
      </c>
    </row>
    <row r="265" spans="1:24" outlineLevel="1" x14ac:dyDescent="0.25">
      <c r="A265" s="34" t="s">
        <v>160</v>
      </c>
      <c r="B265" s="101">
        <f t="shared" si="57"/>
        <v>43724</v>
      </c>
      <c r="C265" s="34">
        <f t="shared" si="56"/>
        <v>37</v>
      </c>
      <c r="D265" s="78">
        <v>42629</v>
      </c>
      <c r="E265" s="102">
        <f t="shared" si="58"/>
        <v>43724</v>
      </c>
      <c r="F265" s="92"/>
      <c r="G265" s="92">
        <v>2.3687999999999998</v>
      </c>
      <c r="H265" s="92">
        <v>2.1606999999999998</v>
      </c>
      <c r="I265" s="92">
        <v>1.6873</v>
      </c>
      <c r="J265" s="92">
        <v>1.7412000000000001</v>
      </c>
      <c r="K265" s="92">
        <v>3.3437000000000001</v>
      </c>
      <c r="L265" s="92">
        <v>3.1936</v>
      </c>
      <c r="M265" s="93">
        <v>3.4037000000000002</v>
      </c>
      <c r="N265" s="103">
        <v>3.2431000000000001</v>
      </c>
      <c r="O265" s="92">
        <v>2.5055999999999998</v>
      </c>
      <c r="P265" s="106">
        <v>2.1379999999999999</v>
      </c>
      <c r="Q265" s="92">
        <v>2.9026000000000001</v>
      </c>
      <c r="R265" s="92">
        <v>2.2993000000000001</v>
      </c>
      <c r="S265" s="92">
        <v>1.9424999999999999</v>
      </c>
      <c r="T265" s="92">
        <v>2.0829</v>
      </c>
      <c r="U265" s="92">
        <v>1.4681</v>
      </c>
      <c r="V265" s="92">
        <v>0.82200000000000006</v>
      </c>
      <c r="W265" s="92"/>
      <c r="X265" s="92">
        <v>0.87460000000000004</v>
      </c>
    </row>
    <row r="266" spans="1:24" outlineLevel="1" x14ac:dyDescent="0.25">
      <c r="A266" s="34" t="s">
        <v>160</v>
      </c>
      <c r="B266" s="101">
        <f t="shared" si="57"/>
        <v>43725</v>
      </c>
      <c r="C266" s="34">
        <f>+C259+1</f>
        <v>38</v>
      </c>
      <c r="D266" s="78">
        <v>42630</v>
      </c>
      <c r="E266" s="102">
        <f t="shared" si="58"/>
        <v>43725</v>
      </c>
      <c r="F266" s="92"/>
      <c r="G266" s="92">
        <v>2.3687999999999998</v>
      </c>
      <c r="H266" s="92">
        <v>2.1606999999999998</v>
      </c>
      <c r="I266" s="92">
        <v>1.6873</v>
      </c>
      <c r="J266" s="92">
        <v>1.7412000000000001</v>
      </c>
      <c r="K266" s="92">
        <v>3.3437000000000001</v>
      </c>
      <c r="L266" s="92">
        <v>3.1936</v>
      </c>
      <c r="M266" s="93">
        <v>3.4251999999999998</v>
      </c>
      <c r="N266" s="103">
        <v>3.2431000000000001</v>
      </c>
      <c r="O266" s="92">
        <v>2.5055999999999998</v>
      </c>
      <c r="P266" s="106">
        <v>2.1494</v>
      </c>
      <c r="Q266" s="92">
        <v>2.8306</v>
      </c>
      <c r="R266" s="92">
        <v>2.3542999999999998</v>
      </c>
      <c r="S266" s="92">
        <v>1.89</v>
      </c>
      <c r="T266" s="92">
        <v>2.0829</v>
      </c>
      <c r="U266" s="92">
        <v>1.4681</v>
      </c>
      <c r="V266" s="92">
        <v>0.82580000000000009</v>
      </c>
      <c r="W266" s="92"/>
      <c r="X266" s="92">
        <v>0.86420000000000008</v>
      </c>
    </row>
    <row r="267" spans="1:24" outlineLevel="1" x14ac:dyDescent="0.25">
      <c r="A267" s="34" t="s">
        <v>160</v>
      </c>
      <c r="B267" s="101">
        <f t="shared" si="57"/>
        <v>43726</v>
      </c>
      <c r="C267" s="34">
        <f>+C266</f>
        <v>38</v>
      </c>
      <c r="D267" s="78">
        <v>42631</v>
      </c>
      <c r="E267" s="102">
        <f t="shared" si="58"/>
        <v>43726</v>
      </c>
      <c r="F267" s="92"/>
      <c r="G267" s="92">
        <v>2.3687999999999998</v>
      </c>
      <c r="H267" s="92">
        <v>2.1831</v>
      </c>
      <c r="I267" s="92">
        <v>1.6873</v>
      </c>
      <c r="J267" s="92">
        <v>1.7412000000000001</v>
      </c>
      <c r="K267" s="92">
        <v>3.3473700000000002</v>
      </c>
      <c r="L267" s="92">
        <v>3.2315</v>
      </c>
      <c r="M267" s="93">
        <v>3.3138999999999998</v>
      </c>
      <c r="N267" s="103">
        <v>3.2345999999999999</v>
      </c>
      <c r="O267" s="92">
        <v>2.5055999999999998</v>
      </c>
      <c r="P267" s="106">
        <v>2.1494</v>
      </c>
      <c r="Q267" s="92">
        <v>2.8643000000000001</v>
      </c>
      <c r="R267" s="92">
        <v>2.4293</v>
      </c>
      <c r="S267" s="92">
        <v>1.865</v>
      </c>
      <c r="T267" s="92">
        <v>2.0564</v>
      </c>
      <c r="U267" s="92">
        <v>1.4681</v>
      </c>
      <c r="V267" s="92">
        <v>0.83450000000000002</v>
      </c>
      <c r="W267" s="92"/>
      <c r="X267" s="92">
        <v>0.86420000000000008</v>
      </c>
    </row>
    <row r="268" spans="1:24" outlineLevel="1" x14ac:dyDescent="0.25">
      <c r="A268" s="34" t="s">
        <v>160</v>
      </c>
      <c r="B268" s="101">
        <f t="shared" si="57"/>
        <v>43727</v>
      </c>
      <c r="C268" s="34">
        <f>+C267</f>
        <v>38</v>
      </c>
      <c r="D268" s="78">
        <v>42632</v>
      </c>
      <c r="E268" s="102">
        <f t="shared" si="58"/>
        <v>43727</v>
      </c>
      <c r="F268" s="92"/>
      <c r="G268" s="92">
        <v>2.3687999999999998</v>
      </c>
      <c r="H268" s="92">
        <v>2.1629999999999998</v>
      </c>
      <c r="I268" s="92">
        <v>1.6873</v>
      </c>
      <c r="J268" s="92">
        <v>1.7412000000000001</v>
      </c>
      <c r="K268" s="92">
        <v>3.3473700000000002</v>
      </c>
      <c r="L268" s="92">
        <v>3.2315</v>
      </c>
      <c r="M268" s="93">
        <v>3.2732999999999999</v>
      </c>
      <c r="N268" s="103">
        <v>3.1947000000000001</v>
      </c>
      <c r="O268" s="92">
        <v>2.5318000000000001</v>
      </c>
      <c r="P268" s="106">
        <v>2.1494</v>
      </c>
      <c r="Q268" s="92">
        <v>2.8319999999999999</v>
      </c>
      <c r="R268" s="92">
        <v>2.3917999999999999</v>
      </c>
      <c r="S268" s="92">
        <v>1.825</v>
      </c>
      <c r="T268" s="92">
        <v>2.2004000000000001</v>
      </c>
      <c r="U268" s="92">
        <v>1.4772000000000001</v>
      </c>
      <c r="V268" s="92">
        <v>0.83450000000000002</v>
      </c>
      <c r="W268" s="92"/>
      <c r="X268" s="92">
        <v>0.85120000000000007</v>
      </c>
    </row>
    <row r="269" spans="1:24" outlineLevel="1" x14ac:dyDescent="0.25">
      <c r="A269" s="34" t="s">
        <v>160</v>
      </c>
      <c r="B269" s="101">
        <f t="shared" si="57"/>
        <v>43728</v>
      </c>
      <c r="C269" s="34">
        <f>+C268</f>
        <v>38</v>
      </c>
      <c r="D269" s="78">
        <v>42633</v>
      </c>
      <c r="E269" s="102">
        <f t="shared" si="58"/>
        <v>43728</v>
      </c>
      <c r="F269" s="92"/>
      <c r="G269" s="92">
        <v>2.3729</v>
      </c>
      <c r="H269" s="92">
        <v>2.1579999999999999</v>
      </c>
      <c r="I269" s="92">
        <v>1.6177999999999999</v>
      </c>
      <c r="J269" s="92">
        <v>1.7412000000000001</v>
      </c>
      <c r="K269" s="92">
        <v>3.3473700000000002</v>
      </c>
      <c r="L269" s="92">
        <v>3.2315</v>
      </c>
      <c r="M269" s="93">
        <v>3.1880000000000002</v>
      </c>
      <c r="N269" s="103">
        <v>3.2197</v>
      </c>
      <c r="O269" s="92">
        <v>2.5407999999999999</v>
      </c>
      <c r="P269" s="106">
        <v>2.1351</v>
      </c>
      <c r="Q269" s="92">
        <v>2.8319999999999999</v>
      </c>
      <c r="R269" s="92">
        <v>2.4268000000000001</v>
      </c>
      <c r="S269" s="92">
        <v>1.7625</v>
      </c>
      <c r="T269" s="92">
        <v>2.1623999999999999</v>
      </c>
      <c r="U269" s="92">
        <v>1.4892000000000001</v>
      </c>
      <c r="V269" s="92">
        <v>0.83450000000000002</v>
      </c>
      <c r="W269" s="92"/>
      <c r="X269" s="92">
        <v>0.85120000000000007</v>
      </c>
    </row>
    <row r="270" spans="1:24" outlineLevel="1" x14ac:dyDescent="0.25">
      <c r="A270" s="34" t="s">
        <v>160</v>
      </c>
      <c r="B270" s="101">
        <f t="shared" si="57"/>
        <v>43729</v>
      </c>
      <c r="C270" s="34">
        <f t="shared" ref="C270:C272" si="59">+C269</f>
        <v>38</v>
      </c>
      <c r="D270" s="78">
        <v>42634</v>
      </c>
      <c r="E270" s="102">
        <f t="shared" si="58"/>
        <v>43729</v>
      </c>
      <c r="F270" s="92"/>
      <c r="G270" s="92">
        <v>2.3687999999999998</v>
      </c>
      <c r="H270" s="92">
        <v>2.1682999999999999</v>
      </c>
      <c r="I270" s="92">
        <v>1.6177999999999999</v>
      </c>
      <c r="J270" s="92">
        <v>1.7330000000000001</v>
      </c>
      <c r="K270" s="92">
        <v>3.3437000000000001</v>
      </c>
      <c r="L270" s="92">
        <v>3.2315</v>
      </c>
      <c r="M270" s="93">
        <v>3.2479</v>
      </c>
      <c r="N270" s="103">
        <v>3.2088999999999999</v>
      </c>
      <c r="O270" s="92">
        <v>2.5470000000000002</v>
      </c>
      <c r="P270" s="106">
        <v>2.0729000000000002</v>
      </c>
      <c r="Q270" s="92">
        <v>2.8319999999999999</v>
      </c>
      <c r="R270" s="92">
        <v>2.4268000000000001</v>
      </c>
      <c r="S270" s="92">
        <v>1.6875</v>
      </c>
      <c r="T270" s="92">
        <v>2.2313999999999998</v>
      </c>
      <c r="U270" s="92">
        <v>1.5086999999999999</v>
      </c>
      <c r="V270" s="92">
        <v>0.82830000000000004</v>
      </c>
      <c r="W270" s="92"/>
      <c r="X270" s="92">
        <v>0.85120000000000007</v>
      </c>
    </row>
    <row r="271" spans="1:24" outlineLevel="1" x14ac:dyDescent="0.25">
      <c r="A271" s="34" t="s">
        <v>160</v>
      </c>
      <c r="B271" s="101">
        <f t="shared" si="57"/>
        <v>43730</v>
      </c>
      <c r="C271" s="34">
        <f t="shared" si="59"/>
        <v>38</v>
      </c>
      <c r="D271" s="78">
        <v>42635</v>
      </c>
      <c r="E271" s="102">
        <f t="shared" si="58"/>
        <v>43730</v>
      </c>
      <c r="F271" s="92"/>
      <c r="G271" s="92">
        <v>2.3687999999999998</v>
      </c>
      <c r="H271" s="92">
        <v>2.1869000000000001</v>
      </c>
      <c r="I271" s="92">
        <v>1.5584</v>
      </c>
      <c r="J271" s="92">
        <v>1.7402</v>
      </c>
      <c r="K271" s="92">
        <v>3.2092000000000001</v>
      </c>
      <c r="L271" s="92">
        <v>3.2315</v>
      </c>
      <c r="M271" s="93">
        <v>3.2479</v>
      </c>
      <c r="N271" s="103">
        <v>3.1478999999999999</v>
      </c>
      <c r="O271" s="92">
        <v>2.5367999999999999</v>
      </c>
      <c r="P271" s="106">
        <v>2.0430000000000001</v>
      </c>
      <c r="Q271" s="92">
        <v>2.9081999999999999</v>
      </c>
      <c r="R271" s="92">
        <v>2.4268000000000001</v>
      </c>
      <c r="S271" s="92">
        <v>1.6875</v>
      </c>
      <c r="T271" s="92">
        <v>2.2744</v>
      </c>
      <c r="U271" s="92">
        <v>1.5447</v>
      </c>
      <c r="V271" s="92">
        <v>0.83200000000000007</v>
      </c>
      <c r="W271" s="92"/>
      <c r="X271" s="92">
        <v>0.84820000000000007</v>
      </c>
    </row>
    <row r="272" spans="1:24" outlineLevel="1" x14ac:dyDescent="0.25">
      <c r="A272" s="34" t="s">
        <v>160</v>
      </c>
      <c r="B272" s="101">
        <f t="shared" si="57"/>
        <v>43731</v>
      </c>
      <c r="C272" s="34">
        <f t="shared" si="59"/>
        <v>38</v>
      </c>
      <c r="D272" s="78">
        <v>42636</v>
      </c>
      <c r="E272" s="102">
        <f t="shared" si="58"/>
        <v>43731</v>
      </c>
      <c r="F272" s="92"/>
      <c r="G272" s="92">
        <v>2.3687999999999998</v>
      </c>
      <c r="H272" s="92">
        <v>2.1869000000000001</v>
      </c>
      <c r="I272" s="92">
        <v>1.5584</v>
      </c>
      <c r="J272" s="92">
        <v>1.7270000000000001</v>
      </c>
      <c r="K272" s="92">
        <v>3.2092000000000001</v>
      </c>
      <c r="L272" s="92">
        <v>3.0924</v>
      </c>
      <c r="M272" s="93">
        <v>3.2479</v>
      </c>
      <c r="N272" s="103">
        <v>3.1478999999999999</v>
      </c>
      <c r="O272" s="92">
        <v>2.5036999999999998</v>
      </c>
      <c r="P272" s="106">
        <v>1.9678</v>
      </c>
      <c r="Q272" s="92">
        <v>3.08</v>
      </c>
      <c r="R272" s="92">
        <v>2.4192999999999998</v>
      </c>
      <c r="S272" s="92">
        <v>1.6875</v>
      </c>
      <c r="T272" s="92">
        <v>2.2744</v>
      </c>
      <c r="U272" s="92">
        <v>1.5610999999999999</v>
      </c>
      <c r="V272" s="92">
        <v>0.84079999999999999</v>
      </c>
      <c r="W272" s="92"/>
      <c r="X272" s="92">
        <v>0.84800000000000009</v>
      </c>
    </row>
    <row r="273" spans="1:33" outlineLevel="1" x14ac:dyDescent="0.25">
      <c r="A273" s="34" t="s">
        <v>160</v>
      </c>
      <c r="B273" s="101">
        <f t="shared" si="57"/>
        <v>43732</v>
      </c>
      <c r="C273" s="34">
        <f t="shared" ref="C273:C287" si="60">+C266+1</f>
        <v>39</v>
      </c>
      <c r="D273" s="78">
        <v>42637</v>
      </c>
      <c r="E273" s="102">
        <f t="shared" si="58"/>
        <v>43732</v>
      </c>
      <c r="F273" s="92"/>
      <c r="G273" s="92">
        <v>2.3687999999999998</v>
      </c>
      <c r="H273" s="92">
        <v>2.1869000000000001</v>
      </c>
      <c r="I273" s="92">
        <v>1.5584</v>
      </c>
      <c r="J273" s="92">
        <v>1.76</v>
      </c>
      <c r="K273" s="92">
        <v>3.1192000000000002</v>
      </c>
      <c r="L273" s="92">
        <v>3.0924</v>
      </c>
      <c r="M273" s="93">
        <v>3.2471999999999999</v>
      </c>
      <c r="N273" s="103">
        <v>3.1478999999999999</v>
      </c>
      <c r="O273" s="92">
        <v>2.5036999999999998</v>
      </c>
      <c r="P273" s="106">
        <v>1.8637999999999999</v>
      </c>
      <c r="Q273" s="92">
        <v>3.0209000000000001</v>
      </c>
      <c r="R273" s="92">
        <v>2.4055</v>
      </c>
      <c r="S273" s="92">
        <v>1.6825000000000001</v>
      </c>
      <c r="T273" s="92">
        <v>2.2744</v>
      </c>
      <c r="U273" s="92">
        <v>1.5610999999999999</v>
      </c>
      <c r="V273" s="92">
        <v>0.84450000000000003</v>
      </c>
      <c r="W273" s="92"/>
      <c r="X273" s="92">
        <v>0.85400000000000009</v>
      </c>
    </row>
    <row r="274" spans="1:33" outlineLevel="1" x14ac:dyDescent="0.25">
      <c r="A274" s="34" t="s">
        <v>160</v>
      </c>
      <c r="B274" s="101">
        <f t="shared" si="57"/>
        <v>43733</v>
      </c>
      <c r="C274" s="34">
        <f>+C273</f>
        <v>39</v>
      </c>
      <c r="D274" s="78">
        <v>42638</v>
      </c>
      <c r="E274" s="102">
        <f t="shared" si="58"/>
        <v>43733</v>
      </c>
      <c r="F274" s="92"/>
      <c r="G274" s="92">
        <v>2.4201999999999999</v>
      </c>
      <c r="H274" s="92">
        <v>2.1854</v>
      </c>
      <c r="I274" s="92">
        <v>1.5584</v>
      </c>
      <c r="J274" s="92">
        <v>1.76</v>
      </c>
      <c r="K274" s="92">
        <v>3.1192000000000002</v>
      </c>
      <c r="L274" s="92">
        <v>3.0924</v>
      </c>
      <c r="M274" s="93">
        <v>3.2290000000000001</v>
      </c>
      <c r="N274" s="103">
        <v>3.1339000000000001</v>
      </c>
      <c r="O274" s="92">
        <v>2.5036999999999998</v>
      </c>
      <c r="P274" s="106">
        <v>1.8637999999999999</v>
      </c>
      <c r="Q274" s="92">
        <v>3.0318999999999998</v>
      </c>
      <c r="R274" s="92">
        <v>2.4055</v>
      </c>
      <c r="S274" s="92">
        <v>1.6775</v>
      </c>
      <c r="T274" s="92">
        <v>2.2124000000000001</v>
      </c>
      <c r="U274" s="92">
        <v>1.5610999999999999</v>
      </c>
      <c r="V274" s="92">
        <v>0.85010000000000008</v>
      </c>
      <c r="W274" s="92"/>
      <c r="X274" s="92">
        <v>0.86199999999999999</v>
      </c>
    </row>
    <row r="275" spans="1:33" outlineLevel="1" x14ac:dyDescent="0.25">
      <c r="A275" s="34" t="s">
        <v>160</v>
      </c>
      <c r="B275" s="101">
        <f t="shared" si="57"/>
        <v>43734</v>
      </c>
      <c r="C275" s="34">
        <f>+C274</f>
        <v>39</v>
      </c>
      <c r="D275" s="78">
        <v>42639</v>
      </c>
      <c r="E275" s="102">
        <f t="shared" si="58"/>
        <v>43734</v>
      </c>
      <c r="F275" s="92"/>
      <c r="G275" s="92">
        <v>2.4363000000000001</v>
      </c>
      <c r="H275" s="92">
        <v>2.2273000000000001</v>
      </c>
      <c r="I275" s="92">
        <v>1.5246</v>
      </c>
      <c r="J275" s="92">
        <v>1.76</v>
      </c>
      <c r="K275" s="92">
        <v>3.1192000000000002</v>
      </c>
      <c r="L275" s="92">
        <v>3.105</v>
      </c>
      <c r="M275" s="93">
        <v>3.2332000000000001</v>
      </c>
      <c r="N275" s="103">
        <v>3.1198999999999999</v>
      </c>
      <c r="O275" s="92">
        <v>2.5259</v>
      </c>
      <c r="P275" s="106">
        <v>1.8637999999999999</v>
      </c>
      <c r="Q275" s="92">
        <v>3.0642</v>
      </c>
      <c r="R275" s="92">
        <v>2.4129999999999998</v>
      </c>
      <c r="S275" s="92">
        <v>1.6975</v>
      </c>
      <c r="T275" s="92">
        <v>2.3403</v>
      </c>
      <c r="U275" s="92">
        <v>1.6081000000000001</v>
      </c>
      <c r="V275" s="92">
        <v>0.85010000000000008</v>
      </c>
      <c r="W275" s="92"/>
      <c r="X275" s="92">
        <v>0.86</v>
      </c>
    </row>
    <row r="276" spans="1:33" outlineLevel="1" x14ac:dyDescent="0.25">
      <c r="A276" s="34" t="s">
        <v>160</v>
      </c>
      <c r="B276" s="101">
        <f t="shared" si="57"/>
        <v>43735</v>
      </c>
      <c r="C276" s="34">
        <f>+C275</f>
        <v>39</v>
      </c>
      <c r="D276" s="78">
        <v>42640</v>
      </c>
      <c r="E276" s="102">
        <f t="shared" si="58"/>
        <v>43735</v>
      </c>
      <c r="F276" s="92"/>
      <c r="G276" s="92">
        <v>2.4363000000000001</v>
      </c>
      <c r="H276" s="92">
        <v>2.1970000000000001</v>
      </c>
      <c r="I276" s="92">
        <v>1.5246</v>
      </c>
      <c r="J276" s="92">
        <v>1.7623</v>
      </c>
      <c r="K276" s="92">
        <v>3.1192000000000002</v>
      </c>
      <c r="L276" s="92">
        <v>3.105</v>
      </c>
      <c r="M276" s="93">
        <v>3.2332000000000001</v>
      </c>
      <c r="N276" s="103">
        <v>3.1966999999999999</v>
      </c>
      <c r="O276" s="92">
        <v>2.5110000000000001</v>
      </c>
      <c r="P276" s="106">
        <v>1.8543000000000001</v>
      </c>
      <c r="Q276" s="92">
        <v>3.0642</v>
      </c>
      <c r="R276" s="92">
        <v>2.4430000000000001</v>
      </c>
      <c r="S276" s="92">
        <v>1.6975</v>
      </c>
      <c r="T276" s="92">
        <v>2.3584000000000001</v>
      </c>
      <c r="U276" s="92">
        <v>1.6506000000000001</v>
      </c>
      <c r="V276" s="92">
        <v>0.85010000000000008</v>
      </c>
      <c r="W276" s="92"/>
      <c r="X276" s="92">
        <v>0.86</v>
      </c>
    </row>
    <row r="277" spans="1:33" outlineLevel="1" x14ac:dyDescent="0.25">
      <c r="A277" s="34" t="s">
        <v>160</v>
      </c>
      <c r="B277" s="101">
        <f t="shared" si="57"/>
        <v>43736</v>
      </c>
      <c r="C277" s="34">
        <f t="shared" ref="C277:C279" si="61">+C276</f>
        <v>39</v>
      </c>
      <c r="D277" s="78">
        <v>42641</v>
      </c>
      <c r="E277" s="102">
        <f t="shared" si="58"/>
        <v>43736</v>
      </c>
      <c r="F277" s="92"/>
      <c r="G277" s="92">
        <v>2.4548999999999999</v>
      </c>
      <c r="H277" s="92">
        <v>2.1928000000000001</v>
      </c>
      <c r="I277" s="92">
        <v>1.5045999999999999</v>
      </c>
      <c r="J277" s="92">
        <v>1.7137</v>
      </c>
      <c r="K277" s="92">
        <v>2.9338000000000002</v>
      </c>
      <c r="L277" s="92">
        <v>3.105</v>
      </c>
      <c r="M277" s="93">
        <v>3.26</v>
      </c>
      <c r="N277" s="103">
        <v>3.1185</v>
      </c>
      <c r="O277" s="92">
        <v>2.496</v>
      </c>
      <c r="P277" s="106">
        <v>1.8614999999999999</v>
      </c>
      <c r="Q277" s="92">
        <v>3.0642</v>
      </c>
      <c r="R277" s="92">
        <v>2.4430000000000001</v>
      </c>
      <c r="S277" s="92">
        <v>1.7075</v>
      </c>
      <c r="T277" s="92">
        <v>2.4617999999999998</v>
      </c>
      <c r="U277" s="92">
        <v>1.6544999999999999</v>
      </c>
      <c r="V277" s="92">
        <v>0.84760000000000002</v>
      </c>
      <c r="W277" s="92"/>
      <c r="X277" s="92">
        <v>0.86</v>
      </c>
    </row>
    <row r="278" spans="1:33" outlineLevel="1" x14ac:dyDescent="0.25">
      <c r="A278" s="34" t="s">
        <v>160</v>
      </c>
      <c r="B278" s="101">
        <f t="shared" si="57"/>
        <v>43737</v>
      </c>
      <c r="C278" s="34">
        <f t="shared" si="61"/>
        <v>39</v>
      </c>
      <c r="D278" s="78">
        <v>42642</v>
      </c>
      <c r="E278" s="102">
        <f t="shared" si="58"/>
        <v>43737</v>
      </c>
      <c r="F278" s="92"/>
      <c r="G278" s="92">
        <v>2.4548999999999999</v>
      </c>
      <c r="H278" s="92">
        <v>2.1839</v>
      </c>
      <c r="I278" s="92">
        <v>1.6023000000000001</v>
      </c>
      <c r="J278" s="92">
        <v>1.7337</v>
      </c>
      <c r="K278" s="92">
        <v>2.9508000000000001</v>
      </c>
      <c r="L278" s="92">
        <v>3.0876000000000001</v>
      </c>
      <c r="M278" s="93">
        <v>3.26</v>
      </c>
      <c r="N278" s="103">
        <v>3.1143999999999998</v>
      </c>
      <c r="O278" s="92">
        <v>2.5529000000000002</v>
      </c>
      <c r="P278" s="106">
        <v>1.8609</v>
      </c>
      <c r="Q278" s="92">
        <v>3.0617000000000001</v>
      </c>
      <c r="R278" s="92">
        <v>2.4430000000000001</v>
      </c>
      <c r="S278" s="92">
        <v>1.7075</v>
      </c>
      <c r="T278" s="92">
        <v>2.4367999999999999</v>
      </c>
      <c r="U278" s="92">
        <v>1.6778</v>
      </c>
      <c r="V278" s="92">
        <v>0.84760000000000002</v>
      </c>
      <c r="W278" s="92"/>
      <c r="X278" s="92">
        <v>0.85600000000000009</v>
      </c>
    </row>
    <row r="279" spans="1:33" outlineLevel="1" x14ac:dyDescent="0.25">
      <c r="A279" s="34" t="s">
        <v>160</v>
      </c>
      <c r="B279" s="101">
        <f t="shared" si="57"/>
        <v>43738</v>
      </c>
      <c r="C279" s="34">
        <f t="shared" si="61"/>
        <v>39</v>
      </c>
      <c r="D279" s="78">
        <v>42643</v>
      </c>
      <c r="E279" s="102">
        <f t="shared" si="58"/>
        <v>43738</v>
      </c>
      <c r="F279" s="92"/>
      <c r="G279" s="92">
        <v>2.4548999999999999</v>
      </c>
      <c r="H279" s="92">
        <v>2.1839</v>
      </c>
      <c r="I279" s="92">
        <v>1.6184000000000001</v>
      </c>
      <c r="J279" s="92">
        <v>1.7579</v>
      </c>
      <c r="K279" s="92">
        <v>2.9049999999999998</v>
      </c>
      <c r="L279" s="92">
        <v>3.0867</v>
      </c>
      <c r="M279" s="93">
        <v>3.26</v>
      </c>
      <c r="N279" s="103">
        <v>3.1143999999999998</v>
      </c>
      <c r="O279" s="92">
        <v>2.6080999999999999</v>
      </c>
      <c r="P279" s="106">
        <v>1.9494</v>
      </c>
      <c r="Q279" s="92">
        <v>2.8443999999999998</v>
      </c>
      <c r="R279" s="92">
        <v>2.4529999999999998</v>
      </c>
      <c r="S279" s="92">
        <v>1.7075</v>
      </c>
      <c r="T279" s="92">
        <v>2.4367999999999999</v>
      </c>
      <c r="U279" s="92">
        <v>1.6827999999999999</v>
      </c>
      <c r="V279" s="92">
        <v>0.84760000000000002</v>
      </c>
      <c r="W279" s="92"/>
      <c r="X279" s="92">
        <v>0.86440000000000006</v>
      </c>
      <c r="AG279" s="104"/>
    </row>
    <row r="280" spans="1:33" x14ac:dyDescent="0.25">
      <c r="A280" s="34" t="s">
        <v>73</v>
      </c>
      <c r="B280" s="101">
        <f t="shared" si="57"/>
        <v>43739</v>
      </c>
      <c r="C280" s="34">
        <f>+C273+1</f>
        <v>40</v>
      </c>
      <c r="D280" s="78">
        <v>42644</v>
      </c>
      <c r="E280" s="102">
        <f t="shared" si="58"/>
        <v>43739</v>
      </c>
      <c r="F280" s="92"/>
      <c r="G280" s="92">
        <v>2.4826999999999999</v>
      </c>
      <c r="H280" s="92">
        <v>2.1839</v>
      </c>
      <c r="I280" s="92">
        <v>1.6184000000000001</v>
      </c>
      <c r="J280" s="92">
        <v>1.7415</v>
      </c>
      <c r="K280" s="92">
        <v>2.9192999999999998</v>
      </c>
      <c r="L280" s="92">
        <v>3.0821999999999998</v>
      </c>
      <c r="M280" s="93">
        <v>3.2736000000000001</v>
      </c>
      <c r="N280" s="103">
        <v>3.1143999999999998</v>
      </c>
      <c r="O280" s="92">
        <v>2.6080999999999999</v>
      </c>
      <c r="P280" s="106">
        <v>1.9996</v>
      </c>
      <c r="Q280" s="92">
        <v>2.9855</v>
      </c>
      <c r="R280" s="92">
        <v>2.4529999999999998</v>
      </c>
      <c r="S280" s="92">
        <v>1.7024999999999999</v>
      </c>
      <c r="T280" s="92">
        <v>2.4367999999999999</v>
      </c>
      <c r="U280" s="92">
        <v>1.6827999999999999</v>
      </c>
      <c r="V280" s="92">
        <v>0.85140000000000005</v>
      </c>
      <c r="W280" s="92"/>
      <c r="X280" s="92">
        <v>0.86660000000000004</v>
      </c>
    </row>
    <row r="281" spans="1:33" x14ac:dyDescent="0.25">
      <c r="A281" s="34" t="s">
        <v>73</v>
      </c>
      <c r="B281" s="101">
        <f t="shared" si="57"/>
        <v>43740</v>
      </c>
      <c r="C281" s="34">
        <f>+C280</f>
        <v>40</v>
      </c>
      <c r="D281" s="78">
        <v>42645</v>
      </c>
      <c r="E281" s="102">
        <f t="shared" si="58"/>
        <v>43740</v>
      </c>
      <c r="F281" s="92"/>
      <c r="G281" s="92">
        <v>2.5398000000000001</v>
      </c>
      <c r="H281" s="92">
        <v>2.1922000000000001</v>
      </c>
      <c r="I281" s="92">
        <v>1.6184000000000001</v>
      </c>
      <c r="J281" s="92">
        <v>1.7415</v>
      </c>
      <c r="K281" s="92">
        <v>2.9192999999999998</v>
      </c>
      <c r="L281" s="92">
        <v>3.1261999999999999</v>
      </c>
      <c r="M281" s="93">
        <v>3.2431000000000001</v>
      </c>
      <c r="N281" s="103">
        <v>3.0935000000000001</v>
      </c>
      <c r="O281" s="92">
        <v>2.6080999999999999</v>
      </c>
      <c r="P281" s="106">
        <v>1.9996</v>
      </c>
      <c r="Q281" s="92">
        <v>2.9558</v>
      </c>
      <c r="R281" s="92">
        <v>2.4624999999999999</v>
      </c>
      <c r="S281" s="92">
        <v>1.6875</v>
      </c>
      <c r="T281" s="92">
        <v>2.4626000000000001</v>
      </c>
      <c r="U281" s="92">
        <v>1.6827999999999999</v>
      </c>
      <c r="V281" s="92">
        <v>0.90390000000000004</v>
      </c>
      <c r="W281" s="92"/>
      <c r="X281" s="92">
        <v>0.86210000000000009</v>
      </c>
    </row>
    <row r="282" spans="1:33" x14ac:dyDescent="0.25">
      <c r="A282" s="34" t="s">
        <v>73</v>
      </c>
      <c r="B282" s="101">
        <f t="shared" si="57"/>
        <v>43741</v>
      </c>
      <c r="C282" s="34">
        <f>+C281</f>
        <v>40</v>
      </c>
      <c r="D282" s="78">
        <v>42646</v>
      </c>
      <c r="E282" s="102">
        <f t="shared" si="58"/>
        <v>43741</v>
      </c>
      <c r="F282" s="92"/>
      <c r="G282" s="92">
        <v>2.5668000000000002</v>
      </c>
      <c r="H282" s="92">
        <v>2.1922000000000001</v>
      </c>
      <c r="I282" s="92">
        <v>1.6366000000000001</v>
      </c>
      <c r="J282" s="92">
        <v>1.7415</v>
      </c>
      <c r="K282" s="92">
        <v>2.9192999999999998</v>
      </c>
      <c r="L282" s="92">
        <v>3.1779000000000002</v>
      </c>
      <c r="M282" s="93">
        <v>3.2355</v>
      </c>
      <c r="N282" s="103">
        <v>3.0868000000000002</v>
      </c>
      <c r="O282" s="92">
        <v>2.6436999999999999</v>
      </c>
      <c r="P282" s="106">
        <v>1.9996</v>
      </c>
      <c r="Q282" s="92">
        <v>2.8058000000000001</v>
      </c>
      <c r="R282" s="92">
        <v>2.4525000000000001</v>
      </c>
      <c r="S282" s="92">
        <v>1.66</v>
      </c>
      <c r="T282" s="92">
        <v>2.4373999999999998</v>
      </c>
      <c r="U282" s="92">
        <v>1.6744999999999999</v>
      </c>
      <c r="V282" s="92">
        <v>0.90390000000000004</v>
      </c>
      <c r="W282" s="92"/>
      <c r="X282" s="92">
        <v>0.86210000000000009</v>
      </c>
    </row>
    <row r="283" spans="1:33" x14ac:dyDescent="0.25">
      <c r="A283" s="34" t="s">
        <v>73</v>
      </c>
      <c r="B283" s="101">
        <f t="shared" si="57"/>
        <v>43742</v>
      </c>
      <c r="C283" s="34">
        <f>+C282</f>
        <v>40</v>
      </c>
      <c r="D283" s="78">
        <v>42647</v>
      </c>
      <c r="E283" s="102">
        <f t="shared" si="58"/>
        <v>43742</v>
      </c>
      <c r="F283" s="92"/>
      <c r="G283" s="92">
        <v>2.5668000000000002</v>
      </c>
      <c r="H283" s="92">
        <v>2.1922000000000001</v>
      </c>
      <c r="I283" s="92">
        <v>1.6533</v>
      </c>
      <c r="J283" s="92">
        <v>1.7318</v>
      </c>
      <c r="K283" s="92">
        <v>2.9192999999999998</v>
      </c>
      <c r="L283" s="92">
        <v>3.1779000000000002</v>
      </c>
      <c r="M283" s="93">
        <v>3.2073</v>
      </c>
      <c r="N283" s="103">
        <v>3.0678000000000001</v>
      </c>
      <c r="O283" s="92">
        <v>2.6387</v>
      </c>
      <c r="P283" s="106">
        <v>1.9961</v>
      </c>
      <c r="Q283" s="92">
        <v>2.8058000000000001</v>
      </c>
      <c r="R283" s="92">
        <v>2.5724999999999998</v>
      </c>
      <c r="S283" s="92">
        <v>1.66</v>
      </c>
      <c r="T283" s="92">
        <v>2.4401999999999999</v>
      </c>
      <c r="U283" s="92">
        <v>1.6644999999999999</v>
      </c>
      <c r="V283" s="92">
        <v>0.90390000000000004</v>
      </c>
      <c r="W283" s="92"/>
      <c r="X283" s="92">
        <v>0.86210000000000009</v>
      </c>
    </row>
    <row r="284" spans="1:33" x14ac:dyDescent="0.25">
      <c r="A284" s="34" t="s">
        <v>73</v>
      </c>
      <c r="B284" s="101">
        <f t="shared" si="57"/>
        <v>43743</v>
      </c>
      <c r="C284" s="34">
        <f t="shared" ref="C284:C286" si="62">+C283</f>
        <v>40</v>
      </c>
      <c r="D284" s="78">
        <v>42648</v>
      </c>
      <c r="E284" s="102">
        <f t="shared" si="58"/>
        <v>43743</v>
      </c>
      <c r="F284" s="92"/>
      <c r="G284" s="92">
        <v>2.5411000000000001</v>
      </c>
      <c r="H284" s="92">
        <v>2.1922000000000001</v>
      </c>
      <c r="I284" s="92">
        <v>1.6561999999999999</v>
      </c>
      <c r="J284" s="92">
        <v>1.7444999999999999</v>
      </c>
      <c r="K284" s="92">
        <v>2.9049999999999998</v>
      </c>
      <c r="L284" s="92">
        <v>3.1779000000000002</v>
      </c>
      <c r="M284" s="93">
        <v>3.3426</v>
      </c>
      <c r="N284" s="103">
        <v>3.1021000000000001</v>
      </c>
      <c r="O284" s="92">
        <v>2.6583000000000001</v>
      </c>
      <c r="P284" s="106">
        <v>1.9921</v>
      </c>
      <c r="Q284" s="92">
        <v>2.8058000000000001</v>
      </c>
      <c r="R284" s="92">
        <v>2.5724999999999998</v>
      </c>
      <c r="S284" s="92">
        <v>1.7050000000000001</v>
      </c>
      <c r="T284" s="92">
        <v>2.4409999999999998</v>
      </c>
      <c r="U284" s="92">
        <v>1.6668999999999998</v>
      </c>
      <c r="V284" s="92">
        <v>0.90310000000000001</v>
      </c>
      <c r="W284" s="92"/>
      <c r="X284" s="92">
        <v>0.86210000000000009</v>
      </c>
    </row>
    <row r="285" spans="1:33" x14ac:dyDescent="0.25">
      <c r="A285" s="34" t="s">
        <v>73</v>
      </c>
      <c r="B285" s="101">
        <f t="shared" si="57"/>
        <v>43744</v>
      </c>
      <c r="C285" s="34">
        <f t="shared" si="62"/>
        <v>40</v>
      </c>
      <c r="D285" s="78">
        <v>42649</v>
      </c>
      <c r="E285" s="102">
        <f t="shared" si="58"/>
        <v>43744</v>
      </c>
      <c r="F285" s="92"/>
      <c r="G285" s="92">
        <v>2.5411000000000001</v>
      </c>
      <c r="H285" s="92">
        <v>2.1585999999999999</v>
      </c>
      <c r="I285" s="92">
        <v>1.7210000000000001</v>
      </c>
      <c r="J285" s="92">
        <v>1.7844</v>
      </c>
      <c r="K285" s="92">
        <v>2.9049999999999998</v>
      </c>
      <c r="L285" s="92">
        <v>3.194</v>
      </c>
      <c r="M285" s="93">
        <v>3.3426</v>
      </c>
      <c r="N285" s="103">
        <v>3.1821000000000002</v>
      </c>
      <c r="O285" s="92">
        <v>2.6894</v>
      </c>
      <c r="P285" s="106">
        <v>2.0028999999999999</v>
      </c>
      <c r="Q285" s="92">
        <v>2.835</v>
      </c>
      <c r="R285" s="92">
        <v>2.5724999999999998</v>
      </c>
      <c r="S285" s="92">
        <v>1.7050000000000001</v>
      </c>
      <c r="T285" s="92">
        <v>2.4419</v>
      </c>
      <c r="U285" s="92">
        <v>1.6606999999999998</v>
      </c>
      <c r="V285" s="92">
        <v>0.88580000000000003</v>
      </c>
      <c r="W285" s="92"/>
      <c r="X285" s="92">
        <v>0.86060000000000003</v>
      </c>
    </row>
    <row r="286" spans="1:33" x14ac:dyDescent="0.25">
      <c r="A286" s="34" t="s">
        <v>73</v>
      </c>
      <c r="B286" s="101">
        <f t="shared" si="57"/>
        <v>43745</v>
      </c>
      <c r="C286" s="34">
        <f t="shared" si="62"/>
        <v>40</v>
      </c>
      <c r="D286" s="78">
        <v>42650</v>
      </c>
      <c r="E286" s="102">
        <f t="shared" si="58"/>
        <v>43745</v>
      </c>
      <c r="F286" s="92"/>
      <c r="G286" s="92">
        <v>2.5411000000000001</v>
      </c>
      <c r="H286" s="92">
        <v>2.1585999999999999</v>
      </c>
      <c r="I286" s="92">
        <v>1.7210000000000001</v>
      </c>
      <c r="J286" s="92">
        <v>1.7663</v>
      </c>
      <c r="K286" s="92">
        <v>2.8683999999999998</v>
      </c>
      <c r="L286" s="92">
        <v>3.23</v>
      </c>
      <c r="M286" s="93">
        <v>3.3426</v>
      </c>
      <c r="N286" s="103">
        <v>3.1821000000000002</v>
      </c>
      <c r="O286" s="92">
        <v>2.6421000000000001</v>
      </c>
      <c r="P286" s="106">
        <v>1.9837</v>
      </c>
      <c r="Q286" s="92">
        <v>2.5806</v>
      </c>
      <c r="R286" s="92">
        <v>2.5975000000000001</v>
      </c>
      <c r="S286" s="92">
        <v>1.7050000000000001</v>
      </c>
      <c r="T286" s="92">
        <v>2.4419</v>
      </c>
      <c r="U286" s="92">
        <v>1.6673</v>
      </c>
      <c r="V286" s="92">
        <v>0.87890000000000001</v>
      </c>
      <c r="W286" s="92"/>
      <c r="X286" s="92">
        <v>0.86060000000000003</v>
      </c>
    </row>
    <row r="287" spans="1:33" x14ac:dyDescent="0.25">
      <c r="A287" s="34" t="s">
        <v>73</v>
      </c>
      <c r="B287" s="101">
        <f t="shared" si="57"/>
        <v>43746</v>
      </c>
      <c r="C287" s="34">
        <f t="shared" si="60"/>
        <v>41</v>
      </c>
      <c r="D287" s="78">
        <v>42651</v>
      </c>
      <c r="E287" s="102">
        <f t="shared" si="58"/>
        <v>43746</v>
      </c>
      <c r="F287" s="92"/>
      <c r="G287" s="92">
        <v>2.5358999999999998</v>
      </c>
      <c r="H287" s="92">
        <v>2.1585999999999999</v>
      </c>
      <c r="I287" s="92">
        <v>1.7210000000000001</v>
      </c>
      <c r="J287" s="92">
        <v>1.7862</v>
      </c>
      <c r="K287" s="92">
        <v>2.8683999999999998</v>
      </c>
      <c r="L287" s="92">
        <v>3.2181999999999999</v>
      </c>
      <c r="M287" s="93">
        <v>3.3205</v>
      </c>
      <c r="N287" s="103">
        <v>3.1821000000000002</v>
      </c>
      <c r="O287" s="92">
        <v>2.6421000000000001</v>
      </c>
      <c r="P287" s="106">
        <v>2.0324</v>
      </c>
      <c r="Q287" s="92">
        <v>2.6063999999999998</v>
      </c>
      <c r="R287" s="92">
        <v>2.5525000000000002</v>
      </c>
      <c r="S287" s="92">
        <v>1.75</v>
      </c>
      <c r="T287" s="92">
        <v>2.4419</v>
      </c>
      <c r="U287" s="92">
        <v>1.6673</v>
      </c>
      <c r="V287" s="92">
        <v>0.86890000000000001</v>
      </c>
      <c r="W287" s="92"/>
      <c r="X287" s="92">
        <v>0.86050000000000004</v>
      </c>
    </row>
    <row r="288" spans="1:33" x14ac:dyDescent="0.25">
      <c r="A288" s="34" t="s">
        <v>73</v>
      </c>
      <c r="B288" s="101">
        <f t="shared" si="57"/>
        <v>43747</v>
      </c>
      <c r="C288" s="34">
        <f>+C287</f>
        <v>41</v>
      </c>
      <c r="D288" s="78">
        <v>42652</v>
      </c>
      <c r="E288" s="102">
        <f t="shared" si="58"/>
        <v>43747</v>
      </c>
      <c r="F288" s="92"/>
      <c r="G288" s="92">
        <v>2.5314999999999999</v>
      </c>
      <c r="H288" s="92">
        <v>2.1585999999999999</v>
      </c>
      <c r="I288" s="92">
        <v>1.7210000000000001</v>
      </c>
      <c r="J288" s="92">
        <v>1.7862</v>
      </c>
      <c r="K288" s="92">
        <v>2.8683999999999998</v>
      </c>
      <c r="L288" s="92">
        <v>3.2387000000000001</v>
      </c>
      <c r="M288" s="93">
        <v>3.3488000000000002</v>
      </c>
      <c r="N288" s="103">
        <v>3.2107999999999999</v>
      </c>
      <c r="O288" s="92">
        <v>2.6421000000000001</v>
      </c>
      <c r="P288" s="106">
        <v>2.0324</v>
      </c>
      <c r="Q288" s="92">
        <v>2.6082999999999998</v>
      </c>
      <c r="R288" s="92">
        <v>2.58</v>
      </c>
      <c r="S288" s="92">
        <v>1.82</v>
      </c>
      <c r="T288" s="92">
        <v>2.4453</v>
      </c>
      <c r="U288" s="92">
        <v>1.6673</v>
      </c>
      <c r="V288" s="92">
        <v>0.89330000000000009</v>
      </c>
      <c r="W288" s="92"/>
      <c r="X288" s="92">
        <v>0.86380000000000001</v>
      </c>
    </row>
    <row r="289" spans="1:24" x14ac:dyDescent="0.25">
      <c r="A289" s="34" t="s">
        <v>73</v>
      </c>
      <c r="B289" s="101">
        <f t="shared" si="57"/>
        <v>43748</v>
      </c>
      <c r="C289" s="34">
        <f>+C288</f>
        <v>41</v>
      </c>
      <c r="D289" s="78">
        <v>42653</v>
      </c>
      <c r="E289" s="102">
        <f t="shared" si="58"/>
        <v>43748</v>
      </c>
      <c r="F289" s="92"/>
      <c r="G289" s="92">
        <v>2.5503</v>
      </c>
      <c r="H289" s="92">
        <v>2.1585999999999999</v>
      </c>
      <c r="I289" s="92">
        <v>1.7210000000000001</v>
      </c>
      <c r="J289" s="92">
        <v>1.7862</v>
      </c>
      <c r="K289" s="92">
        <v>2.8683999999999998</v>
      </c>
      <c r="L289" s="92">
        <v>3.3018000000000001</v>
      </c>
      <c r="M289" s="93">
        <v>3.3488000000000002</v>
      </c>
      <c r="N289" s="103">
        <v>3.2504</v>
      </c>
      <c r="O289" s="92">
        <v>2.6482999999999999</v>
      </c>
      <c r="P289" s="106">
        <v>2.0324</v>
      </c>
      <c r="Q289" s="92">
        <v>2.5192999999999999</v>
      </c>
      <c r="R289" s="92">
        <v>2.6124999999999998</v>
      </c>
      <c r="S289" s="92">
        <v>1.78</v>
      </c>
      <c r="T289" s="92">
        <v>2.4582999999999999</v>
      </c>
      <c r="U289" s="92">
        <v>1.6686999999999999</v>
      </c>
      <c r="V289" s="92">
        <v>0.89330000000000009</v>
      </c>
      <c r="W289" s="92"/>
      <c r="X289" s="92">
        <v>0.86380000000000001</v>
      </c>
    </row>
    <row r="290" spans="1:24" x14ac:dyDescent="0.25">
      <c r="A290" s="34" t="s">
        <v>73</v>
      </c>
      <c r="B290" s="101">
        <f t="shared" si="57"/>
        <v>43749</v>
      </c>
      <c r="C290" s="34">
        <f>+C289</f>
        <v>41</v>
      </c>
      <c r="D290" s="78">
        <v>42654</v>
      </c>
      <c r="E290" s="102">
        <f t="shared" si="58"/>
        <v>43749</v>
      </c>
      <c r="F290" s="92"/>
      <c r="G290" s="92">
        <v>2.5964</v>
      </c>
      <c r="H290" s="92">
        <v>2.1585999999999999</v>
      </c>
      <c r="I290" s="92">
        <v>1.7323</v>
      </c>
      <c r="J290" s="92">
        <v>1.7879</v>
      </c>
      <c r="K290" s="92">
        <v>2.8683999999999998</v>
      </c>
      <c r="L290" s="92">
        <v>3.3018000000000001</v>
      </c>
      <c r="M290" s="93">
        <v>3.3572000000000002</v>
      </c>
      <c r="N290" s="103">
        <v>3.2504</v>
      </c>
      <c r="O290" s="92">
        <v>2.6482000000000001</v>
      </c>
      <c r="P290" s="106">
        <v>2.0324</v>
      </c>
      <c r="Q290" s="92">
        <v>2.5192999999999999</v>
      </c>
      <c r="R290" s="92">
        <v>2.6724999999999999</v>
      </c>
      <c r="S290" s="92">
        <v>1.78</v>
      </c>
      <c r="T290" s="92">
        <v>2.4712999999999998</v>
      </c>
      <c r="U290" s="92">
        <v>1.6622999999999999</v>
      </c>
      <c r="V290" s="92">
        <v>0.89330000000000009</v>
      </c>
      <c r="W290" s="92"/>
      <c r="X290" s="92">
        <v>0.86380000000000001</v>
      </c>
    </row>
    <row r="291" spans="1:24" x14ac:dyDescent="0.25">
      <c r="A291" s="34" t="s">
        <v>73</v>
      </c>
      <c r="B291" s="101">
        <f t="shared" si="57"/>
        <v>43750</v>
      </c>
      <c r="C291" s="34">
        <f t="shared" ref="C291:C293" si="63">+C290</f>
        <v>41</v>
      </c>
      <c r="D291" s="78">
        <v>42655</v>
      </c>
      <c r="E291" s="102">
        <f t="shared" si="58"/>
        <v>43750</v>
      </c>
      <c r="F291" s="92"/>
      <c r="G291" s="92">
        <v>2.5880000000000001</v>
      </c>
      <c r="H291" s="92">
        <v>2.1311</v>
      </c>
      <c r="I291" s="92">
        <v>1.7142999999999999</v>
      </c>
      <c r="J291" s="92">
        <v>1.7383</v>
      </c>
      <c r="K291" s="92">
        <v>2.8683999999999998</v>
      </c>
      <c r="L291" s="92">
        <v>3.3018000000000001</v>
      </c>
      <c r="M291" s="93">
        <v>3.4</v>
      </c>
      <c r="N291" s="103">
        <v>3.2743000000000002</v>
      </c>
      <c r="O291" s="92">
        <v>2.6419999999999999</v>
      </c>
      <c r="P291" s="106">
        <v>2.0583</v>
      </c>
      <c r="Q291" s="92">
        <v>2.5192999999999999</v>
      </c>
      <c r="R291" s="92">
        <v>2.6724999999999999</v>
      </c>
      <c r="S291" s="92">
        <v>1.8149999999999999</v>
      </c>
      <c r="T291" s="92">
        <v>2.5512999999999999</v>
      </c>
      <c r="U291" s="92">
        <v>1.6601999999999999</v>
      </c>
      <c r="V291" s="92">
        <v>0.90580000000000005</v>
      </c>
      <c r="W291" s="92"/>
      <c r="X291" s="92">
        <v>0.86380000000000001</v>
      </c>
    </row>
    <row r="292" spans="1:24" x14ac:dyDescent="0.25">
      <c r="A292" s="34" t="s">
        <v>73</v>
      </c>
      <c r="B292" s="101">
        <f t="shared" si="57"/>
        <v>43751</v>
      </c>
      <c r="C292" s="34">
        <f t="shared" si="63"/>
        <v>41</v>
      </c>
      <c r="D292" s="78">
        <v>42656</v>
      </c>
      <c r="E292" s="102">
        <f t="shared" si="58"/>
        <v>43751</v>
      </c>
      <c r="F292" s="92"/>
      <c r="G292" s="92">
        <v>2.5880000000000001</v>
      </c>
      <c r="H292" s="92">
        <v>2.1132</v>
      </c>
      <c r="I292" s="92">
        <v>1.7142999999999999</v>
      </c>
      <c r="J292" s="92">
        <v>1.7291000000000001</v>
      </c>
      <c r="K292" s="92">
        <v>2.8683999999999998</v>
      </c>
      <c r="L292" s="92">
        <v>3.3144999999999998</v>
      </c>
      <c r="M292" s="93">
        <v>3.4</v>
      </c>
      <c r="N292" s="103">
        <v>3.3149999999999999</v>
      </c>
      <c r="O292" s="92">
        <v>2.6606999999999998</v>
      </c>
      <c r="P292" s="106">
        <v>2.0638999999999998</v>
      </c>
      <c r="Q292" s="92">
        <v>2.3650000000000002</v>
      </c>
      <c r="R292" s="92">
        <v>2.6724999999999999</v>
      </c>
      <c r="S292" s="92">
        <v>1.8149999999999999</v>
      </c>
      <c r="T292" s="92">
        <v>2.5413000000000001</v>
      </c>
      <c r="U292" s="92">
        <v>1.6543999999999999</v>
      </c>
      <c r="V292" s="92">
        <v>0.90140000000000009</v>
      </c>
      <c r="W292" s="92"/>
      <c r="X292" s="92">
        <v>0.86380000000000001</v>
      </c>
    </row>
    <row r="293" spans="1:24" x14ac:dyDescent="0.25">
      <c r="A293" s="34" t="s">
        <v>73</v>
      </c>
      <c r="B293" s="101">
        <f t="shared" si="57"/>
        <v>43752</v>
      </c>
      <c r="C293" s="34">
        <f t="shared" si="63"/>
        <v>41</v>
      </c>
      <c r="D293" s="78">
        <v>42657</v>
      </c>
      <c r="E293" s="102">
        <f t="shared" si="58"/>
        <v>43752</v>
      </c>
      <c r="F293" s="92"/>
      <c r="G293" s="92">
        <v>2.5880000000000001</v>
      </c>
      <c r="H293" s="92">
        <v>2.1132</v>
      </c>
      <c r="I293" s="92">
        <v>1.7245999999999999</v>
      </c>
      <c r="J293" s="92">
        <v>1.7291000000000001</v>
      </c>
      <c r="K293" s="92">
        <v>2.7345999999999999</v>
      </c>
      <c r="L293" s="92">
        <v>3.2995000000000001</v>
      </c>
      <c r="M293" s="93">
        <v>3.4</v>
      </c>
      <c r="N293" s="103">
        <v>3.3149999999999999</v>
      </c>
      <c r="O293" s="92">
        <v>2.6219999999999999</v>
      </c>
      <c r="P293" s="106">
        <v>2.0518999999999998</v>
      </c>
      <c r="Q293" s="92">
        <v>2.5024999999999999</v>
      </c>
      <c r="R293" s="92">
        <v>2.7025000000000001</v>
      </c>
      <c r="S293" s="92">
        <v>1.8149999999999999</v>
      </c>
      <c r="T293" s="92">
        <v>2.5413000000000001</v>
      </c>
      <c r="U293" s="92">
        <v>1.7136</v>
      </c>
      <c r="V293" s="92">
        <v>0.90140000000000009</v>
      </c>
      <c r="W293" s="92"/>
      <c r="X293" s="92">
        <v>0.86540000000000006</v>
      </c>
    </row>
    <row r="294" spans="1:24" x14ac:dyDescent="0.25">
      <c r="A294" s="34" t="s">
        <v>73</v>
      </c>
      <c r="B294" s="101">
        <f t="shared" si="57"/>
        <v>43753</v>
      </c>
      <c r="C294" s="34">
        <f>+C287+1</f>
        <v>42</v>
      </c>
      <c r="D294" s="78">
        <v>42658</v>
      </c>
      <c r="E294" s="102">
        <f t="shared" si="58"/>
        <v>43753</v>
      </c>
      <c r="F294" s="92"/>
      <c r="G294" s="92">
        <v>2.5829</v>
      </c>
      <c r="H294" s="92">
        <v>2.1132</v>
      </c>
      <c r="I294" s="92">
        <v>1.7245999999999999</v>
      </c>
      <c r="J294" s="92">
        <v>1.7291000000000001</v>
      </c>
      <c r="K294" s="92">
        <v>2.7345999999999999</v>
      </c>
      <c r="L294" s="92">
        <v>3.3184999999999998</v>
      </c>
      <c r="M294" s="93">
        <v>3.3753000000000002</v>
      </c>
      <c r="N294" s="103">
        <v>3.3149999999999999</v>
      </c>
      <c r="O294" s="92">
        <v>2.6219999999999999</v>
      </c>
      <c r="P294" s="106">
        <v>2.1173000000000002</v>
      </c>
      <c r="Q294" s="92">
        <v>2.4043999999999999</v>
      </c>
      <c r="R294" s="92">
        <v>2.7524999999999999</v>
      </c>
      <c r="S294" s="92">
        <v>1.85</v>
      </c>
      <c r="T294" s="92">
        <v>2.5413000000000001</v>
      </c>
      <c r="U294" s="92">
        <v>1.7136</v>
      </c>
      <c r="V294" s="92">
        <v>0.92200000000000004</v>
      </c>
      <c r="W294" s="92"/>
      <c r="X294" s="92">
        <v>0.86990000000000001</v>
      </c>
    </row>
    <row r="295" spans="1:24" x14ac:dyDescent="0.25">
      <c r="A295" s="34" t="s">
        <v>73</v>
      </c>
      <c r="B295" s="101">
        <f t="shared" si="57"/>
        <v>43754</v>
      </c>
      <c r="C295" s="34">
        <f t="shared" ref="C295:C300" si="64">+C288+1</f>
        <v>42</v>
      </c>
      <c r="D295" s="78">
        <v>42659</v>
      </c>
      <c r="E295" s="102">
        <f t="shared" si="58"/>
        <v>43754</v>
      </c>
      <c r="F295" s="92"/>
      <c r="G295" s="92">
        <v>2.5796000000000001</v>
      </c>
      <c r="H295" s="92">
        <v>2.1307999999999998</v>
      </c>
      <c r="I295" s="92">
        <v>1.7245999999999999</v>
      </c>
      <c r="J295" s="92">
        <v>1.7291000000000001</v>
      </c>
      <c r="K295" s="92">
        <v>2.7345999999999999</v>
      </c>
      <c r="L295" s="92">
        <v>3.3279000000000001</v>
      </c>
      <c r="M295" s="93">
        <v>3.3058000000000001</v>
      </c>
      <c r="N295" s="103">
        <v>3.4024000000000001</v>
      </c>
      <c r="O295" s="92">
        <v>2.6219999999999999</v>
      </c>
      <c r="P295" s="106">
        <v>2.1173000000000002</v>
      </c>
      <c r="Q295" s="92">
        <v>2.3584999999999998</v>
      </c>
      <c r="R295" s="92">
        <v>2.7925</v>
      </c>
      <c r="S295" s="92">
        <v>1.87</v>
      </c>
      <c r="T295" s="92">
        <v>2.4771000000000001</v>
      </c>
      <c r="U295" s="92">
        <v>1.7136</v>
      </c>
      <c r="V295" s="92">
        <v>0.91300000000000003</v>
      </c>
      <c r="W295" s="92"/>
      <c r="X295" s="92">
        <v>0.87740000000000007</v>
      </c>
    </row>
    <row r="296" spans="1:24" x14ac:dyDescent="0.25">
      <c r="A296" s="34" t="s">
        <v>73</v>
      </c>
      <c r="B296" s="101">
        <f t="shared" si="57"/>
        <v>43755</v>
      </c>
      <c r="C296" s="34">
        <f t="shared" si="64"/>
        <v>42</v>
      </c>
      <c r="D296" s="78">
        <v>42660</v>
      </c>
      <c r="E296" s="102">
        <f t="shared" si="58"/>
        <v>43755</v>
      </c>
      <c r="F296" s="92"/>
      <c r="G296" s="92">
        <v>2.6015999999999999</v>
      </c>
      <c r="H296" s="92">
        <v>2.1307999999999998</v>
      </c>
      <c r="I296" s="92">
        <v>1.7214</v>
      </c>
      <c r="J296" s="92">
        <v>1.7291000000000001</v>
      </c>
      <c r="K296" s="92">
        <v>2.7345999999999999</v>
      </c>
      <c r="L296" s="92">
        <v>3.3123</v>
      </c>
      <c r="M296" s="93">
        <v>3.2968999999999999</v>
      </c>
      <c r="N296" s="103">
        <v>3.3683000000000001</v>
      </c>
      <c r="O296" s="92">
        <v>2.5769000000000002</v>
      </c>
      <c r="P296" s="106">
        <v>2.1173000000000002</v>
      </c>
      <c r="Q296" s="92">
        <v>2.3384999999999998</v>
      </c>
      <c r="R296" s="92">
        <v>2.7349999999999999</v>
      </c>
      <c r="S296" s="92">
        <v>1.855</v>
      </c>
      <c r="T296" s="92">
        <v>2.4891000000000001</v>
      </c>
      <c r="U296" s="92">
        <v>1.7126999999999999</v>
      </c>
      <c r="V296" s="92">
        <v>0.91300000000000003</v>
      </c>
      <c r="W296" s="92"/>
      <c r="X296" s="92">
        <v>0.87909999999999999</v>
      </c>
    </row>
    <row r="297" spans="1:24" x14ac:dyDescent="0.25">
      <c r="A297" s="34" t="s">
        <v>73</v>
      </c>
      <c r="B297" s="101">
        <f t="shared" si="57"/>
        <v>43756</v>
      </c>
      <c r="C297" s="34">
        <f t="shared" si="64"/>
        <v>42</v>
      </c>
      <c r="D297" s="78">
        <v>42661</v>
      </c>
      <c r="E297" s="102">
        <f t="shared" si="58"/>
        <v>43756</v>
      </c>
      <c r="F297" s="92"/>
      <c r="G297" s="92">
        <v>2.5771999999999999</v>
      </c>
      <c r="H297" s="92">
        <v>2.1355</v>
      </c>
      <c r="I297" s="92">
        <v>1.7149000000000001</v>
      </c>
      <c r="J297" s="92">
        <v>1.7291000000000001</v>
      </c>
      <c r="K297" s="92">
        <v>2.7345999999999999</v>
      </c>
      <c r="L297" s="92">
        <v>3.3123</v>
      </c>
      <c r="M297" s="93">
        <v>3.2938000000000001</v>
      </c>
      <c r="N297" s="103">
        <v>3.3593999999999999</v>
      </c>
      <c r="O297" s="92">
        <v>2.5596999999999999</v>
      </c>
      <c r="P297" s="106">
        <v>2.1233</v>
      </c>
      <c r="Q297" s="92">
        <v>2.3384999999999998</v>
      </c>
      <c r="R297" s="92">
        <v>2.7549999999999999</v>
      </c>
      <c r="S297" s="92">
        <v>1.83</v>
      </c>
      <c r="T297" s="92">
        <v>2.4586000000000001</v>
      </c>
      <c r="U297" s="92">
        <v>1.6872</v>
      </c>
      <c r="V297" s="92">
        <v>0.91300000000000003</v>
      </c>
      <c r="W297" s="92"/>
      <c r="X297" s="92">
        <v>0.87909999999999999</v>
      </c>
    </row>
    <row r="298" spans="1:24" x14ac:dyDescent="0.25">
      <c r="A298" s="34" t="s">
        <v>73</v>
      </c>
      <c r="B298" s="101">
        <f t="shared" si="57"/>
        <v>43757</v>
      </c>
      <c r="C298" s="34">
        <f t="shared" si="64"/>
        <v>42</v>
      </c>
      <c r="D298" s="78">
        <v>42662</v>
      </c>
      <c r="E298" s="102">
        <f t="shared" si="58"/>
        <v>43757</v>
      </c>
      <c r="F298" s="92"/>
      <c r="G298" s="92">
        <v>2.5602999999999998</v>
      </c>
      <c r="H298" s="92">
        <v>2.1435</v>
      </c>
      <c r="I298" s="92">
        <v>1.7228000000000001</v>
      </c>
      <c r="J298" s="92">
        <v>1.7291000000000001</v>
      </c>
      <c r="K298" s="92">
        <v>2.7345999999999999</v>
      </c>
      <c r="L298" s="92">
        <v>3.3123</v>
      </c>
      <c r="M298" s="93">
        <v>3.2938000000000001</v>
      </c>
      <c r="N298" s="103">
        <v>3.3071000000000002</v>
      </c>
      <c r="O298" s="92">
        <v>2.4794999999999998</v>
      </c>
      <c r="P298" s="106">
        <v>2.1343999999999999</v>
      </c>
      <c r="Q298" s="92">
        <v>2.3384999999999998</v>
      </c>
      <c r="R298" s="92">
        <v>2.7549999999999999</v>
      </c>
      <c r="S298" s="92">
        <v>1.855</v>
      </c>
      <c r="T298" s="92">
        <v>2.4180000000000001</v>
      </c>
      <c r="U298" s="92">
        <v>1.6631</v>
      </c>
      <c r="V298" s="92">
        <v>0.88650000000000007</v>
      </c>
      <c r="W298" s="92"/>
      <c r="X298" s="92">
        <v>0.87909999999999999</v>
      </c>
    </row>
    <row r="299" spans="1:24" x14ac:dyDescent="0.25">
      <c r="A299" s="34" t="s">
        <v>73</v>
      </c>
      <c r="B299" s="101">
        <f t="shared" si="57"/>
        <v>43758</v>
      </c>
      <c r="C299" s="34">
        <f t="shared" si="64"/>
        <v>42</v>
      </c>
      <c r="D299" s="78">
        <v>42663</v>
      </c>
      <c r="E299" s="102">
        <f t="shared" si="58"/>
        <v>43758</v>
      </c>
      <c r="F299" s="92"/>
      <c r="G299" s="92">
        <v>2.5602999999999998</v>
      </c>
      <c r="H299" s="92">
        <v>2.1435</v>
      </c>
      <c r="I299" s="92">
        <v>1.7532000000000001</v>
      </c>
      <c r="J299" s="92">
        <v>1.7050000000000001</v>
      </c>
      <c r="K299" s="92">
        <v>2.6802999999999999</v>
      </c>
      <c r="L299" s="92">
        <v>3.32</v>
      </c>
      <c r="M299" s="93">
        <v>3.2938000000000001</v>
      </c>
      <c r="N299" s="103">
        <v>3.3414999999999999</v>
      </c>
      <c r="O299" s="92">
        <v>2.5297999999999998</v>
      </c>
      <c r="P299" s="106">
        <v>2.1358000000000001</v>
      </c>
      <c r="Q299" s="92">
        <v>2.3468</v>
      </c>
      <c r="R299" s="92">
        <v>2.7549999999999999</v>
      </c>
      <c r="S299" s="92">
        <v>1.855</v>
      </c>
      <c r="T299" s="92">
        <v>2.4049999999999998</v>
      </c>
      <c r="U299" s="92">
        <v>1.6797</v>
      </c>
      <c r="V299" s="92">
        <v>0.88500000000000001</v>
      </c>
      <c r="W299" s="92"/>
      <c r="X299" s="92">
        <v>0.879</v>
      </c>
    </row>
    <row r="300" spans="1:24" x14ac:dyDescent="0.25">
      <c r="A300" s="34" t="s">
        <v>73</v>
      </c>
      <c r="B300" s="101">
        <f t="shared" si="57"/>
        <v>43759</v>
      </c>
      <c r="C300" s="34">
        <f t="shared" si="64"/>
        <v>42</v>
      </c>
      <c r="D300" s="78">
        <v>42664</v>
      </c>
      <c r="E300" s="102">
        <f t="shared" si="58"/>
        <v>43759</v>
      </c>
      <c r="F300" s="92"/>
      <c r="G300" s="92">
        <v>2.5602999999999998</v>
      </c>
      <c r="H300" s="92">
        <v>2.1435</v>
      </c>
      <c r="I300" s="92">
        <v>1.7410000000000001</v>
      </c>
      <c r="J300" s="92">
        <v>1.7050000000000001</v>
      </c>
      <c r="K300" s="92">
        <v>2.7040999999999999</v>
      </c>
      <c r="L300" s="92">
        <v>3.33</v>
      </c>
      <c r="M300" s="93">
        <v>3.2938000000000001</v>
      </c>
      <c r="N300" s="103">
        <v>3.3414999999999999</v>
      </c>
      <c r="O300" s="92">
        <v>2.4613</v>
      </c>
      <c r="P300" s="106">
        <v>2.1932999999999998</v>
      </c>
      <c r="Q300" s="92">
        <v>2.4289999999999998</v>
      </c>
      <c r="R300" s="92">
        <v>2.7349999999999999</v>
      </c>
      <c r="S300" s="92">
        <v>1.855</v>
      </c>
      <c r="T300" s="92">
        <v>2.4049999999999998</v>
      </c>
      <c r="U300" s="92">
        <v>1.6814</v>
      </c>
      <c r="V300" s="92">
        <v>0.89300000000000002</v>
      </c>
      <c r="W300" s="92"/>
      <c r="X300" s="92">
        <v>0.87409999999999999</v>
      </c>
    </row>
    <row r="301" spans="1:24" x14ac:dyDescent="0.25">
      <c r="A301" s="34" t="s">
        <v>73</v>
      </c>
      <c r="B301" s="101">
        <f t="shared" si="57"/>
        <v>43760</v>
      </c>
      <c r="C301" s="34">
        <f>+C294+1</f>
        <v>43</v>
      </c>
      <c r="D301" s="78">
        <v>42665</v>
      </c>
      <c r="E301" s="102">
        <f t="shared" si="58"/>
        <v>43760</v>
      </c>
      <c r="F301" s="92"/>
      <c r="G301" s="92">
        <v>2.5712999999999999</v>
      </c>
      <c r="H301" s="92">
        <v>2.1435</v>
      </c>
      <c r="I301" s="92">
        <v>1.7410000000000001</v>
      </c>
      <c r="J301" s="92">
        <v>1.7050000000000001</v>
      </c>
      <c r="K301" s="92">
        <v>2.6684000000000001</v>
      </c>
      <c r="L301" s="92">
        <v>3.2719</v>
      </c>
      <c r="M301" s="93">
        <v>3.1974999999999998</v>
      </c>
      <c r="N301" s="103">
        <v>3.3414999999999999</v>
      </c>
      <c r="O301" s="92">
        <v>2.4613</v>
      </c>
      <c r="P301" s="106">
        <v>2.1556000000000002</v>
      </c>
      <c r="Q301" s="92">
        <v>2.4125999999999999</v>
      </c>
      <c r="R301" s="92">
        <v>2.7349999999999999</v>
      </c>
      <c r="S301" s="92">
        <v>1.835</v>
      </c>
      <c r="T301" s="92">
        <v>2.4049999999999998</v>
      </c>
      <c r="U301" s="92">
        <v>1.6814</v>
      </c>
      <c r="V301" s="92">
        <v>0.89</v>
      </c>
      <c r="W301" s="92"/>
      <c r="X301" s="92">
        <v>0.87309999999999999</v>
      </c>
    </row>
    <row r="302" spans="1:24" x14ac:dyDescent="0.25">
      <c r="A302" s="34" t="s">
        <v>73</v>
      </c>
      <c r="B302" s="101">
        <f t="shared" si="57"/>
        <v>43761</v>
      </c>
      <c r="C302" s="34">
        <f>+C301</f>
        <v>43</v>
      </c>
      <c r="D302" s="78">
        <v>42666</v>
      </c>
      <c r="E302" s="102">
        <f t="shared" si="58"/>
        <v>43761</v>
      </c>
      <c r="F302" s="92"/>
      <c r="G302" s="92">
        <v>2.5825999999999998</v>
      </c>
      <c r="H302" s="92">
        <v>2.1273</v>
      </c>
      <c r="I302" s="92">
        <v>1.7410000000000001</v>
      </c>
      <c r="J302" s="92">
        <v>1.7050000000000001</v>
      </c>
      <c r="K302" s="92">
        <v>2.6863999999999999</v>
      </c>
      <c r="L302" s="92">
        <v>3.2719</v>
      </c>
      <c r="M302" s="93">
        <v>3.1324999999999998</v>
      </c>
      <c r="N302" s="103">
        <v>3.3331</v>
      </c>
      <c r="O302" s="92">
        <v>2.4613</v>
      </c>
      <c r="P302" s="106">
        <v>2.1556000000000002</v>
      </c>
      <c r="Q302" s="92">
        <v>2.3168000000000002</v>
      </c>
      <c r="R302" s="92">
        <v>2.74</v>
      </c>
      <c r="S302" s="92">
        <v>1.84</v>
      </c>
      <c r="T302" s="92">
        <v>2.3734999999999999</v>
      </c>
      <c r="U302" s="92">
        <v>1.6814</v>
      </c>
      <c r="V302" s="92">
        <v>0.91</v>
      </c>
      <c r="W302" s="92"/>
      <c r="X302" s="92">
        <v>0.87409999999999999</v>
      </c>
    </row>
    <row r="303" spans="1:24" x14ac:dyDescent="0.25">
      <c r="A303" s="34" t="s">
        <v>73</v>
      </c>
      <c r="B303" s="101">
        <f t="shared" si="57"/>
        <v>43762</v>
      </c>
      <c r="C303" s="34">
        <f>+C302</f>
        <v>43</v>
      </c>
      <c r="D303" s="78">
        <v>42667</v>
      </c>
      <c r="E303" s="102">
        <f t="shared" si="58"/>
        <v>43762</v>
      </c>
      <c r="F303" s="92"/>
      <c r="G303" s="92">
        <v>2.5777000000000001</v>
      </c>
      <c r="H303" s="92">
        <v>2.1273</v>
      </c>
      <c r="I303" s="92">
        <v>1.7863</v>
      </c>
      <c r="J303" s="92">
        <v>1.7050000000000001</v>
      </c>
      <c r="K303" s="92">
        <v>2.6863999999999999</v>
      </c>
      <c r="L303" s="92">
        <v>3.2719</v>
      </c>
      <c r="M303" s="93">
        <v>3.0979999999999999</v>
      </c>
      <c r="N303" s="103">
        <v>3.3460000000000001</v>
      </c>
      <c r="O303" s="92">
        <v>2.5226000000000002</v>
      </c>
      <c r="P303" s="106">
        <v>2.1556000000000002</v>
      </c>
      <c r="Q303" s="92">
        <v>2.3397000000000001</v>
      </c>
      <c r="R303" s="92">
        <v>2.7875000000000001</v>
      </c>
      <c r="S303" s="92">
        <v>1.84</v>
      </c>
      <c r="T303" s="92">
        <v>2.2441</v>
      </c>
      <c r="U303" s="92">
        <v>1.6963999999999999</v>
      </c>
      <c r="V303" s="92">
        <v>0.91</v>
      </c>
      <c r="W303" s="92"/>
      <c r="X303" s="92">
        <v>0.87409999999999999</v>
      </c>
    </row>
    <row r="304" spans="1:24" x14ac:dyDescent="0.25">
      <c r="A304" s="34" t="s">
        <v>73</v>
      </c>
      <c r="B304" s="101">
        <f t="shared" si="57"/>
        <v>43763</v>
      </c>
      <c r="C304" s="34">
        <f>+C303</f>
        <v>43</v>
      </c>
      <c r="D304" s="78">
        <v>42668</v>
      </c>
      <c r="E304" s="102">
        <f t="shared" si="58"/>
        <v>43763</v>
      </c>
      <c r="F304" s="92"/>
      <c r="G304" s="92">
        <v>2.5777000000000001</v>
      </c>
      <c r="H304" s="92">
        <v>2.1273</v>
      </c>
      <c r="I304" s="92">
        <v>1.7782</v>
      </c>
      <c r="J304" s="92">
        <v>1.7050000000000001</v>
      </c>
      <c r="K304" s="92">
        <v>2.6863999999999999</v>
      </c>
      <c r="L304" s="92">
        <v>3.2719</v>
      </c>
      <c r="M304" s="93">
        <v>3.0903999999999998</v>
      </c>
      <c r="N304" s="103">
        <v>3.3018999999999998</v>
      </c>
      <c r="O304" s="92">
        <v>2.4904999999999999</v>
      </c>
      <c r="P304" s="106">
        <v>2.1391</v>
      </c>
      <c r="Q304" s="92">
        <v>2.3397000000000001</v>
      </c>
      <c r="R304" s="92">
        <v>2.8624999999999998</v>
      </c>
      <c r="S304" s="92">
        <v>1.87</v>
      </c>
      <c r="T304" s="92">
        <v>2.0568</v>
      </c>
      <c r="U304" s="92">
        <v>1.6930999999999998</v>
      </c>
      <c r="V304" s="92">
        <v>0.91</v>
      </c>
      <c r="W304" s="92"/>
      <c r="X304" s="92">
        <v>0.87409999999999999</v>
      </c>
    </row>
    <row r="305" spans="1:33" x14ac:dyDescent="0.25">
      <c r="A305" s="34" t="s">
        <v>73</v>
      </c>
      <c r="B305" s="101">
        <f t="shared" si="57"/>
        <v>43764</v>
      </c>
      <c r="C305" s="34">
        <f t="shared" ref="C305:C307" si="65">+C304</f>
        <v>43</v>
      </c>
      <c r="D305" s="78">
        <v>42669</v>
      </c>
      <c r="E305" s="102">
        <f t="shared" si="58"/>
        <v>43764</v>
      </c>
      <c r="F305" s="92"/>
      <c r="G305" s="92">
        <v>2.5777000000000001</v>
      </c>
      <c r="H305" s="92">
        <v>2.1273</v>
      </c>
      <c r="I305" s="92">
        <v>1.7932999999999999</v>
      </c>
      <c r="J305" s="92">
        <v>1.6519999999999999</v>
      </c>
      <c r="K305" s="92">
        <v>2.6863999999999999</v>
      </c>
      <c r="L305" s="92">
        <v>3.2719</v>
      </c>
      <c r="M305" s="93">
        <v>3.1128</v>
      </c>
      <c r="N305" s="103">
        <v>3.3121</v>
      </c>
      <c r="O305" s="92">
        <v>2.4929000000000001</v>
      </c>
      <c r="P305" s="106">
        <v>2.1278999999999999</v>
      </c>
      <c r="Q305" s="92">
        <v>2.3397000000000001</v>
      </c>
      <c r="R305" s="92">
        <v>2.8624999999999998</v>
      </c>
      <c r="S305" s="92">
        <v>1.87</v>
      </c>
      <c r="T305" s="92">
        <v>1.9967999999999999</v>
      </c>
      <c r="U305" s="92">
        <v>1.6852</v>
      </c>
      <c r="V305" s="92">
        <v>0.91800000000000004</v>
      </c>
      <c r="W305" s="92"/>
      <c r="X305" s="92">
        <v>0.87409999999999999</v>
      </c>
    </row>
    <row r="306" spans="1:33" x14ac:dyDescent="0.25">
      <c r="A306" s="34" t="s">
        <v>73</v>
      </c>
      <c r="B306" s="101">
        <f t="shared" si="57"/>
        <v>43765</v>
      </c>
      <c r="C306" s="34">
        <f t="shared" si="65"/>
        <v>43</v>
      </c>
      <c r="D306" s="78">
        <v>42670</v>
      </c>
      <c r="E306" s="102">
        <f t="shared" si="58"/>
        <v>43765</v>
      </c>
      <c r="F306" s="92"/>
      <c r="G306" s="92">
        <v>2.5777000000000001</v>
      </c>
      <c r="H306" s="92">
        <v>2.0937999999999999</v>
      </c>
      <c r="I306" s="92">
        <v>1.8423</v>
      </c>
      <c r="J306" s="92">
        <v>1.6519999999999999</v>
      </c>
      <c r="K306" s="92">
        <v>2.6747999999999998</v>
      </c>
      <c r="L306" s="92">
        <v>3.2719</v>
      </c>
      <c r="M306" s="93">
        <v>3.1128</v>
      </c>
      <c r="N306" s="103">
        <v>3.3121</v>
      </c>
      <c r="O306" s="92">
        <v>2.4491000000000001</v>
      </c>
      <c r="P306" s="106">
        <v>2.1444999999999999</v>
      </c>
      <c r="Q306" s="92">
        <v>2.2692999999999999</v>
      </c>
      <c r="R306" s="92">
        <v>2.8624999999999998</v>
      </c>
      <c r="S306" s="92">
        <v>1.87</v>
      </c>
      <c r="T306" s="92">
        <v>2.0049999999999999</v>
      </c>
      <c r="U306" s="92">
        <v>1.6484999999999999</v>
      </c>
      <c r="V306" s="92">
        <v>0.91800000000000004</v>
      </c>
      <c r="W306" s="92"/>
      <c r="X306" s="92">
        <v>0.87209999999999999</v>
      </c>
    </row>
    <row r="307" spans="1:33" x14ac:dyDescent="0.25">
      <c r="A307" s="34" t="s">
        <v>73</v>
      </c>
      <c r="B307" s="101">
        <f t="shared" si="57"/>
        <v>43766</v>
      </c>
      <c r="C307" s="34">
        <f t="shared" si="65"/>
        <v>43</v>
      </c>
      <c r="D307" s="78">
        <v>42671</v>
      </c>
      <c r="E307" s="102">
        <f t="shared" si="58"/>
        <v>43766</v>
      </c>
      <c r="F307" s="92"/>
      <c r="G307" s="92">
        <v>2.5777000000000001</v>
      </c>
      <c r="H307" s="92">
        <v>2.0937999999999999</v>
      </c>
      <c r="I307" s="92">
        <v>1.8423</v>
      </c>
      <c r="J307" s="92">
        <v>1.6798999999999999</v>
      </c>
      <c r="K307" s="92">
        <v>2.6745000000000001</v>
      </c>
      <c r="L307" s="92">
        <v>3.3119000000000001</v>
      </c>
      <c r="M307" s="93">
        <v>3.1128</v>
      </c>
      <c r="N307" s="103">
        <v>3.3121</v>
      </c>
      <c r="O307" s="92">
        <v>2.4698000000000002</v>
      </c>
      <c r="P307" s="106">
        <v>2.1120999999999999</v>
      </c>
      <c r="Q307" s="92">
        <v>2.2189999999999999</v>
      </c>
      <c r="R307" s="92">
        <v>2.8824999999999998</v>
      </c>
      <c r="S307" s="92">
        <v>1.87</v>
      </c>
      <c r="T307" s="92">
        <v>2.0049999999999999</v>
      </c>
      <c r="U307" s="92">
        <v>1.6436999999999999</v>
      </c>
      <c r="V307" s="92">
        <v>0.92</v>
      </c>
      <c r="W307" s="92"/>
      <c r="X307" s="92">
        <v>0.87040000000000006</v>
      </c>
    </row>
    <row r="308" spans="1:33" x14ac:dyDescent="0.25">
      <c r="A308" s="34" t="s">
        <v>73</v>
      </c>
      <c r="B308" s="101">
        <f t="shared" si="57"/>
        <v>43767</v>
      </c>
      <c r="C308" s="34">
        <f t="shared" ref="C308:C322" si="66">+C301+1</f>
        <v>44</v>
      </c>
      <c r="D308" s="78">
        <v>42672</v>
      </c>
      <c r="E308" s="102">
        <f t="shared" si="58"/>
        <v>43767</v>
      </c>
      <c r="F308" s="92"/>
      <c r="G308" s="92">
        <v>2.5777000000000001</v>
      </c>
      <c r="H308" s="92">
        <v>2.0937999999999999</v>
      </c>
      <c r="I308" s="92">
        <v>1.8423</v>
      </c>
      <c r="J308" s="92">
        <v>1.6798999999999999</v>
      </c>
      <c r="K308" s="92">
        <v>2.6920999999999999</v>
      </c>
      <c r="L308" s="92">
        <v>3.3119000000000001</v>
      </c>
      <c r="M308" s="93">
        <v>3.1516999999999999</v>
      </c>
      <c r="N308" s="103">
        <v>3.2664</v>
      </c>
      <c r="O308" s="92">
        <v>2.4698000000000002</v>
      </c>
      <c r="P308" s="106">
        <v>2.1533000000000002</v>
      </c>
      <c r="Q308" s="92">
        <v>2.1978</v>
      </c>
      <c r="R308" s="92">
        <v>2.91</v>
      </c>
      <c r="S308" s="92">
        <v>1.905</v>
      </c>
      <c r="T308" s="92">
        <v>2.0049999999999999</v>
      </c>
      <c r="U308" s="92">
        <v>1.6436999999999999</v>
      </c>
      <c r="V308" s="92">
        <v>0.91960000000000008</v>
      </c>
      <c r="W308" s="92"/>
      <c r="X308" s="92">
        <v>0.86840000000000006</v>
      </c>
    </row>
    <row r="309" spans="1:33" x14ac:dyDescent="0.25">
      <c r="A309" s="34" t="s">
        <v>73</v>
      </c>
      <c r="B309" s="101">
        <f t="shared" si="57"/>
        <v>43768</v>
      </c>
      <c r="C309" s="34">
        <f>+C308</f>
        <v>44</v>
      </c>
      <c r="D309" s="78">
        <v>42673</v>
      </c>
      <c r="E309" s="102">
        <f t="shared" si="58"/>
        <v>43768</v>
      </c>
      <c r="F309" s="92"/>
      <c r="G309" s="92">
        <v>2.5777000000000001</v>
      </c>
      <c r="H309" s="92">
        <v>2.12</v>
      </c>
      <c r="I309" s="92">
        <v>1.8423</v>
      </c>
      <c r="J309" s="92">
        <v>1.6798999999999999</v>
      </c>
      <c r="K309" s="92">
        <v>2.6873</v>
      </c>
      <c r="L309" s="92">
        <v>3.3119000000000001</v>
      </c>
      <c r="M309" s="93">
        <v>3.2023000000000001</v>
      </c>
      <c r="N309" s="103">
        <v>3.2664</v>
      </c>
      <c r="O309" s="92">
        <v>2.4698000000000002</v>
      </c>
      <c r="P309" s="106">
        <v>2.1533000000000002</v>
      </c>
      <c r="Q309" s="92">
        <v>2.2723</v>
      </c>
      <c r="R309" s="92">
        <v>2.87</v>
      </c>
      <c r="S309" s="92">
        <v>1.835</v>
      </c>
      <c r="T309" s="92">
        <v>1.998</v>
      </c>
      <c r="U309" s="92">
        <v>1.6436999999999999</v>
      </c>
      <c r="V309" s="92">
        <v>0.90839999999999999</v>
      </c>
      <c r="W309" s="92"/>
      <c r="X309" s="92">
        <v>0.85540000000000005</v>
      </c>
    </row>
    <row r="310" spans="1:33" x14ac:dyDescent="0.25">
      <c r="A310" s="34" t="s">
        <v>73</v>
      </c>
      <c r="B310" s="101">
        <f t="shared" si="57"/>
        <v>43769</v>
      </c>
      <c r="C310" s="34">
        <f>+C309</f>
        <v>44</v>
      </c>
      <c r="D310" s="78">
        <v>42674</v>
      </c>
      <c r="E310" s="102">
        <f t="shared" si="58"/>
        <v>43769</v>
      </c>
      <c r="F310" s="92"/>
      <c r="G310" s="92">
        <v>2.4847000000000001</v>
      </c>
      <c r="H310" s="92">
        <v>2.1254</v>
      </c>
      <c r="I310" s="92">
        <v>1.8388</v>
      </c>
      <c r="J310" s="92">
        <v>1.6798999999999999</v>
      </c>
      <c r="K310" s="92">
        <v>2.6873</v>
      </c>
      <c r="L310" s="92">
        <v>3.3119000000000001</v>
      </c>
      <c r="M310" s="93">
        <v>3.2265000000000001</v>
      </c>
      <c r="N310" s="103">
        <v>3.3235000000000001</v>
      </c>
      <c r="O310" s="92">
        <v>2.4422999999999999</v>
      </c>
      <c r="P310" s="106">
        <v>2.1533000000000002</v>
      </c>
      <c r="Q310" s="92">
        <v>2.2606000000000002</v>
      </c>
      <c r="R310" s="92">
        <v>2.9350000000000001</v>
      </c>
      <c r="S310" s="92">
        <v>1.845</v>
      </c>
      <c r="T310" s="92">
        <v>1.9667999999999999</v>
      </c>
      <c r="U310" s="92">
        <v>1.6254999999999999</v>
      </c>
      <c r="V310" s="92">
        <v>0.90839999999999999</v>
      </c>
      <c r="W310" s="92"/>
      <c r="X310" s="92">
        <v>0.85489999999999999</v>
      </c>
      <c r="AG310" s="103"/>
    </row>
    <row r="311" spans="1:33" x14ac:dyDescent="0.25">
      <c r="A311" s="34" t="s">
        <v>74</v>
      </c>
      <c r="B311" s="101">
        <f t="shared" si="57"/>
        <v>43770</v>
      </c>
      <c r="C311" s="34">
        <f>+C310</f>
        <v>44</v>
      </c>
      <c r="D311" s="78">
        <v>42675</v>
      </c>
      <c r="E311" s="102">
        <f t="shared" si="58"/>
        <v>43770</v>
      </c>
      <c r="F311" s="92"/>
      <c r="G311" s="92">
        <v>2.4847000000000001</v>
      </c>
      <c r="H311" s="92">
        <v>2.1608000000000001</v>
      </c>
      <c r="I311" s="92">
        <v>1.8098000000000001</v>
      </c>
      <c r="J311" s="92">
        <v>1.7174</v>
      </c>
      <c r="K311" s="92">
        <v>2.6873</v>
      </c>
      <c r="L311" s="92">
        <v>3.3119000000000001</v>
      </c>
      <c r="M311" s="93">
        <v>3.2919</v>
      </c>
      <c r="N311" s="103">
        <v>3.3142</v>
      </c>
      <c r="O311" s="92">
        <v>2.4823</v>
      </c>
      <c r="P311" s="106">
        <v>2.1004999999999998</v>
      </c>
      <c r="Q311" s="92">
        <v>2.2606000000000002</v>
      </c>
      <c r="R311" s="92">
        <v>2.9075000000000002</v>
      </c>
      <c r="S311" s="92">
        <v>1.855</v>
      </c>
      <c r="T311" s="92">
        <v>1.9220999999999999</v>
      </c>
      <c r="U311" s="92">
        <v>1.5922999999999998</v>
      </c>
      <c r="V311" s="92">
        <v>0.90839999999999999</v>
      </c>
      <c r="W311" s="92"/>
      <c r="X311" s="92">
        <v>0.85489999999999999</v>
      </c>
    </row>
    <row r="312" spans="1:33" x14ac:dyDescent="0.25">
      <c r="A312" s="34" t="s">
        <v>74</v>
      </c>
      <c r="B312" s="101">
        <f t="shared" si="57"/>
        <v>43771</v>
      </c>
      <c r="C312" s="34">
        <f t="shared" ref="C312:C314" si="67">+C311</f>
        <v>44</v>
      </c>
      <c r="D312" s="78">
        <v>42676</v>
      </c>
      <c r="E312" s="102">
        <f t="shared" si="58"/>
        <v>43771</v>
      </c>
      <c r="F312" s="92"/>
      <c r="G312" s="92">
        <v>2.5001000000000002</v>
      </c>
      <c r="H312" s="92">
        <v>2.1749000000000001</v>
      </c>
      <c r="I312" s="92">
        <v>1.8027</v>
      </c>
      <c r="J312" s="92">
        <v>1.7068000000000001</v>
      </c>
      <c r="K312" s="92">
        <v>2.6785000000000001</v>
      </c>
      <c r="L312" s="92">
        <v>3.3119000000000001</v>
      </c>
      <c r="M312" s="93">
        <v>3.3483999999999998</v>
      </c>
      <c r="N312" s="103">
        <v>3.3142</v>
      </c>
      <c r="O312" s="92">
        <v>2.4563000000000001</v>
      </c>
      <c r="P312" s="106">
        <v>2.1478999999999999</v>
      </c>
      <c r="Q312" s="92">
        <v>2.2606000000000002</v>
      </c>
      <c r="R312" s="92">
        <v>2.9075000000000002</v>
      </c>
      <c r="S312" s="92">
        <v>1.89</v>
      </c>
      <c r="T312" s="92">
        <v>1.8888</v>
      </c>
      <c r="U312" s="92">
        <v>1.5748</v>
      </c>
      <c r="V312" s="92">
        <v>0.91539999999999999</v>
      </c>
      <c r="W312" s="92"/>
      <c r="X312" s="92">
        <v>0.85489999999999999</v>
      </c>
    </row>
    <row r="313" spans="1:33" x14ac:dyDescent="0.25">
      <c r="A313" s="34" t="s">
        <v>74</v>
      </c>
      <c r="B313" s="101">
        <f t="shared" si="57"/>
        <v>43772</v>
      </c>
      <c r="C313" s="34">
        <f t="shared" si="67"/>
        <v>44</v>
      </c>
      <c r="D313" s="78">
        <v>42677</v>
      </c>
      <c r="E313" s="102">
        <f t="shared" si="58"/>
        <v>43772</v>
      </c>
      <c r="F313" s="92"/>
      <c r="G313" s="92">
        <v>2.5001000000000002</v>
      </c>
      <c r="H313" s="92">
        <v>2.1850000000000001</v>
      </c>
      <c r="I313" s="92">
        <v>1.7512000000000001</v>
      </c>
      <c r="J313" s="92">
        <v>1.7799</v>
      </c>
      <c r="K313" s="92">
        <v>2.6686000000000001</v>
      </c>
      <c r="L313" s="92">
        <v>3.0630999999999999</v>
      </c>
      <c r="M313" s="93">
        <v>3.3483999999999998</v>
      </c>
      <c r="N313" s="103">
        <v>3.3117999999999999</v>
      </c>
      <c r="O313" s="92">
        <v>2.4798</v>
      </c>
      <c r="P313" s="106">
        <v>2.1793</v>
      </c>
      <c r="Q313" s="92">
        <v>2.2804000000000002</v>
      </c>
      <c r="R313" s="92">
        <v>2.9075000000000002</v>
      </c>
      <c r="S313" s="92">
        <v>1.89</v>
      </c>
      <c r="T313" s="92">
        <v>1.9117999999999999</v>
      </c>
      <c r="U313" s="92">
        <v>1.5610999999999999</v>
      </c>
      <c r="V313" s="92">
        <v>0.91749999999999998</v>
      </c>
      <c r="W313" s="92"/>
      <c r="X313" s="92">
        <v>0.84750000000000003</v>
      </c>
    </row>
    <row r="314" spans="1:33" x14ac:dyDescent="0.25">
      <c r="A314" s="34" t="s">
        <v>74</v>
      </c>
      <c r="B314" s="101">
        <f t="shared" si="57"/>
        <v>43773</v>
      </c>
      <c r="C314" s="34">
        <f t="shared" si="67"/>
        <v>44</v>
      </c>
      <c r="D314" s="78">
        <v>42678</v>
      </c>
      <c r="E314" s="102">
        <f t="shared" si="58"/>
        <v>43773</v>
      </c>
      <c r="F314" s="92"/>
      <c r="G314" s="92">
        <v>2.5001000000000002</v>
      </c>
      <c r="H314" s="92">
        <v>2.1850000000000001</v>
      </c>
      <c r="I314" s="92">
        <v>1.8205</v>
      </c>
      <c r="J314" s="92">
        <v>1.7202999999999999</v>
      </c>
      <c r="K314" s="92">
        <v>2.6686000000000001</v>
      </c>
      <c r="L314" s="92">
        <v>3.0630999999999999</v>
      </c>
      <c r="M314" s="93">
        <v>3.3483999999999998</v>
      </c>
      <c r="N314" s="103">
        <v>3.3117999999999999</v>
      </c>
      <c r="O314" s="92">
        <v>2.5322</v>
      </c>
      <c r="P314" s="106">
        <v>2.1796000000000002</v>
      </c>
      <c r="Q314" s="92">
        <v>2.0547</v>
      </c>
      <c r="R314" s="92">
        <v>2.9075000000000002</v>
      </c>
      <c r="S314" s="92">
        <v>1.89</v>
      </c>
      <c r="T314" s="92">
        <v>1.9117999999999999</v>
      </c>
      <c r="U314" s="92">
        <v>1.5453999999999999</v>
      </c>
      <c r="V314" s="92">
        <v>0.91800000000000004</v>
      </c>
      <c r="W314" s="92"/>
      <c r="X314" s="92">
        <v>0.84850000000000003</v>
      </c>
    </row>
    <row r="315" spans="1:33" x14ac:dyDescent="0.25">
      <c r="A315" s="34" t="s">
        <v>74</v>
      </c>
      <c r="B315" s="101">
        <f t="shared" si="57"/>
        <v>43774</v>
      </c>
      <c r="C315" s="34">
        <f>+C308+1</f>
        <v>45</v>
      </c>
      <c r="D315" s="78">
        <v>42679</v>
      </c>
      <c r="E315" s="102">
        <f t="shared" si="58"/>
        <v>43774</v>
      </c>
      <c r="F315" s="92"/>
      <c r="G315" s="92">
        <v>2.5001000000000002</v>
      </c>
      <c r="H315" s="92">
        <v>2.1850000000000001</v>
      </c>
      <c r="I315" s="92">
        <v>1.8205</v>
      </c>
      <c r="J315" s="92">
        <v>1.6981999999999999</v>
      </c>
      <c r="K315" s="92">
        <v>2.6686000000000001</v>
      </c>
      <c r="L315" s="92">
        <v>3.0630999999999999</v>
      </c>
      <c r="M315" s="93">
        <v>3.2605</v>
      </c>
      <c r="N315" s="103">
        <v>3.3117999999999999</v>
      </c>
      <c r="O315" s="92">
        <v>2.5322</v>
      </c>
      <c r="P315" s="106">
        <v>2.1488999999999998</v>
      </c>
      <c r="Q315" s="92">
        <v>2.2766000000000002</v>
      </c>
      <c r="R315" s="92">
        <v>2.88</v>
      </c>
      <c r="S315" s="92">
        <v>1.9350000000000001</v>
      </c>
      <c r="T315" s="92">
        <v>1.9117999999999999</v>
      </c>
      <c r="U315" s="92">
        <v>1.5453999999999999</v>
      </c>
      <c r="V315" s="92">
        <v>0.94800000000000006</v>
      </c>
      <c r="W315" s="92"/>
      <c r="X315" s="92">
        <v>0.876</v>
      </c>
    </row>
    <row r="316" spans="1:33" x14ac:dyDescent="0.25">
      <c r="A316" s="34" t="s">
        <v>74</v>
      </c>
      <c r="B316" s="101">
        <f t="shared" si="57"/>
        <v>43775</v>
      </c>
      <c r="C316" s="34">
        <f>+C315</f>
        <v>45</v>
      </c>
      <c r="D316" s="78">
        <v>42680</v>
      </c>
      <c r="E316" s="102">
        <f t="shared" si="58"/>
        <v>43775</v>
      </c>
      <c r="F316" s="92"/>
      <c r="G316" s="92">
        <v>2.5001000000000002</v>
      </c>
      <c r="H316" s="92">
        <v>2.2202999999999999</v>
      </c>
      <c r="I316" s="92">
        <v>1.8205</v>
      </c>
      <c r="J316" s="92">
        <v>1.6981999999999999</v>
      </c>
      <c r="K316" s="92">
        <v>2.6720000000000002</v>
      </c>
      <c r="L316" s="92">
        <v>3.0640000000000001</v>
      </c>
      <c r="M316" s="93">
        <v>3.2997999999999998</v>
      </c>
      <c r="N316" s="103">
        <v>3.2909999999999999</v>
      </c>
      <c r="O316" s="92">
        <v>2.5322</v>
      </c>
      <c r="P316" s="106">
        <v>2.1488999999999998</v>
      </c>
      <c r="Q316" s="92">
        <v>2.1827999999999999</v>
      </c>
      <c r="R316" s="92">
        <v>2.8774999999999999</v>
      </c>
      <c r="S316" s="92">
        <v>2.0150000000000001</v>
      </c>
      <c r="T316" s="92">
        <v>1.9295</v>
      </c>
      <c r="U316" s="92">
        <v>1.5453999999999999</v>
      </c>
      <c r="V316" s="92">
        <v>0.94180000000000008</v>
      </c>
      <c r="W316" s="92"/>
      <c r="X316" s="92">
        <v>0.89100000000000001</v>
      </c>
    </row>
    <row r="317" spans="1:33" x14ac:dyDescent="0.25">
      <c r="A317" s="34" t="s">
        <v>74</v>
      </c>
      <c r="B317" s="101">
        <f t="shared" si="57"/>
        <v>43776</v>
      </c>
      <c r="C317" s="34">
        <f>+C316</f>
        <v>45</v>
      </c>
      <c r="D317" s="78">
        <v>42681</v>
      </c>
      <c r="E317" s="102">
        <f t="shared" si="58"/>
        <v>43776</v>
      </c>
      <c r="F317" s="92"/>
      <c r="G317" s="92">
        <v>2.5001000000000002</v>
      </c>
      <c r="H317" s="92">
        <v>2.2717000000000001</v>
      </c>
      <c r="I317" s="92">
        <v>1.8205</v>
      </c>
      <c r="J317" s="92">
        <v>1.6981999999999999</v>
      </c>
      <c r="K317" s="92">
        <v>2.6720000000000002</v>
      </c>
      <c r="L317" s="92">
        <v>3.0640000000000001</v>
      </c>
      <c r="M317" s="93">
        <v>3.3732000000000002</v>
      </c>
      <c r="N317" s="103">
        <v>3.3959000000000001</v>
      </c>
      <c r="O317" s="92">
        <v>2.5701999999999998</v>
      </c>
      <c r="P317" s="106">
        <v>2.1488999999999998</v>
      </c>
      <c r="Q317" s="92">
        <v>2.0604</v>
      </c>
      <c r="R317" s="92">
        <v>2.835</v>
      </c>
      <c r="S317" s="92">
        <v>2.0750000000000002</v>
      </c>
      <c r="T317" s="92">
        <v>1.9072</v>
      </c>
      <c r="U317" s="92">
        <v>1.522</v>
      </c>
      <c r="V317" s="92">
        <v>0.94180000000000008</v>
      </c>
      <c r="W317" s="92"/>
      <c r="X317" s="92">
        <v>0.88600000000000001</v>
      </c>
    </row>
    <row r="318" spans="1:33" x14ac:dyDescent="0.25">
      <c r="A318" s="34" t="s">
        <v>74</v>
      </c>
      <c r="B318" s="101">
        <f t="shared" si="57"/>
        <v>43777</v>
      </c>
      <c r="C318" s="34">
        <f>+C317</f>
        <v>45</v>
      </c>
      <c r="D318" s="78">
        <v>42682</v>
      </c>
      <c r="E318" s="102">
        <f t="shared" si="58"/>
        <v>43777</v>
      </c>
      <c r="F318" s="92"/>
      <c r="G318" s="92">
        <v>2.4666000000000001</v>
      </c>
      <c r="H318" s="92">
        <v>2.2549999999999999</v>
      </c>
      <c r="I318" s="92">
        <v>1.8205</v>
      </c>
      <c r="J318" s="92">
        <v>1.6928000000000001</v>
      </c>
      <c r="K318" s="92">
        <v>2.6720000000000002</v>
      </c>
      <c r="L318" s="92">
        <v>3.0640000000000001</v>
      </c>
      <c r="M318" s="93">
        <v>3.2888999999999999</v>
      </c>
      <c r="N318" s="103">
        <v>3.39</v>
      </c>
      <c r="O318" s="92">
        <v>2.5789</v>
      </c>
      <c r="P318" s="106">
        <v>2.1124000000000001</v>
      </c>
      <c r="Q318" s="92">
        <v>2.0604</v>
      </c>
      <c r="R318" s="92">
        <v>2.835</v>
      </c>
      <c r="S318" s="92">
        <v>2.105</v>
      </c>
      <c r="T318" s="92">
        <v>1.9254</v>
      </c>
      <c r="U318" s="92">
        <v>1.5128999999999999</v>
      </c>
      <c r="V318" s="92">
        <v>0.94180000000000008</v>
      </c>
      <c r="W318" s="92"/>
      <c r="X318" s="92">
        <v>0.88600000000000001</v>
      </c>
    </row>
    <row r="319" spans="1:33" x14ac:dyDescent="0.25">
      <c r="A319" s="34" t="s">
        <v>74</v>
      </c>
      <c r="B319" s="101">
        <f t="shared" si="57"/>
        <v>43778</v>
      </c>
      <c r="C319" s="34">
        <f t="shared" ref="C319:C321" si="68">+C318</f>
        <v>45</v>
      </c>
      <c r="D319" s="78">
        <v>42683</v>
      </c>
      <c r="E319" s="102">
        <f t="shared" si="58"/>
        <v>43778</v>
      </c>
      <c r="F319" s="92"/>
      <c r="G319" s="92">
        <v>2.4666000000000001</v>
      </c>
      <c r="H319" s="92">
        <v>2.3399000000000001</v>
      </c>
      <c r="I319" s="92">
        <v>1.8205</v>
      </c>
      <c r="J319" s="92">
        <v>1.6772</v>
      </c>
      <c r="K319" s="92">
        <v>2.7471000000000001</v>
      </c>
      <c r="L319" s="92">
        <v>3.0640000000000001</v>
      </c>
      <c r="M319" s="93">
        <v>3.3012000000000001</v>
      </c>
      <c r="N319" s="103">
        <v>3.4016000000000002</v>
      </c>
      <c r="O319" s="92">
        <v>2.5855000000000001</v>
      </c>
      <c r="P319" s="106">
        <v>2.1423000000000001</v>
      </c>
      <c r="Q319" s="92">
        <v>2.0604</v>
      </c>
      <c r="R319" s="92">
        <v>2.835</v>
      </c>
      <c r="S319" s="92">
        <v>2.125</v>
      </c>
      <c r="T319" s="92">
        <v>1.9350000000000001</v>
      </c>
      <c r="U319" s="92">
        <v>1.4979</v>
      </c>
      <c r="V319" s="92">
        <v>1.002</v>
      </c>
      <c r="W319" s="92"/>
      <c r="X319" s="92">
        <v>0.88600000000000001</v>
      </c>
    </row>
    <row r="320" spans="1:33" x14ac:dyDescent="0.25">
      <c r="A320" s="34" t="s">
        <v>74</v>
      </c>
      <c r="B320" s="101">
        <f t="shared" si="57"/>
        <v>43779</v>
      </c>
      <c r="C320" s="34">
        <f t="shared" si="68"/>
        <v>45</v>
      </c>
      <c r="D320" s="78">
        <v>42684</v>
      </c>
      <c r="E320" s="102">
        <f t="shared" si="58"/>
        <v>43779</v>
      </c>
      <c r="F320" s="92"/>
      <c r="G320" s="92">
        <v>2.4666000000000001</v>
      </c>
      <c r="H320" s="92">
        <v>2.3399000000000001</v>
      </c>
      <c r="I320" s="92">
        <v>1.8205</v>
      </c>
      <c r="J320" s="92">
        <v>1.6458999999999999</v>
      </c>
      <c r="K320" s="92">
        <v>2.7471000000000001</v>
      </c>
      <c r="L320" s="92">
        <v>3.0640000000000001</v>
      </c>
      <c r="M320" s="93">
        <v>3.3012000000000001</v>
      </c>
      <c r="N320" s="103">
        <v>3.4016000000000002</v>
      </c>
      <c r="O320" s="92">
        <v>2.6187999999999998</v>
      </c>
      <c r="P320" s="106">
        <v>2.1353</v>
      </c>
      <c r="Q320" s="92">
        <v>2.0752999999999999</v>
      </c>
      <c r="R320" s="92">
        <v>2.835</v>
      </c>
      <c r="S320" s="92">
        <v>2.125</v>
      </c>
      <c r="T320" s="92">
        <v>1.9255</v>
      </c>
      <c r="U320" s="92">
        <v>1.4962</v>
      </c>
      <c r="V320" s="92">
        <v>1</v>
      </c>
      <c r="W320" s="92"/>
      <c r="X320" s="92">
        <v>0.88300000000000001</v>
      </c>
    </row>
    <row r="321" spans="1:24" x14ac:dyDescent="0.25">
      <c r="A321" s="34" t="s">
        <v>74</v>
      </c>
      <c r="B321" s="101">
        <f t="shared" si="57"/>
        <v>43780</v>
      </c>
      <c r="C321" s="34">
        <f t="shared" si="68"/>
        <v>45</v>
      </c>
      <c r="D321" s="78">
        <v>42685</v>
      </c>
      <c r="E321" s="102">
        <f t="shared" si="58"/>
        <v>43780</v>
      </c>
      <c r="F321" s="92"/>
      <c r="G321" s="92">
        <v>2.4666000000000001</v>
      </c>
      <c r="H321" s="92">
        <v>2.3399000000000001</v>
      </c>
      <c r="I321" s="92">
        <v>1.8205</v>
      </c>
      <c r="J321" s="92">
        <v>1.6458999999999999</v>
      </c>
      <c r="K321" s="92">
        <v>2.7509000000000001</v>
      </c>
      <c r="L321" s="92">
        <v>3.0244</v>
      </c>
      <c r="M321" s="93">
        <v>3.3012000000000001</v>
      </c>
      <c r="N321" s="103">
        <v>3.4016000000000002</v>
      </c>
      <c r="O321" s="92">
        <v>2.6086</v>
      </c>
      <c r="P321" s="106">
        <v>2.13</v>
      </c>
      <c r="Q321" s="92">
        <v>2.0733999999999999</v>
      </c>
      <c r="R321" s="92">
        <v>2.8149999999999999</v>
      </c>
      <c r="S321" s="92">
        <v>2.125</v>
      </c>
      <c r="T321" s="92">
        <v>1.9255</v>
      </c>
      <c r="U321" s="92">
        <v>1.47</v>
      </c>
      <c r="V321" s="92">
        <v>0.98750000000000004</v>
      </c>
      <c r="W321" s="92"/>
      <c r="X321" s="92">
        <v>0.88400000000000001</v>
      </c>
    </row>
    <row r="322" spans="1:24" x14ac:dyDescent="0.25">
      <c r="A322" s="34" t="s">
        <v>74</v>
      </c>
      <c r="B322" s="101">
        <f t="shared" si="57"/>
        <v>43781</v>
      </c>
      <c r="C322" s="34">
        <f t="shared" si="66"/>
        <v>46</v>
      </c>
      <c r="D322" s="78">
        <v>42686</v>
      </c>
      <c r="E322" s="102">
        <f t="shared" si="58"/>
        <v>43781</v>
      </c>
      <c r="F322" s="92"/>
      <c r="G322" s="92">
        <v>2.4666000000000001</v>
      </c>
      <c r="H322" s="92">
        <v>2.3399000000000001</v>
      </c>
      <c r="I322" s="92">
        <v>1.8205</v>
      </c>
      <c r="J322" s="92">
        <v>1.6458999999999999</v>
      </c>
      <c r="K322" s="92">
        <v>2.7126999999999999</v>
      </c>
      <c r="L322" s="92">
        <v>2.9922</v>
      </c>
      <c r="M322" s="93">
        <v>3.3502000000000001</v>
      </c>
      <c r="N322" s="103">
        <v>3.4016000000000002</v>
      </c>
      <c r="O322" s="92">
        <v>2.6086</v>
      </c>
      <c r="P322" s="106">
        <v>2.0573000000000001</v>
      </c>
      <c r="Q322" s="92">
        <v>2.0184000000000002</v>
      </c>
      <c r="R322" s="92">
        <v>2.7774999999999999</v>
      </c>
      <c r="S322" s="92">
        <v>2.125</v>
      </c>
      <c r="T322" s="92">
        <v>1.9255</v>
      </c>
      <c r="U322" s="92">
        <v>1.47</v>
      </c>
      <c r="V322" s="92">
        <v>0.98450000000000004</v>
      </c>
      <c r="W322" s="92"/>
      <c r="X322" s="92">
        <v>0.88200000000000001</v>
      </c>
    </row>
    <row r="323" spans="1:24" x14ac:dyDescent="0.25">
      <c r="A323" s="34" t="s">
        <v>74</v>
      </c>
      <c r="B323" s="101">
        <f t="shared" si="57"/>
        <v>43782</v>
      </c>
      <c r="C323" s="34">
        <f>+C322</f>
        <v>46</v>
      </c>
      <c r="D323" s="78">
        <v>42687</v>
      </c>
      <c r="E323" s="102">
        <f t="shared" si="58"/>
        <v>43782</v>
      </c>
      <c r="F323" s="92"/>
      <c r="G323" s="92">
        <v>2.3613</v>
      </c>
      <c r="H323" s="92">
        <v>2.3399000000000001</v>
      </c>
      <c r="I323" s="92">
        <v>1.8205</v>
      </c>
      <c r="J323" s="92">
        <v>1.6458999999999999</v>
      </c>
      <c r="K323" s="92">
        <v>2.6772</v>
      </c>
      <c r="L323" s="92">
        <v>3.0165999999999999</v>
      </c>
      <c r="M323" s="93">
        <v>3.3</v>
      </c>
      <c r="N323" s="103">
        <v>3.4156</v>
      </c>
      <c r="O323" s="92">
        <v>2.6086</v>
      </c>
      <c r="P323" s="106">
        <v>2.0573000000000001</v>
      </c>
      <c r="Q323" s="92">
        <v>1.9053</v>
      </c>
      <c r="R323" s="92">
        <v>2.6974999999999998</v>
      </c>
      <c r="S323" s="92">
        <v>2.105</v>
      </c>
      <c r="T323" s="92">
        <v>1.9624999999999999</v>
      </c>
      <c r="U323" s="92">
        <v>1.47</v>
      </c>
      <c r="V323" s="92">
        <v>0.97750000000000004</v>
      </c>
      <c r="W323" s="92"/>
      <c r="X323" s="92">
        <v>0.874</v>
      </c>
    </row>
    <row r="324" spans="1:24" x14ac:dyDescent="0.25">
      <c r="A324" s="34" t="s">
        <v>74</v>
      </c>
      <c r="B324" s="101">
        <f t="shared" si="57"/>
        <v>43783</v>
      </c>
      <c r="C324" s="34">
        <f>+C323</f>
        <v>46</v>
      </c>
      <c r="D324" s="78">
        <v>42688</v>
      </c>
      <c r="E324" s="102">
        <f t="shared" si="58"/>
        <v>43783</v>
      </c>
      <c r="F324" s="92"/>
      <c r="G324" s="92">
        <v>2.3613</v>
      </c>
      <c r="H324" s="92">
        <v>2.2713000000000001</v>
      </c>
      <c r="I324" s="92">
        <v>1.6923999999999999</v>
      </c>
      <c r="J324" s="92">
        <v>1.6458999999999999</v>
      </c>
      <c r="K324" s="92">
        <v>2.6772</v>
      </c>
      <c r="L324" s="92">
        <v>3.0352000000000001</v>
      </c>
      <c r="M324" s="93">
        <v>3.1581000000000001</v>
      </c>
      <c r="N324" s="103">
        <v>3.4125000000000001</v>
      </c>
      <c r="O324" s="92">
        <v>2.5464000000000002</v>
      </c>
      <c r="P324" s="106">
        <v>2.0573000000000001</v>
      </c>
      <c r="Q324" s="92">
        <v>1.9402999999999999</v>
      </c>
      <c r="R324" s="92">
        <v>2.7675000000000001</v>
      </c>
      <c r="S324" s="92">
        <v>2.1349999999999998</v>
      </c>
      <c r="T324" s="92">
        <v>1.9717</v>
      </c>
      <c r="U324" s="92">
        <v>1.4636</v>
      </c>
      <c r="V324" s="92">
        <v>0.97750000000000004</v>
      </c>
      <c r="W324" s="92"/>
      <c r="X324" s="92">
        <v>0.87360000000000004</v>
      </c>
    </row>
    <row r="325" spans="1:24" x14ac:dyDescent="0.25">
      <c r="A325" s="34" t="s">
        <v>74</v>
      </c>
      <c r="B325" s="101">
        <f t="shared" si="57"/>
        <v>43784</v>
      </c>
      <c r="C325" s="34">
        <f>+C324</f>
        <v>46</v>
      </c>
      <c r="D325" s="78">
        <v>42689</v>
      </c>
      <c r="E325" s="102">
        <f t="shared" si="58"/>
        <v>43784</v>
      </c>
      <c r="F325" s="92"/>
      <c r="G325" s="92">
        <v>2.3613</v>
      </c>
      <c r="H325" s="92">
        <v>2.2402000000000002</v>
      </c>
      <c r="I325" s="92">
        <v>1.6923999999999999</v>
      </c>
      <c r="J325" s="92">
        <v>1.7263999999999999</v>
      </c>
      <c r="K325" s="92">
        <v>2.6772</v>
      </c>
      <c r="L325" s="92">
        <v>3.0352000000000001</v>
      </c>
      <c r="M325" s="93">
        <v>3.1793</v>
      </c>
      <c r="N325" s="103">
        <v>3.4186000000000001</v>
      </c>
      <c r="O325" s="92">
        <v>2.5383</v>
      </c>
      <c r="P325" s="106">
        <v>2.0329999999999999</v>
      </c>
      <c r="Q325" s="92">
        <v>1.9402999999999999</v>
      </c>
      <c r="R325" s="92">
        <v>2.7675000000000001</v>
      </c>
      <c r="S325" s="92">
        <v>2.1549999999999998</v>
      </c>
      <c r="T325" s="92">
        <v>1.9677</v>
      </c>
      <c r="U325" s="92">
        <v>1.4398</v>
      </c>
      <c r="V325" s="92">
        <v>0.97750000000000004</v>
      </c>
      <c r="W325" s="92"/>
      <c r="X325" s="92">
        <v>0.87360000000000004</v>
      </c>
    </row>
    <row r="326" spans="1:24" x14ac:dyDescent="0.25">
      <c r="A326" s="34" t="s">
        <v>74</v>
      </c>
      <c r="B326" s="101">
        <f t="shared" si="57"/>
        <v>43785</v>
      </c>
      <c r="C326" s="34">
        <f t="shared" ref="C326:C328" si="69">+C325</f>
        <v>46</v>
      </c>
      <c r="D326" s="78">
        <v>42690</v>
      </c>
      <c r="E326" s="102">
        <f t="shared" si="58"/>
        <v>43785</v>
      </c>
      <c r="F326" s="92"/>
      <c r="G326" s="92">
        <v>2.3613</v>
      </c>
      <c r="H326" s="92">
        <v>2.2799</v>
      </c>
      <c r="I326" s="92">
        <v>1.6704000000000001</v>
      </c>
      <c r="J326" s="92">
        <v>1.7263999999999999</v>
      </c>
      <c r="K326" s="92">
        <v>2.7119</v>
      </c>
      <c r="L326" s="92">
        <v>3.0352000000000001</v>
      </c>
      <c r="M326" s="93">
        <v>3.1212</v>
      </c>
      <c r="N326" s="103">
        <v>3.36</v>
      </c>
      <c r="O326" s="92">
        <v>2.5116000000000001</v>
      </c>
      <c r="P326" s="106">
        <v>2.1023000000000001</v>
      </c>
      <c r="Q326" s="92">
        <v>1.9402999999999999</v>
      </c>
      <c r="R326" s="92">
        <v>2.7675000000000001</v>
      </c>
      <c r="S326" s="92">
        <v>2.125</v>
      </c>
      <c r="T326" s="92">
        <v>1.9722999999999999</v>
      </c>
      <c r="U326" s="92">
        <v>1.4231</v>
      </c>
      <c r="V326" s="92">
        <v>0.97499999999999998</v>
      </c>
      <c r="W326" s="92"/>
      <c r="X326" s="92">
        <v>0.87360000000000004</v>
      </c>
    </row>
    <row r="327" spans="1:24" x14ac:dyDescent="0.25">
      <c r="A327" s="34" t="s">
        <v>74</v>
      </c>
      <c r="B327" s="101">
        <f t="shared" ref="B327:B371" si="70">E327</f>
        <v>43786</v>
      </c>
      <c r="C327" s="34">
        <f t="shared" si="69"/>
        <v>46</v>
      </c>
      <c r="D327" s="78">
        <v>42691</v>
      </c>
      <c r="E327" s="102">
        <f t="shared" ref="E327:E371" si="71">E326+1</f>
        <v>43786</v>
      </c>
      <c r="F327" s="92"/>
      <c r="G327" s="92">
        <v>2.3613</v>
      </c>
      <c r="H327" s="92">
        <v>2.2799</v>
      </c>
      <c r="I327" s="92">
        <v>1.6672</v>
      </c>
      <c r="J327" s="92">
        <v>1.7263999999999999</v>
      </c>
      <c r="K327" s="92">
        <v>2.6865000000000001</v>
      </c>
      <c r="L327" s="92">
        <v>3.0352000000000001</v>
      </c>
      <c r="M327" s="93">
        <v>3.1212</v>
      </c>
      <c r="N327" s="103">
        <v>3.2715000000000001</v>
      </c>
      <c r="O327" s="92">
        <v>2.4512</v>
      </c>
      <c r="P327" s="106">
        <v>2.1193</v>
      </c>
      <c r="Q327" s="92">
        <v>1.901</v>
      </c>
      <c r="R327" s="92">
        <v>2.7675000000000001</v>
      </c>
      <c r="S327" s="92">
        <v>2.125</v>
      </c>
      <c r="T327" s="92">
        <v>1.9632999999999998</v>
      </c>
      <c r="U327" s="92">
        <v>1.4407999999999999</v>
      </c>
      <c r="V327" s="92">
        <v>0.96800000000000008</v>
      </c>
      <c r="W327" s="92"/>
      <c r="X327" s="92">
        <v>0.86310000000000009</v>
      </c>
    </row>
    <row r="328" spans="1:24" x14ac:dyDescent="0.25">
      <c r="A328" s="34" t="s">
        <v>74</v>
      </c>
      <c r="B328" s="101">
        <f t="shared" si="70"/>
        <v>43787</v>
      </c>
      <c r="C328" s="34">
        <f t="shared" si="69"/>
        <v>46</v>
      </c>
      <c r="D328" s="78">
        <v>42692</v>
      </c>
      <c r="E328" s="102">
        <f t="shared" si="71"/>
        <v>43787</v>
      </c>
      <c r="F328" s="92"/>
      <c r="G328" s="92">
        <v>2.3613</v>
      </c>
      <c r="H328" s="92">
        <v>2.2799</v>
      </c>
      <c r="I328" s="92">
        <v>1.6701999999999999</v>
      </c>
      <c r="J328" s="92">
        <v>1.7263999999999999</v>
      </c>
      <c r="K328" s="92">
        <v>2.6865000000000001</v>
      </c>
      <c r="L328" s="92">
        <v>3.0127000000000002</v>
      </c>
      <c r="M328" s="93">
        <v>3.1212</v>
      </c>
      <c r="N328" s="103">
        <v>3.2715000000000001</v>
      </c>
      <c r="O328" s="92">
        <v>2.4904999999999999</v>
      </c>
      <c r="P328" s="106">
        <v>2.1055000000000001</v>
      </c>
      <c r="Q328" s="92">
        <v>1.8697999999999999</v>
      </c>
      <c r="R328" s="92">
        <v>2.7825000000000002</v>
      </c>
      <c r="S328" s="92">
        <v>2.125</v>
      </c>
      <c r="T328" s="92">
        <v>1.9632999999999998</v>
      </c>
      <c r="U328" s="92">
        <v>1.4560999999999999</v>
      </c>
      <c r="V328" s="92">
        <v>0.96700000000000008</v>
      </c>
      <c r="W328" s="92"/>
      <c r="X328" s="92">
        <v>0.85670000000000002</v>
      </c>
    </row>
    <row r="329" spans="1:24" x14ac:dyDescent="0.25">
      <c r="A329" s="34" t="s">
        <v>74</v>
      </c>
      <c r="B329" s="101">
        <f t="shared" si="70"/>
        <v>43788</v>
      </c>
      <c r="C329" s="34">
        <f>+C322+1</f>
        <v>47</v>
      </c>
      <c r="D329" s="78">
        <v>42693</v>
      </c>
      <c r="E329" s="102">
        <f t="shared" si="71"/>
        <v>43788</v>
      </c>
      <c r="F329" s="92"/>
      <c r="G329" s="92">
        <v>2.3613</v>
      </c>
      <c r="H329" s="92">
        <v>2.2799</v>
      </c>
      <c r="I329" s="92">
        <v>1.6701999999999999</v>
      </c>
      <c r="J329" s="92">
        <v>1.7263999999999999</v>
      </c>
      <c r="K329" s="92">
        <v>2.6865000000000001</v>
      </c>
      <c r="L329" s="92">
        <v>2.9744999999999999</v>
      </c>
      <c r="M329" s="93">
        <v>3.1191</v>
      </c>
      <c r="N329" s="103">
        <v>3.2715000000000001</v>
      </c>
      <c r="O329" s="92">
        <v>2.4904999999999999</v>
      </c>
      <c r="P329" s="106">
        <v>2.0289000000000001</v>
      </c>
      <c r="Q329" s="92">
        <v>1.8597999999999999</v>
      </c>
      <c r="R329" s="92">
        <v>2.8</v>
      </c>
      <c r="S329" s="92">
        <v>2.165</v>
      </c>
      <c r="T329" s="92">
        <v>1.9632999999999998</v>
      </c>
      <c r="U329" s="92">
        <v>1.4560999999999999</v>
      </c>
      <c r="V329" s="92">
        <v>0.96900000000000008</v>
      </c>
      <c r="W329" s="92"/>
      <c r="X329" s="92">
        <v>0.85230000000000006</v>
      </c>
    </row>
    <row r="330" spans="1:24" x14ac:dyDescent="0.25">
      <c r="A330" s="34" t="s">
        <v>74</v>
      </c>
      <c r="B330" s="101">
        <f t="shared" si="70"/>
        <v>43789</v>
      </c>
      <c r="C330" s="34">
        <f t="shared" ref="C330:C335" si="72">+C323+1</f>
        <v>47</v>
      </c>
      <c r="D330" s="78">
        <v>42694</v>
      </c>
      <c r="E330" s="102">
        <f t="shared" si="71"/>
        <v>43789</v>
      </c>
      <c r="F330" s="92"/>
      <c r="G330" s="92">
        <v>2.3411</v>
      </c>
      <c r="H330" s="92">
        <v>2.2362000000000002</v>
      </c>
      <c r="I330" s="92">
        <v>1.6701999999999999</v>
      </c>
      <c r="J330" s="92">
        <v>1.7263999999999999</v>
      </c>
      <c r="K330" s="92">
        <v>2.6865000000000001</v>
      </c>
      <c r="L330" s="92">
        <v>2.9941</v>
      </c>
      <c r="M330" s="93">
        <v>3.2059000000000002</v>
      </c>
      <c r="N330" s="103">
        <v>3.1718000000000002</v>
      </c>
      <c r="O330" s="92">
        <v>2.4904999999999999</v>
      </c>
      <c r="P330" s="106">
        <v>2.0289000000000001</v>
      </c>
      <c r="Q330" s="92">
        <v>1.8448</v>
      </c>
      <c r="R330" s="92">
        <v>2.8437999999999999</v>
      </c>
      <c r="S330" s="92">
        <v>2.165</v>
      </c>
      <c r="T330" s="92">
        <v>1.9632999999999998</v>
      </c>
      <c r="U330" s="92">
        <v>1.4560999999999999</v>
      </c>
      <c r="V330" s="92">
        <v>0.97400000000000009</v>
      </c>
      <c r="W330" s="92"/>
      <c r="X330" s="92">
        <v>0.85030000000000006</v>
      </c>
    </row>
    <row r="331" spans="1:24" x14ac:dyDescent="0.25">
      <c r="A331" s="34" t="s">
        <v>74</v>
      </c>
      <c r="B331" s="101">
        <f t="shared" si="70"/>
        <v>43790</v>
      </c>
      <c r="C331" s="34">
        <f t="shared" si="72"/>
        <v>47</v>
      </c>
      <c r="D331" s="78">
        <v>42695</v>
      </c>
      <c r="E331" s="102">
        <f t="shared" si="71"/>
        <v>43790</v>
      </c>
      <c r="F331" s="92"/>
      <c r="G331" s="92">
        <v>2.3411</v>
      </c>
      <c r="H331" s="92">
        <v>2.2362000000000002</v>
      </c>
      <c r="I331" s="92">
        <v>1.6701999999999999</v>
      </c>
      <c r="J331" s="92">
        <v>1.7263999999999999</v>
      </c>
      <c r="K331" s="92">
        <v>2.6865000000000001</v>
      </c>
      <c r="L331" s="92">
        <v>2.996</v>
      </c>
      <c r="M331" s="93">
        <v>3.1720000000000002</v>
      </c>
      <c r="N331" s="103">
        <v>3.0867</v>
      </c>
      <c r="O331" s="92">
        <v>2.4434999999999998</v>
      </c>
      <c r="P331" s="106">
        <v>2.0289000000000001</v>
      </c>
      <c r="Q331" s="92">
        <v>1.7198</v>
      </c>
      <c r="R331" s="92">
        <v>2.8525</v>
      </c>
      <c r="S331" s="92">
        <v>2.1949999999999998</v>
      </c>
      <c r="T331" s="92">
        <v>1.9637</v>
      </c>
      <c r="U331" s="92">
        <v>1.4843</v>
      </c>
      <c r="V331" s="92">
        <v>0.97400000000000009</v>
      </c>
      <c r="W331" s="92"/>
      <c r="X331" s="92">
        <v>0.84310000000000007</v>
      </c>
    </row>
    <row r="332" spans="1:24" x14ac:dyDescent="0.25">
      <c r="A332" s="34" t="s">
        <v>74</v>
      </c>
      <c r="B332" s="101">
        <f t="shared" si="70"/>
        <v>43791</v>
      </c>
      <c r="C332" s="34">
        <f t="shared" si="72"/>
        <v>47</v>
      </c>
      <c r="D332" s="78">
        <v>42696</v>
      </c>
      <c r="E332" s="102">
        <f t="shared" si="71"/>
        <v>43791</v>
      </c>
      <c r="F332" s="92"/>
      <c r="G332" s="92">
        <v>2.3411</v>
      </c>
      <c r="H332" s="92">
        <v>2.2362000000000002</v>
      </c>
      <c r="I332" s="92">
        <v>1.6701999999999999</v>
      </c>
      <c r="J332" s="92">
        <v>1.7263999999999999</v>
      </c>
      <c r="K332" s="92">
        <v>2.6865000000000001</v>
      </c>
      <c r="L332" s="92">
        <v>2.996</v>
      </c>
      <c r="M332" s="93">
        <v>3.2069999999999999</v>
      </c>
      <c r="N332" s="103">
        <v>3.0867</v>
      </c>
      <c r="O332" s="92">
        <v>2.4394999999999998</v>
      </c>
      <c r="P332" s="106">
        <v>2.0034000000000001</v>
      </c>
      <c r="Q332" s="92">
        <v>1.7198</v>
      </c>
      <c r="R332" s="92">
        <v>2.8525</v>
      </c>
      <c r="S332" s="92">
        <v>2.1949999999999998</v>
      </c>
      <c r="T332" s="92">
        <v>1.9514</v>
      </c>
      <c r="U332" s="92">
        <v>1.4583999999999999</v>
      </c>
      <c r="V332" s="92">
        <v>0.97400000000000009</v>
      </c>
      <c r="W332" s="92"/>
      <c r="X332" s="92">
        <v>0.84310000000000007</v>
      </c>
    </row>
    <row r="333" spans="1:24" x14ac:dyDescent="0.25">
      <c r="A333" s="34" t="s">
        <v>74</v>
      </c>
      <c r="B333" s="101">
        <f t="shared" si="70"/>
        <v>43792</v>
      </c>
      <c r="C333" s="34">
        <f t="shared" si="72"/>
        <v>47</v>
      </c>
      <c r="D333" s="78">
        <v>42697</v>
      </c>
      <c r="E333" s="102">
        <f t="shared" si="71"/>
        <v>43792</v>
      </c>
      <c r="F333" s="92"/>
      <c r="G333" s="92">
        <v>2.3411</v>
      </c>
      <c r="H333" s="92">
        <v>2.2362000000000002</v>
      </c>
      <c r="I333" s="92">
        <v>1.6867000000000001</v>
      </c>
      <c r="J333" s="92">
        <v>1.6862999999999999</v>
      </c>
      <c r="K333" s="92">
        <v>2.6865000000000001</v>
      </c>
      <c r="L333" s="92">
        <v>2.996</v>
      </c>
      <c r="M333" s="93">
        <v>3.2069999999999999</v>
      </c>
      <c r="N333" s="103">
        <v>3.0867</v>
      </c>
      <c r="O333" s="92">
        <v>2.4175</v>
      </c>
      <c r="P333" s="106">
        <v>1.9988999999999999</v>
      </c>
      <c r="Q333" s="92">
        <v>1.7198</v>
      </c>
      <c r="R333" s="92">
        <v>2.8525</v>
      </c>
      <c r="S333" s="92">
        <v>2.145</v>
      </c>
      <c r="T333" s="92">
        <v>1.9514</v>
      </c>
      <c r="U333" s="92">
        <v>1.4659</v>
      </c>
      <c r="V333" s="92">
        <v>0.96850000000000003</v>
      </c>
      <c r="W333" s="92"/>
      <c r="X333" s="92">
        <v>0.84310000000000007</v>
      </c>
    </row>
    <row r="334" spans="1:24" x14ac:dyDescent="0.25">
      <c r="A334" s="34" t="s">
        <v>74</v>
      </c>
      <c r="B334" s="101">
        <f t="shared" si="70"/>
        <v>43793</v>
      </c>
      <c r="C334" s="34">
        <f t="shared" si="72"/>
        <v>47</v>
      </c>
      <c r="D334" s="78">
        <v>42698</v>
      </c>
      <c r="E334" s="102">
        <f t="shared" si="71"/>
        <v>43793</v>
      </c>
      <c r="F334" s="92"/>
      <c r="G334" s="92">
        <v>2.3411</v>
      </c>
      <c r="H334" s="92">
        <v>2.2362000000000002</v>
      </c>
      <c r="I334" s="92">
        <v>1.6867000000000001</v>
      </c>
      <c r="J334" s="92">
        <v>1.6862999999999999</v>
      </c>
      <c r="K334" s="92">
        <v>2.6865000000000001</v>
      </c>
      <c r="L334" s="92">
        <v>3.0482</v>
      </c>
      <c r="M334" s="93">
        <v>3.2069999999999999</v>
      </c>
      <c r="N334" s="103">
        <v>3.0442999999999998</v>
      </c>
      <c r="O334" s="92">
        <v>2.4175</v>
      </c>
      <c r="P334" s="106">
        <v>1.9673</v>
      </c>
      <c r="Q334" s="92">
        <v>1.7198</v>
      </c>
      <c r="R334" s="92">
        <v>2.8525</v>
      </c>
      <c r="S334" s="92">
        <v>2.145</v>
      </c>
      <c r="T334" s="92">
        <v>1.9514</v>
      </c>
      <c r="U334" s="92">
        <v>1.4659</v>
      </c>
      <c r="V334" s="92">
        <v>0.95150000000000001</v>
      </c>
      <c r="W334" s="92"/>
      <c r="X334" s="92">
        <v>0.83510000000000006</v>
      </c>
    </row>
    <row r="335" spans="1:24" x14ac:dyDescent="0.25">
      <c r="A335" s="34" t="s">
        <v>74</v>
      </c>
      <c r="B335" s="101">
        <f t="shared" si="70"/>
        <v>43794</v>
      </c>
      <c r="C335" s="34">
        <f t="shared" si="72"/>
        <v>47</v>
      </c>
      <c r="D335" s="78">
        <v>42699</v>
      </c>
      <c r="E335" s="102">
        <f t="shared" si="71"/>
        <v>43794</v>
      </c>
      <c r="F335" s="92"/>
      <c r="G335" s="92">
        <v>2.3411</v>
      </c>
      <c r="H335" s="92">
        <v>2.2362000000000002</v>
      </c>
      <c r="I335" s="92">
        <v>1.6867000000000001</v>
      </c>
      <c r="J335" s="92">
        <v>1.6862999999999999</v>
      </c>
      <c r="K335" s="92">
        <v>2.6865000000000001</v>
      </c>
      <c r="L335" s="92">
        <v>3.01</v>
      </c>
      <c r="M335" s="93">
        <v>3.2069999999999999</v>
      </c>
      <c r="N335" s="103">
        <v>3.0442999999999998</v>
      </c>
      <c r="O335" s="92">
        <v>2.4175</v>
      </c>
      <c r="P335" s="106">
        <v>1.9673</v>
      </c>
      <c r="Q335" s="92">
        <v>1.7662</v>
      </c>
      <c r="R335" s="92">
        <v>2.87</v>
      </c>
      <c r="S335" s="92">
        <v>2.145</v>
      </c>
      <c r="T335" s="92">
        <v>1.9514</v>
      </c>
      <c r="U335" s="92">
        <v>1.4483999999999999</v>
      </c>
      <c r="V335" s="92">
        <v>0.9375</v>
      </c>
      <c r="W335" s="92"/>
      <c r="X335" s="92">
        <v>0.83410000000000006</v>
      </c>
    </row>
    <row r="336" spans="1:24" x14ac:dyDescent="0.25">
      <c r="A336" s="34" t="s">
        <v>74</v>
      </c>
      <c r="B336" s="101">
        <f t="shared" si="70"/>
        <v>43795</v>
      </c>
      <c r="C336" s="34">
        <f>+C329+1</f>
        <v>48</v>
      </c>
      <c r="D336" s="78">
        <v>42700</v>
      </c>
      <c r="E336" s="102">
        <f t="shared" si="71"/>
        <v>43795</v>
      </c>
      <c r="F336" s="92"/>
      <c r="G336" s="92">
        <v>2.1957</v>
      </c>
      <c r="H336" s="92">
        <v>2.2362000000000002</v>
      </c>
      <c r="I336" s="92">
        <v>1.6867000000000001</v>
      </c>
      <c r="J336" s="92">
        <v>1.6862999999999999</v>
      </c>
      <c r="K336" s="92">
        <v>2.6865000000000001</v>
      </c>
      <c r="L336" s="92">
        <v>3.0163000000000002</v>
      </c>
      <c r="M336" s="93">
        <v>3.2021000000000002</v>
      </c>
      <c r="N336" s="103">
        <v>3.0442999999999998</v>
      </c>
      <c r="O336" s="92">
        <v>2.4175</v>
      </c>
      <c r="P336" s="106">
        <v>1.9673</v>
      </c>
      <c r="Q336" s="92">
        <v>1.6473</v>
      </c>
      <c r="R336" s="92">
        <v>2.8224999999999998</v>
      </c>
      <c r="S336" s="92">
        <v>2.145</v>
      </c>
      <c r="T336" s="92">
        <v>1.9514</v>
      </c>
      <c r="U336" s="92">
        <v>1.4483999999999999</v>
      </c>
      <c r="V336" s="92">
        <v>0.9375</v>
      </c>
      <c r="W336" s="92"/>
      <c r="X336" s="92">
        <v>0.82410000000000005</v>
      </c>
    </row>
    <row r="337" spans="1:33" x14ac:dyDescent="0.25">
      <c r="A337" s="34" t="s">
        <v>74</v>
      </c>
      <c r="B337" s="101">
        <f t="shared" si="70"/>
        <v>43796</v>
      </c>
      <c r="C337" s="34">
        <f>+C336</f>
        <v>48</v>
      </c>
      <c r="D337" s="78">
        <v>42701</v>
      </c>
      <c r="E337" s="102">
        <f t="shared" si="71"/>
        <v>43796</v>
      </c>
      <c r="F337" s="92"/>
      <c r="G337" s="92">
        <v>2.1957</v>
      </c>
      <c r="H337" s="92">
        <v>2.1739000000000002</v>
      </c>
      <c r="I337" s="92">
        <v>1.6867000000000001</v>
      </c>
      <c r="J337" s="92">
        <v>1.6862999999999999</v>
      </c>
      <c r="K337" s="92">
        <v>2.6865000000000001</v>
      </c>
      <c r="L337" s="92">
        <v>3.0163000000000002</v>
      </c>
      <c r="M337" s="93">
        <v>3.1753</v>
      </c>
      <c r="N337" s="103">
        <v>3.0409000000000002</v>
      </c>
      <c r="O337" s="92">
        <v>2.4175</v>
      </c>
      <c r="P337" s="106">
        <v>1.9673</v>
      </c>
      <c r="Q337" s="92">
        <v>1.6473</v>
      </c>
      <c r="R337" s="92">
        <v>2.7225000000000001</v>
      </c>
      <c r="S337" s="92">
        <v>2.1949999999999998</v>
      </c>
      <c r="T337" s="92">
        <v>1.9474</v>
      </c>
      <c r="U337" s="92">
        <v>1.4483999999999999</v>
      </c>
      <c r="V337" s="92">
        <v>0.9375</v>
      </c>
      <c r="W337" s="92"/>
      <c r="X337" s="92">
        <v>0.82410000000000005</v>
      </c>
    </row>
    <row r="338" spans="1:33" x14ac:dyDescent="0.25">
      <c r="A338" s="34" t="s">
        <v>74</v>
      </c>
      <c r="B338" s="101">
        <f t="shared" si="70"/>
        <v>43797</v>
      </c>
      <c r="C338" s="34">
        <f>+C337</f>
        <v>48</v>
      </c>
      <c r="D338" s="78">
        <v>42702</v>
      </c>
      <c r="E338" s="102">
        <f t="shared" si="71"/>
        <v>43797</v>
      </c>
      <c r="F338" s="92"/>
      <c r="G338" s="92">
        <v>2.1957</v>
      </c>
      <c r="H338" s="92">
        <v>2.1739000000000002</v>
      </c>
      <c r="I338" s="92">
        <v>1.6746000000000001</v>
      </c>
      <c r="J338" s="92">
        <v>1.6862999999999999</v>
      </c>
      <c r="K338" s="92">
        <v>2.6865000000000001</v>
      </c>
      <c r="L338" s="92">
        <v>3.0163000000000002</v>
      </c>
      <c r="M338" s="93">
        <v>3.1255999999999999</v>
      </c>
      <c r="N338" s="103">
        <v>3.0356999999999998</v>
      </c>
      <c r="O338" s="92">
        <v>2.5026000000000002</v>
      </c>
      <c r="P338" s="106">
        <v>1.9673</v>
      </c>
      <c r="Q338" s="92">
        <v>1.6473</v>
      </c>
      <c r="R338" s="92">
        <v>2.6425000000000001</v>
      </c>
      <c r="S338" s="92">
        <v>2.1850000000000001</v>
      </c>
      <c r="T338" s="92">
        <v>1.8974</v>
      </c>
      <c r="U338" s="92">
        <v>1.4497</v>
      </c>
      <c r="V338" s="92">
        <v>0.9375</v>
      </c>
      <c r="W338" s="92"/>
      <c r="X338" s="92">
        <v>0.82010000000000005</v>
      </c>
    </row>
    <row r="339" spans="1:33" x14ac:dyDescent="0.25">
      <c r="A339" s="34" t="s">
        <v>74</v>
      </c>
      <c r="B339" s="101">
        <f t="shared" si="70"/>
        <v>43798</v>
      </c>
      <c r="C339" s="34">
        <f>+C338</f>
        <v>48</v>
      </c>
      <c r="D339" s="78">
        <v>42703</v>
      </c>
      <c r="E339" s="102">
        <f t="shared" si="71"/>
        <v>43798</v>
      </c>
      <c r="F339" s="92"/>
      <c r="G339" s="92">
        <v>2.1957</v>
      </c>
      <c r="H339" s="92">
        <v>2.1739000000000002</v>
      </c>
      <c r="I339" s="92">
        <v>1.6774</v>
      </c>
      <c r="J339" s="92">
        <v>1.69</v>
      </c>
      <c r="K339" s="92">
        <v>2.6865000000000001</v>
      </c>
      <c r="L339" s="92">
        <v>3.0163000000000002</v>
      </c>
      <c r="M339" s="93">
        <v>3.1255999999999999</v>
      </c>
      <c r="N339" s="103">
        <v>3.0712999999999999</v>
      </c>
      <c r="O339" s="92">
        <v>2.5209000000000001</v>
      </c>
      <c r="P339" s="106">
        <v>2.0346000000000002</v>
      </c>
      <c r="Q339" s="92">
        <v>1.6473</v>
      </c>
      <c r="R339" s="92">
        <v>2.6150000000000002</v>
      </c>
      <c r="S339" s="92">
        <v>2.2349999999999999</v>
      </c>
      <c r="T339" s="92">
        <v>1.7748999999999999</v>
      </c>
      <c r="U339" s="92">
        <v>1.4283999999999999</v>
      </c>
      <c r="V339" s="92">
        <v>0.9375</v>
      </c>
      <c r="W339" s="92"/>
      <c r="X339" s="92">
        <v>0.82010000000000005</v>
      </c>
    </row>
    <row r="340" spans="1:33" x14ac:dyDescent="0.25">
      <c r="A340" s="34" t="s">
        <v>74</v>
      </c>
      <c r="B340" s="101">
        <f t="shared" si="70"/>
        <v>43799</v>
      </c>
      <c r="C340" s="34">
        <f t="shared" ref="C340:C342" si="73">+C339</f>
        <v>48</v>
      </c>
      <c r="D340" s="78">
        <v>42704</v>
      </c>
      <c r="E340" s="102">
        <f t="shared" si="71"/>
        <v>43799</v>
      </c>
      <c r="F340" s="92"/>
      <c r="G340" s="92">
        <v>2.2014999999999998</v>
      </c>
      <c r="H340" s="92">
        <v>2.1739000000000002</v>
      </c>
      <c r="I340" s="92">
        <v>1.6465000000000001</v>
      </c>
      <c r="J340" s="92">
        <v>1.69</v>
      </c>
      <c r="K340" s="92">
        <v>2.6865000000000001</v>
      </c>
      <c r="L340" s="92">
        <v>3.0163000000000002</v>
      </c>
      <c r="M340" s="93">
        <v>3.1255999999999999</v>
      </c>
      <c r="N340" s="103">
        <v>3.0695999999999999</v>
      </c>
      <c r="O340" s="92">
        <v>2.4805000000000001</v>
      </c>
      <c r="P340" s="106">
        <v>2.0514999999999999</v>
      </c>
      <c r="Q340" s="92">
        <v>1.6473</v>
      </c>
      <c r="R340" s="92">
        <v>2.6150000000000002</v>
      </c>
      <c r="S340" s="92">
        <v>2.2400000000000002</v>
      </c>
      <c r="T340" s="92">
        <v>1.6628999999999998</v>
      </c>
      <c r="U340" s="92">
        <v>1.3951</v>
      </c>
      <c r="V340" s="92">
        <v>0.9325</v>
      </c>
      <c r="W340" s="92"/>
      <c r="X340" s="92">
        <v>0.82010000000000005</v>
      </c>
      <c r="AG340" s="103"/>
    </row>
    <row r="341" spans="1:33" x14ac:dyDescent="0.25">
      <c r="A341" s="34" t="s">
        <v>75</v>
      </c>
      <c r="B341" s="101">
        <f t="shared" si="70"/>
        <v>43800</v>
      </c>
      <c r="C341" s="34">
        <f t="shared" si="73"/>
        <v>48</v>
      </c>
      <c r="D341" s="78">
        <v>42705</v>
      </c>
      <c r="E341" s="102">
        <f t="shared" si="71"/>
        <v>43800</v>
      </c>
      <c r="F341" s="92"/>
      <c r="G341" s="92">
        <v>2.2014999999999998</v>
      </c>
      <c r="H341" s="92">
        <v>2.1739000000000002</v>
      </c>
      <c r="I341" s="92">
        <v>1.7196</v>
      </c>
      <c r="J341" s="92">
        <v>1.69</v>
      </c>
      <c r="K341" s="92">
        <v>2.6865000000000001</v>
      </c>
      <c r="L341" s="92">
        <v>3.04453</v>
      </c>
      <c r="M341" s="93">
        <v>3.1255999999999999</v>
      </c>
      <c r="N341" s="103">
        <v>3.0203000000000002</v>
      </c>
      <c r="O341" s="92">
        <v>2.5550000000000002</v>
      </c>
      <c r="P341" s="106">
        <v>2.048</v>
      </c>
      <c r="Q341" s="92">
        <v>1.6798</v>
      </c>
      <c r="R341" s="92">
        <v>2.6150000000000002</v>
      </c>
      <c r="S341" s="92">
        <v>2.2400000000000002</v>
      </c>
      <c r="T341" s="92">
        <v>1.6560999999999999</v>
      </c>
      <c r="U341" s="92">
        <v>1.3275999999999999</v>
      </c>
      <c r="V341" s="92">
        <v>0.92849999999999999</v>
      </c>
      <c r="W341" s="92"/>
      <c r="X341" s="92">
        <v>0.8196</v>
      </c>
    </row>
    <row r="342" spans="1:33" x14ac:dyDescent="0.25">
      <c r="A342" s="34" t="s">
        <v>75</v>
      </c>
      <c r="B342" s="101">
        <f t="shared" si="70"/>
        <v>43801</v>
      </c>
      <c r="C342" s="34">
        <f t="shared" si="73"/>
        <v>48</v>
      </c>
      <c r="D342" s="78">
        <v>42706</v>
      </c>
      <c r="E342" s="102">
        <f t="shared" si="71"/>
        <v>43801</v>
      </c>
      <c r="F342" s="92"/>
      <c r="G342" s="92">
        <v>2.2014999999999998</v>
      </c>
      <c r="H342" s="92">
        <f>H341</f>
        <v>2.1739000000000002</v>
      </c>
      <c r="I342" s="92">
        <v>1.7951999999999999</v>
      </c>
      <c r="J342" s="92">
        <v>1.69</v>
      </c>
      <c r="K342" s="92">
        <v>2.6865000000000001</v>
      </c>
      <c r="L342" s="92">
        <v>3.0533999999999999</v>
      </c>
      <c r="M342" s="93">
        <v>3.1255999999999999</v>
      </c>
      <c r="N342" s="103">
        <v>3.0203000000000002</v>
      </c>
      <c r="O342" s="92">
        <v>2.5933999999999999</v>
      </c>
      <c r="P342" s="106">
        <v>2.0121000000000002</v>
      </c>
      <c r="Q342" s="92">
        <v>1.5548</v>
      </c>
      <c r="R342" s="92">
        <v>2.56</v>
      </c>
      <c r="S342" s="92">
        <v>2.2400000000000002</v>
      </c>
      <c r="T342" s="92">
        <v>1.6560999999999999</v>
      </c>
      <c r="U342" s="92">
        <v>1.2755999999999998</v>
      </c>
      <c r="V342" s="92">
        <v>0.9325</v>
      </c>
      <c r="W342" s="92"/>
      <c r="X342" s="92">
        <v>0.8196</v>
      </c>
    </row>
    <row r="343" spans="1:33" x14ac:dyDescent="0.25">
      <c r="A343" s="34" t="s">
        <v>75</v>
      </c>
      <c r="B343" s="101">
        <f t="shared" si="70"/>
        <v>43802</v>
      </c>
      <c r="C343" s="34">
        <f t="shared" ref="C343:C357" si="74">+C336+1</f>
        <v>49</v>
      </c>
      <c r="D343" s="78">
        <v>42707</v>
      </c>
      <c r="E343" s="102">
        <f t="shared" si="71"/>
        <v>43802</v>
      </c>
      <c r="F343" s="92"/>
      <c r="G343" s="92">
        <v>2.0167000000000002</v>
      </c>
      <c r="H343" s="92">
        <f>H342</f>
        <v>2.1739000000000002</v>
      </c>
      <c r="I343" s="92">
        <v>1.7951999999999999</v>
      </c>
      <c r="J343" s="92">
        <v>1.5</v>
      </c>
      <c r="K343" s="92">
        <v>2.6865000000000001</v>
      </c>
      <c r="L343" s="92">
        <v>3.0566</v>
      </c>
      <c r="M343" s="93">
        <v>3.1234999999999999</v>
      </c>
      <c r="N343" s="103">
        <v>3.0203000000000002</v>
      </c>
      <c r="O343" s="92">
        <v>2.5933999999999999</v>
      </c>
      <c r="P343" s="106">
        <v>2.0127000000000002</v>
      </c>
      <c r="Q343" s="92">
        <v>1.4648000000000001</v>
      </c>
      <c r="R343" s="92">
        <v>2.5350000000000001</v>
      </c>
      <c r="S343" s="92">
        <v>2.27</v>
      </c>
      <c r="T343" s="92">
        <v>1.6560999999999999</v>
      </c>
      <c r="U343" s="92">
        <v>1.2755999999999998</v>
      </c>
      <c r="V343" s="92">
        <v>0.97250000000000003</v>
      </c>
      <c r="W343" s="92"/>
      <c r="X343" s="92">
        <v>0.81659999999999999</v>
      </c>
    </row>
    <row r="344" spans="1:33" x14ac:dyDescent="0.25">
      <c r="A344" s="34" t="s">
        <v>75</v>
      </c>
      <c r="B344" s="101">
        <f t="shared" si="70"/>
        <v>43803</v>
      </c>
      <c r="C344" s="34">
        <f>+C343</f>
        <v>49</v>
      </c>
      <c r="D344" s="78">
        <v>42708</v>
      </c>
      <c r="E344" s="102">
        <f t="shared" si="71"/>
        <v>43803</v>
      </c>
      <c r="F344" s="92"/>
      <c r="G344" s="92">
        <v>2.0167000000000002</v>
      </c>
      <c r="H344" s="92">
        <v>2.1739000000000002</v>
      </c>
      <c r="I344" s="92">
        <v>1.7951999999999999</v>
      </c>
      <c r="J344" s="92">
        <v>1.5</v>
      </c>
      <c r="K344" s="92">
        <v>2.4895</v>
      </c>
      <c r="L344" s="92">
        <v>3.0560999999999998</v>
      </c>
      <c r="M344" s="93">
        <v>3.07</v>
      </c>
      <c r="N344" s="103">
        <v>3.0419</v>
      </c>
      <c r="O344" s="92">
        <v>2.5933999999999999</v>
      </c>
      <c r="P344" s="106">
        <v>2.0127000000000002</v>
      </c>
      <c r="Q344" s="92">
        <v>1.4648000000000001</v>
      </c>
      <c r="R344" s="92">
        <v>2.5474999999999999</v>
      </c>
      <c r="S344" s="92">
        <v>2.25</v>
      </c>
      <c r="T344" s="92">
        <v>1.6695</v>
      </c>
      <c r="U344" s="92">
        <v>1.2755999999999998</v>
      </c>
      <c r="V344" s="92">
        <v>0.97050000000000003</v>
      </c>
      <c r="W344" s="92"/>
      <c r="X344" s="92">
        <v>0.80859999999999999</v>
      </c>
    </row>
    <row r="345" spans="1:33" x14ac:dyDescent="0.25">
      <c r="A345" s="34" t="s">
        <v>75</v>
      </c>
      <c r="B345" s="101">
        <f t="shared" si="70"/>
        <v>43804</v>
      </c>
      <c r="C345" s="34">
        <f>+C344</f>
        <v>49</v>
      </c>
      <c r="D345" s="78">
        <v>42709</v>
      </c>
      <c r="E345" s="102">
        <f t="shared" si="71"/>
        <v>43804</v>
      </c>
      <c r="F345" s="92"/>
      <c r="G345" s="92">
        <v>2.0167000000000002</v>
      </c>
      <c r="H345" s="92">
        <v>2.1587999999999998</v>
      </c>
      <c r="I345" s="92">
        <v>1.7493000000000001</v>
      </c>
      <c r="J345" s="92">
        <v>1.5</v>
      </c>
      <c r="K345" s="92">
        <v>2.2288000000000001</v>
      </c>
      <c r="L345" s="92">
        <v>3.0567000000000002</v>
      </c>
      <c r="M345" s="93">
        <v>3</v>
      </c>
      <c r="N345" s="103">
        <v>3.0392000000000001</v>
      </c>
      <c r="O345" s="92">
        <v>2.5903</v>
      </c>
      <c r="P345" s="106">
        <v>2.0127000000000002</v>
      </c>
      <c r="Q345" s="92">
        <v>1.3997999999999999</v>
      </c>
      <c r="R345" s="92">
        <v>2.5350000000000001</v>
      </c>
      <c r="S345" s="92">
        <v>2.21</v>
      </c>
      <c r="T345" s="92">
        <v>1.6821999999999999</v>
      </c>
      <c r="U345" s="92">
        <v>1.2397</v>
      </c>
      <c r="V345" s="92">
        <v>0.97050000000000003</v>
      </c>
      <c r="W345" s="92"/>
      <c r="X345" s="92">
        <v>0.78910000000000002</v>
      </c>
    </row>
    <row r="346" spans="1:33" x14ac:dyDescent="0.25">
      <c r="A346" s="34" t="s">
        <v>75</v>
      </c>
      <c r="B346" s="101">
        <f t="shared" si="70"/>
        <v>43805</v>
      </c>
      <c r="C346" s="34">
        <f>+C345</f>
        <v>49</v>
      </c>
      <c r="D346" s="78">
        <v>42710</v>
      </c>
      <c r="E346" s="102">
        <f t="shared" si="71"/>
        <v>43805</v>
      </c>
      <c r="F346" s="92"/>
      <c r="G346" s="92">
        <v>2.0167000000000002</v>
      </c>
      <c r="H346" s="92">
        <v>2.1587999999999998</v>
      </c>
      <c r="I346" s="92">
        <v>1.7481</v>
      </c>
      <c r="J346" s="92">
        <v>1.5</v>
      </c>
      <c r="K346" s="92">
        <v>2.2288000000000001</v>
      </c>
      <c r="L346" s="92">
        <v>3.0567000000000002</v>
      </c>
      <c r="M346" s="93">
        <v>2.9544000000000001</v>
      </c>
      <c r="N346" s="103">
        <v>3.0507</v>
      </c>
      <c r="O346" s="92">
        <v>2.6387999999999998</v>
      </c>
      <c r="P346" s="106">
        <v>1.9928999999999999</v>
      </c>
      <c r="Q346" s="92">
        <v>1.3997999999999999</v>
      </c>
      <c r="R346" s="92">
        <v>2.59</v>
      </c>
      <c r="S346" s="92">
        <v>2.25</v>
      </c>
      <c r="T346" s="92">
        <v>1.6525000000000001</v>
      </c>
      <c r="U346" s="92">
        <v>1.1955</v>
      </c>
      <c r="V346" s="92">
        <v>0.97050000000000003</v>
      </c>
      <c r="W346" s="92"/>
      <c r="X346" s="92">
        <v>0.78910000000000002</v>
      </c>
    </row>
    <row r="347" spans="1:33" x14ac:dyDescent="0.25">
      <c r="A347" s="34" t="s">
        <v>75</v>
      </c>
      <c r="B347" s="101">
        <f t="shared" si="70"/>
        <v>43806</v>
      </c>
      <c r="C347" s="34">
        <f t="shared" ref="C347:C349" si="75">+C346</f>
        <v>49</v>
      </c>
      <c r="D347" s="78">
        <v>42711</v>
      </c>
      <c r="E347" s="102">
        <f t="shared" si="71"/>
        <v>43806</v>
      </c>
      <c r="F347" s="92"/>
      <c r="G347" s="92">
        <v>2.0167000000000002</v>
      </c>
      <c r="H347" s="92">
        <v>2.1587999999999998</v>
      </c>
      <c r="I347" s="92">
        <v>1.7126999999999999</v>
      </c>
      <c r="J347" s="92">
        <v>1.5</v>
      </c>
      <c r="K347" s="92">
        <v>2.2288000000000001</v>
      </c>
      <c r="L347" s="92">
        <v>3.0567000000000002</v>
      </c>
      <c r="M347" s="93">
        <v>2.9077000000000002</v>
      </c>
      <c r="N347" s="103">
        <v>3.0243000000000002</v>
      </c>
      <c r="O347" s="92">
        <v>2.6356000000000002</v>
      </c>
      <c r="P347" s="106">
        <v>1.9655</v>
      </c>
      <c r="Q347" s="92">
        <v>1.3997999999999999</v>
      </c>
      <c r="R347" s="92">
        <v>2.59</v>
      </c>
      <c r="S347" s="92">
        <v>2.2349999999999999</v>
      </c>
      <c r="T347" s="92">
        <v>1.6094999999999999</v>
      </c>
      <c r="U347" s="92">
        <v>1.1637999999999999</v>
      </c>
      <c r="V347" s="92">
        <v>0.96050000000000002</v>
      </c>
      <c r="W347" s="92"/>
      <c r="X347" s="92">
        <v>0.78910000000000002</v>
      </c>
    </row>
    <row r="348" spans="1:33" x14ac:dyDescent="0.25">
      <c r="A348" s="34" t="s">
        <v>75</v>
      </c>
      <c r="B348" s="101">
        <f t="shared" si="70"/>
        <v>43807</v>
      </c>
      <c r="C348" s="34">
        <f t="shared" si="75"/>
        <v>49</v>
      </c>
      <c r="D348" s="78">
        <v>42712</v>
      </c>
      <c r="E348" s="102">
        <f t="shared" si="71"/>
        <v>43807</v>
      </c>
      <c r="F348" s="92"/>
      <c r="G348" s="92">
        <v>2.0167000000000002</v>
      </c>
      <c r="H348" s="92">
        <v>2.1587999999999998</v>
      </c>
      <c r="I348" s="92">
        <v>1.7060999999999999</v>
      </c>
      <c r="J348" s="92">
        <v>1.5</v>
      </c>
      <c r="K348" s="92">
        <v>2.2530999999999999</v>
      </c>
      <c r="L348" s="92">
        <v>3.0693000000000001</v>
      </c>
      <c r="M348" s="93">
        <v>2.9077000000000002</v>
      </c>
      <c r="N348" s="103">
        <v>2.9746999999999999</v>
      </c>
      <c r="O348" s="92">
        <v>2.6137999999999999</v>
      </c>
      <c r="P348" s="106">
        <v>1.956</v>
      </c>
      <c r="Q348" s="92">
        <v>1.3260000000000001</v>
      </c>
      <c r="R348" s="92">
        <v>2.59</v>
      </c>
      <c r="S348" s="92">
        <v>2.2349999999999999</v>
      </c>
      <c r="T348" s="92">
        <v>1.6364999999999998</v>
      </c>
      <c r="U348" s="92">
        <v>1.1366999999999998</v>
      </c>
      <c r="V348" s="92">
        <v>0.99450000000000005</v>
      </c>
      <c r="W348" s="92"/>
      <c r="X348" s="92">
        <v>0.78410000000000002</v>
      </c>
    </row>
    <row r="349" spans="1:33" x14ac:dyDescent="0.25">
      <c r="A349" s="34" t="s">
        <v>75</v>
      </c>
      <c r="B349" s="101">
        <f t="shared" si="70"/>
        <v>43808</v>
      </c>
      <c r="C349" s="34">
        <f t="shared" si="75"/>
        <v>49</v>
      </c>
      <c r="D349" s="78">
        <v>42713</v>
      </c>
      <c r="E349" s="102">
        <f t="shared" si="71"/>
        <v>43808</v>
      </c>
      <c r="F349" s="92"/>
      <c r="G349" s="92">
        <v>2.0167000000000002</v>
      </c>
      <c r="H349" s="92">
        <v>2.1587999999999998</v>
      </c>
      <c r="I349" s="92">
        <v>1.7097</v>
      </c>
      <c r="J349" s="92">
        <v>1.5</v>
      </c>
      <c r="K349" s="92">
        <v>2.2530999999999999</v>
      </c>
      <c r="L349" s="92">
        <v>3.0693000000000001</v>
      </c>
      <c r="M349" s="93">
        <v>2.9077000000000002</v>
      </c>
      <c r="N349" s="103">
        <v>2.9746999999999999</v>
      </c>
      <c r="O349" s="92">
        <v>2.6381000000000001</v>
      </c>
      <c r="P349" s="106">
        <v>1.8887</v>
      </c>
      <c r="Q349" s="92">
        <v>1.371</v>
      </c>
      <c r="R349" s="92">
        <v>2.5663</v>
      </c>
      <c r="S349" s="92">
        <v>2.2349999999999999</v>
      </c>
      <c r="T349" s="92">
        <v>1.6364999999999998</v>
      </c>
      <c r="U349" s="92">
        <v>1.1458999999999999</v>
      </c>
      <c r="V349" s="92">
        <v>0.98120000000000007</v>
      </c>
      <c r="W349" s="92"/>
      <c r="X349" s="92">
        <v>0.78260000000000007</v>
      </c>
    </row>
    <row r="350" spans="1:33" x14ac:dyDescent="0.25">
      <c r="A350" s="34" t="s">
        <v>75</v>
      </c>
      <c r="B350" s="101">
        <f t="shared" si="70"/>
        <v>43809</v>
      </c>
      <c r="C350" s="34">
        <f>+C343+1</f>
        <v>50</v>
      </c>
      <c r="D350" s="78">
        <v>42714</v>
      </c>
      <c r="E350" s="102">
        <f t="shared" si="71"/>
        <v>43809</v>
      </c>
      <c r="F350" s="92"/>
      <c r="G350" s="92">
        <v>2.0167000000000002</v>
      </c>
      <c r="H350" s="92">
        <v>2.1587999999999998</v>
      </c>
      <c r="I350" s="92">
        <v>1.7097</v>
      </c>
      <c r="J350" s="92">
        <v>1.5</v>
      </c>
      <c r="K350" s="92">
        <v>2.2530999999999999</v>
      </c>
      <c r="L350" s="92">
        <v>3.0135999999999998</v>
      </c>
      <c r="M350" s="93">
        <v>2.8793000000000002</v>
      </c>
      <c r="N350" s="103">
        <v>2.9746999999999999</v>
      </c>
      <c r="O350" s="92">
        <v>2.6381000000000001</v>
      </c>
      <c r="P350" s="106">
        <v>1.9117999999999999</v>
      </c>
      <c r="Q350" s="92">
        <v>1.2935000000000001</v>
      </c>
      <c r="R350" s="92">
        <v>2.5024999999999999</v>
      </c>
      <c r="S350" s="92">
        <v>2.2124999999999999</v>
      </c>
      <c r="T350" s="92">
        <v>1.6364999999999998</v>
      </c>
      <c r="U350" s="92">
        <v>1.1458999999999999</v>
      </c>
      <c r="V350" s="92">
        <v>0.98720000000000008</v>
      </c>
      <c r="W350" s="92"/>
      <c r="X350" s="92">
        <v>0.78450000000000009</v>
      </c>
    </row>
    <row r="351" spans="1:33" x14ac:dyDescent="0.25">
      <c r="A351" s="34" t="s">
        <v>75</v>
      </c>
      <c r="B351" s="101">
        <f t="shared" si="70"/>
        <v>43810</v>
      </c>
      <c r="C351" s="34">
        <f>+C350</f>
        <v>50</v>
      </c>
      <c r="D351" s="78">
        <v>42715</v>
      </c>
      <c r="E351" s="102">
        <f t="shared" si="71"/>
        <v>43810</v>
      </c>
      <c r="F351" s="92"/>
      <c r="G351" s="92">
        <v>2.0167000000000002</v>
      </c>
      <c r="H351" s="92">
        <v>2.0405000000000002</v>
      </c>
      <c r="I351" s="92">
        <v>1.7097</v>
      </c>
      <c r="J351" s="92">
        <v>1.5</v>
      </c>
      <c r="K351" s="92">
        <v>2.13</v>
      </c>
      <c r="L351" s="92">
        <v>3.0135999999999998</v>
      </c>
      <c r="M351" s="93">
        <v>2.8593999999999999</v>
      </c>
      <c r="N351" s="103">
        <v>2.9567999999999999</v>
      </c>
      <c r="O351" s="92">
        <v>2.6381000000000001</v>
      </c>
      <c r="P351" s="106">
        <v>1.9117999999999999</v>
      </c>
      <c r="Q351" s="92">
        <v>1.2935000000000001</v>
      </c>
      <c r="R351" s="92">
        <v>2.56</v>
      </c>
      <c r="S351" s="92">
        <v>2.1524999999999999</v>
      </c>
      <c r="T351" s="92">
        <v>1.6559999999999999</v>
      </c>
      <c r="U351" s="92">
        <v>1.1458999999999999</v>
      </c>
      <c r="V351" s="92">
        <v>0.98120000000000007</v>
      </c>
      <c r="W351" s="92"/>
      <c r="X351" s="92">
        <v>0.78890000000000005</v>
      </c>
    </row>
    <row r="352" spans="1:33" x14ac:dyDescent="0.25">
      <c r="A352" s="34" t="s">
        <v>75</v>
      </c>
      <c r="B352" s="101">
        <f t="shared" si="70"/>
        <v>43811</v>
      </c>
      <c r="C352" s="34">
        <f>+C351</f>
        <v>50</v>
      </c>
      <c r="D352" s="78">
        <v>42716</v>
      </c>
      <c r="E352" s="102">
        <f t="shared" si="71"/>
        <v>43811</v>
      </c>
      <c r="F352" s="92"/>
      <c r="G352" s="92">
        <v>1.9645999999999999</v>
      </c>
      <c r="H352" s="92">
        <v>2.0405000000000002</v>
      </c>
      <c r="I352" s="92">
        <v>1.7097</v>
      </c>
      <c r="J352" s="92">
        <v>1.5</v>
      </c>
      <c r="K352" s="92">
        <v>2.13</v>
      </c>
      <c r="L352" s="92">
        <v>3.0135999999999998</v>
      </c>
      <c r="M352" s="93">
        <v>2.8908</v>
      </c>
      <c r="N352" s="103">
        <v>2.9394</v>
      </c>
      <c r="O352" s="92">
        <v>2.6293000000000002</v>
      </c>
      <c r="P352" s="106">
        <v>1.9117999999999999</v>
      </c>
      <c r="Q352" s="92">
        <v>1.361</v>
      </c>
      <c r="R352" s="92">
        <v>2.6775000000000002</v>
      </c>
      <c r="S352" s="92">
        <v>2.1124999999999998</v>
      </c>
      <c r="T352" s="92">
        <v>1.7195</v>
      </c>
      <c r="U352" s="92">
        <v>1.1613</v>
      </c>
      <c r="V352" s="92">
        <v>0.98120000000000007</v>
      </c>
      <c r="W352" s="92"/>
      <c r="X352" s="92">
        <v>0.78890000000000005</v>
      </c>
    </row>
    <row r="353" spans="1:24" x14ac:dyDescent="0.25">
      <c r="A353" s="34" t="s">
        <v>75</v>
      </c>
      <c r="B353" s="101">
        <f t="shared" si="70"/>
        <v>43812</v>
      </c>
      <c r="C353" s="34">
        <f>+C352</f>
        <v>50</v>
      </c>
      <c r="D353" s="78">
        <v>42717</v>
      </c>
      <c r="E353" s="102">
        <f t="shared" si="71"/>
        <v>43812</v>
      </c>
      <c r="F353" s="92"/>
      <c r="G353" s="92">
        <v>1.9645999999999999</v>
      </c>
      <c r="H353" s="92">
        <v>2.0405000000000002</v>
      </c>
      <c r="I353" s="92">
        <v>1.7233000000000001</v>
      </c>
      <c r="J353" s="92">
        <v>1.4499</v>
      </c>
      <c r="K353" s="92">
        <v>2.13</v>
      </c>
      <c r="L353" s="92">
        <v>3.0135999999999998</v>
      </c>
      <c r="M353" s="93">
        <v>2.9319999999999999</v>
      </c>
      <c r="N353" s="103">
        <v>2.9706000000000001</v>
      </c>
      <c r="O353" s="92">
        <v>2.609</v>
      </c>
      <c r="P353" s="106">
        <v>1.905</v>
      </c>
      <c r="Q353" s="92">
        <v>1.361</v>
      </c>
      <c r="R353" s="92">
        <v>2.66</v>
      </c>
      <c r="S353" s="92">
        <v>2.0825</v>
      </c>
      <c r="T353" s="92">
        <v>1.8075000000000001</v>
      </c>
      <c r="U353" s="92">
        <v>1.1579999999999999</v>
      </c>
      <c r="V353" s="92">
        <v>0.98120000000000007</v>
      </c>
      <c r="W353" s="92"/>
      <c r="X353" s="92">
        <v>0.78890000000000005</v>
      </c>
    </row>
    <row r="354" spans="1:24" x14ac:dyDescent="0.25">
      <c r="A354" s="34" t="s">
        <v>75</v>
      </c>
      <c r="B354" s="101">
        <f t="shared" si="70"/>
        <v>43813</v>
      </c>
      <c r="C354" s="34">
        <f t="shared" ref="C354:C356" si="76">+C353</f>
        <v>50</v>
      </c>
      <c r="D354" s="78">
        <v>42718</v>
      </c>
      <c r="E354" s="102">
        <f t="shared" si="71"/>
        <v>43813</v>
      </c>
      <c r="F354" s="92"/>
      <c r="G354" s="92">
        <v>1.9645999999999999</v>
      </c>
      <c r="H354" s="92">
        <v>2.0405000000000002</v>
      </c>
      <c r="I354" s="92">
        <v>1.7233000000000001</v>
      </c>
      <c r="J354" s="92">
        <v>1.3587</v>
      </c>
      <c r="K354" s="92">
        <v>2.11</v>
      </c>
      <c r="L354" s="92">
        <v>3.0135999999999998</v>
      </c>
      <c r="M354" s="93">
        <v>2.9178000000000002</v>
      </c>
      <c r="N354" s="103">
        <v>2.8873000000000002</v>
      </c>
      <c r="O354" s="92">
        <v>2.5663</v>
      </c>
      <c r="P354" s="106">
        <v>1.93</v>
      </c>
      <c r="Q354" s="92">
        <v>1.361</v>
      </c>
      <c r="R354" s="92">
        <v>2.66</v>
      </c>
      <c r="S354" s="92">
        <v>2.0825</v>
      </c>
      <c r="T354" s="92">
        <v>1.8574999999999999</v>
      </c>
      <c r="U354" s="92">
        <v>1.1651</v>
      </c>
      <c r="V354" s="92">
        <v>0.98520000000000008</v>
      </c>
      <c r="W354" s="92"/>
      <c r="X354" s="92">
        <v>0.78890000000000005</v>
      </c>
    </row>
    <row r="355" spans="1:24" x14ac:dyDescent="0.25">
      <c r="A355" s="34" t="s">
        <v>75</v>
      </c>
      <c r="B355" s="101">
        <f t="shared" si="70"/>
        <v>43814</v>
      </c>
      <c r="C355" s="34">
        <f t="shared" si="76"/>
        <v>50</v>
      </c>
      <c r="D355" s="78">
        <v>42719</v>
      </c>
      <c r="E355" s="102">
        <f t="shared" si="71"/>
        <v>43814</v>
      </c>
      <c r="F355" s="92"/>
      <c r="G355" s="92">
        <v>1.9645999999999999</v>
      </c>
      <c r="H355" s="92">
        <v>2.0405000000000002</v>
      </c>
      <c r="I355" s="92">
        <v>1.7097</v>
      </c>
      <c r="J355" s="92">
        <v>1.3587</v>
      </c>
      <c r="K355" s="92">
        <v>2.0365000000000002</v>
      </c>
      <c r="L355" s="92">
        <v>3.0135999999999998</v>
      </c>
      <c r="M355" s="93">
        <v>2.9178000000000002</v>
      </c>
      <c r="N355" s="103">
        <v>2.8967000000000001</v>
      </c>
      <c r="O355" s="92">
        <v>2.5531999999999999</v>
      </c>
      <c r="P355" s="106">
        <v>1.9355</v>
      </c>
      <c r="Q355" s="92">
        <v>1.3534999999999999</v>
      </c>
      <c r="R355" s="92">
        <v>2.66</v>
      </c>
      <c r="S355" s="92">
        <v>2.0825</v>
      </c>
      <c r="T355" s="92">
        <v>1.8534999999999999</v>
      </c>
      <c r="U355" s="92">
        <v>1.1985999999999999</v>
      </c>
      <c r="V355" s="92">
        <v>0.98350000000000004</v>
      </c>
      <c r="W355" s="92"/>
      <c r="X355" s="92">
        <v>0.79390000000000005</v>
      </c>
    </row>
    <row r="356" spans="1:24" x14ac:dyDescent="0.25">
      <c r="A356" s="34" t="s">
        <v>75</v>
      </c>
      <c r="B356" s="101">
        <f t="shared" si="70"/>
        <v>43815</v>
      </c>
      <c r="C356" s="34">
        <f t="shared" si="76"/>
        <v>50</v>
      </c>
      <c r="D356" s="78">
        <v>42720</v>
      </c>
      <c r="E356" s="102">
        <f t="shared" si="71"/>
        <v>43815</v>
      </c>
      <c r="F356" s="92"/>
      <c r="G356" s="92">
        <v>1.9645999999999999</v>
      </c>
      <c r="H356" s="92">
        <v>2.0405000000000002</v>
      </c>
      <c r="I356" s="92">
        <v>1.7676000000000001</v>
      </c>
      <c r="J356" s="92">
        <v>1.3587</v>
      </c>
      <c r="K356" s="92">
        <v>2.0365000000000002</v>
      </c>
      <c r="L356" s="92">
        <v>3.0135999999999998</v>
      </c>
      <c r="M356" s="93">
        <v>2.9178000000000002</v>
      </c>
      <c r="N356" s="103">
        <v>2.8967000000000001</v>
      </c>
      <c r="O356" s="92">
        <v>2.5531999999999999</v>
      </c>
      <c r="P356" s="106">
        <v>1.992</v>
      </c>
      <c r="Q356" s="92">
        <v>1.3134999999999999</v>
      </c>
      <c r="R356" s="92">
        <v>2.6475</v>
      </c>
      <c r="S356" s="92">
        <v>2.0825</v>
      </c>
      <c r="T356" s="92">
        <v>1.8534999999999999</v>
      </c>
      <c r="U356" s="92">
        <v>1.2246999999999999</v>
      </c>
      <c r="V356" s="92">
        <v>0.98</v>
      </c>
      <c r="W356" s="92"/>
      <c r="X356" s="92">
        <v>0.79760000000000009</v>
      </c>
    </row>
    <row r="357" spans="1:24" x14ac:dyDescent="0.25">
      <c r="A357" s="34" t="s">
        <v>75</v>
      </c>
      <c r="B357" s="101">
        <f t="shared" si="70"/>
        <v>43816</v>
      </c>
      <c r="C357" s="34">
        <f t="shared" si="74"/>
        <v>51</v>
      </c>
      <c r="D357" s="78">
        <v>42721</v>
      </c>
      <c r="E357" s="102">
        <f t="shared" si="71"/>
        <v>43816</v>
      </c>
      <c r="F357" s="92"/>
      <c r="G357" s="92">
        <v>1.9645999999999999</v>
      </c>
      <c r="H357" s="92">
        <v>2.0405000000000002</v>
      </c>
      <c r="I357" s="92">
        <v>1.7676000000000001</v>
      </c>
      <c r="J357" s="92">
        <v>1.2847</v>
      </c>
      <c r="K357" s="92">
        <v>2.0365000000000002</v>
      </c>
      <c r="L357" s="92">
        <v>3.0085000000000002</v>
      </c>
      <c r="M357" s="93">
        <v>2.9523000000000001</v>
      </c>
      <c r="N357" s="103">
        <v>2.8967000000000001</v>
      </c>
      <c r="O357" s="92">
        <v>2.5531999999999999</v>
      </c>
      <c r="P357" s="106">
        <v>1.9943</v>
      </c>
      <c r="Q357" s="92">
        <v>1.331</v>
      </c>
      <c r="R357" s="92">
        <v>2.6324999999999998</v>
      </c>
      <c r="S357" s="92">
        <v>2.0924999999999998</v>
      </c>
      <c r="T357" s="92">
        <v>1.8534999999999999</v>
      </c>
      <c r="U357" s="92">
        <v>1.2246999999999999</v>
      </c>
      <c r="V357" s="92">
        <v>0.97750000000000004</v>
      </c>
      <c r="W357" s="92"/>
      <c r="X357" s="92">
        <v>0.81010000000000004</v>
      </c>
    </row>
    <row r="358" spans="1:24" x14ac:dyDescent="0.25">
      <c r="A358" s="34" t="s">
        <v>75</v>
      </c>
      <c r="B358" s="101">
        <f t="shared" si="70"/>
        <v>43817</v>
      </c>
      <c r="C358" s="34">
        <f>+C357</f>
        <v>51</v>
      </c>
      <c r="D358" s="78">
        <v>42722</v>
      </c>
      <c r="E358" s="102">
        <f t="shared" si="71"/>
        <v>43817</v>
      </c>
      <c r="F358" s="92"/>
      <c r="G358" s="92">
        <v>1.9198999999999999</v>
      </c>
      <c r="H358" s="92">
        <v>2.0177999999999998</v>
      </c>
      <c r="I358" s="92">
        <v>1.7676000000000001</v>
      </c>
      <c r="J358" s="92">
        <v>1.2847</v>
      </c>
      <c r="K358" s="92">
        <v>2.0365000000000002</v>
      </c>
      <c r="L358" s="92">
        <v>3.0642</v>
      </c>
      <c r="M358" s="93">
        <v>2.9312</v>
      </c>
      <c r="N358" s="103">
        <v>2.8950999999999998</v>
      </c>
      <c r="O358" s="92">
        <v>2.5531999999999999</v>
      </c>
      <c r="P358" s="106">
        <v>1.9943</v>
      </c>
      <c r="Q358" s="92">
        <v>1.3023</v>
      </c>
      <c r="R358" s="92">
        <v>2.61</v>
      </c>
      <c r="S358" s="92">
        <v>2.11</v>
      </c>
      <c r="T358" s="92">
        <v>1.8261999999999998</v>
      </c>
      <c r="U358" s="92">
        <v>1.2246999999999999</v>
      </c>
      <c r="V358" s="92">
        <v>0.97650000000000003</v>
      </c>
      <c r="W358" s="92"/>
      <c r="X358" s="92">
        <v>0.83790000000000009</v>
      </c>
    </row>
    <row r="359" spans="1:24" x14ac:dyDescent="0.25">
      <c r="A359" s="34" t="s">
        <v>75</v>
      </c>
      <c r="B359" s="101">
        <f t="shared" si="70"/>
        <v>43818</v>
      </c>
      <c r="C359" s="34">
        <f>+C358</f>
        <v>51</v>
      </c>
      <c r="D359" s="78">
        <v>42723</v>
      </c>
      <c r="E359" s="102">
        <f t="shared" si="71"/>
        <v>43818</v>
      </c>
      <c r="F359" s="92"/>
      <c r="G359" s="92">
        <f>G358</f>
        <v>1.9198999999999999</v>
      </c>
      <c r="H359" s="92">
        <v>2.0177999999999998</v>
      </c>
      <c r="I359" s="92">
        <v>1.7676000000000001</v>
      </c>
      <c r="J359" s="92">
        <v>1.2847</v>
      </c>
      <c r="K359" s="92">
        <v>2.0365000000000002</v>
      </c>
      <c r="L359" s="92">
        <v>3.0642</v>
      </c>
      <c r="M359" s="93">
        <v>3.0882999999999998</v>
      </c>
      <c r="N359" s="103">
        <v>2.8900999999999999</v>
      </c>
      <c r="O359" s="92">
        <v>2.5651000000000002</v>
      </c>
      <c r="P359" s="106">
        <v>1.9943</v>
      </c>
      <c r="Q359" s="92">
        <v>1.3023</v>
      </c>
      <c r="R359" s="92">
        <v>2.6575000000000002</v>
      </c>
      <c r="S359" s="92">
        <v>2.0750000000000002</v>
      </c>
      <c r="T359" s="92">
        <v>1.8054999999999999</v>
      </c>
      <c r="U359" s="92">
        <v>1.2645999999999999</v>
      </c>
      <c r="V359" s="92">
        <v>0.97650000000000003</v>
      </c>
      <c r="W359" s="92"/>
      <c r="X359" s="92">
        <v>0.87490000000000001</v>
      </c>
    </row>
    <row r="360" spans="1:24" x14ac:dyDescent="0.25">
      <c r="A360" s="34" t="s">
        <v>75</v>
      </c>
      <c r="B360" s="101">
        <f t="shared" si="70"/>
        <v>43819</v>
      </c>
      <c r="C360" s="34">
        <f>+C359</f>
        <v>51</v>
      </c>
      <c r="D360" s="78">
        <v>42724</v>
      </c>
      <c r="E360" s="102">
        <f t="shared" si="71"/>
        <v>43819</v>
      </c>
      <c r="F360" s="92"/>
      <c r="G360" s="92">
        <v>1.9474</v>
      </c>
      <c r="H360" s="92">
        <v>2.0219</v>
      </c>
      <c r="I360" s="92">
        <v>1.7676000000000001</v>
      </c>
      <c r="J360" s="92">
        <v>1.2847</v>
      </c>
      <c r="K360" s="92">
        <v>2.0365000000000002</v>
      </c>
      <c r="L360" s="92">
        <v>3.0642</v>
      </c>
      <c r="M360" s="93">
        <v>3.1497999999999999</v>
      </c>
      <c r="N360" s="103">
        <v>2.964</v>
      </c>
      <c r="O360" s="92">
        <v>2.5775999999999999</v>
      </c>
      <c r="P360" s="106">
        <v>2.0304000000000002</v>
      </c>
      <c r="Q360" s="92">
        <v>1.3023</v>
      </c>
      <c r="R360" s="92">
        <v>2.63</v>
      </c>
      <c r="S360" s="92">
        <v>2.085</v>
      </c>
      <c r="T360" s="92">
        <v>1.8167</v>
      </c>
      <c r="U360" s="92">
        <v>1.3046</v>
      </c>
      <c r="V360" s="92">
        <v>0.97650000000000003</v>
      </c>
      <c r="W360" s="92"/>
      <c r="X360" s="92">
        <v>0.87490000000000001</v>
      </c>
    </row>
    <row r="361" spans="1:24" x14ac:dyDescent="0.25">
      <c r="A361" s="34" t="s">
        <v>75</v>
      </c>
      <c r="B361" s="101">
        <f t="shared" si="70"/>
        <v>43820</v>
      </c>
      <c r="C361" s="34">
        <f t="shared" ref="C361:C363" si="77">+C360</f>
        <v>51</v>
      </c>
      <c r="D361" s="78">
        <v>42725</v>
      </c>
      <c r="E361" s="102">
        <f t="shared" si="71"/>
        <v>43820</v>
      </c>
      <c r="F361" s="92"/>
      <c r="G361" s="92">
        <v>1.9474</v>
      </c>
      <c r="H361" s="92">
        <v>2.0206</v>
      </c>
      <c r="I361" s="92">
        <v>1.7776000000000001</v>
      </c>
      <c r="J361" s="92">
        <v>1.2847</v>
      </c>
      <c r="K361" s="92">
        <v>2.0365000000000002</v>
      </c>
      <c r="L361" s="92">
        <v>3.0642</v>
      </c>
      <c r="M361" s="93">
        <v>3.1934999999999998</v>
      </c>
      <c r="N361" s="103">
        <v>3.0347</v>
      </c>
      <c r="O361" s="92">
        <v>2.6055000000000001</v>
      </c>
      <c r="P361" s="106">
        <v>2.0419</v>
      </c>
      <c r="Q361" s="92">
        <v>1.3023</v>
      </c>
      <c r="R361" s="92">
        <v>2.63</v>
      </c>
      <c r="S361" s="92">
        <v>2.0350000000000001</v>
      </c>
      <c r="T361" s="92">
        <v>1.8597999999999999</v>
      </c>
      <c r="U361" s="92">
        <v>1.3454999999999999</v>
      </c>
      <c r="V361" s="92">
        <v>0.96750000000000003</v>
      </c>
      <c r="W361" s="92"/>
      <c r="X361" s="92">
        <v>0.87490000000000001</v>
      </c>
    </row>
    <row r="362" spans="1:24" x14ac:dyDescent="0.25">
      <c r="A362" s="34" t="s">
        <v>75</v>
      </c>
      <c r="B362" s="101">
        <f t="shared" si="70"/>
        <v>43821</v>
      </c>
      <c r="C362" s="34">
        <f t="shared" si="77"/>
        <v>51</v>
      </c>
      <c r="D362" s="78">
        <v>42726</v>
      </c>
      <c r="E362" s="102">
        <f t="shared" si="71"/>
        <v>43821</v>
      </c>
      <c r="F362" s="92"/>
      <c r="G362" s="92">
        <v>1.9474</v>
      </c>
      <c r="H362" s="92">
        <v>2.0259</v>
      </c>
      <c r="I362" s="92">
        <v>1.7776000000000001</v>
      </c>
      <c r="J362" s="92">
        <v>1.2847</v>
      </c>
      <c r="K362" s="92">
        <v>2.0365000000000002</v>
      </c>
      <c r="L362" s="92">
        <v>3.1126</v>
      </c>
      <c r="M362" s="93">
        <v>3.1934999999999998</v>
      </c>
      <c r="N362" s="103">
        <v>3.0392000000000001</v>
      </c>
      <c r="O362" s="92">
        <v>2.6204000000000001</v>
      </c>
      <c r="P362" s="106">
        <v>2.0558000000000001</v>
      </c>
      <c r="Q362" s="92">
        <v>1.3434999999999999</v>
      </c>
      <c r="R362" s="92">
        <v>2.63</v>
      </c>
      <c r="S362" s="92">
        <v>2.0350000000000001</v>
      </c>
      <c r="T362" s="92">
        <v>1.8537999999999999</v>
      </c>
      <c r="U362" s="92">
        <v>1.3543999999999998</v>
      </c>
      <c r="V362" s="92">
        <v>0.94990000000000008</v>
      </c>
      <c r="W362" s="92"/>
      <c r="X362" s="92">
        <v>0.87790000000000001</v>
      </c>
    </row>
    <row r="363" spans="1:24" x14ac:dyDescent="0.25">
      <c r="A363" s="34" t="s">
        <v>75</v>
      </c>
      <c r="B363" s="101">
        <f t="shared" si="70"/>
        <v>43822</v>
      </c>
      <c r="C363" s="34">
        <f t="shared" si="77"/>
        <v>51</v>
      </c>
      <c r="D363" s="78">
        <v>42727</v>
      </c>
      <c r="E363" s="102">
        <f t="shared" si="71"/>
        <v>43822</v>
      </c>
      <c r="F363" s="92"/>
      <c r="G363" s="92">
        <v>1.9474</v>
      </c>
      <c r="H363" s="92">
        <v>2.0259</v>
      </c>
      <c r="I363" s="92">
        <v>1.7776000000000001</v>
      </c>
      <c r="J363" s="92">
        <v>1.2847</v>
      </c>
      <c r="K363" s="92">
        <v>2.0365000000000002</v>
      </c>
      <c r="L363" s="92">
        <v>3.1126</v>
      </c>
      <c r="M363" s="93">
        <v>3.1934999999999998</v>
      </c>
      <c r="N363" s="103">
        <v>3.0392000000000001</v>
      </c>
      <c r="O363" s="92">
        <v>2.6204000000000001</v>
      </c>
      <c r="P363" s="106">
        <v>2.1139000000000001</v>
      </c>
      <c r="Q363" s="92">
        <v>1.3434999999999999</v>
      </c>
      <c r="R363" s="92">
        <v>2.6349999999999998</v>
      </c>
      <c r="S363" s="92">
        <v>2.0350000000000001</v>
      </c>
      <c r="T363" s="92">
        <v>1.8537999999999999</v>
      </c>
      <c r="U363" s="92">
        <v>1.3522999999999998</v>
      </c>
      <c r="V363" s="92">
        <v>0.94990000000000008</v>
      </c>
      <c r="W363" s="92"/>
      <c r="X363" s="92">
        <v>0.90839999999999999</v>
      </c>
    </row>
    <row r="364" spans="1:24" x14ac:dyDescent="0.25">
      <c r="A364" s="34" t="s">
        <v>75</v>
      </c>
      <c r="B364" s="101">
        <f t="shared" si="70"/>
        <v>43823</v>
      </c>
      <c r="C364" s="34">
        <f>+C357+1</f>
        <v>52</v>
      </c>
      <c r="D364" s="78">
        <v>42728</v>
      </c>
      <c r="E364" s="102">
        <f t="shared" si="71"/>
        <v>43823</v>
      </c>
      <c r="F364" s="92"/>
      <c r="G364" s="92">
        <v>1.9474</v>
      </c>
      <c r="H364" s="92">
        <v>2.0259</v>
      </c>
      <c r="I364" s="92">
        <v>1.7776000000000001</v>
      </c>
      <c r="J364" s="92">
        <v>1.2847</v>
      </c>
      <c r="K364" s="92">
        <v>2.0365000000000002</v>
      </c>
      <c r="L364" s="92">
        <v>3.1126</v>
      </c>
      <c r="M364" s="93">
        <v>3.1764000000000001</v>
      </c>
      <c r="N364" s="103">
        <v>3.0392000000000001</v>
      </c>
      <c r="O364" s="92">
        <v>2.6204000000000001</v>
      </c>
      <c r="P364" s="106">
        <v>2.1139000000000001</v>
      </c>
      <c r="Q364" s="92">
        <v>1.3434999999999999</v>
      </c>
      <c r="R364" s="92">
        <v>2.6349999999999998</v>
      </c>
      <c r="S364" s="92">
        <v>2.0350000000000001</v>
      </c>
      <c r="T364" s="92">
        <v>1.8537999999999999</v>
      </c>
      <c r="U364" s="92">
        <v>1.3522999999999998</v>
      </c>
      <c r="V364" s="92">
        <v>0.94990000000000008</v>
      </c>
      <c r="W364" s="92"/>
      <c r="X364" s="92">
        <v>0.90839999999999999</v>
      </c>
    </row>
    <row r="365" spans="1:24" x14ac:dyDescent="0.25">
      <c r="A365" s="34" t="s">
        <v>75</v>
      </c>
      <c r="B365" s="101">
        <f t="shared" si="70"/>
        <v>43824</v>
      </c>
      <c r="C365" s="34">
        <f t="shared" ref="C365:C370" si="78">+C358+1</f>
        <v>52</v>
      </c>
      <c r="D365" s="78">
        <v>42729</v>
      </c>
      <c r="E365" s="102">
        <f t="shared" si="71"/>
        <v>43824</v>
      </c>
      <c r="F365" s="92"/>
      <c r="G365" s="92">
        <v>1.9474</v>
      </c>
      <c r="H365" s="92">
        <v>2.0259</v>
      </c>
      <c r="I365" s="92">
        <v>1.7776000000000001</v>
      </c>
      <c r="J365" s="92">
        <v>1.2847</v>
      </c>
      <c r="K365" s="92">
        <v>1.9257</v>
      </c>
      <c r="L365" s="92">
        <v>3.1126</v>
      </c>
      <c r="M365" s="93">
        <v>3.1764000000000001</v>
      </c>
      <c r="N365" s="103">
        <v>3.0392000000000001</v>
      </c>
      <c r="O365" s="92">
        <v>2.6204000000000001</v>
      </c>
      <c r="P365" s="106">
        <v>2.1139000000000001</v>
      </c>
      <c r="Q365" s="92">
        <v>1.3434999999999999</v>
      </c>
      <c r="R365" s="92">
        <v>2.62</v>
      </c>
      <c r="S365" s="92">
        <v>2.105</v>
      </c>
      <c r="T365" s="92">
        <v>1.8537999999999999</v>
      </c>
      <c r="U365" s="92">
        <v>1.3522999999999998</v>
      </c>
      <c r="V365" s="92">
        <v>0.94990000000000008</v>
      </c>
      <c r="W365" s="92"/>
      <c r="X365" s="92">
        <v>0.91990000000000005</v>
      </c>
    </row>
    <row r="366" spans="1:24" x14ac:dyDescent="0.25">
      <c r="A366" s="34" t="s">
        <v>75</v>
      </c>
      <c r="B366" s="101">
        <f t="shared" si="70"/>
        <v>43825</v>
      </c>
      <c r="C366" s="34">
        <f t="shared" si="78"/>
        <v>52</v>
      </c>
      <c r="D366" s="78">
        <v>42730</v>
      </c>
      <c r="E366" s="102">
        <f t="shared" si="71"/>
        <v>43825</v>
      </c>
      <c r="F366" s="92"/>
      <c r="G366" s="92">
        <v>1.7847</v>
      </c>
      <c r="H366" s="92">
        <v>2.0259</v>
      </c>
      <c r="I366" s="92">
        <v>1.7776000000000001</v>
      </c>
      <c r="J366" s="92">
        <v>1.2847</v>
      </c>
      <c r="K366" s="92">
        <v>1.9257</v>
      </c>
      <c r="L366" s="92">
        <v>3.1193</v>
      </c>
      <c r="M366" s="93">
        <v>3.1629999999999998</v>
      </c>
      <c r="N366" s="103">
        <v>3.0426000000000002</v>
      </c>
      <c r="O366" s="92">
        <v>2.6263000000000001</v>
      </c>
      <c r="P366" s="106">
        <v>2.1139000000000001</v>
      </c>
      <c r="Q366" s="92">
        <v>1.3247</v>
      </c>
      <c r="R366" s="92">
        <v>2.64</v>
      </c>
      <c r="S366" s="92">
        <v>2.105</v>
      </c>
      <c r="T366" s="92">
        <v>1.837</v>
      </c>
      <c r="U366" s="92">
        <v>1.3522999999999998</v>
      </c>
      <c r="V366" s="92">
        <v>0.94990000000000008</v>
      </c>
      <c r="W366" s="92"/>
      <c r="X366" s="92">
        <v>0.93540000000000001</v>
      </c>
    </row>
    <row r="367" spans="1:24" x14ac:dyDescent="0.25">
      <c r="A367" s="34" t="s">
        <v>75</v>
      </c>
      <c r="B367" s="101">
        <f t="shared" si="70"/>
        <v>43826</v>
      </c>
      <c r="C367" s="34">
        <f t="shared" si="78"/>
        <v>52</v>
      </c>
      <c r="D367" s="78">
        <v>42731</v>
      </c>
      <c r="E367" s="102">
        <f t="shared" si="71"/>
        <v>43826</v>
      </c>
      <c r="F367" s="92"/>
      <c r="G367" s="92">
        <v>1.7847</v>
      </c>
      <c r="H367" s="92">
        <v>2.1114000000000002</v>
      </c>
      <c r="I367" s="92">
        <v>1.8396999999999999</v>
      </c>
      <c r="J367" s="92">
        <v>1.2677</v>
      </c>
      <c r="K367" s="92">
        <v>1.9257</v>
      </c>
      <c r="L367" s="92">
        <v>3.1193</v>
      </c>
      <c r="M367" s="93">
        <v>3.2115999999999998</v>
      </c>
      <c r="N367" s="103">
        <v>3.0579000000000001</v>
      </c>
      <c r="O367" s="92">
        <v>2.6097999999999999</v>
      </c>
      <c r="P367" s="106">
        <v>2.1398999999999999</v>
      </c>
      <c r="Q367" s="92">
        <v>1.3247</v>
      </c>
      <c r="R367" s="92">
        <v>2.69</v>
      </c>
      <c r="S367" s="92">
        <v>2.0390000000000001</v>
      </c>
      <c r="T367" s="92">
        <v>1.7788999999999999</v>
      </c>
      <c r="U367" s="92">
        <v>1.2972999999999999</v>
      </c>
      <c r="V367" s="92">
        <v>0.94990000000000008</v>
      </c>
      <c r="W367" s="92"/>
      <c r="X367" s="92">
        <v>0.93540000000000001</v>
      </c>
    </row>
    <row r="368" spans="1:24" x14ac:dyDescent="0.25">
      <c r="A368" s="34" t="s">
        <v>75</v>
      </c>
      <c r="B368" s="101">
        <f t="shared" si="70"/>
        <v>43827</v>
      </c>
      <c r="C368" s="34">
        <f t="shared" si="78"/>
        <v>52</v>
      </c>
      <c r="D368" s="78">
        <v>42732</v>
      </c>
      <c r="E368" s="102">
        <f t="shared" si="71"/>
        <v>43827</v>
      </c>
      <c r="F368" s="92"/>
      <c r="G368" s="92">
        <v>1.7847</v>
      </c>
      <c r="H368" s="92">
        <v>2.1132</v>
      </c>
      <c r="I368" s="92">
        <v>1.8689</v>
      </c>
      <c r="J368" s="92">
        <v>1.2677</v>
      </c>
      <c r="K368" s="92">
        <v>1.9257</v>
      </c>
      <c r="L368" s="92">
        <v>3.1193</v>
      </c>
      <c r="M368" s="93">
        <v>3.2311999999999999</v>
      </c>
      <c r="N368" s="103">
        <v>3.0455000000000001</v>
      </c>
      <c r="O368" s="92">
        <v>2.6086999999999998</v>
      </c>
      <c r="P368" s="106">
        <v>2.1903999999999999</v>
      </c>
      <c r="Q368" s="92">
        <v>1.3247</v>
      </c>
      <c r="R368" s="92">
        <v>2.69</v>
      </c>
      <c r="S368" s="92">
        <v>2.0070000000000001</v>
      </c>
      <c r="T368" s="92">
        <v>1.8075999999999999</v>
      </c>
      <c r="U368" s="92">
        <v>1.2724</v>
      </c>
      <c r="V368" s="92">
        <v>0.94990000000000008</v>
      </c>
      <c r="W368" s="92"/>
      <c r="X368" s="92">
        <v>0.93540000000000001</v>
      </c>
    </row>
    <row r="369" spans="1:25" x14ac:dyDescent="0.25">
      <c r="A369" s="34" t="s">
        <v>75</v>
      </c>
      <c r="B369" s="101">
        <f t="shared" si="70"/>
        <v>43828</v>
      </c>
      <c r="C369" s="34">
        <f t="shared" si="78"/>
        <v>52</v>
      </c>
      <c r="D369" s="78">
        <v>42733</v>
      </c>
      <c r="E369" s="102">
        <f t="shared" si="71"/>
        <v>43828</v>
      </c>
      <c r="F369" s="92"/>
      <c r="G369" s="92">
        <v>1.7847</v>
      </c>
      <c r="H369" s="92">
        <v>2.1095999999999999</v>
      </c>
      <c r="I369" s="92">
        <v>1.8514999999999999</v>
      </c>
      <c r="J369" s="92">
        <v>1.2677</v>
      </c>
      <c r="K369" s="92">
        <v>1.9257</v>
      </c>
      <c r="L369" s="92">
        <v>3.1419999999999999</v>
      </c>
      <c r="M369" s="93">
        <v>3.2311999999999999</v>
      </c>
      <c r="N369" s="103">
        <v>3.0600999999999998</v>
      </c>
      <c r="O369" s="92">
        <v>2.6057999999999999</v>
      </c>
      <c r="P369" s="106">
        <v>2.2440000000000002</v>
      </c>
      <c r="Q369" s="92">
        <v>1.3047</v>
      </c>
      <c r="R369" s="92">
        <v>2.69</v>
      </c>
      <c r="S369" s="92">
        <v>2.0070000000000001</v>
      </c>
      <c r="T369" s="92">
        <v>1.8459999999999999</v>
      </c>
      <c r="U369" s="92">
        <v>1.2735999999999998</v>
      </c>
      <c r="V369" s="92">
        <v>0.95790000000000008</v>
      </c>
      <c r="W369" s="92"/>
      <c r="X369" s="92">
        <v>0.93840000000000001</v>
      </c>
    </row>
    <row r="370" spans="1:25" x14ac:dyDescent="0.25">
      <c r="A370" s="34" t="s">
        <v>75</v>
      </c>
      <c r="B370" s="101">
        <f t="shared" si="70"/>
        <v>43829</v>
      </c>
      <c r="C370" s="34">
        <f t="shared" si="78"/>
        <v>52</v>
      </c>
      <c r="D370" s="78">
        <v>42734</v>
      </c>
      <c r="E370" s="102">
        <f t="shared" si="71"/>
        <v>43829</v>
      </c>
      <c r="F370" s="92"/>
      <c r="G370" s="92">
        <v>1.7847</v>
      </c>
      <c r="H370" s="92">
        <f>+H369</f>
        <v>2.1095999999999999</v>
      </c>
      <c r="I370" s="92">
        <v>1.8795999999999999</v>
      </c>
      <c r="J370" s="92">
        <v>1.2677</v>
      </c>
      <c r="K370" s="92">
        <v>1.9257</v>
      </c>
      <c r="L370" s="92">
        <v>3.0874000000000001</v>
      </c>
      <c r="M370" s="93">
        <v>3.2311999999999999</v>
      </c>
      <c r="N370" s="103"/>
      <c r="O370" s="92">
        <v>2.6057999999999999</v>
      </c>
      <c r="P370" s="106"/>
      <c r="Q370" s="92">
        <v>1.3573</v>
      </c>
      <c r="R370" s="92">
        <v>2.665</v>
      </c>
      <c r="S370" s="92">
        <v>2.0070000000000001</v>
      </c>
      <c r="T370" s="92"/>
      <c r="U370" s="92">
        <v>1.2869999999999999</v>
      </c>
      <c r="V370" s="92">
        <v>0.94650000000000001</v>
      </c>
      <c r="W370" s="92"/>
      <c r="X370" s="92">
        <v>0.93740000000000001</v>
      </c>
    </row>
    <row r="371" spans="1:25" x14ac:dyDescent="0.25">
      <c r="A371" s="34" t="s">
        <v>75</v>
      </c>
      <c r="B371" s="101">
        <f t="shared" si="70"/>
        <v>43830</v>
      </c>
      <c r="D371" s="78">
        <v>42735</v>
      </c>
      <c r="E371" s="102">
        <f t="shared" si="71"/>
        <v>43830</v>
      </c>
      <c r="F371" s="92"/>
      <c r="G371" s="92">
        <v>1.7847</v>
      </c>
      <c r="H371" s="92">
        <f>+H370</f>
        <v>2.1095999999999999</v>
      </c>
      <c r="I371" s="92">
        <v>1.8795999999999999</v>
      </c>
      <c r="J371" s="92">
        <v>1.2677</v>
      </c>
      <c r="M371" s="93">
        <v>3.1806000000000001</v>
      </c>
      <c r="N371" s="103"/>
      <c r="O371" s="92"/>
      <c r="P371" s="106"/>
      <c r="Q371" s="92">
        <v>1.351</v>
      </c>
      <c r="R371" s="92"/>
      <c r="S371" s="92"/>
      <c r="T371" s="92"/>
      <c r="U371" s="92"/>
      <c r="V371" s="92"/>
      <c r="W371" s="92"/>
      <c r="X371" s="92"/>
    </row>
    <row r="372" spans="1:25" x14ac:dyDescent="0.25">
      <c r="E372" s="102"/>
      <c r="F372" s="92"/>
      <c r="M372" s="103"/>
      <c r="N372" s="103">
        <f>AVERAGE(N6:N371)</f>
        <v>3.1593535714285732</v>
      </c>
      <c r="O372" s="92">
        <f>AVERAGE(O6:O371)</f>
        <v>2.3501100276243085</v>
      </c>
      <c r="P372" s="92">
        <f>AVERAGE(P6:P371)</f>
        <v>1.7823387362637373</v>
      </c>
      <c r="Q372" s="92">
        <f t="shared" ref="Q372:X372" si="79">AVERAGE(Q6:Q371)</f>
        <v>2.9942505464480869</v>
      </c>
      <c r="R372" s="92">
        <f t="shared" si="79"/>
        <v>2.2938605479452074</v>
      </c>
      <c r="S372" s="92">
        <f t="shared" si="79"/>
        <v>2.131032876712331</v>
      </c>
      <c r="T372" s="92">
        <f t="shared" si="79"/>
        <v>1.8742626373626388</v>
      </c>
      <c r="U372" s="92">
        <f t="shared" si="79"/>
        <v>1.3270202739726018</v>
      </c>
      <c r="V372" s="92">
        <f t="shared" si="79"/>
        <v>0.96356493150685063</v>
      </c>
      <c r="W372" s="92"/>
      <c r="X372" s="92">
        <f t="shared" si="79"/>
        <v>0.75041780821917814</v>
      </c>
      <c r="Y372" s="115"/>
    </row>
    <row r="373" spans="1:25" x14ac:dyDescent="0.25">
      <c r="A373" s="50"/>
      <c r="B373" s="50"/>
      <c r="C373" s="50"/>
      <c r="D373" s="93"/>
      <c r="E373" s="93" t="s">
        <v>163</v>
      </c>
      <c r="F373" s="106">
        <f>AVERAGE(F6:F371)</f>
        <v>1.9739859154929573</v>
      </c>
      <c r="G373" s="93">
        <f>AVERAGE(G6:G371)</f>
        <v>2.3408495890410932</v>
      </c>
      <c r="H373" s="93">
        <f>AVERAGE(H6:H371)</f>
        <v>1.9214298630136972</v>
      </c>
      <c r="I373" s="93">
        <f t="shared" ref="I373:M373" si="80">AVERAGE(I6:I371)</f>
        <v>1.549406010928962</v>
      </c>
      <c r="J373" s="93">
        <f t="shared" si="80"/>
        <v>1.9011415300546468</v>
      </c>
      <c r="K373" s="93">
        <f t="shared" si="80"/>
        <v>2.9852241369862988</v>
      </c>
      <c r="L373" s="93">
        <f t="shared" si="80"/>
        <v>3.1763145753424658</v>
      </c>
      <c r="M373" s="93">
        <f t="shared" si="80"/>
        <v>3.2613445355191275</v>
      </c>
      <c r="N373" s="93"/>
      <c r="O373" s="93"/>
      <c r="P373" s="93"/>
      <c r="Q373" s="93"/>
      <c r="R373" s="93"/>
      <c r="S373" s="93"/>
      <c r="T373" s="93"/>
      <c r="U373" s="93"/>
      <c r="V373" s="93"/>
      <c r="W373" s="93"/>
      <c r="X373" s="93"/>
      <c r="Y373" s="93"/>
    </row>
    <row r="374" spans="1:25" s="93" customFormat="1" x14ac:dyDescent="0.25">
      <c r="A374" s="34"/>
      <c r="B374" s="34"/>
      <c r="C374" s="34"/>
      <c r="D374" s="34"/>
      <c r="E374" s="34"/>
      <c r="F374" s="34"/>
      <c r="G374" s="34"/>
      <c r="H374" s="34"/>
      <c r="I374" s="92"/>
      <c r="J374" s="92"/>
      <c r="K374" s="92"/>
      <c r="L374" s="92"/>
      <c r="N374" s="34"/>
      <c r="O374" s="34"/>
      <c r="P374" s="94"/>
      <c r="Q374" s="115"/>
      <c r="R374" s="34"/>
      <c r="S374" s="34"/>
      <c r="T374" s="34"/>
      <c r="U374" s="34"/>
      <c r="V374" s="34"/>
      <c r="W374" s="34"/>
      <c r="X374" s="34"/>
      <c r="Y374" s="34"/>
    </row>
    <row r="375" spans="1:25" x14ac:dyDescent="0.25">
      <c r="O375" s="104"/>
      <c r="Q375" s="115"/>
    </row>
    <row r="376" spans="1:25" x14ac:dyDescent="0.25">
      <c r="Q376" s="115"/>
    </row>
    <row r="377" spans="1:25" x14ac:dyDescent="0.25">
      <c r="Q377" s="115"/>
    </row>
    <row r="378" spans="1:25" x14ac:dyDescent="0.25">
      <c r="Q378" s="115"/>
    </row>
    <row r="379" spans="1:25" x14ac:dyDescent="0.25">
      <c r="Q379" s="115"/>
    </row>
    <row r="380" spans="1:25" x14ac:dyDescent="0.25">
      <c r="Q380" s="115"/>
    </row>
    <row r="381" spans="1:25" x14ac:dyDescent="0.25">
      <c r="Q381" s="115"/>
    </row>
    <row r="382" spans="1:25" x14ac:dyDescent="0.25">
      <c r="Q382" s="115"/>
    </row>
    <row r="383" spans="1:25" x14ac:dyDescent="0.25">
      <c r="Q383" s="115"/>
    </row>
    <row r="384" spans="1:25" x14ac:dyDescent="0.25">
      <c r="Q384" s="115"/>
    </row>
    <row r="385" spans="17:17" x14ac:dyDescent="0.25">
      <c r="Q385" s="115"/>
    </row>
    <row r="386" spans="17:17" x14ac:dyDescent="0.25">
      <c r="Q386" s="115"/>
    </row>
    <row r="387" spans="17:17" x14ac:dyDescent="0.25">
      <c r="Q387" s="115"/>
    </row>
    <row r="388" spans="17:17" x14ac:dyDescent="0.25">
      <c r="Q388" s="115"/>
    </row>
    <row r="389" spans="17:17" x14ac:dyDescent="0.25">
      <c r="Q389" s="115"/>
    </row>
    <row r="390" spans="17:17" x14ac:dyDescent="0.25">
      <c r="Q390" s="115"/>
    </row>
    <row r="391" spans="17:17" x14ac:dyDescent="0.25">
      <c r="Q391" s="115"/>
    </row>
    <row r="392" spans="17:17" x14ac:dyDescent="0.25">
      <c r="Q392" s="115"/>
    </row>
    <row r="393" spans="17:17" x14ac:dyDescent="0.25">
      <c r="Q393" s="115"/>
    </row>
    <row r="394" spans="17:17" x14ac:dyDescent="0.25">
      <c r="Q394" s="115"/>
    </row>
    <row r="395" spans="17:17" x14ac:dyDescent="0.25">
      <c r="Q395" s="115"/>
    </row>
    <row r="396" spans="17:17" x14ac:dyDescent="0.25">
      <c r="Q396" s="115"/>
    </row>
    <row r="397" spans="17:17" x14ac:dyDescent="0.25">
      <c r="Q397" s="115"/>
    </row>
    <row r="398" spans="17:17" x14ac:dyDescent="0.25">
      <c r="Q398" s="115"/>
    </row>
    <row r="399" spans="17:17" x14ac:dyDescent="0.25">
      <c r="Q399" s="115"/>
    </row>
    <row r="400" spans="17:17" x14ac:dyDescent="0.25">
      <c r="Q400" s="115"/>
    </row>
    <row r="401" spans="17:17" x14ac:dyDescent="0.25">
      <c r="Q401" s="115"/>
    </row>
    <row r="402" spans="17:17" x14ac:dyDescent="0.25">
      <c r="Q402" s="115"/>
    </row>
    <row r="403" spans="17:17" x14ac:dyDescent="0.25">
      <c r="Q403" s="115"/>
    </row>
    <row r="404" spans="17:17" x14ac:dyDescent="0.25">
      <c r="Q404" s="115"/>
    </row>
    <row r="405" spans="17:17" x14ac:dyDescent="0.25">
      <c r="Q405" s="115"/>
    </row>
    <row r="406" spans="17:17" x14ac:dyDescent="0.25">
      <c r="Q406" s="115"/>
    </row>
    <row r="407" spans="17:17" x14ac:dyDescent="0.25">
      <c r="Q407" s="115"/>
    </row>
    <row r="408" spans="17:17" x14ac:dyDescent="0.25">
      <c r="Q408" s="115"/>
    </row>
    <row r="409" spans="17:17" x14ac:dyDescent="0.25">
      <c r="Q409" s="115"/>
    </row>
    <row r="410" spans="17:17" x14ac:dyDescent="0.25">
      <c r="Q410" s="115"/>
    </row>
    <row r="411" spans="17:17" x14ac:dyDescent="0.25">
      <c r="Q411" s="115"/>
    </row>
    <row r="412" spans="17:17" x14ac:dyDescent="0.25">
      <c r="Q412" s="115"/>
    </row>
    <row r="413" spans="17:17" x14ac:dyDescent="0.25">
      <c r="Q413" s="115"/>
    </row>
    <row r="414" spans="17:17" x14ac:dyDescent="0.25">
      <c r="Q414" s="115"/>
    </row>
    <row r="415" spans="17:17" x14ac:dyDescent="0.25">
      <c r="Q415" s="115"/>
    </row>
    <row r="416" spans="17:17" x14ac:dyDescent="0.25">
      <c r="Q416" s="115"/>
    </row>
    <row r="417" spans="17:17" x14ac:dyDescent="0.25">
      <c r="Q417" s="115"/>
    </row>
    <row r="418" spans="17:17" x14ac:dyDescent="0.25">
      <c r="Q418" s="115"/>
    </row>
    <row r="419" spans="17:17" x14ac:dyDescent="0.25">
      <c r="Q419" s="115"/>
    </row>
    <row r="420" spans="17:17" x14ac:dyDescent="0.25">
      <c r="Q420" s="115"/>
    </row>
    <row r="421" spans="17:17" x14ac:dyDescent="0.25">
      <c r="Q421" s="115"/>
    </row>
    <row r="422" spans="17:17" x14ac:dyDescent="0.25">
      <c r="Q422" s="115"/>
    </row>
    <row r="423" spans="17:17" x14ac:dyDescent="0.25">
      <c r="Q423" s="115"/>
    </row>
    <row r="424" spans="17:17" x14ac:dyDescent="0.25">
      <c r="Q424" s="115"/>
    </row>
    <row r="425" spans="17:17" x14ac:dyDescent="0.25">
      <c r="Q425" s="115"/>
    </row>
    <row r="426" spans="17:17" x14ac:dyDescent="0.25">
      <c r="Q426" s="115"/>
    </row>
    <row r="427" spans="17:17" x14ac:dyDescent="0.25">
      <c r="Q427" s="115"/>
    </row>
    <row r="428" spans="17:17" x14ac:dyDescent="0.25">
      <c r="Q428" s="115"/>
    </row>
    <row r="429" spans="17:17" x14ac:dyDescent="0.25">
      <c r="Q429" s="115"/>
    </row>
    <row r="430" spans="17:17" x14ac:dyDescent="0.25">
      <c r="Q430" s="115"/>
    </row>
    <row r="431" spans="17:17" x14ac:dyDescent="0.25">
      <c r="Q431" s="115"/>
    </row>
    <row r="432" spans="17:17" x14ac:dyDescent="0.25">
      <c r="Q432" s="115"/>
    </row>
    <row r="433" spans="17:17" x14ac:dyDescent="0.25">
      <c r="Q433" s="115"/>
    </row>
    <row r="434" spans="17:17" x14ac:dyDescent="0.25">
      <c r="Q434" s="115"/>
    </row>
    <row r="435" spans="17:17" x14ac:dyDescent="0.25">
      <c r="Q435" s="115"/>
    </row>
    <row r="436" spans="17:17" x14ac:dyDescent="0.25">
      <c r="Q436" s="115"/>
    </row>
    <row r="437" spans="17:17" x14ac:dyDescent="0.25">
      <c r="Q437" s="115"/>
    </row>
    <row r="438" spans="17:17" x14ac:dyDescent="0.25">
      <c r="Q438" s="115"/>
    </row>
    <row r="439" spans="17:17" x14ac:dyDescent="0.25">
      <c r="Q439" s="115"/>
    </row>
    <row r="440" spans="17:17" x14ac:dyDescent="0.25">
      <c r="Q440" s="115"/>
    </row>
    <row r="441" spans="17:17" x14ac:dyDescent="0.25">
      <c r="Q441" s="115"/>
    </row>
    <row r="442" spans="17:17" x14ac:dyDescent="0.25">
      <c r="Q442" s="115"/>
    </row>
    <row r="443" spans="17:17" x14ac:dyDescent="0.25">
      <c r="Q443" s="115"/>
    </row>
    <row r="444" spans="17:17" x14ac:dyDescent="0.25">
      <c r="Q444" s="115"/>
    </row>
    <row r="445" spans="17:17" x14ac:dyDescent="0.25">
      <c r="Q445" s="115"/>
    </row>
    <row r="446" spans="17:17" x14ac:dyDescent="0.25">
      <c r="Q446" s="115"/>
    </row>
    <row r="447" spans="17:17" x14ac:dyDescent="0.25">
      <c r="Q447" s="115"/>
    </row>
    <row r="448" spans="17:17" x14ac:dyDescent="0.25">
      <c r="Q448" s="115"/>
    </row>
    <row r="449" spans="17:17" x14ac:dyDescent="0.25">
      <c r="Q449" s="115"/>
    </row>
    <row r="450" spans="17:17" x14ac:dyDescent="0.25">
      <c r="Q450" s="115"/>
    </row>
    <row r="451" spans="17:17" x14ac:dyDescent="0.25">
      <c r="Q451" s="115"/>
    </row>
    <row r="452" spans="17:17" x14ac:dyDescent="0.25">
      <c r="Q452" s="115"/>
    </row>
    <row r="453" spans="17:17" x14ac:dyDescent="0.25">
      <c r="Q453" s="115"/>
    </row>
    <row r="454" spans="17:17" x14ac:dyDescent="0.25">
      <c r="Q454" s="115"/>
    </row>
    <row r="455" spans="17:17" x14ac:dyDescent="0.25">
      <c r="Q455" s="115"/>
    </row>
    <row r="456" spans="17:17" x14ac:dyDescent="0.25">
      <c r="Q456" s="115"/>
    </row>
    <row r="457" spans="17:17" x14ac:dyDescent="0.25">
      <c r="Q457" s="115"/>
    </row>
    <row r="458" spans="17:17" x14ac:dyDescent="0.25">
      <c r="Q458" s="115"/>
    </row>
    <row r="459" spans="17:17" x14ac:dyDescent="0.25">
      <c r="Q459" s="115"/>
    </row>
    <row r="460" spans="17:17" x14ac:dyDescent="0.25">
      <c r="Q460" s="115"/>
    </row>
    <row r="461" spans="17:17" x14ac:dyDescent="0.25">
      <c r="Q461" s="115"/>
    </row>
    <row r="462" spans="17:17" x14ac:dyDescent="0.25">
      <c r="Q462" s="115"/>
    </row>
    <row r="463" spans="17:17" x14ac:dyDescent="0.25">
      <c r="Q463" s="115"/>
    </row>
    <row r="464" spans="17:17" x14ac:dyDescent="0.25">
      <c r="Q464" s="115"/>
    </row>
    <row r="465" spans="17:17" x14ac:dyDescent="0.25">
      <c r="Q465" s="115"/>
    </row>
    <row r="466" spans="17:17" x14ac:dyDescent="0.25">
      <c r="Q466" s="115"/>
    </row>
    <row r="467" spans="17:17" x14ac:dyDescent="0.25">
      <c r="Q467" s="115"/>
    </row>
    <row r="468" spans="17:17" x14ac:dyDescent="0.25">
      <c r="Q468" s="115"/>
    </row>
    <row r="469" spans="17:17" x14ac:dyDescent="0.25">
      <c r="Q469" s="115"/>
    </row>
    <row r="470" spans="17:17" x14ac:dyDescent="0.25">
      <c r="Q470" s="115"/>
    </row>
    <row r="471" spans="17:17" x14ac:dyDescent="0.25">
      <c r="Q471" s="115"/>
    </row>
    <row r="472" spans="17:17" x14ac:dyDescent="0.25">
      <c r="Q472" s="115"/>
    </row>
    <row r="473" spans="17:17" x14ac:dyDescent="0.25">
      <c r="Q473" s="115"/>
    </row>
    <row r="474" spans="17:17" x14ac:dyDescent="0.25">
      <c r="Q474" s="115"/>
    </row>
    <row r="475" spans="17:17" x14ac:dyDescent="0.25">
      <c r="Q475" s="115"/>
    </row>
    <row r="476" spans="17:17" x14ac:dyDescent="0.25">
      <c r="Q476" s="115"/>
    </row>
    <row r="477" spans="17:17" x14ac:dyDescent="0.25">
      <c r="Q477" s="115"/>
    </row>
    <row r="478" spans="17:17" x14ac:dyDescent="0.25">
      <c r="Q478" s="115"/>
    </row>
    <row r="479" spans="17:17" x14ac:dyDescent="0.25">
      <c r="Q479" s="115"/>
    </row>
    <row r="480" spans="17:17" x14ac:dyDescent="0.25">
      <c r="Q480" s="115"/>
    </row>
    <row r="481" spans="17:17" x14ac:dyDescent="0.25">
      <c r="Q481" s="115"/>
    </row>
    <row r="482" spans="17:17" x14ac:dyDescent="0.25">
      <c r="Q482" s="115"/>
    </row>
    <row r="483" spans="17:17" x14ac:dyDescent="0.25">
      <c r="Q483" s="115"/>
    </row>
    <row r="484" spans="17:17" x14ac:dyDescent="0.25">
      <c r="Q484" s="115"/>
    </row>
    <row r="485" spans="17:17" x14ac:dyDescent="0.25">
      <c r="Q485" s="115"/>
    </row>
    <row r="486" spans="17:17" x14ac:dyDescent="0.25">
      <c r="Q486" s="115"/>
    </row>
    <row r="487" spans="17:17" x14ac:dyDescent="0.25">
      <c r="Q487" s="115"/>
    </row>
    <row r="488" spans="17:17" x14ac:dyDescent="0.25">
      <c r="Q488" s="115"/>
    </row>
    <row r="489" spans="17:17" x14ac:dyDescent="0.25">
      <c r="Q489" s="115"/>
    </row>
    <row r="490" spans="17:17" x14ac:dyDescent="0.25">
      <c r="Q490" s="115"/>
    </row>
    <row r="491" spans="17:17" x14ac:dyDescent="0.25">
      <c r="Q491" s="115"/>
    </row>
    <row r="492" spans="17:17" x14ac:dyDescent="0.25">
      <c r="Q492" s="115"/>
    </row>
    <row r="493" spans="17:17" x14ac:dyDescent="0.25">
      <c r="Q493" s="115"/>
    </row>
    <row r="494" spans="17:17" x14ac:dyDescent="0.25">
      <c r="Q494" s="115"/>
    </row>
    <row r="495" spans="17:17" x14ac:dyDescent="0.25">
      <c r="Q495" s="115"/>
    </row>
    <row r="496" spans="17:17" x14ac:dyDescent="0.25">
      <c r="Q496" s="115"/>
    </row>
    <row r="497" spans="17:17" x14ac:dyDescent="0.25">
      <c r="Q497" s="115"/>
    </row>
    <row r="498" spans="17:17" x14ac:dyDescent="0.25">
      <c r="Q498" s="115"/>
    </row>
    <row r="499" spans="17:17" x14ac:dyDescent="0.25">
      <c r="Q499" s="115"/>
    </row>
    <row r="500" spans="17:17" x14ac:dyDescent="0.25">
      <c r="Q500" s="115"/>
    </row>
    <row r="501" spans="17:17" x14ac:dyDescent="0.25">
      <c r="Q501" s="115"/>
    </row>
    <row r="502" spans="17:17" x14ac:dyDescent="0.25">
      <c r="Q502" s="115"/>
    </row>
    <row r="503" spans="17:17" x14ac:dyDescent="0.25">
      <c r="Q503" s="115"/>
    </row>
    <row r="504" spans="17:17" x14ac:dyDescent="0.25">
      <c r="Q504" s="115"/>
    </row>
    <row r="505" spans="17:17" x14ac:dyDescent="0.25">
      <c r="Q505" s="115"/>
    </row>
    <row r="506" spans="17:17" x14ac:dyDescent="0.25">
      <c r="Q506" s="115"/>
    </row>
    <row r="507" spans="17:17" x14ac:dyDescent="0.25">
      <c r="Q507" s="115"/>
    </row>
    <row r="508" spans="17:17" x14ac:dyDescent="0.25">
      <c r="Q508" s="115"/>
    </row>
    <row r="509" spans="17:17" x14ac:dyDescent="0.25">
      <c r="Q509" s="115"/>
    </row>
    <row r="510" spans="17:17" x14ac:dyDescent="0.25">
      <c r="Q510" s="115"/>
    </row>
    <row r="511" spans="17:17" x14ac:dyDescent="0.25">
      <c r="Q511" s="115"/>
    </row>
  </sheetData>
  <pageMargins left="0.75" right="0.75" top="1" bottom="1" header="0.5" footer="0.5"/>
  <pageSetup scale="70" orientation="portrait"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69507165F231498266BC8170837C7C" ma:contentTypeVersion="56" ma:contentTypeDescription="" ma:contentTypeScope="" ma:versionID="ed4975c00995c4076a5ea031fe9eb1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TS</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216</IndustryCode>
    <CaseStatus xmlns="dc463f71-b30c-4ab2-9473-d307f9d35888">Closed</CaseStatus>
    <OpenedDate xmlns="dc463f71-b30c-4ab2-9473-d307f9d35888">2019-03-22T07:00:00+00:00</OpenedDate>
    <SignificantOrder xmlns="dc463f71-b30c-4ab2-9473-d307f9d35888">false</SignificantOrder>
    <Date1 xmlns="dc463f71-b30c-4ab2-9473-d307f9d35888">2019-03-22T07:00:00+00:00</Date1>
    <IsDocumentOrder xmlns="dc463f71-b30c-4ab2-9473-d307f9d35888">false</IsDocumentOrder>
    <IsHighlyConfidential xmlns="dc463f71-b30c-4ab2-9473-d307f9d35888">false</IsHighlyConfidential>
    <CaseCompanyNames xmlns="dc463f71-b30c-4ab2-9473-d307f9d35888">San Juan Express, Inc.</CaseCompanyNames>
    <Nickname xmlns="http://schemas.microsoft.com/sharepoint/v3" xsi:nil="true"/>
    <DocketNumber xmlns="dc463f71-b30c-4ab2-9473-d307f9d35888">190193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FBC230F-DC1B-4173-A81A-976A6921F7B1}"/>
</file>

<file path=customXml/itemProps2.xml><?xml version="1.0" encoding="utf-8"?>
<ds:datastoreItem xmlns:ds="http://schemas.openxmlformats.org/officeDocument/2006/customXml" ds:itemID="{C5651B33-91F6-42DE-AB25-1542D1F2CBB3}"/>
</file>

<file path=customXml/itemProps3.xml><?xml version="1.0" encoding="utf-8"?>
<ds:datastoreItem xmlns:ds="http://schemas.openxmlformats.org/officeDocument/2006/customXml" ds:itemID="{EB963008-ACFA-4294-9B1E-C095EBB225B6}"/>
</file>

<file path=customXml/itemProps4.xml><?xml version="1.0" encoding="utf-8"?>
<ds:datastoreItem xmlns:ds="http://schemas.openxmlformats.org/officeDocument/2006/customXml" ds:itemID="{90EB323E-BDD8-4026-A082-9F2B3A9F61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Assumptions</vt:lpstr>
      <vt:lpstr>Summary SJE P&amp;L</vt:lpstr>
      <vt:lpstr>Detail SJE P&amp;L</vt:lpstr>
      <vt:lpstr>Allocation %</vt:lpstr>
      <vt:lpstr>Pax Counts</vt:lpstr>
      <vt:lpstr>2019 SJE Vessel Exp Budget</vt:lpstr>
      <vt:lpstr>2019 Rev Summary Budget</vt:lpstr>
      <vt:lpstr>SJE Port Fee 2019 Budget</vt:lpstr>
      <vt:lpstr>Fuel Chart</vt:lpstr>
      <vt:lpstr>CC Bookings % of Ttl</vt:lpstr>
      <vt:lpstr>graph</vt:lpstr>
      <vt:lpstr>'2019 Rev Summary Budget'!Print_Area</vt:lpstr>
      <vt:lpstr>'2019 SJE Vessel Exp Budget'!Print_Area</vt:lpstr>
      <vt:lpstr>'Allocation %'!Print_Area</vt:lpstr>
      <vt:lpstr>Assumptions!Print_Area</vt:lpstr>
      <vt:lpstr>'Detail SJE P&amp;L'!Print_Area</vt:lpstr>
      <vt:lpstr>'Fuel Chart'!Print_Area</vt:lpstr>
      <vt:lpstr>'Pax Counts'!Print_Area</vt:lpstr>
      <vt:lpstr>'SJE Port Fee 2019 Budget'!Print_Area</vt:lpstr>
      <vt:lpstr>'Summary SJE P&amp;L'!Print_Area</vt:lpstr>
      <vt:lpstr>'Fuel Chart'!Print_Titles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Neerman</dc:creator>
  <cp:lastModifiedBy>Laurie Weisberg</cp:lastModifiedBy>
  <cp:lastPrinted>2019-03-21T20:41:11Z</cp:lastPrinted>
  <dcterms:created xsi:type="dcterms:W3CDTF">2019-01-28T18:39:41Z</dcterms:created>
  <dcterms:modified xsi:type="dcterms:W3CDTF">2019-03-22T00:18:09Z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0x0101006E56B4D1795A2E4DB2F0B01679ED314A000A69507165F231498266BC8170837C7C</vt:lpwstr>
  </property>
  <property fmtid="{D5CDD505-2E9C-101B-9397-08002B2CF9AE}" pid="3" name="_docset_NoMedatataSyncRequired">
    <vt:lpwstr>False</vt:lpwstr>
  </property>
  <property fmtid="{D5CDD505-2E9C-101B-9397-08002B2CF9AE}" pid="4" name="IsEFSEC">
    <vt:bool>false</vt:bool>
  </property>
</Properties>
</file>