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Client Data\WasteWise Methow\2-19 Disposal Filing\"/>
    </mc:Choice>
  </mc:AlternateContent>
  <xr:revisionPtr revIDLastSave="0" documentId="13_ncr:1_{1621F71A-FD52-4B73-9B21-02C2A959F66C}" xr6:coauthVersionLast="40" xr6:coauthVersionMax="40" xr10:uidLastSave="{00000000-0000-0000-0000-000000000000}"/>
  <bookViews>
    <workbookView xWindow="195" yWindow="180" windowWidth="13380" windowHeight="7350" xr2:uid="{00000000-000D-0000-FFFF-FFFF00000000}"/>
  </bookViews>
  <sheets>
    <sheet name="References" sheetId="4" r:id="rId1"/>
    <sheet name="Calculations" sheetId="7" r:id="rId2"/>
    <sheet name="Revenue Increase" sheetId="8" r:id="rId3"/>
  </sheets>
  <definedNames>
    <definedName name="_xlnm.Print_Area" localSheetId="1">Calculations!$A$3:$Q$57</definedName>
    <definedName name="_xlnm.Print_Area" localSheetId="0">References!$A$2:$H$66</definedName>
    <definedName name="_xlnm.Print_Area" localSheetId="2">'Revenue Increase'!$A$1:$L$24</definedName>
    <definedName name="_xlnm.Print_Titles" localSheetId="1">Calculations!$1:$2</definedName>
    <definedName name="_xlnm.Print_Titles" localSheetId="0">References!$1:$1</definedName>
  </definedNames>
  <calcPr calcId="181029"/>
</workbook>
</file>

<file path=xl/calcChain.xml><?xml version="1.0" encoding="utf-8"?>
<calcChain xmlns="http://schemas.openxmlformats.org/spreadsheetml/2006/main">
  <c r="H37" i="7" l="1"/>
  <c r="I37" i="7" s="1"/>
  <c r="J37" i="7" s="1"/>
  <c r="K37" i="7" s="1"/>
  <c r="L37" i="7" s="1"/>
  <c r="N37" i="7" s="1"/>
  <c r="G37" i="7"/>
  <c r="F37" i="7"/>
  <c r="E37" i="7"/>
  <c r="J10" i="8"/>
  <c r="J8" i="8"/>
  <c r="H10" i="8" l="1"/>
  <c r="F10" i="8"/>
  <c r="D4" i="7"/>
  <c r="G30" i="7"/>
  <c r="E30" i="7"/>
  <c r="F30" i="7" s="1"/>
  <c r="O30" i="7" s="1"/>
  <c r="H30" i="7" l="1"/>
  <c r="E11" i="7"/>
  <c r="F11" i="7" s="1"/>
  <c r="E10" i="7"/>
  <c r="F10" i="7" s="1"/>
  <c r="O11" i="7"/>
  <c r="G11" i="7"/>
  <c r="O10" i="7"/>
  <c r="G10" i="7"/>
  <c r="E8" i="7"/>
  <c r="E7" i="7"/>
  <c r="D53" i="7"/>
  <c r="H10" i="7" l="1"/>
  <c r="H11" i="7"/>
  <c r="G8" i="7"/>
  <c r="G7" i="7"/>
  <c r="F7" i="7"/>
  <c r="O7" i="7"/>
  <c r="G6" i="7"/>
  <c r="G5" i="7"/>
  <c r="E6" i="7"/>
  <c r="F6" i="7" s="1"/>
  <c r="E5" i="7"/>
  <c r="F5" i="7" s="1"/>
  <c r="O6" i="7"/>
  <c r="O5" i="7"/>
  <c r="B22" i="8"/>
  <c r="H7" i="7" l="1"/>
  <c r="H5" i="7"/>
  <c r="O8" i="7"/>
  <c r="F8" i="7"/>
  <c r="H8" i="7" s="1"/>
  <c r="H6" i="7"/>
  <c r="L10" i="8"/>
  <c r="D32" i="7" l="1"/>
  <c r="B5" i="4" l="1"/>
  <c r="B6" i="4"/>
  <c r="B7" i="4"/>
  <c r="B9" i="4"/>
  <c r="B8" i="4"/>
  <c r="E16" i="7" s="1"/>
  <c r="F16" i="7" s="1"/>
  <c r="B4" i="4"/>
  <c r="E28" i="7" l="1"/>
  <c r="F28" i="7" s="1"/>
  <c r="E26" i="7"/>
  <c r="F26" i="7" s="1"/>
  <c r="E24" i="7"/>
  <c r="F24" i="7" s="1"/>
  <c r="E22" i="7"/>
  <c r="F22" i="7" s="1"/>
  <c r="E20" i="7"/>
  <c r="F20" i="7" s="1"/>
  <c r="F18" i="7"/>
  <c r="G42" i="7"/>
  <c r="O12" i="7"/>
  <c r="F32" i="7" l="1"/>
  <c r="G9" i="7"/>
  <c r="G4" i="7"/>
  <c r="G16" i="7"/>
  <c r="H16" i="7" s="1"/>
  <c r="G18" i="7"/>
  <c r="H18" i="7" s="1"/>
  <c r="G20" i="7"/>
  <c r="H20" i="7" s="1"/>
  <c r="G22" i="7"/>
  <c r="H22" i="7" s="1"/>
  <c r="G24" i="7"/>
  <c r="H24" i="7" s="1"/>
  <c r="G26" i="7"/>
  <c r="H26" i="7" s="1"/>
  <c r="G28" i="7"/>
  <c r="H28" i="7" s="1"/>
  <c r="D54" i="7"/>
  <c r="C48" i="4"/>
  <c r="C49" i="4"/>
  <c r="G40" i="7"/>
  <c r="G12" i="7"/>
  <c r="E38" i="7"/>
  <c r="F38" i="7" s="1"/>
  <c r="G38" i="7"/>
  <c r="G39" i="7"/>
  <c r="G41" i="7"/>
  <c r="E42" i="7"/>
  <c r="D14" i="7"/>
  <c r="O9" i="7"/>
  <c r="O28" i="7"/>
  <c r="O4" i="7"/>
  <c r="O16" i="7"/>
  <c r="O18" i="7"/>
  <c r="O20" i="7"/>
  <c r="O22" i="7"/>
  <c r="O24" i="7"/>
  <c r="O26" i="7"/>
  <c r="F4" i="4"/>
  <c r="H5" i="4"/>
  <c r="D6" i="4"/>
  <c r="C7" i="4"/>
  <c r="C5" i="4"/>
  <c r="E5" i="4"/>
  <c r="G5" i="4"/>
  <c r="F6" i="4"/>
  <c r="C6" i="4"/>
  <c r="D5" i="4"/>
  <c r="F5" i="4"/>
  <c r="E6" i="4"/>
  <c r="G6" i="4"/>
  <c r="H6" i="4"/>
  <c r="G4" i="4"/>
  <c r="H4" i="4"/>
  <c r="G48" i="4"/>
  <c r="B50" i="4"/>
  <c r="B53" i="4" s="1"/>
  <c r="B10" i="4"/>
  <c r="E41" i="7" s="1"/>
  <c r="F41" i="7" s="1"/>
  <c r="G9" i="4"/>
  <c r="E9" i="7"/>
  <c r="F9" i="7" s="1"/>
  <c r="F9" i="4"/>
  <c r="E9" i="4"/>
  <c r="D9" i="4"/>
  <c r="H8" i="4"/>
  <c r="G8" i="4"/>
  <c r="E8" i="4"/>
  <c r="D8" i="4"/>
  <c r="H10" i="4"/>
  <c r="G10" i="4"/>
  <c r="F10" i="4"/>
  <c r="O32" i="7" l="1"/>
  <c r="F9" i="8" s="1"/>
  <c r="O14" i="7"/>
  <c r="F8" i="8" s="1"/>
  <c r="G51" i="4"/>
  <c r="G53" i="4" s="1"/>
  <c r="B54" i="4" s="1"/>
  <c r="B56" i="4" s="1"/>
  <c r="H32" i="7"/>
  <c r="D33" i="7"/>
  <c r="H42" i="7"/>
  <c r="H38" i="7"/>
  <c r="H41" i="7"/>
  <c r="H7" i="4"/>
  <c r="G7" i="4"/>
  <c r="G32" i="7"/>
  <c r="F7" i="4"/>
  <c r="E7" i="4"/>
  <c r="D7" i="4"/>
  <c r="H9" i="7"/>
  <c r="H9" i="4"/>
  <c r="E12" i="7"/>
  <c r="F12" i="7" s="1"/>
  <c r="H12" i="7" s="1"/>
  <c r="C10" i="4"/>
  <c r="E10" i="4"/>
  <c r="C50" i="4"/>
  <c r="E4" i="4"/>
  <c r="C4" i="4"/>
  <c r="D4" i="4"/>
  <c r="D10" i="4"/>
  <c r="C9" i="4"/>
  <c r="C8" i="4"/>
  <c r="E4" i="7"/>
  <c r="F4" i="7" s="1"/>
  <c r="F8" i="4"/>
  <c r="E39" i="7"/>
  <c r="F39" i="7" s="1"/>
  <c r="H39" i="7" s="1"/>
  <c r="E40" i="7"/>
  <c r="F40" i="7" s="1"/>
  <c r="H40" i="7" s="1"/>
  <c r="H4" i="7" l="1"/>
  <c r="H14" i="7" s="1"/>
  <c r="H33" i="7" s="1"/>
  <c r="D56" i="7" s="1"/>
  <c r="F14" i="7"/>
  <c r="F11" i="8"/>
  <c r="I30" i="7" l="1"/>
  <c r="J30" i="7" s="1"/>
  <c r="K30" i="7" s="1"/>
  <c r="L30" i="7" s="1"/>
  <c r="N30" i="7" s="1"/>
  <c r="P30" i="7" s="1"/>
  <c r="Q30" i="7" s="1"/>
  <c r="I10" i="7"/>
  <c r="J10" i="7" s="1"/>
  <c r="K10" i="7" s="1"/>
  <c r="L10" i="7" s="1"/>
  <c r="N10" i="7" s="1"/>
  <c r="P10" i="7" s="1"/>
  <c r="Q10" i="7" s="1"/>
  <c r="I11" i="7"/>
  <c r="J11" i="7" s="1"/>
  <c r="K11" i="7" s="1"/>
  <c r="L11" i="7" s="1"/>
  <c r="N11" i="7" s="1"/>
  <c r="P11" i="7" s="1"/>
  <c r="Q11" i="7" s="1"/>
  <c r="I7" i="7"/>
  <c r="J7" i="7" s="1"/>
  <c r="K7" i="7" s="1"/>
  <c r="L7" i="7" s="1"/>
  <c r="N7" i="7" s="1"/>
  <c r="P7" i="7" s="1"/>
  <c r="Q7" i="7" s="1"/>
  <c r="I8" i="7"/>
  <c r="J8" i="7" s="1"/>
  <c r="K8" i="7" s="1"/>
  <c r="L8" i="7" s="1"/>
  <c r="N8" i="7" s="1"/>
  <c r="P8" i="7" s="1"/>
  <c r="Q8" i="7" s="1"/>
  <c r="I5" i="7"/>
  <c r="J5" i="7" s="1"/>
  <c r="K5" i="7" s="1"/>
  <c r="L5" i="7" s="1"/>
  <c r="N5" i="7" s="1"/>
  <c r="P5" i="7" s="1"/>
  <c r="Q5" i="7" s="1"/>
  <c r="I6" i="7"/>
  <c r="J6" i="7" s="1"/>
  <c r="K6" i="7" s="1"/>
  <c r="L6" i="7" s="1"/>
  <c r="N6" i="7" s="1"/>
  <c r="P6" i="7" s="1"/>
  <c r="Q6" i="7" s="1"/>
  <c r="F33" i="7"/>
  <c r="D55" i="7"/>
  <c r="I28" i="7"/>
  <c r="J28" i="7" s="1"/>
  <c r="K28" i="7" s="1"/>
  <c r="L28" i="7" s="1"/>
  <c r="N28" i="7" s="1"/>
  <c r="P28" i="7" s="1"/>
  <c r="Q28" i="7" s="1"/>
  <c r="I20" i="7"/>
  <c r="J20" i="7" s="1"/>
  <c r="K20" i="7" s="1"/>
  <c r="L20" i="7" s="1"/>
  <c r="N20" i="7" s="1"/>
  <c r="P20" i="7" s="1"/>
  <c r="Q20" i="7" s="1"/>
  <c r="I16" i="7"/>
  <c r="I9" i="7"/>
  <c r="I40" i="7"/>
  <c r="J40" i="7" s="1"/>
  <c r="K40" i="7" s="1"/>
  <c r="L40" i="7" s="1"/>
  <c r="N40" i="7" s="1"/>
  <c r="I4" i="7"/>
  <c r="I26" i="7"/>
  <c r="J26" i="7" s="1"/>
  <c r="K26" i="7" s="1"/>
  <c r="L26" i="7" s="1"/>
  <c r="N26" i="7" s="1"/>
  <c r="P26" i="7" s="1"/>
  <c r="Q26" i="7" s="1"/>
  <c r="I42" i="7"/>
  <c r="J42" i="7" s="1"/>
  <c r="K42" i="7" s="1"/>
  <c r="L42" i="7" s="1"/>
  <c r="N42" i="7" s="1"/>
  <c r="I12" i="7"/>
  <c r="J12" i="7" s="1"/>
  <c r="K12" i="7" s="1"/>
  <c r="L12" i="7" s="1"/>
  <c r="N12" i="7" s="1"/>
  <c r="I39" i="7"/>
  <c r="J39" i="7" s="1"/>
  <c r="K39" i="7" s="1"/>
  <c r="L39" i="7" s="1"/>
  <c r="N39" i="7" s="1"/>
  <c r="I38" i="7"/>
  <c r="J38" i="7" s="1"/>
  <c r="K38" i="7" s="1"/>
  <c r="L38" i="7" s="1"/>
  <c r="N38" i="7" s="1"/>
  <c r="I24" i="7"/>
  <c r="J24" i="7" s="1"/>
  <c r="K24" i="7" s="1"/>
  <c r="L24" i="7" s="1"/>
  <c r="N24" i="7" s="1"/>
  <c r="P24" i="7" s="1"/>
  <c r="Q24" i="7" s="1"/>
  <c r="I22" i="7"/>
  <c r="J22" i="7" s="1"/>
  <c r="K22" i="7" s="1"/>
  <c r="L22" i="7" s="1"/>
  <c r="N22" i="7" s="1"/>
  <c r="P22" i="7" s="1"/>
  <c r="Q22" i="7" s="1"/>
  <c r="I18" i="7"/>
  <c r="J18" i="7" s="1"/>
  <c r="K18" i="7" s="1"/>
  <c r="L18" i="7" s="1"/>
  <c r="N18" i="7" s="1"/>
  <c r="P18" i="7" s="1"/>
  <c r="Q18" i="7" s="1"/>
  <c r="I41" i="7"/>
  <c r="J41" i="7" s="1"/>
  <c r="K41" i="7" s="1"/>
  <c r="L41" i="7" s="1"/>
  <c r="N41" i="7" s="1"/>
  <c r="J16" i="7" l="1"/>
  <c r="K16" i="7" s="1"/>
  <c r="L16" i="7" s="1"/>
  <c r="N16" i="7" s="1"/>
  <c r="P16" i="7" s="1"/>
  <c r="P32" i="7" s="1"/>
  <c r="H9" i="8" s="1"/>
  <c r="J9" i="8" s="1"/>
  <c r="I32" i="7"/>
  <c r="J4" i="7"/>
  <c r="K4" i="7" s="1"/>
  <c r="L4" i="7" s="1"/>
  <c r="N4" i="7" s="1"/>
  <c r="P4" i="7" s="1"/>
  <c r="I14" i="7"/>
  <c r="O33" i="7"/>
  <c r="P12" i="7"/>
  <c r="Q12" i="7" s="1"/>
  <c r="J9" i="7"/>
  <c r="K9" i="7" s="1"/>
  <c r="L9" i="7" s="1"/>
  <c r="N9" i="7" s="1"/>
  <c r="P9" i="7" s="1"/>
  <c r="Q16" i="7" l="1"/>
  <c r="Q32" i="7" s="1"/>
  <c r="Q4" i="7"/>
  <c r="P14" i="7"/>
  <c r="H8" i="8" s="1"/>
  <c r="I33" i="7"/>
  <c r="Q9" i="7"/>
  <c r="L9" i="8" l="1"/>
  <c r="H11" i="8"/>
  <c r="L11" i="8" s="1"/>
  <c r="L8" i="8"/>
  <c r="Q14" i="7"/>
  <c r="Q33" i="7" s="1"/>
  <c r="P33" i="7"/>
  <c r="J11" i="8" l="1"/>
  <c r="B61" i="4"/>
  <c r="B62" i="4" s="1"/>
  <c r="B65" i="4"/>
  <c r="B66" i="4" s="1"/>
  <c r="C66" i="4" l="1"/>
</calcChain>
</file>

<file path=xl/sharedStrings.xml><?xml version="1.0" encoding="utf-8"?>
<sst xmlns="http://schemas.openxmlformats.org/spreadsheetml/2006/main" count="160" uniqueCount="138">
  <si>
    <t>Monthly Frequency</t>
  </si>
  <si>
    <t>Annual PU's</t>
  </si>
  <si>
    <t>Gross Up</t>
  </si>
  <si>
    <t>Increase per ton</t>
  </si>
  <si>
    <t>Total Pick Ups</t>
  </si>
  <si>
    <t>Per Ton</t>
  </si>
  <si>
    <t>Per Pound</t>
  </si>
  <si>
    <t xml:space="preserve">Current Rate </t>
  </si>
  <si>
    <t>New Rate per ton</t>
  </si>
  <si>
    <t>Increase</t>
  </si>
  <si>
    <t>Meeks Weights</t>
  </si>
  <si>
    <t>Adjustment factor</t>
  </si>
  <si>
    <t>Collected Revenue Excess/(Deficiency)</t>
  </si>
  <si>
    <t>Residential</t>
  </si>
  <si>
    <t>Commercial</t>
  </si>
  <si>
    <t>Tariff Page</t>
  </si>
  <si>
    <t>Total</t>
  </si>
  <si>
    <t>Scheduled Service</t>
  </si>
  <si>
    <t>Monthly Factor</t>
  </si>
  <si>
    <t>Lbs. per ton</t>
  </si>
  <si>
    <t>Yds. Per ton</t>
  </si>
  <si>
    <t>Weekly Pickup (WG)</t>
  </si>
  <si>
    <t>Monthly (MG)</t>
  </si>
  <si>
    <t>Every Other Week (EOWG)</t>
  </si>
  <si>
    <t>Tons Collected</t>
  </si>
  <si>
    <t>Grossed Up Increase per ton</t>
  </si>
  <si>
    <t>Gross Up Factors</t>
  </si>
  <si>
    <t>B&amp;O tax</t>
  </si>
  <si>
    <t>WUTC fees</t>
  </si>
  <si>
    <t>Factor</t>
  </si>
  <si>
    <t>Disposal Fee Revenue Increase</t>
  </si>
  <si>
    <t>Extras</t>
  </si>
  <si>
    <t>Total Tonnage</t>
  </si>
  <si>
    <t>Total Pounds</t>
  </si>
  <si>
    <t>Calculated Annual Pounds</t>
  </si>
  <si>
    <t>Adjusted Annual Pounds</t>
  </si>
  <si>
    <t>Company Current Revenue</t>
  </si>
  <si>
    <t>Monthly Customers</t>
  </si>
  <si>
    <t>Tariff Rate Increase</t>
  </si>
  <si>
    <t>Revised Revenue Increase</t>
  </si>
  <si>
    <t>1 unit</t>
  </si>
  <si>
    <t>2 units</t>
  </si>
  <si>
    <t>3 units</t>
  </si>
  <si>
    <t>n/a</t>
  </si>
  <si>
    <t>Revenue from Revised Rates</t>
  </si>
  <si>
    <t>4 units</t>
  </si>
  <si>
    <t>5 units</t>
  </si>
  <si>
    <t>6 units</t>
  </si>
  <si>
    <t>Bad Debts</t>
  </si>
  <si>
    <t>Res'l</t>
  </si>
  <si>
    <t>7 unit</t>
  </si>
  <si>
    <t>5 Times per Week</t>
  </si>
  <si>
    <t>3 Times per Week</t>
  </si>
  <si>
    <t>2 Times per Week</t>
  </si>
  <si>
    <t>Pickups:</t>
  </si>
  <si>
    <t>1 can</t>
  </si>
  <si>
    <t>2 cans</t>
  </si>
  <si>
    <t>3 cans</t>
  </si>
  <si>
    <t>4 cans</t>
  </si>
  <si>
    <t>5 cans</t>
  </si>
  <si>
    <t>6 cans</t>
  </si>
  <si>
    <t>Supercan 60</t>
  </si>
  <si>
    <t>Supercan 90</t>
  </si>
  <si>
    <t>Once a month</t>
  </si>
  <si>
    <t>Com'l</t>
  </si>
  <si>
    <t>Cans</t>
  </si>
  <si>
    <t>1 yd container</t>
  </si>
  <si>
    <t>1.5 yd container</t>
  </si>
  <si>
    <t>2 yd container</t>
  </si>
  <si>
    <t>3 yd container</t>
  </si>
  <si>
    <t>4 yd container</t>
  </si>
  <si>
    <t>6 yd container</t>
  </si>
  <si>
    <t>8 yd container</t>
  </si>
  <si>
    <t>3 yd packer/compactor</t>
  </si>
  <si>
    <t>2 yd packer/compactor</t>
  </si>
  <si>
    <t>4 yd packer/compactor</t>
  </si>
  <si>
    <t>5 yd packer/compactor</t>
  </si>
  <si>
    <t>6 yd packer/compactor</t>
  </si>
  <si>
    <t>Yards</t>
  </si>
  <si>
    <t>Pounds per Pickup</t>
  </si>
  <si>
    <t>20 gal minican</t>
  </si>
  <si>
    <t>*</t>
  </si>
  <si>
    <t>Res'l &amp; Com'l</t>
  </si>
  <si>
    <t>Revenue Inc from Co Proposed Rates</t>
  </si>
  <si>
    <t>Company Proposed Rates</t>
  </si>
  <si>
    <t>Staff Revised Rates</t>
  </si>
  <si>
    <t>Adjustment Factor Calculation</t>
  </si>
  <si>
    <t>4 Times per Week</t>
  </si>
  <si>
    <t>1 yd packer/compactor</t>
  </si>
  <si>
    <t>1.5 yd packer/compactor</t>
  </si>
  <si>
    <t>8 yd packer/compactor</t>
  </si>
  <si>
    <t>No Current Customers</t>
  </si>
  <si>
    <t>* not on meeks - calculated by staff</t>
  </si>
  <si>
    <t>Transfer Station</t>
  </si>
  <si>
    <t>Comments</t>
  </si>
  <si>
    <t>Differ from Company</t>
  </si>
  <si>
    <t>35 gallon Can</t>
  </si>
  <si>
    <t>Calculated Annual PUs based on freq</t>
  </si>
  <si>
    <t>na - multiple pickups not on tariff</t>
  </si>
  <si>
    <t>64 gal cart weekly</t>
  </si>
  <si>
    <t>32 Gal weekly</t>
  </si>
  <si>
    <t>Res_Extra_bag/Box</t>
  </si>
  <si>
    <t>Extra_Yards</t>
  </si>
  <si>
    <t>Not on Meeks, Co provided weight</t>
  </si>
  <si>
    <t>1 Can 1/MG</t>
  </si>
  <si>
    <t>2 Cans WG</t>
  </si>
  <si>
    <t>5 Cans WG</t>
  </si>
  <si>
    <t>6 Cans WG</t>
  </si>
  <si>
    <t>1 Yard - 1st Pickup</t>
  </si>
  <si>
    <t>1.5 Yard - 1st Pickup</t>
  </si>
  <si>
    <t>2 Yard - 1st Pickup</t>
  </si>
  <si>
    <t>3 Yard - 1st Pickup</t>
  </si>
  <si>
    <t>4 Yard - 1st Pickup</t>
  </si>
  <si>
    <t>8 Yard - 1st Pickup</t>
  </si>
  <si>
    <t>Company        Calculated Rate</t>
  </si>
  <si>
    <t>Company    Current Tariff</t>
  </si>
  <si>
    <t>Company Calculated Revenue</t>
  </si>
  <si>
    <t>"on call" Service</t>
  </si>
  <si>
    <t>Calculated Revenue Increase</t>
  </si>
  <si>
    <t>As a result of increased disposal fees.</t>
  </si>
  <si>
    <t>Residential - from calculation worksheet</t>
  </si>
  <si>
    <t>Current</t>
  </si>
  <si>
    <t>Revenue</t>
  </si>
  <si>
    <t xml:space="preserve">Proposed </t>
  </si>
  <si>
    <t xml:space="preserve">Commercial </t>
  </si>
  <si>
    <t>Disposal Rate Per Ton</t>
  </si>
  <si>
    <t>Percentage</t>
  </si>
  <si>
    <t>Dollars</t>
  </si>
  <si>
    <t>Methow Valley Sanitation Service, Inc. d/b/a Wastewise Methow G-146</t>
  </si>
  <si>
    <t>Twisp Transfer Station</t>
  </si>
  <si>
    <t>32 Gal every other week</t>
  </si>
  <si>
    <t>32 Gal once a month</t>
  </si>
  <si>
    <t>3 Can 32 Gal weekly</t>
  </si>
  <si>
    <t>4 Can 32 Gal weekly</t>
  </si>
  <si>
    <t>64 gal cart EOW</t>
  </si>
  <si>
    <t>64 gal cart Monthly</t>
  </si>
  <si>
    <t>Roll - Off - Tonnage</t>
  </si>
  <si>
    <t>Mini-Can WG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</si>
</sst>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&quot;$&quot;* #,##0.000_);_(&quot;$&quot;* \(#,##0.000\);_(&quot;$&quot;* &quot;-&quot;??_);_(@_)"/>
    <numFmt numFmtId="166" formatCode="_(* #,##0_);_(* \(#,##0\);_(* &quot;-&quot;??_);_(@_)"/>
    <numFmt numFmtId="167" formatCode="_(* #,##0.000000_);_(* \(#,##0.000000\);_(* &quot;-&quot;??_);_(@_)"/>
    <numFmt numFmtId="168" formatCode="0.0000%"/>
    <numFmt numFmtId="169" formatCode="_(&quot;$&quot;* #,##0.000000_);_(&quot;$&quot;* \(#,##0.000000\);_(&quot;$&quot;* &quot;-&quot;??_);_(@_)"/>
    <numFmt numFmtId="170" formatCode="0.000000"/>
    <numFmt numFmtId="171" formatCode="0.0%"/>
    <numFmt numFmtId="172" formatCode="[$-409]mmmm\ d\,\ yyyy;@"/>
  </numFmts>
  <fonts count="6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color indexed="8"/>
      <name val="Calibri"/>
      <family val="2"/>
    </font>
    <font>
      <sz val="12"/>
      <name val="Arial"/>
      <family val="2"/>
    </font>
    <font>
      <sz val="8"/>
      <color indexed="56"/>
      <name val="Arial"/>
      <family val="2"/>
    </font>
    <font>
      <sz val="10"/>
      <name val="MS Sans Serif"/>
      <family val="2"/>
    </font>
    <font>
      <b/>
      <sz val="10"/>
      <name val="MS Sans Serif"/>
      <family val="2"/>
    </font>
    <font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12"/>
      <name val="Arial"/>
      <family val="2"/>
    </font>
    <font>
      <sz val="11"/>
      <name val="Calibri"/>
      <family val="2"/>
    </font>
    <font>
      <b/>
      <sz val="11"/>
      <name val="Calibri"/>
      <family val="2"/>
    </font>
    <font>
      <sz val="10"/>
      <name val="Arial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sz val="10"/>
      <color indexed="8"/>
      <name val="Arial"/>
      <family val="2"/>
    </font>
    <font>
      <sz val="10"/>
      <name val="Times New Roman"/>
      <family val="1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sz val="12"/>
      <name val="Helv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b/>
      <sz val="11"/>
      <color indexed="51"/>
      <name val="Calibri"/>
      <family val="2"/>
    </font>
    <font>
      <sz val="12"/>
      <name val="Courier"/>
      <family val="3"/>
    </font>
    <font>
      <sz val="9"/>
      <color indexed="8"/>
      <name val="Arial"/>
      <family val="2"/>
    </font>
    <font>
      <b/>
      <sz val="10"/>
      <color indexed="12"/>
      <name val="Arial"/>
      <family val="2"/>
    </font>
    <font>
      <b/>
      <sz val="15"/>
      <color indexed="61"/>
      <name val="Calibri"/>
      <family val="2"/>
    </font>
    <font>
      <b/>
      <sz val="13"/>
      <color indexed="61"/>
      <name val="Calibri"/>
      <family val="2"/>
    </font>
    <font>
      <b/>
      <sz val="11"/>
      <color indexed="61"/>
      <name val="Calibri"/>
      <family val="2"/>
    </font>
    <font>
      <u/>
      <sz val="10"/>
      <color indexed="12"/>
      <name val="Arial"/>
      <family val="2"/>
    </font>
    <font>
      <u/>
      <sz val="11"/>
      <color indexed="12"/>
      <name val="Calibri"/>
      <family val="2"/>
    </font>
    <font>
      <sz val="11"/>
      <color indexed="61"/>
      <name val="Calibri"/>
      <family val="2"/>
    </font>
    <font>
      <sz val="11"/>
      <color indexed="51"/>
      <name val="Calibri"/>
      <family val="2"/>
    </font>
    <font>
      <sz val="11"/>
      <color indexed="59"/>
      <name val="Calibri"/>
      <family val="2"/>
    </font>
    <font>
      <i/>
      <sz val="10"/>
      <color indexed="10"/>
      <name val="Arial"/>
      <family val="2"/>
    </font>
    <font>
      <b/>
      <sz val="18"/>
      <color indexed="61"/>
      <name val="Cambria"/>
      <family val="2"/>
    </font>
    <font>
      <sz val="11"/>
      <color indexed="8"/>
      <name val="Arial"/>
      <family val="2"/>
    </font>
    <font>
      <b/>
      <sz val="11"/>
      <color indexed="52"/>
      <name val="Calibri"/>
      <family val="2"/>
    </font>
    <font>
      <sz val="8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2"/>
      <name val="Arial MT"/>
    </font>
    <font>
      <b/>
      <u/>
      <sz val="11"/>
      <name val="Arial"/>
      <family val="2"/>
    </font>
    <font>
      <sz val="11"/>
      <color indexed="62"/>
      <name val="Calibri"/>
      <family val="2"/>
    </font>
    <font>
      <sz val="10"/>
      <name val="Arial"/>
      <family val="2"/>
    </font>
    <font>
      <u/>
      <sz val="11"/>
      <color theme="10"/>
      <name val="Calibri"/>
      <family val="2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8"/>
      </patternFill>
    </fill>
    <fill>
      <patternFill patternType="solid">
        <fgColor indexed="49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63"/>
      </patternFill>
    </fill>
    <fill>
      <patternFill patternType="solid">
        <fgColor indexed="45"/>
        <bgColor indexed="64"/>
      </patternFill>
    </fill>
    <fill>
      <patternFill patternType="solid">
        <fgColor indexed="65"/>
        <bgColor indexed="10"/>
      </patternFill>
    </fill>
    <fill>
      <patternFill patternType="gray125">
        <fgColor indexed="10"/>
      </patternFill>
    </fill>
    <fill>
      <patternFill patternType="solid">
        <fgColor indexed="22"/>
        <bgColor indexed="64"/>
      </patternFill>
    </fill>
    <fill>
      <patternFill patternType="mediumGray">
        <fgColor indexed="22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65"/>
        <bgColor auto="1"/>
      </patternFill>
    </fill>
    <fill>
      <patternFill patternType="solid">
        <fgColor indexed="42"/>
        <bgColor auto="1"/>
      </patternFill>
    </fill>
    <fill>
      <patternFill patternType="solid">
        <fgColor indexed="22"/>
        <bgColor auto="1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62"/>
      </left>
      <right style="double">
        <color indexed="62"/>
      </right>
      <top style="double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51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90">
    <xf numFmtId="0" fontId="0" fillId="0" borderId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2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3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4" borderId="0" applyNumberFormat="0" applyBorder="0" applyAlignment="0" applyProtection="0"/>
    <xf numFmtId="0" fontId="8" fillId="11" borderId="0" applyNumberFormat="0" applyBorder="0" applyAlignment="0" applyProtection="0"/>
    <xf numFmtId="0" fontId="8" fillId="5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4" borderId="0" applyNumberFormat="0" applyBorder="0" applyAlignment="0" applyProtection="0"/>
    <xf numFmtId="0" fontId="8" fillId="6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11" borderId="0" applyNumberFormat="0" applyBorder="0" applyAlignment="0" applyProtection="0"/>
    <xf numFmtId="0" fontId="8" fillId="13" borderId="0" applyNumberFormat="0" applyBorder="0" applyAlignment="0" applyProtection="0"/>
    <xf numFmtId="0" fontId="8" fillId="9" borderId="0" applyNumberFormat="0" applyBorder="0" applyAlignment="0" applyProtection="0"/>
    <xf numFmtId="0" fontId="8" fillId="14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1" borderId="0" applyNumberFormat="0" applyBorder="0" applyAlignment="0" applyProtection="0"/>
    <xf numFmtId="0" fontId="14" fillId="15" borderId="0" applyNumberFormat="0" applyBorder="0" applyAlignment="0" applyProtection="0"/>
    <xf numFmtId="0" fontId="14" fillId="7" borderId="0" applyNumberFormat="0" applyBorder="0" applyAlignment="0" applyProtection="0"/>
    <xf numFmtId="0" fontId="14" fillId="18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2" borderId="0" applyNumberFormat="0" applyBorder="0" applyAlignment="0" applyProtection="0"/>
    <xf numFmtId="0" fontId="14" fillId="4" borderId="0" applyNumberFormat="0" applyBorder="0" applyAlignment="0" applyProtection="0"/>
    <xf numFmtId="0" fontId="14" fillId="6" borderId="0" applyNumberFormat="0" applyBorder="0" applyAlignment="0" applyProtection="0"/>
    <xf numFmtId="0" fontId="14" fillId="19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1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22" borderId="0" applyNumberFormat="0" applyBorder="0" applyAlignment="0" applyProtection="0"/>
    <xf numFmtId="0" fontId="14" fillId="21" borderId="0" applyNumberFormat="0" applyBorder="0" applyAlignment="0" applyProtection="0"/>
    <xf numFmtId="0" fontId="14" fillId="23" borderId="0" applyNumberFormat="0" applyBorder="0" applyAlignment="0" applyProtection="0"/>
    <xf numFmtId="0" fontId="14" fillId="18" borderId="0" applyNumberFormat="0" applyBorder="0" applyAlignment="0" applyProtection="0"/>
    <xf numFmtId="0" fontId="14" fillId="22" borderId="0" applyNumberFormat="0" applyBorder="0" applyAlignment="0" applyProtection="0"/>
    <xf numFmtId="0" fontId="14" fillId="24" borderId="0" applyNumberFormat="0" applyBorder="0" applyAlignment="0" applyProtection="0"/>
    <xf numFmtId="0" fontId="14" fillId="14" borderId="0" applyNumberFormat="0" applyBorder="0" applyAlignment="0" applyProtection="0"/>
    <xf numFmtId="0" fontId="14" fillId="18" borderId="0" applyNumberFormat="0" applyBorder="0" applyAlignment="0" applyProtection="0"/>
    <xf numFmtId="0" fontId="14" fillId="2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20" borderId="0" applyNumberFormat="0" applyBorder="0" applyAlignment="0" applyProtection="0"/>
    <xf numFmtId="0" fontId="14" fillId="18" borderId="0" applyNumberFormat="0" applyBorder="0" applyAlignment="0" applyProtection="0"/>
    <xf numFmtId="0" fontId="14" fillId="23" borderId="0" applyNumberFormat="0" applyBorder="0" applyAlignment="0" applyProtection="0"/>
    <xf numFmtId="41" fontId="2" fillId="0" borderId="0"/>
    <xf numFmtId="41" fontId="2" fillId="0" borderId="0"/>
    <xf numFmtId="41" fontId="2" fillId="0" borderId="0"/>
    <xf numFmtId="41" fontId="2" fillId="0" borderId="0"/>
    <xf numFmtId="0" fontId="15" fillId="6" borderId="0" applyNumberFormat="0" applyBorder="0" applyAlignment="0" applyProtection="0"/>
    <xf numFmtId="0" fontId="15" fillId="10" borderId="0" applyNumberFormat="0" applyBorder="0" applyAlignment="0" applyProtection="0"/>
    <xf numFmtId="3" fontId="2" fillId="0" borderId="0"/>
    <xf numFmtId="3" fontId="2" fillId="0" borderId="0"/>
    <xf numFmtId="3" fontId="2" fillId="0" borderId="0"/>
    <xf numFmtId="3" fontId="2" fillId="0" borderId="0"/>
    <xf numFmtId="0" fontId="32" fillId="26" borderId="1" applyNumberFormat="0" applyAlignment="0" applyProtection="0"/>
    <xf numFmtId="0" fontId="47" fillId="26" borderId="1" applyNumberFormat="0" applyAlignment="0" applyProtection="0"/>
    <xf numFmtId="0" fontId="16" fillId="26" borderId="1" applyNumberFormat="0" applyAlignment="0" applyProtection="0"/>
    <xf numFmtId="0" fontId="47" fillId="4" borderId="1" applyNumberFormat="0" applyAlignment="0" applyProtection="0"/>
    <xf numFmtId="0" fontId="17" fillId="28" borderId="3" applyNumberFormat="0" applyAlignment="0" applyProtection="0"/>
    <xf numFmtId="0" fontId="17" fillId="27" borderId="2" applyNumberFormat="0" applyAlignment="0" applyProtection="0"/>
    <xf numFmtId="0" fontId="2" fillId="29" borderId="0">
      <alignment horizontal="center"/>
    </xf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" fontId="18" fillId="0" borderId="0"/>
    <xf numFmtId="0" fontId="33" fillId="0" borderId="0"/>
    <xf numFmtId="0" fontId="33" fillId="0" borderId="0"/>
    <xf numFmtId="0" fontId="34" fillId="30" borderId="4" applyAlignment="0">
      <alignment horizontal="right"/>
      <protection locked="0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35" fillId="31" borderId="0">
      <alignment horizontal="right"/>
      <protection locked="0"/>
    </xf>
    <xf numFmtId="14" fontId="2" fillId="0" borderId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2" fontId="35" fillId="31" borderId="0">
      <alignment horizontal="right"/>
      <protection locked="0"/>
    </xf>
    <xf numFmtId="1" fontId="2" fillId="0" borderId="0">
      <alignment horizontal="center"/>
    </xf>
    <xf numFmtId="0" fontId="21" fillId="8" borderId="0" applyNumberFormat="0" applyBorder="0" applyAlignment="0" applyProtection="0"/>
    <xf numFmtId="0" fontId="21" fillId="11" borderId="0" applyNumberFormat="0" applyBorder="0" applyAlignment="0" applyProtection="0"/>
    <xf numFmtId="0" fontId="36" fillId="0" borderId="6" applyNumberFormat="0" applyFill="0" applyAlignment="0" applyProtection="0"/>
    <xf numFmtId="0" fontId="22" fillId="0" borderId="7" applyNumberFormat="0" applyFill="0" applyAlignment="0" applyProtection="0"/>
    <xf numFmtId="0" fontId="22" fillId="0" borderId="8" applyNumberFormat="0" applyFill="0" applyAlignment="0" applyProtection="0"/>
    <xf numFmtId="0" fontId="49" fillId="0" borderId="5" applyNumberFormat="0" applyFill="0" applyAlignment="0" applyProtection="0"/>
    <xf numFmtId="0" fontId="37" fillId="0" borderId="9" applyNumberFormat="0" applyFill="0" applyAlignment="0" applyProtection="0"/>
    <xf numFmtId="0" fontId="23" fillId="0" borderId="9" applyNumberFormat="0" applyFill="0" applyAlignment="0" applyProtection="0"/>
    <xf numFmtId="0" fontId="23" fillId="0" borderId="10" applyNumberFormat="0" applyFill="0" applyAlignment="0" applyProtection="0"/>
    <xf numFmtId="0" fontId="50" fillId="0" borderId="9" applyNumberFormat="0" applyFill="0" applyAlignment="0" applyProtection="0"/>
    <xf numFmtId="0" fontId="38" fillId="0" borderId="12" applyNumberFormat="0" applyFill="0" applyAlignment="0" applyProtection="0"/>
    <xf numFmtId="0" fontId="24" fillId="0" borderId="13" applyNumberFormat="0" applyFill="0" applyAlignment="0" applyProtection="0"/>
    <xf numFmtId="0" fontId="24" fillId="0" borderId="14" applyNumberFormat="0" applyFill="0" applyAlignment="0" applyProtection="0"/>
    <xf numFmtId="0" fontId="51" fillId="0" borderId="11" applyNumberFormat="0" applyFill="0" applyAlignment="0" applyProtection="0"/>
    <xf numFmtId="0" fontId="38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39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58" fillId="0" borderId="0" applyNumberFormat="0" applyFill="0" applyBorder="0" applyAlignment="0" applyProtection="0">
      <alignment vertical="top"/>
      <protection locked="0"/>
    </xf>
    <xf numFmtId="0" fontId="41" fillId="13" borderId="1" applyNumberFormat="0" applyAlignment="0" applyProtection="0"/>
    <xf numFmtId="0" fontId="25" fillId="13" borderId="1" applyNumberFormat="0" applyAlignment="0" applyProtection="0"/>
    <xf numFmtId="3" fontId="10" fillId="32" borderId="0">
      <protection locked="0"/>
    </xf>
    <xf numFmtId="4" fontId="10" fillId="32" borderId="0">
      <protection locked="0"/>
    </xf>
    <xf numFmtId="0" fontId="42" fillId="0" borderId="16" applyNumberFormat="0" applyFill="0" applyAlignment="0" applyProtection="0"/>
    <xf numFmtId="0" fontId="52" fillId="0" borderId="15" applyNumberFormat="0" applyFill="0" applyAlignment="0" applyProtection="0"/>
    <xf numFmtId="0" fontId="26" fillId="0" borderId="17" applyNumberFormat="0" applyFill="0" applyAlignment="0" applyProtection="0"/>
    <xf numFmtId="0" fontId="43" fillId="13" borderId="0" applyNumberFormat="0" applyBorder="0" applyAlignment="0" applyProtection="0"/>
    <xf numFmtId="0" fontId="53" fillId="13" borderId="0" applyNumberFormat="0" applyBorder="0" applyAlignment="0" applyProtection="0"/>
    <xf numFmtId="0" fontId="27" fillId="13" borderId="0" applyNumberFormat="0" applyBorder="0" applyAlignment="0" applyProtection="0"/>
    <xf numFmtId="43" fontId="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" fillId="0" borderId="0"/>
    <xf numFmtId="0" fontId="2" fillId="0" borderId="0"/>
    <xf numFmtId="0" fontId="59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2" fillId="0" borderId="0"/>
    <xf numFmtId="0" fontId="8" fillId="0" borderId="0"/>
    <xf numFmtId="0" fontId="2" fillId="0" borderId="0"/>
    <xf numFmtId="0" fontId="8" fillId="0" borderId="0"/>
    <xf numFmtId="0" fontId="2" fillId="0" borderId="0"/>
    <xf numFmtId="0" fontId="8" fillId="0" borderId="0"/>
    <xf numFmtId="0" fontId="2" fillId="0" borderId="0"/>
    <xf numFmtId="0" fontId="8" fillId="0" borderId="0"/>
    <xf numFmtId="0" fontId="2" fillId="0" borderId="0"/>
    <xf numFmtId="0" fontId="8" fillId="0" borderId="0"/>
    <xf numFmtId="0" fontId="2" fillId="0" borderId="0"/>
    <xf numFmtId="0" fontId="8" fillId="0" borderId="0"/>
    <xf numFmtId="0" fontId="2" fillId="0" borderId="0"/>
    <xf numFmtId="0" fontId="8" fillId="0" borderId="0"/>
    <xf numFmtId="0" fontId="2" fillId="0" borderId="0"/>
    <xf numFmtId="0" fontId="5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8" fillId="0" borderId="0"/>
    <xf numFmtId="0" fontId="59" fillId="0" borderId="0"/>
    <xf numFmtId="0" fontId="18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3" fillId="0" borderId="0"/>
    <xf numFmtId="0" fontId="2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7" fillId="0" borderId="0"/>
    <xf numFmtId="0" fontId="5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8" fillId="9" borderId="18" applyNumberFormat="0" applyFont="0" applyAlignment="0" applyProtection="0"/>
    <xf numFmtId="0" fontId="8" fillId="9" borderId="18" applyNumberFormat="0" applyFont="0" applyAlignment="0" applyProtection="0"/>
    <xf numFmtId="0" fontId="28" fillId="9" borderId="18" applyNumberFormat="0" applyFont="0" applyAlignment="0" applyProtection="0"/>
    <xf numFmtId="0" fontId="48" fillId="9" borderId="18" applyNumberFormat="0" applyFont="0" applyAlignment="0" applyProtection="0"/>
    <xf numFmtId="171" fontId="44" fillId="0" borderId="0" applyNumberFormat="0"/>
    <xf numFmtId="0" fontId="24" fillId="26" borderId="20" applyNumberFormat="0" applyAlignment="0" applyProtection="0"/>
    <xf numFmtId="0" fontId="29" fillId="26" borderId="19" applyNumberFormat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7" fillId="0" borderId="0" applyFont="0" applyFill="0" applyBorder="0" applyAlignment="0" applyProtection="0"/>
    <xf numFmtId="171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38" fontId="5" fillId="0" borderId="0" applyNumberFormat="0" applyFont="0" applyFill="0" applyBorder="0">
      <alignment horizontal="left" indent="4"/>
      <protection locked="0"/>
    </xf>
    <xf numFmtId="0" fontId="6" fillId="0" borderId="0" applyNumberFormat="0" applyFont="0" applyFill="0" applyBorder="0" applyAlignment="0" applyProtection="0">
      <alignment horizontal="left"/>
    </xf>
    <xf numFmtId="15" fontId="6" fillId="0" borderId="0" applyFont="0" applyFill="0" applyBorder="0" applyAlignment="0" applyProtection="0"/>
    <xf numFmtId="4" fontId="6" fillId="0" borderId="0" applyFont="0" applyFill="0" applyBorder="0" applyAlignment="0" applyProtection="0"/>
    <xf numFmtId="0" fontId="7" fillId="0" borderId="21">
      <alignment horizontal="center"/>
    </xf>
    <xf numFmtId="3" fontId="6" fillId="0" borderId="0" applyFont="0" applyFill="0" applyBorder="0" applyAlignment="0" applyProtection="0"/>
    <xf numFmtId="0" fontId="6" fillId="33" borderId="0" applyNumberFormat="0" applyFont="0" applyBorder="0" applyAlignment="0" applyProtection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18" fillId="0" borderId="0">
      <alignment vertical="top"/>
    </xf>
    <xf numFmtId="0" fontId="18" fillId="0" borderId="0">
      <alignment vertical="top"/>
    </xf>
    <xf numFmtId="0" fontId="18" fillId="0" borderId="0" applyNumberFormat="0" applyBorder="0" applyAlignment="0"/>
    <xf numFmtId="37" fontId="55" fillId="0" borderId="0"/>
    <xf numFmtId="0" fontId="45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23" applyNumberFormat="0" applyFill="0" applyAlignment="0" applyProtection="0"/>
    <xf numFmtId="0" fontId="31" fillId="0" borderId="24" applyNumberFormat="0" applyFill="0" applyAlignment="0" applyProtection="0"/>
    <xf numFmtId="0" fontId="31" fillId="0" borderId="25" applyNumberFormat="0" applyFill="0" applyAlignment="0" applyProtection="0"/>
    <xf numFmtId="0" fontId="31" fillId="0" borderId="22" applyNumberFormat="0" applyFill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166" fontId="4" fillId="34" borderId="0" applyFont="0" applyFill="0" applyBorder="0" applyAlignment="0" applyProtection="0">
      <alignment wrapText="1"/>
    </xf>
  </cellStyleXfs>
  <cellXfs count="188">
    <xf numFmtId="0" fontId="0" fillId="0" borderId="0" xfId="0"/>
    <xf numFmtId="43" fontId="0" fillId="0" borderId="0" xfId="82" applyFont="1"/>
    <xf numFmtId="0" fontId="3" fillId="0" borderId="0" xfId="0" applyFont="1"/>
    <xf numFmtId="0" fontId="0" fillId="0" borderId="0" xfId="0" applyFont="1"/>
    <xf numFmtId="44" fontId="3" fillId="0" borderId="0" xfId="0" applyNumberFormat="1" applyFont="1"/>
    <xf numFmtId="165" fontId="0" fillId="35" borderId="0" xfId="126" applyNumberFormat="1" applyFont="1" applyFill="1"/>
    <xf numFmtId="44" fontId="0" fillId="35" borderId="0" xfId="126" applyFont="1" applyFill="1"/>
    <xf numFmtId="44" fontId="0" fillId="35" borderId="4" xfId="126" applyFont="1" applyFill="1" applyBorder="1"/>
    <xf numFmtId="165" fontId="0" fillId="35" borderId="4" xfId="126" applyNumberFormat="1" applyFont="1" applyFill="1" applyBorder="1"/>
    <xf numFmtId="167" fontId="0" fillId="0" borderId="0" xfId="82" applyNumberFormat="1" applyFont="1"/>
    <xf numFmtId="167" fontId="0" fillId="0" borderId="0" xfId="82" applyNumberFormat="1" applyFont="1" applyBorder="1"/>
    <xf numFmtId="167" fontId="0" fillId="0" borderId="4" xfId="82" applyNumberFormat="1" applyFont="1" applyBorder="1"/>
    <xf numFmtId="169" fontId="0" fillId="35" borderId="0" xfId="126" applyNumberFormat="1" applyFont="1" applyFill="1"/>
    <xf numFmtId="166" fontId="0" fillId="0" borderId="0" xfId="82" applyNumberFormat="1" applyFont="1"/>
    <xf numFmtId="166" fontId="0" fillId="0" borderId="4" xfId="82" applyNumberFormat="1" applyFont="1" applyBorder="1"/>
    <xf numFmtId="0" fontId="9" fillId="0" borderId="0" xfId="0" applyFont="1" applyFill="1"/>
    <xf numFmtId="0" fontId="9" fillId="0" borderId="0" xfId="0" applyFont="1" applyFill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4" xfId="0" applyFont="1" applyFill="1" applyBorder="1" applyAlignment="1">
      <alignment horizontal="center"/>
    </xf>
    <xf numFmtId="43" fontId="0" fillId="0" borderId="0" xfId="0" applyNumberFormat="1" applyFont="1" applyBorder="1" applyAlignment="1">
      <alignment horizontal="center"/>
    </xf>
    <xf numFmtId="43" fontId="0" fillId="0" borderId="0" xfId="0" applyNumberFormat="1" applyFont="1"/>
    <xf numFmtId="0" fontId="0" fillId="0" borderId="0" xfId="0" applyFont="1" applyAlignment="1">
      <alignment horizontal="left" indent="1"/>
    </xf>
    <xf numFmtId="0" fontId="0" fillId="35" borderId="0" xfId="0" applyFont="1" applyFill="1" applyAlignment="1">
      <alignment horizontal="center"/>
    </xf>
    <xf numFmtId="0" fontId="0" fillId="0" borderId="0" xfId="0" applyFont="1" applyAlignment="1">
      <alignment horizontal="left"/>
    </xf>
    <xf numFmtId="168" fontId="0" fillId="0" borderId="0" xfId="0" applyNumberFormat="1" applyFont="1"/>
    <xf numFmtId="44" fontId="0" fillId="0" borderId="0" xfId="0" applyNumberFormat="1" applyFont="1"/>
    <xf numFmtId="170" fontId="0" fillId="0" borderId="0" xfId="0" applyNumberFormat="1" applyFont="1"/>
    <xf numFmtId="0" fontId="0" fillId="36" borderId="4" xfId="0" applyFont="1" applyFill="1" applyBorder="1" applyAlignment="1">
      <alignment horizontal="center"/>
    </xf>
    <xf numFmtId="0" fontId="0" fillId="36" borderId="4" xfId="0" applyFont="1" applyFill="1" applyBorder="1"/>
    <xf numFmtId="0" fontId="3" fillId="36" borderId="4" xfId="0" applyFont="1" applyFill="1" applyBorder="1"/>
    <xf numFmtId="43" fontId="0" fillId="0" borderId="0" xfId="82" applyFont="1" applyAlignment="1">
      <alignment horizontal="center"/>
    </xf>
    <xf numFmtId="164" fontId="0" fillId="0" borderId="0" xfId="126" applyNumberFormat="1" applyFont="1" applyBorder="1"/>
    <xf numFmtId="10" fontId="0" fillId="0" borderId="0" xfId="338" applyNumberFormat="1" applyFont="1" applyBorder="1"/>
    <xf numFmtId="43" fontId="0" fillId="0" borderId="0" xfId="82" applyFont="1" applyFill="1" applyBorder="1"/>
    <xf numFmtId="43" fontId="0" fillId="0" borderId="0" xfId="82" applyFont="1" applyBorder="1"/>
    <xf numFmtId="165" fontId="0" fillId="0" borderId="0" xfId="126" applyNumberFormat="1" applyFont="1" applyBorder="1"/>
    <xf numFmtId="44" fontId="0" fillId="0" borderId="0" xfId="126" applyFont="1" applyBorder="1" applyAlignment="1">
      <alignment horizontal="right"/>
    </xf>
    <xf numFmtId="10" fontId="0" fillId="0" borderId="0" xfId="338" applyNumberFormat="1" applyFont="1" applyBorder="1" applyAlignment="1">
      <alignment horizontal="right"/>
    </xf>
    <xf numFmtId="166" fontId="0" fillId="0" borderId="0" xfId="82" applyNumberFormat="1" applyFont="1" applyBorder="1" applyAlignment="1">
      <alignment horizontal="right"/>
    </xf>
    <xf numFmtId="0" fontId="3" fillId="0" borderId="0" xfId="0" applyFont="1" applyBorder="1" applyAlignment="1">
      <alignment horizontal="center"/>
    </xf>
    <xf numFmtId="43" fontId="0" fillId="0" borderId="0" xfId="82" applyFont="1" applyBorder="1" applyAlignment="1">
      <alignment horizontal="right"/>
    </xf>
    <xf numFmtId="0" fontId="0" fillId="0" borderId="0" xfId="0" applyFont="1" applyBorder="1" applyAlignment="1">
      <alignment horizontal="center" wrapText="1"/>
    </xf>
    <xf numFmtId="0" fontId="0" fillId="0" borderId="0" xfId="0" applyFont="1" applyBorder="1" applyAlignment="1">
      <alignment horizontal="right" wrapText="1"/>
    </xf>
    <xf numFmtId="43" fontId="0" fillId="0" borderId="0" xfId="0" applyNumberFormat="1" applyFont="1" applyBorder="1"/>
    <xf numFmtId="0" fontId="0" fillId="0" borderId="0" xfId="0" applyFont="1" applyBorder="1" applyAlignment="1">
      <alignment horizontal="left"/>
    </xf>
    <xf numFmtId="44" fontId="0" fillId="0" borderId="0" xfId="0" applyNumberFormat="1" applyFont="1" applyBorder="1"/>
    <xf numFmtId="0" fontId="11" fillId="0" borderId="0" xfId="330" applyFont="1" applyFill="1" applyBorder="1" applyAlignment="1">
      <alignment horizontal="left"/>
    </xf>
    <xf numFmtId="166" fontId="11" fillId="0" borderId="0" xfId="82" applyNumberFormat="1" applyFont="1" applyFill="1" applyBorder="1" applyAlignment="1">
      <alignment horizontal="left"/>
    </xf>
    <xf numFmtId="166" fontId="0" fillId="0" borderId="0" xfId="82" applyNumberFormat="1" applyFont="1" applyFill="1" applyBorder="1" applyAlignment="1">
      <alignment horizontal="center" wrapText="1"/>
    </xf>
    <xf numFmtId="0" fontId="0" fillId="0" borderId="0" xfId="0" applyFont="1" applyFill="1" applyBorder="1" applyAlignment="1">
      <alignment horizontal="center" vertical="center"/>
    </xf>
    <xf numFmtId="0" fontId="0" fillId="36" borderId="4" xfId="0" applyFont="1" applyFill="1" applyBorder="1" applyAlignment="1">
      <alignment vertical="center" textRotation="90"/>
    </xf>
    <xf numFmtId="0" fontId="12" fillId="36" borderId="4" xfId="330" applyFont="1" applyFill="1" applyBorder="1" applyAlignment="1">
      <alignment horizontal="left"/>
    </xf>
    <xf numFmtId="44" fontId="0" fillId="0" borderId="0" xfId="0" applyNumberFormat="1" applyFont="1" applyFill="1" applyBorder="1"/>
    <xf numFmtId="3" fontId="3" fillId="36" borderId="4" xfId="0" applyNumberFormat="1" applyFont="1" applyFill="1" applyBorder="1" applyAlignment="1">
      <alignment horizontal="right"/>
    </xf>
    <xf numFmtId="43" fontId="0" fillId="36" borderId="4" xfId="82" applyFont="1" applyFill="1" applyBorder="1"/>
    <xf numFmtId="43" fontId="0" fillId="36" borderId="4" xfId="0" applyNumberFormat="1" applyFont="1" applyFill="1" applyBorder="1"/>
    <xf numFmtId="166" fontId="3" fillId="0" borderId="4" xfId="82" applyNumberFormat="1" applyFont="1" applyBorder="1" applyAlignment="1">
      <alignment horizontal="center"/>
    </xf>
    <xf numFmtId="44" fontId="0" fillId="0" borderId="0" xfId="82" applyNumberFormat="1" applyFont="1" applyFill="1" applyBorder="1"/>
    <xf numFmtId="166" fontId="0" fillId="0" borderId="0" xfId="82" applyNumberFormat="1" applyFont="1" applyBorder="1"/>
    <xf numFmtId="0" fontId="0" fillId="0" borderId="0" xfId="0" applyFont="1" applyBorder="1"/>
    <xf numFmtId="0" fontId="0" fillId="0" borderId="0" xfId="0" applyFont="1" applyBorder="1" applyAlignment="1">
      <alignment horizontal="right"/>
    </xf>
    <xf numFmtId="0" fontId="0" fillId="0" borderId="0" xfId="0" applyFont="1" applyFill="1" applyBorder="1"/>
    <xf numFmtId="164" fontId="0" fillId="0" borderId="0" xfId="0" applyNumberFormat="1" applyFont="1" applyBorder="1"/>
    <xf numFmtId="0" fontId="0" fillId="0" borderId="0" xfId="0" applyFont="1" applyBorder="1" applyAlignment="1">
      <alignment horizontal="center"/>
    </xf>
    <xf numFmtId="0" fontId="0" fillId="0" borderId="0" xfId="0" applyFont="1" applyFill="1" applyBorder="1" applyAlignment="1">
      <alignment vertical="center" textRotation="90"/>
    </xf>
    <xf numFmtId="0" fontId="12" fillId="0" borderId="0" xfId="330" applyFont="1" applyFill="1" applyBorder="1" applyAlignment="1">
      <alignment horizontal="left"/>
    </xf>
    <xf numFmtId="166" fontId="3" fillId="0" borderId="0" xfId="82" applyNumberFormat="1" applyFont="1" applyBorder="1" applyAlignment="1">
      <alignment horizontal="right"/>
    </xf>
    <xf numFmtId="0" fontId="9" fillId="0" borderId="0" xfId="319" applyFont="1" applyBorder="1" applyAlignment="1">
      <alignment horizontal="left"/>
    </xf>
    <xf numFmtId="166" fontId="0" fillId="35" borderId="0" xfId="82" applyNumberFormat="1" applyFont="1" applyFill="1" applyBorder="1" applyAlignment="1">
      <alignment horizontal="right"/>
    </xf>
    <xf numFmtId="44" fontId="0" fillId="0" borderId="0" xfId="126" applyFont="1" applyFill="1" applyBorder="1"/>
    <xf numFmtId="166" fontId="0" fillId="0" borderId="0" xfId="82" applyNumberFormat="1" applyFont="1" applyFill="1" applyBorder="1"/>
    <xf numFmtId="43" fontId="0" fillId="0" borderId="0" xfId="82" applyNumberFormat="1" applyFont="1" applyFill="1" applyBorder="1"/>
    <xf numFmtId="44" fontId="0" fillId="32" borderId="0" xfId="126" applyFont="1" applyFill="1" applyBorder="1"/>
    <xf numFmtId="44" fontId="3" fillId="36" borderId="4" xfId="126" applyFont="1" applyFill="1" applyBorder="1"/>
    <xf numFmtId="44" fontId="0" fillId="36" borderId="4" xfId="126" applyFont="1" applyFill="1" applyBorder="1"/>
    <xf numFmtId="44" fontId="3" fillId="0" borderId="0" xfId="126" applyFont="1" applyBorder="1" applyAlignment="1">
      <alignment horizontal="right"/>
    </xf>
    <xf numFmtId="0" fontId="0" fillId="36" borderId="0" xfId="0" applyFont="1" applyFill="1" applyBorder="1"/>
    <xf numFmtId="0" fontId="0" fillId="36" borderId="0" xfId="0" applyFont="1" applyFill="1" applyBorder="1" applyAlignment="1">
      <alignment horizontal="center"/>
    </xf>
    <xf numFmtId="0" fontId="0" fillId="36" borderId="0" xfId="0" applyFont="1" applyFill="1" applyBorder="1" applyAlignment="1">
      <alignment horizontal="right"/>
    </xf>
    <xf numFmtId="166" fontId="0" fillId="36" borderId="0" xfId="82" applyNumberFormat="1" applyFont="1" applyFill="1" applyBorder="1"/>
    <xf numFmtId="44" fontId="0" fillId="36" borderId="0" xfId="82" applyNumberFormat="1" applyFont="1" applyFill="1" applyBorder="1"/>
    <xf numFmtId="0" fontId="3" fillId="36" borderId="0" xfId="0" applyFont="1" applyFill="1" applyBorder="1"/>
    <xf numFmtId="166" fontId="0" fillId="0" borderId="4" xfId="82" applyNumberFormat="1" applyFont="1" applyFill="1" applyBorder="1"/>
    <xf numFmtId="0" fontId="3" fillId="36" borderId="4" xfId="0" applyFont="1" applyFill="1" applyBorder="1" applyAlignment="1">
      <alignment horizontal="center" wrapText="1"/>
    </xf>
    <xf numFmtId="0" fontId="3" fillId="36" borderId="4" xfId="0" applyFont="1" applyFill="1" applyBorder="1" applyAlignment="1">
      <alignment horizontal="center" vertical="center"/>
    </xf>
    <xf numFmtId="0" fontId="0" fillId="36" borderId="4" xfId="0" applyFont="1" applyFill="1" applyBorder="1" applyAlignment="1">
      <alignment horizontal="center" vertical="center"/>
    </xf>
    <xf numFmtId="0" fontId="0" fillId="0" borderId="0" xfId="0" applyFont="1" applyFill="1" applyBorder="1" applyAlignment="1"/>
    <xf numFmtId="0" fontId="11" fillId="0" borderId="0" xfId="319" applyFont="1" applyBorder="1" applyAlignment="1">
      <alignment horizontal="left"/>
    </xf>
    <xf numFmtId="0" fontId="0" fillId="35" borderId="0" xfId="0" applyFont="1" applyFill="1" applyBorder="1" applyAlignment="1">
      <alignment horizontal="left"/>
    </xf>
    <xf numFmtId="0" fontId="9" fillId="0" borderId="0" xfId="330" applyFont="1" applyFill="1" applyBorder="1" applyAlignment="1">
      <alignment horizontal="left"/>
    </xf>
    <xf numFmtId="0" fontId="0" fillId="37" borderId="0" xfId="0" applyFont="1" applyFill="1" applyBorder="1" applyAlignment="1">
      <alignment horizontal="left"/>
    </xf>
    <xf numFmtId="44" fontId="0" fillId="0" borderId="4" xfId="126" applyFont="1" applyFill="1" applyBorder="1"/>
    <xf numFmtId="44" fontId="0" fillId="0" borderId="0" xfId="126" applyFont="1" applyBorder="1"/>
    <xf numFmtId="0" fontId="3" fillId="0" borderId="27" xfId="0" applyFont="1" applyBorder="1"/>
    <xf numFmtId="0" fontId="0" fillId="36" borderId="28" xfId="0" applyFont="1" applyFill="1" applyBorder="1" applyAlignment="1">
      <alignment horizontal="center"/>
    </xf>
    <xf numFmtId="0" fontId="0" fillId="0" borderId="29" xfId="0" applyFont="1" applyBorder="1"/>
    <xf numFmtId="44" fontId="0" fillId="0" borderId="30" xfId="126" applyFont="1" applyBorder="1"/>
    <xf numFmtId="0" fontId="0" fillId="0" borderId="30" xfId="0" applyFont="1" applyBorder="1"/>
    <xf numFmtId="0" fontId="3" fillId="0" borderId="29" xfId="0" applyFont="1" applyBorder="1"/>
    <xf numFmtId="0" fontId="0" fillId="36" borderId="31" xfId="0" applyFont="1" applyFill="1" applyBorder="1" applyAlignment="1">
      <alignment horizontal="center"/>
    </xf>
    <xf numFmtId="44" fontId="1" fillId="0" borderId="30" xfId="126" applyFont="1" applyBorder="1"/>
    <xf numFmtId="0" fontId="0" fillId="0" borderId="32" xfId="0" applyFont="1" applyBorder="1" applyAlignment="1">
      <alignment horizontal="left"/>
    </xf>
    <xf numFmtId="44" fontId="0" fillId="0" borderId="33" xfId="126" applyFont="1" applyBorder="1"/>
    <xf numFmtId="164" fontId="0" fillId="0" borderId="0" xfId="0" applyNumberFormat="1" applyFont="1" applyFill="1" applyBorder="1"/>
    <xf numFmtId="43" fontId="3" fillId="0" borderId="0" xfId="82" applyNumberFormat="1" applyFont="1" applyBorder="1" applyAlignment="1">
      <alignment horizontal="right"/>
    </xf>
    <xf numFmtId="43" fontId="0" fillId="0" borderId="4" xfId="82" applyNumberFormat="1" applyFont="1" applyFill="1" applyBorder="1"/>
    <xf numFmtId="166" fontId="0" fillId="0" borderId="4" xfId="82" applyNumberFormat="1" applyFont="1" applyFill="1" applyBorder="1" applyAlignment="1">
      <alignment horizontal="center" wrapText="1"/>
    </xf>
    <xf numFmtId="0" fontId="11" fillId="0" borderId="0" xfId="329" applyFont="1" applyBorder="1"/>
    <xf numFmtId="0" fontId="0" fillId="0" borderId="4" xfId="0" applyFont="1" applyFill="1" applyBorder="1" applyAlignment="1">
      <alignment horizontal="center" vertical="center"/>
    </xf>
    <xf numFmtId="166" fontId="11" fillId="0" borderId="0" xfId="82" applyNumberFormat="1" applyFont="1" applyFill="1" applyBorder="1"/>
    <xf numFmtId="0" fontId="11" fillId="0" borderId="4" xfId="329" applyFont="1" applyBorder="1"/>
    <xf numFmtId="0" fontId="3" fillId="36" borderId="4" xfId="0" applyFont="1" applyFill="1" applyBorder="1" applyAlignment="1">
      <alignment wrapText="1"/>
    </xf>
    <xf numFmtId="166" fontId="3" fillId="36" borderId="4" xfId="82" applyNumberFormat="1" applyFont="1" applyFill="1" applyBorder="1" applyAlignment="1">
      <alignment horizontal="center" wrapText="1"/>
    </xf>
    <xf numFmtId="0" fontId="56" fillId="0" borderId="0" xfId="82" applyNumberFormat="1" applyFont="1" applyBorder="1" applyAlignment="1">
      <alignment horizontal="left"/>
    </xf>
    <xf numFmtId="0" fontId="0" fillId="0" borderId="0" xfId="82" applyNumberFormat="1" applyFont="1" applyBorder="1"/>
    <xf numFmtId="0" fontId="0" fillId="0" borderId="4" xfId="0" applyFont="1" applyFill="1" applyBorder="1" applyAlignment="1">
      <alignment vertical="center" textRotation="90"/>
    </xf>
    <xf numFmtId="43" fontId="9" fillId="0" borderId="0" xfId="82" applyNumberFormat="1" applyFont="1" applyFill="1" applyBorder="1"/>
    <xf numFmtId="0" fontId="0" fillId="0" borderId="0" xfId="0" applyFont="1" applyFill="1" applyBorder="1" applyAlignment="1">
      <alignment vertical="center"/>
    </xf>
    <xf numFmtId="3" fontId="0" fillId="0" borderId="0" xfId="0" applyNumberFormat="1" applyFont="1" applyFill="1" applyBorder="1"/>
    <xf numFmtId="43" fontId="11" fillId="0" borderId="0" xfId="83" applyFont="1"/>
    <xf numFmtId="44" fontId="11" fillId="0" borderId="0" xfId="129" applyFont="1"/>
    <xf numFmtId="3" fontId="11" fillId="0" borderId="0" xfId="200" applyNumberFormat="1" applyFont="1" applyBorder="1"/>
    <xf numFmtId="166" fontId="11" fillId="0" borderId="0" xfId="322" applyNumberFormat="1" applyFont="1" applyBorder="1"/>
    <xf numFmtId="3" fontId="11" fillId="0" borderId="0" xfId="200" applyNumberFormat="1" applyFont="1"/>
    <xf numFmtId="166" fontId="11" fillId="0" borderId="0" xfId="82" applyNumberFormat="1" applyFont="1"/>
    <xf numFmtId="10" fontId="0" fillId="0" borderId="0" xfId="338" applyNumberFormat="1" applyFont="1" applyFill="1" applyBorder="1"/>
    <xf numFmtId="0" fontId="11" fillId="0" borderId="0" xfId="329" applyFont="1" applyBorder="1" applyAlignment="1">
      <alignment horizontal="left" indent="1"/>
    </xf>
    <xf numFmtId="0" fontId="0" fillId="0" borderId="34" xfId="0" applyFont="1" applyFill="1" applyBorder="1" applyAlignment="1">
      <alignment horizontal="center" vertical="center" textRotation="90"/>
    </xf>
    <xf numFmtId="0" fontId="0" fillId="0" borderId="34" xfId="0" applyFont="1" applyFill="1" applyBorder="1" applyAlignment="1">
      <alignment horizontal="center" vertical="center"/>
    </xf>
    <xf numFmtId="166" fontId="0" fillId="0" borderId="34" xfId="82" applyNumberFormat="1" applyFont="1" applyBorder="1"/>
    <xf numFmtId="43" fontId="0" fillId="0" borderId="34" xfId="82" applyNumberFormat="1" applyFont="1" applyFill="1" applyBorder="1"/>
    <xf numFmtId="166" fontId="0" fillId="0" borderId="34" xfId="82" applyNumberFormat="1" applyFont="1" applyFill="1" applyBorder="1"/>
    <xf numFmtId="166" fontId="0" fillId="0" borderId="34" xfId="82" applyNumberFormat="1" applyFont="1" applyFill="1" applyBorder="1" applyAlignment="1">
      <alignment horizontal="center" wrapText="1"/>
    </xf>
    <xf numFmtId="44" fontId="0" fillId="0" borderId="34" xfId="126" applyFont="1" applyFill="1" applyBorder="1"/>
    <xf numFmtId="44" fontId="0" fillId="0" borderId="34" xfId="126" applyFont="1" applyBorder="1"/>
    <xf numFmtId="0" fontId="0" fillId="0" borderId="0" xfId="0" applyFont="1" applyFill="1" applyBorder="1" applyAlignment="1">
      <alignment horizontal="center" vertical="center" textRotation="90"/>
    </xf>
    <xf numFmtId="44" fontId="11" fillId="0" borderId="0" xfId="126" applyFont="1" applyFill="1" applyBorder="1"/>
    <xf numFmtId="0" fontId="0" fillId="0" borderId="0" xfId="0" applyFont="1" applyFill="1"/>
    <xf numFmtId="166" fontId="11" fillId="0" borderId="0" xfId="83" applyNumberFormat="1" applyFont="1"/>
    <xf numFmtId="166" fontId="3" fillId="36" borderId="4" xfId="0" applyNumberFormat="1" applyFont="1" applyFill="1" applyBorder="1" applyAlignment="1">
      <alignment horizontal="right"/>
    </xf>
    <xf numFmtId="166" fontId="0" fillId="0" borderId="0" xfId="0" applyNumberFormat="1" applyFont="1" applyBorder="1"/>
    <xf numFmtId="166" fontId="0" fillId="36" borderId="0" xfId="0" applyNumberFormat="1" applyFont="1" applyFill="1" applyBorder="1"/>
    <xf numFmtId="44" fontId="0" fillId="38" borderId="0" xfId="126" applyFont="1" applyFill="1" applyBorder="1"/>
    <xf numFmtId="3" fontId="11" fillId="39" borderId="0" xfId="200" applyNumberFormat="1" applyFont="1" applyFill="1"/>
    <xf numFmtId="43" fontId="0" fillId="39" borderId="0" xfId="82" applyNumberFormat="1" applyFont="1" applyFill="1" applyBorder="1"/>
    <xf numFmtId="166" fontId="11" fillId="39" borderId="0" xfId="82" applyNumberFormat="1" applyFont="1" applyFill="1"/>
    <xf numFmtId="166" fontId="11" fillId="39" borderId="0" xfId="83" applyNumberFormat="1" applyFont="1" applyFill="1"/>
    <xf numFmtId="166" fontId="0" fillId="39" borderId="0" xfId="82" applyNumberFormat="1" applyFont="1" applyFill="1" applyBorder="1"/>
    <xf numFmtId="166" fontId="0" fillId="39" borderId="0" xfId="82" applyNumberFormat="1" applyFont="1" applyFill="1" applyBorder="1" applyAlignment="1">
      <alignment horizontal="center" wrapText="1"/>
    </xf>
    <xf numFmtId="44" fontId="0" fillId="39" borderId="0" xfId="126" applyFont="1" applyFill="1" applyBorder="1"/>
    <xf numFmtId="44" fontId="11" fillId="39" borderId="0" xfId="126" applyFont="1" applyFill="1" applyBorder="1"/>
    <xf numFmtId="44" fontId="0" fillId="40" borderId="0" xfId="126" applyFont="1" applyFill="1" applyBorder="1"/>
    <xf numFmtId="44" fontId="0" fillId="41" borderId="0" xfId="126" applyFont="1" applyFill="1" applyBorder="1"/>
    <xf numFmtId="3" fontId="11" fillId="42" borderId="0" xfId="200" applyNumberFormat="1" applyFont="1" applyFill="1"/>
    <xf numFmtId="166" fontId="0" fillId="42" borderId="0" xfId="82" applyNumberFormat="1" applyFont="1" applyFill="1" applyBorder="1"/>
    <xf numFmtId="43" fontId="0" fillId="42" borderId="0" xfId="82" applyNumberFormat="1" applyFont="1" applyFill="1" applyBorder="1"/>
    <xf numFmtId="166" fontId="11" fillId="42" borderId="0" xfId="82" applyNumberFormat="1" applyFont="1" applyFill="1"/>
    <xf numFmtId="166" fontId="11" fillId="42" borderId="0" xfId="83" applyNumberFormat="1" applyFont="1" applyFill="1"/>
    <xf numFmtId="166" fontId="0" fillId="42" borderId="0" xfId="82" applyNumberFormat="1" applyFont="1" applyFill="1" applyBorder="1" applyAlignment="1">
      <alignment horizontal="center" wrapText="1"/>
    </xf>
    <xf numFmtId="44" fontId="0" fillId="42" borderId="0" xfId="126" applyFont="1" applyFill="1" applyBorder="1"/>
    <xf numFmtId="44" fontId="11" fillId="42" borderId="0" xfId="126" applyFont="1" applyFill="1" applyBorder="1"/>
    <xf numFmtId="166" fontId="11" fillId="42" borderId="0" xfId="82" applyNumberFormat="1" applyFont="1" applyFill="1" applyBorder="1"/>
    <xf numFmtId="166" fontId="9" fillId="42" borderId="0" xfId="83" applyNumberFormat="1" applyFont="1" applyFill="1"/>
    <xf numFmtId="1" fontId="0" fillId="0" borderId="0" xfId="82" applyNumberFormat="1" applyFont="1" applyBorder="1"/>
    <xf numFmtId="1" fontId="0" fillId="0" borderId="0" xfId="0" applyNumberFormat="1" applyFont="1" applyBorder="1"/>
    <xf numFmtId="1" fontId="0" fillId="39" borderId="0" xfId="0" applyNumberFormat="1" applyFont="1" applyFill="1" applyBorder="1"/>
    <xf numFmtId="1" fontId="0" fillId="42" borderId="0" xfId="82" applyNumberFormat="1" applyFont="1" applyFill="1" applyBorder="1"/>
    <xf numFmtId="0" fontId="60" fillId="0" borderId="0" xfId="0" applyFont="1" applyBorder="1" applyAlignment="1">
      <alignment horizontal="centerContinuous"/>
    </xf>
    <xf numFmtId="166" fontId="60" fillId="0" borderId="0" xfId="82" applyNumberFormat="1" applyFont="1" applyBorder="1" applyAlignment="1">
      <alignment horizontal="centerContinuous"/>
    </xf>
    <xf numFmtId="3" fontId="0" fillId="0" borderId="0" xfId="0" applyNumberFormat="1"/>
    <xf numFmtId="0" fontId="3" fillId="43" borderId="4" xfId="0" applyFont="1" applyFill="1" applyBorder="1"/>
    <xf numFmtId="0" fontId="0" fillId="43" borderId="4" xfId="0" applyFont="1" applyFill="1" applyBorder="1" applyAlignment="1">
      <alignment horizontal="center"/>
    </xf>
    <xf numFmtId="10" fontId="0" fillId="0" borderId="0" xfId="0" applyNumberFormat="1"/>
    <xf numFmtId="3" fontId="0" fillId="0" borderId="4" xfId="0" applyNumberFormat="1" applyBorder="1"/>
    <xf numFmtId="10" fontId="0" fillId="0" borderId="4" xfId="0" applyNumberFormat="1" applyBorder="1"/>
    <xf numFmtId="0" fontId="60" fillId="0" borderId="0" xfId="0" applyFont="1" applyAlignment="1">
      <alignment horizontal="centerContinuous"/>
    </xf>
    <xf numFmtId="172" fontId="60" fillId="0" borderId="0" xfId="0" applyNumberFormat="1" applyFont="1" applyAlignment="1">
      <alignment horizontal="centerContinuous"/>
    </xf>
    <xf numFmtId="0" fontId="0" fillId="0" borderId="0" xfId="0" applyAlignment="1">
      <alignment horizontal="center"/>
    </xf>
    <xf numFmtId="0" fontId="0" fillId="0" borderId="0" xfId="0" applyFont="1" applyAlignment="1">
      <alignment horizontal="left"/>
    </xf>
    <xf numFmtId="44" fontId="0" fillId="0" borderId="0" xfId="126" applyFont="1" applyFill="1"/>
    <xf numFmtId="0" fontId="0" fillId="43" borderId="0" xfId="0" applyFont="1" applyFill="1" applyBorder="1" applyAlignment="1">
      <alignment horizontal="center"/>
    </xf>
    <xf numFmtId="44" fontId="0" fillId="43" borderId="0" xfId="126" applyFont="1" applyFill="1" applyBorder="1"/>
    <xf numFmtId="0" fontId="0" fillId="36" borderId="0" xfId="0" applyFont="1" applyFill="1" applyAlignment="1">
      <alignment horizontal="center"/>
    </xf>
    <xf numFmtId="0" fontId="3" fillId="36" borderId="4" xfId="0" applyFont="1" applyFill="1" applyBorder="1" applyAlignment="1">
      <alignment horizontal="center"/>
    </xf>
    <xf numFmtId="0" fontId="0" fillId="0" borderId="0" xfId="0" applyFont="1" applyAlignment="1">
      <alignment horizontal="left"/>
    </xf>
    <xf numFmtId="0" fontId="0" fillId="36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 vertical="center" textRotation="90"/>
    </xf>
    <xf numFmtId="0" fontId="0" fillId="0" borderId="26" xfId="0" applyFont="1" applyFill="1" applyBorder="1" applyAlignment="1">
      <alignment horizontal="center" vertical="center" textRotation="90"/>
    </xf>
  </cellXfs>
  <cellStyles count="390">
    <cellStyle name="20% - Accent1 2" xfId="1" xr:uid="{00000000-0005-0000-0000-000000000000}"/>
    <cellStyle name="20% - Accent1 2 2" xfId="2" xr:uid="{00000000-0005-0000-0000-000001000000}"/>
    <cellStyle name="20% - Accent1 3" xfId="3" xr:uid="{00000000-0005-0000-0000-000002000000}"/>
    <cellStyle name="20% - Accent1 3 2" xfId="4" xr:uid="{00000000-0005-0000-0000-000003000000}"/>
    <cellStyle name="20% - Accent2 2" xfId="5" xr:uid="{00000000-0005-0000-0000-000004000000}"/>
    <cellStyle name="20% - Accent2 3" xfId="6" xr:uid="{00000000-0005-0000-0000-000005000000}"/>
    <cellStyle name="20% - Accent3 2" xfId="7" xr:uid="{00000000-0005-0000-0000-000006000000}"/>
    <cellStyle name="20% - Accent3 3" xfId="8" xr:uid="{00000000-0005-0000-0000-000007000000}"/>
    <cellStyle name="20% - Accent4 2" xfId="9" xr:uid="{00000000-0005-0000-0000-000008000000}"/>
    <cellStyle name="20% - Accent4 2 2" xfId="10" xr:uid="{00000000-0005-0000-0000-000009000000}"/>
    <cellStyle name="20% - Accent4 3" xfId="11" xr:uid="{00000000-0005-0000-0000-00000A000000}"/>
    <cellStyle name="20% - Accent4 3 2" xfId="12" xr:uid="{00000000-0005-0000-0000-00000B000000}"/>
    <cellStyle name="20% - Accent5 2" xfId="13" xr:uid="{00000000-0005-0000-0000-00000C000000}"/>
    <cellStyle name="20% - Accent5 3" xfId="14" xr:uid="{00000000-0005-0000-0000-00000D000000}"/>
    <cellStyle name="20% - Accent6 2" xfId="15" xr:uid="{00000000-0005-0000-0000-00000E000000}"/>
    <cellStyle name="20% - Accent6 3" xfId="16" xr:uid="{00000000-0005-0000-0000-00000F000000}"/>
    <cellStyle name="40% - Accent1 2" xfId="17" xr:uid="{00000000-0005-0000-0000-000010000000}"/>
    <cellStyle name="40% - Accent1 3" xfId="18" xr:uid="{00000000-0005-0000-0000-000011000000}"/>
    <cellStyle name="40% - Accent1 3 2" xfId="19" xr:uid="{00000000-0005-0000-0000-000012000000}"/>
    <cellStyle name="40% - Accent2 2" xfId="20" xr:uid="{00000000-0005-0000-0000-000013000000}"/>
    <cellStyle name="40% - Accent2 3" xfId="21" xr:uid="{00000000-0005-0000-0000-000014000000}"/>
    <cellStyle name="40% - Accent3 2" xfId="22" xr:uid="{00000000-0005-0000-0000-000015000000}"/>
    <cellStyle name="40% - Accent3 3" xfId="23" xr:uid="{00000000-0005-0000-0000-000016000000}"/>
    <cellStyle name="40% - Accent4 2" xfId="24" xr:uid="{00000000-0005-0000-0000-000017000000}"/>
    <cellStyle name="40% - Accent4 3" xfId="25" xr:uid="{00000000-0005-0000-0000-000018000000}"/>
    <cellStyle name="40% - Accent4 3 2" xfId="26" xr:uid="{00000000-0005-0000-0000-000019000000}"/>
    <cellStyle name="40% - Accent5 2" xfId="27" xr:uid="{00000000-0005-0000-0000-00001A000000}"/>
    <cellStyle name="40% - Accent5 3" xfId="28" xr:uid="{00000000-0005-0000-0000-00001B000000}"/>
    <cellStyle name="40% - Accent6 2" xfId="29" xr:uid="{00000000-0005-0000-0000-00001C000000}"/>
    <cellStyle name="40% - Accent6 3" xfId="30" xr:uid="{00000000-0005-0000-0000-00001D000000}"/>
    <cellStyle name="40% - Accent6 3 2" xfId="31" xr:uid="{00000000-0005-0000-0000-00001E000000}"/>
    <cellStyle name="60% - Accent1 2" xfId="32" xr:uid="{00000000-0005-0000-0000-00001F000000}"/>
    <cellStyle name="60% - Accent1 2 2" xfId="33" xr:uid="{00000000-0005-0000-0000-000020000000}"/>
    <cellStyle name="60% - Accent1 3" xfId="34" xr:uid="{00000000-0005-0000-0000-000021000000}"/>
    <cellStyle name="60% - Accent1 3 2" xfId="35" xr:uid="{00000000-0005-0000-0000-000022000000}"/>
    <cellStyle name="60% - Accent2 2" xfId="36" xr:uid="{00000000-0005-0000-0000-000023000000}"/>
    <cellStyle name="60% - Accent2 3" xfId="37" xr:uid="{00000000-0005-0000-0000-000024000000}"/>
    <cellStyle name="60% - Accent3 2" xfId="38" xr:uid="{00000000-0005-0000-0000-000025000000}"/>
    <cellStyle name="60% - Accent3 3" xfId="39" xr:uid="{00000000-0005-0000-0000-000026000000}"/>
    <cellStyle name="60% - Accent3 3 2" xfId="40" xr:uid="{00000000-0005-0000-0000-000027000000}"/>
    <cellStyle name="60% - Accent4 2" xfId="41" xr:uid="{00000000-0005-0000-0000-000028000000}"/>
    <cellStyle name="60% - Accent4 3" xfId="42" xr:uid="{00000000-0005-0000-0000-000029000000}"/>
    <cellStyle name="60% - Accent4 3 2" xfId="43" xr:uid="{00000000-0005-0000-0000-00002A000000}"/>
    <cellStyle name="60% - Accent5 2" xfId="44" xr:uid="{00000000-0005-0000-0000-00002B000000}"/>
    <cellStyle name="60% - Accent5 2 2" xfId="45" xr:uid="{00000000-0005-0000-0000-00002C000000}"/>
    <cellStyle name="60% - Accent5 3" xfId="46" xr:uid="{00000000-0005-0000-0000-00002D000000}"/>
    <cellStyle name="60% - Accent6 2" xfId="47" xr:uid="{00000000-0005-0000-0000-00002E000000}"/>
    <cellStyle name="60% - Accent6 3" xfId="48" xr:uid="{00000000-0005-0000-0000-00002F000000}"/>
    <cellStyle name="Accent1 2" xfId="49" xr:uid="{00000000-0005-0000-0000-000030000000}"/>
    <cellStyle name="Accent1 2 2" xfId="50" xr:uid="{00000000-0005-0000-0000-000031000000}"/>
    <cellStyle name="Accent1 3" xfId="51" xr:uid="{00000000-0005-0000-0000-000032000000}"/>
    <cellStyle name="Accent1 3 2" xfId="52" xr:uid="{00000000-0005-0000-0000-000033000000}"/>
    <cellStyle name="Accent2 2" xfId="53" xr:uid="{00000000-0005-0000-0000-000034000000}"/>
    <cellStyle name="Accent2 3" xfId="54" xr:uid="{00000000-0005-0000-0000-000035000000}"/>
    <cellStyle name="Accent3 2" xfId="55" xr:uid="{00000000-0005-0000-0000-000036000000}"/>
    <cellStyle name="Accent3 2 2" xfId="56" xr:uid="{00000000-0005-0000-0000-000037000000}"/>
    <cellStyle name="Accent3 3" xfId="57" xr:uid="{00000000-0005-0000-0000-000038000000}"/>
    <cellStyle name="Accent4 2" xfId="58" xr:uid="{00000000-0005-0000-0000-000039000000}"/>
    <cellStyle name="Accent4 3" xfId="59" xr:uid="{00000000-0005-0000-0000-00003A000000}"/>
    <cellStyle name="Accent5 2" xfId="60" xr:uid="{00000000-0005-0000-0000-00003B000000}"/>
    <cellStyle name="Accent5 3" xfId="61" xr:uid="{00000000-0005-0000-0000-00003C000000}"/>
    <cellStyle name="Accent6 2" xfId="62" xr:uid="{00000000-0005-0000-0000-00003D000000}"/>
    <cellStyle name="Accent6 2 2" xfId="63" xr:uid="{00000000-0005-0000-0000-00003E000000}"/>
    <cellStyle name="Accent6 3" xfId="64" xr:uid="{00000000-0005-0000-0000-00003F000000}"/>
    <cellStyle name="Accounting" xfId="65" xr:uid="{00000000-0005-0000-0000-000040000000}"/>
    <cellStyle name="Accounting 2" xfId="66" xr:uid="{00000000-0005-0000-0000-000041000000}"/>
    <cellStyle name="Accounting 3" xfId="67" xr:uid="{00000000-0005-0000-0000-000042000000}"/>
    <cellStyle name="Accounting_2011-11" xfId="68" xr:uid="{00000000-0005-0000-0000-000043000000}"/>
    <cellStyle name="Bad 2" xfId="69" xr:uid="{00000000-0005-0000-0000-000044000000}"/>
    <cellStyle name="Bad 3" xfId="70" xr:uid="{00000000-0005-0000-0000-000045000000}"/>
    <cellStyle name="Budget" xfId="71" xr:uid="{00000000-0005-0000-0000-000046000000}"/>
    <cellStyle name="Budget 2" xfId="72" xr:uid="{00000000-0005-0000-0000-000047000000}"/>
    <cellStyle name="Budget 3" xfId="73" xr:uid="{00000000-0005-0000-0000-000048000000}"/>
    <cellStyle name="Budget_2011-11" xfId="74" xr:uid="{00000000-0005-0000-0000-000049000000}"/>
    <cellStyle name="Calculation 2" xfId="75" xr:uid="{00000000-0005-0000-0000-00004A000000}"/>
    <cellStyle name="Calculation 2 2" xfId="76" xr:uid="{00000000-0005-0000-0000-00004B000000}"/>
    <cellStyle name="Calculation 3" xfId="77" xr:uid="{00000000-0005-0000-0000-00004C000000}"/>
    <cellStyle name="Calculation 3 2" xfId="78" xr:uid="{00000000-0005-0000-0000-00004D000000}"/>
    <cellStyle name="Check Cell 2" xfId="79" xr:uid="{00000000-0005-0000-0000-00004E000000}"/>
    <cellStyle name="Check Cell 3" xfId="80" xr:uid="{00000000-0005-0000-0000-00004F000000}"/>
    <cellStyle name="combo" xfId="81" xr:uid="{00000000-0005-0000-0000-000050000000}"/>
    <cellStyle name="Comma" xfId="82" builtinId="3"/>
    <cellStyle name="Comma 10" xfId="83" xr:uid="{00000000-0005-0000-0000-000052000000}"/>
    <cellStyle name="Comma 11" xfId="84" xr:uid="{00000000-0005-0000-0000-000053000000}"/>
    <cellStyle name="Comma 12" xfId="85" xr:uid="{00000000-0005-0000-0000-000054000000}"/>
    <cellStyle name="Comma 12 2" xfId="86" xr:uid="{00000000-0005-0000-0000-000055000000}"/>
    <cellStyle name="Comma 12 3" xfId="87" xr:uid="{00000000-0005-0000-0000-000056000000}"/>
    <cellStyle name="Comma 13" xfId="88" xr:uid="{00000000-0005-0000-0000-000057000000}"/>
    <cellStyle name="Comma 14" xfId="89" xr:uid="{00000000-0005-0000-0000-000058000000}"/>
    <cellStyle name="Comma 15" xfId="90" xr:uid="{00000000-0005-0000-0000-000059000000}"/>
    <cellStyle name="Comma 16" xfId="91" xr:uid="{00000000-0005-0000-0000-00005A000000}"/>
    <cellStyle name="Comma 17" xfId="92" xr:uid="{00000000-0005-0000-0000-00005B000000}"/>
    <cellStyle name="Comma 18" xfId="93" xr:uid="{00000000-0005-0000-0000-00005C000000}"/>
    <cellStyle name="Comma 19" xfId="94" xr:uid="{00000000-0005-0000-0000-00005D000000}"/>
    <cellStyle name="Comma 2" xfId="95" xr:uid="{00000000-0005-0000-0000-00005E000000}"/>
    <cellStyle name="Comma 2 2" xfId="96" xr:uid="{00000000-0005-0000-0000-00005F000000}"/>
    <cellStyle name="Comma 2 2 2" xfId="97" xr:uid="{00000000-0005-0000-0000-000060000000}"/>
    <cellStyle name="Comma 2 3" xfId="98" xr:uid="{00000000-0005-0000-0000-000061000000}"/>
    <cellStyle name="Comma 2 4" xfId="99" xr:uid="{00000000-0005-0000-0000-000062000000}"/>
    <cellStyle name="Comma 2 6" xfId="100" xr:uid="{00000000-0005-0000-0000-000063000000}"/>
    <cellStyle name="Comma 2 6 2" xfId="101" xr:uid="{00000000-0005-0000-0000-000064000000}"/>
    <cellStyle name="Comma 20" xfId="102" xr:uid="{00000000-0005-0000-0000-000065000000}"/>
    <cellStyle name="Comma 3" xfId="103" xr:uid="{00000000-0005-0000-0000-000066000000}"/>
    <cellStyle name="Comma 3 2" xfId="104" xr:uid="{00000000-0005-0000-0000-000067000000}"/>
    <cellStyle name="Comma 3 2 2" xfId="105" xr:uid="{00000000-0005-0000-0000-000068000000}"/>
    <cellStyle name="Comma 3 3" xfId="106" xr:uid="{00000000-0005-0000-0000-000069000000}"/>
    <cellStyle name="Comma 3 4" xfId="107" xr:uid="{00000000-0005-0000-0000-00006A000000}"/>
    <cellStyle name="Comma 4" xfId="108" xr:uid="{00000000-0005-0000-0000-00006B000000}"/>
    <cellStyle name="Comma 4 2" xfId="109" xr:uid="{00000000-0005-0000-0000-00006C000000}"/>
    <cellStyle name="Comma 4 2 2" xfId="110" xr:uid="{00000000-0005-0000-0000-00006D000000}"/>
    <cellStyle name="Comma 4 3" xfId="111" xr:uid="{00000000-0005-0000-0000-00006E000000}"/>
    <cellStyle name="Comma 4 3 2" xfId="112" xr:uid="{00000000-0005-0000-0000-00006F000000}"/>
    <cellStyle name="Comma 4 4" xfId="113" xr:uid="{00000000-0005-0000-0000-000070000000}"/>
    <cellStyle name="Comma 4 5" xfId="114" xr:uid="{00000000-0005-0000-0000-000071000000}"/>
    <cellStyle name="Comma 4 6" xfId="115" xr:uid="{00000000-0005-0000-0000-000072000000}"/>
    <cellStyle name="Comma 5" xfId="116" xr:uid="{00000000-0005-0000-0000-000073000000}"/>
    <cellStyle name="Comma 6" xfId="117" xr:uid="{00000000-0005-0000-0000-000074000000}"/>
    <cellStyle name="Comma 6 2" xfId="118" xr:uid="{00000000-0005-0000-0000-000075000000}"/>
    <cellStyle name="Comma 7" xfId="119" xr:uid="{00000000-0005-0000-0000-000076000000}"/>
    <cellStyle name="Comma 8" xfId="120" xr:uid="{00000000-0005-0000-0000-000077000000}"/>
    <cellStyle name="Comma 9" xfId="121" xr:uid="{00000000-0005-0000-0000-000078000000}"/>
    <cellStyle name="Comma(2)" xfId="122" xr:uid="{00000000-0005-0000-0000-000079000000}"/>
    <cellStyle name="Comma0 - Style2" xfId="123" xr:uid="{00000000-0005-0000-0000-00007A000000}"/>
    <cellStyle name="Comma1 - Style1" xfId="124" xr:uid="{00000000-0005-0000-0000-00007B000000}"/>
    <cellStyle name="Comments" xfId="125" xr:uid="{00000000-0005-0000-0000-00007C000000}"/>
    <cellStyle name="Currency" xfId="126" builtinId="4"/>
    <cellStyle name="Currency 10" xfId="127" xr:uid="{00000000-0005-0000-0000-00007E000000}"/>
    <cellStyle name="Currency 11" xfId="128" xr:uid="{00000000-0005-0000-0000-00007F000000}"/>
    <cellStyle name="Currency 2" xfId="129" xr:uid="{00000000-0005-0000-0000-000080000000}"/>
    <cellStyle name="Currency 2 2" xfId="130" xr:uid="{00000000-0005-0000-0000-000081000000}"/>
    <cellStyle name="Currency 2 2 2" xfId="131" xr:uid="{00000000-0005-0000-0000-000082000000}"/>
    <cellStyle name="Currency 2 3" xfId="132" xr:uid="{00000000-0005-0000-0000-000083000000}"/>
    <cellStyle name="Currency 2 3 2" xfId="133" xr:uid="{00000000-0005-0000-0000-000084000000}"/>
    <cellStyle name="Currency 2 6" xfId="134" xr:uid="{00000000-0005-0000-0000-000085000000}"/>
    <cellStyle name="Currency 2 6 2" xfId="135" xr:uid="{00000000-0005-0000-0000-000086000000}"/>
    <cellStyle name="Currency 3" xfId="136" xr:uid="{00000000-0005-0000-0000-000087000000}"/>
    <cellStyle name="Currency 3 2" xfId="137" xr:uid="{00000000-0005-0000-0000-000088000000}"/>
    <cellStyle name="Currency 3 3" xfId="138" xr:uid="{00000000-0005-0000-0000-000089000000}"/>
    <cellStyle name="Currency 3 4" xfId="139" xr:uid="{00000000-0005-0000-0000-00008A000000}"/>
    <cellStyle name="Currency 4" xfId="140" xr:uid="{00000000-0005-0000-0000-00008B000000}"/>
    <cellStyle name="Currency 4 2" xfId="141" xr:uid="{00000000-0005-0000-0000-00008C000000}"/>
    <cellStyle name="Currency 5" xfId="142" xr:uid="{00000000-0005-0000-0000-00008D000000}"/>
    <cellStyle name="Currency 5 2" xfId="143" xr:uid="{00000000-0005-0000-0000-00008E000000}"/>
    <cellStyle name="Currency 5 3" xfId="144" xr:uid="{00000000-0005-0000-0000-00008F000000}"/>
    <cellStyle name="Currency 6" xfId="145" xr:uid="{00000000-0005-0000-0000-000090000000}"/>
    <cellStyle name="Currency 7" xfId="146" xr:uid="{00000000-0005-0000-0000-000091000000}"/>
    <cellStyle name="Currency 8" xfId="147" xr:uid="{00000000-0005-0000-0000-000092000000}"/>
    <cellStyle name="Currency 9" xfId="148" xr:uid="{00000000-0005-0000-0000-000093000000}"/>
    <cellStyle name="Data Enter" xfId="149" xr:uid="{00000000-0005-0000-0000-000094000000}"/>
    <cellStyle name="date" xfId="150" xr:uid="{00000000-0005-0000-0000-000095000000}"/>
    <cellStyle name="Explanatory Text 2" xfId="151" xr:uid="{00000000-0005-0000-0000-000096000000}"/>
    <cellStyle name="Explanatory Text 3" xfId="152" xr:uid="{00000000-0005-0000-0000-000097000000}"/>
    <cellStyle name="FactSheet" xfId="153" xr:uid="{00000000-0005-0000-0000-000098000000}"/>
    <cellStyle name="fish" xfId="154" xr:uid="{00000000-0005-0000-0000-000099000000}"/>
    <cellStyle name="Good 2" xfId="155" xr:uid="{00000000-0005-0000-0000-00009A000000}"/>
    <cellStyle name="Good 3" xfId="156" xr:uid="{00000000-0005-0000-0000-00009B000000}"/>
    <cellStyle name="Heading 1 2" xfId="157" xr:uid="{00000000-0005-0000-0000-00009C000000}"/>
    <cellStyle name="Heading 1 2 2" xfId="158" xr:uid="{00000000-0005-0000-0000-00009D000000}"/>
    <cellStyle name="Heading 1 3" xfId="159" xr:uid="{00000000-0005-0000-0000-00009E000000}"/>
    <cellStyle name="Heading 1 3 2" xfId="160" xr:uid="{00000000-0005-0000-0000-00009F000000}"/>
    <cellStyle name="Heading 2 2" xfId="161" xr:uid="{00000000-0005-0000-0000-0000A0000000}"/>
    <cellStyle name="Heading 2 2 2" xfId="162" xr:uid="{00000000-0005-0000-0000-0000A1000000}"/>
    <cellStyle name="Heading 2 3" xfId="163" xr:uid="{00000000-0005-0000-0000-0000A2000000}"/>
    <cellStyle name="Heading 2 3 2" xfId="164" xr:uid="{00000000-0005-0000-0000-0000A3000000}"/>
    <cellStyle name="Heading 3 2" xfId="165" xr:uid="{00000000-0005-0000-0000-0000A4000000}"/>
    <cellStyle name="Heading 3 2 2" xfId="166" xr:uid="{00000000-0005-0000-0000-0000A5000000}"/>
    <cellStyle name="Heading 3 3" xfId="167" xr:uid="{00000000-0005-0000-0000-0000A6000000}"/>
    <cellStyle name="Heading 3 3 2" xfId="168" xr:uid="{00000000-0005-0000-0000-0000A7000000}"/>
    <cellStyle name="Heading 4 2" xfId="169" xr:uid="{00000000-0005-0000-0000-0000A8000000}"/>
    <cellStyle name="Heading 4 3" xfId="170" xr:uid="{00000000-0005-0000-0000-0000A9000000}"/>
    <cellStyle name="Hyperlink 2" xfId="171" xr:uid="{00000000-0005-0000-0000-0000AA000000}"/>
    <cellStyle name="Hyperlink 3" xfId="172" xr:uid="{00000000-0005-0000-0000-0000AB000000}"/>
    <cellStyle name="Hyperlink 3 2" xfId="173" xr:uid="{00000000-0005-0000-0000-0000AC000000}"/>
    <cellStyle name="Input 2" xfId="174" xr:uid="{00000000-0005-0000-0000-0000AD000000}"/>
    <cellStyle name="Input 3" xfId="175" xr:uid="{00000000-0005-0000-0000-0000AE000000}"/>
    <cellStyle name="input(0)" xfId="176" xr:uid="{00000000-0005-0000-0000-0000AF000000}"/>
    <cellStyle name="Input(2)" xfId="177" xr:uid="{00000000-0005-0000-0000-0000B0000000}"/>
    <cellStyle name="Linked Cell 2" xfId="178" xr:uid="{00000000-0005-0000-0000-0000B1000000}"/>
    <cellStyle name="Linked Cell 2 2" xfId="179" xr:uid="{00000000-0005-0000-0000-0000B2000000}"/>
    <cellStyle name="Linked Cell 3" xfId="180" xr:uid="{00000000-0005-0000-0000-0000B3000000}"/>
    <cellStyle name="Neutral 2" xfId="181" xr:uid="{00000000-0005-0000-0000-0000B4000000}"/>
    <cellStyle name="Neutral 2 2" xfId="182" xr:uid="{00000000-0005-0000-0000-0000B5000000}"/>
    <cellStyle name="Neutral 3" xfId="183" xr:uid="{00000000-0005-0000-0000-0000B6000000}"/>
    <cellStyle name="New_normal" xfId="184" xr:uid="{00000000-0005-0000-0000-0000B7000000}"/>
    <cellStyle name="Normal" xfId="0" builtinId="0"/>
    <cellStyle name="Normal - Style1" xfId="185" xr:uid="{00000000-0005-0000-0000-0000B9000000}"/>
    <cellStyle name="Normal - Style2" xfId="186" xr:uid="{00000000-0005-0000-0000-0000BA000000}"/>
    <cellStyle name="Normal - Style3" xfId="187" xr:uid="{00000000-0005-0000-0000-0000BB000000}"/>
    <cellStyle name="Normal - Style4" xfId="188" xr:uid="{00000000-0005-0000-0000-0000BC000000}"/>
    <cellStyle name="Normal - Style5" xfId="189" xr:uid="{00000000-0005-0000-0000-0000BD000000}"/>
    <cellStyle name="Normal 10" xfId="190" xr:uid="{00000000-0005-0000-0000-0000BE000000}"/>
    <cellStyle name="Normal 10 2" xfId="191" xr:uid="{00000000-0005-0000-0000-0000BF000000}"/>
    <cellStyle name="Normal 10 2 2" xfId="192" xr:uid="{00000000-0005-0000-0000-0000C0000000}"/>
    <cellStyle name="Normal 10 2 3" xfId="193" xr:uid="{00000000-0005-0000-0000-0000C1000000}"/>
    <cellStyle name="Normal 10_2112 DF Schedule" xfId="194" xr:uid="{00000000-0005-0000-0000-0000C2000000}"/>
    <cellStyle name="Normal 100" xfId="195" xr:uid="{00000000-0005-0000-0000-0000C3000000}"/>
    <cellStyle name="Normal 101" xfId="196" xr:uid="{00000000-0005-0000-0000-0000C4000000}"/>
    <cellStyle name="Normal 102" xfId="197" xr:uid="{00000000-0005-0000-0000-0000C5000000}"/>
    <cellStyle name="Normal 103" xfId="198" xr:uid="{00000000-0005-0000-0000-0000C6000000}"/>
    <cellStyle name="Normal 104" xfId="199" xr:uid="{00000000-0005-0000-0000-0000C7000000}"/>
    <cellStyle name="Normal 105" xfId="200" xr:uid="{00000000-0005-0000-0000-0000C8000000}"/>
    <cellStyle name="Normal 106" xfId="201" xr:uid="{00000000-0005-0000-0000-0000C9000000}"/>
    <cellStyle name="Normal 107" xfId="202" xr:uid="{00000000-0005-0000-0000-0000CA000000}"/>
    <cellStyle name="Normal 108" xfId="203" xr:uid="{00000000-0005-0000-0000-0000CB000000}"/>
    <cellStyle name="Normal 11" xfId="204" xr:uid="{00000000-0005-0000-0000-0000CC000000}"/>
    <cellStyle name="Normal 12" xfId="205" xr:uid="{00000000-0005-0000-0000-0000CD000000}"/>
    <cellStyle name="Normal 12 2" xfId="206" xr:uid="{00000000-0005-0000-0000-0000CE000000}"/>
    <cellStyle name="Normal 13" xfId="207" xr:uid="{00000000-0005-0000-0000-0000CF000000}"/>
    <cellStyle name="Normal 13 2" xfId="208" xr:uid="{00000000-0005-0000-0000-0000D0000000}"/>
    <cellStyle name="Normal 14" xfId="209" xr:uid="{00000000-0005-0000-0000-0000D1000000}"/>
    <cellStyle name="Normal 14 2" xfId="210" xr:uid="{00000000-0005-0000-0000-0000D2000000}"/>
    <cellStyle name="Normal 15" xfId="211" xr:uid="{00000000-0005-0000-0000-0000D3000000}"/>
    <cellStyle name="Normal 15 2" xfId="212" xr:uid="{00000000-0005-0000-0000-0000D4000000}"/>
    <cellStyle name="Normal 16" xfId="213" xr:uid="{00000000-0005-0000-0000-0000D5000000}"/>
    <cellStyle name="Normal 16 2" xfId="214" xr:uid="{00000000-0005-0000-0000-0000D6000000}"/>
    <cellStyle name="Normal 17" xfId="215" xr:uid="{00000000-0005-0000-0000-0000D7000000}"/>
    <cellStyle name="Normal 17 2" xfId="216" xr:uid="{00000000-0005-0000-0000-0000D8000000}"/>
    <cellStyle name="Normal 18" xfId="217" xr:uid="{00000000-0005-0000-0000-0000D9000000}"/>
    <cellStyle name="Normal 18 2" xfId="218" xr:uid="{00000000-0005-0000-0000-0000DA000000}"/>
    <cellStyle name="Normal 19" xfId="219" xr:uid="{00000000-0005-0000-0000-0000DB000000}"/>
    <cellStyle name="Normal 19 2" xfId="220" xr:uid="{00000000-0005-0000-0000-0000DC000000}"/>
    <cellStyle name="Normal 2" xfId="221" xr:uid="{00000000-0005-0000-0000-0000DD000000}"/>
    <cellStyle name="Normal 2 2" xfId="222" xr:uid="{00000000-0005-0000-0000-0000DE000000}"/>
    <cellStyle name="Normal 2 2 2" xfId="223" xr:uid="{00000000-0005-0000-0000-0000DF000000}"/>
    <cellStyle name="Normal 2 2 3" xfId="224" xr:uid="{00000000-0005-0000-0000-0000E0000000}"/>
    <cellStyle name="Normal 2 2_Actual_Fuel" xfId="225" xr:uid="{00000000-0005-0000-0000-0000E1000000}"/>
    <cellStyle name="Normal 2 3" xfId="226" xr:uid="{00000000-0005-0000-0000-0000E2000000}"/>
    <cellStyle name="Normal 2 3 2" xfId="227" xr:uid="{00000000-0005-0000-0000-0000E3000000}"/>
    <cellStyle name="Normal 2 3 3" xfId="228" xr:uid="{00000000-0005-0000-0000-0000E4000000}"/>
    <cellStyle name="Normal 2 4" xfId="229" xr:uid="{00000000-0005-0000-0000-0000E5000000}"/>
    <cellStyle name="Normal 2 5" xfId="230" xr:uid="{00000000-0005-0000-0000-0000E6000000}"/>
    <cellStyle name="Normal 2_2012-10" xfId="231" xr:uid="{00000000-0005-0000-0000-0000E7000000}"/>
    <cellStyle name="Normal 20" xfId="232" xr:uid="{00000000-0005-0000-0000-0000E8000000}"/>
    <cellStyle name="Normal 21" xfId="233" xr:uid="{00000000-0005-0000-0000-0000E9000000}"/>
    <cellStyle name="Normal 22" xfId="234" xr:uid="{00000000-0005-0000-0000-0000EA000000}"/>
    <cellStyle name="Normal 23" xfId="235" xr:uid="{00000000-0005-0000-0000-0000EB000000}"/>
    <cellStyle name="Normal 24" xfId="236" xr:uid="{00000000-0005-0000-0000-0000EC000000}"/>
    <cellStyle name="Normal 25" xfId="237" xr:uid="{00000000-0005-0000-0000-0000ED000000}"/>
    <cellStyle name="Normal 26" xfId="238" xr:uid="{00000000-0005-0000-0000-0000EE000000}"/>
    <cellStyle name="Normal 27" xfId="239" xr:uid="{00000000-0005-0000-0000-0000EF000000}"/>
    <cellStyle name="Normal 28" xfId="240" xr:uid="{00000000-0005-0000-0000-0000F0000000}"/>
    <cellStyle name="Normal 29" xfId="241" xr:uid="{00000000-0005-0000-0000-0000F1000000}"/>
    <cellStyle name="Normal 3" xfId="242" xr:uid="{00000000-0005-0000-0000-0000F2000000}"/>
    <cellStyle name="Normal 3 2" xfId="243" xr:uid="{00000000-0005-0000-0000-0000F3000000}"/>
    <cellStyle name="Normal 3 3" xfId="244" xr:uid="{00000000-0005-0000-0000-0000F4000000}"/>
    <cellStyle name="Normal 3 4" xfId="245" xr:uid="{00000000-0005-0000-0000-0000F5000000}"/>
    <cellStyle name="Normal 3_2012 PR" xfId="246" xr:uid="{00000000-0005-0000-0000-0000F6000000}"/>
    <cellStyle name="Normal 30" xfId="247" xr:uid="{00000000-0005-0000-0000-0000F7000000}"/>
    <cellStyle name="Normal 31" xfId="248" xr:uid="{00000000-0005-0000-0000-0000F8000000}"/>
    <cellStyle name="Normal 32" xfId="249" xr:uid="{00000000-0005-0000-0000-0000F9000000}"/>
    <cellStyle name="Normal 33" xfId="250" xr:uid="{00000000-0005-0000-0000-0000FA000000}"/>
    <cellStyle name="Normal 34" xfId="251" xr:uid="{00000000-0005-0000-0000-0000FB000000}"/>
    <cellStyle name="Normal 35" xfId="252" xr:uid="{00000000-0005-0000-0000-0000FC000000}"/>
    <cellStyle name="Normal 36" xfId="253" xr:uid="{00000000-0005-0000-0000-0000FD000000}"/>
    <cellStyle name="Normal 37" xfId="254" xr:uid="{00000000-0005-0000-0000-0000FE000000}"/>
    <cellStyle name="Normal 38" xfId="255" xr:uid="{00000000-0005-0000-0000-0000FF000000}"/>
    <cellStyle name="Normal 39" xfId="256" xr:uid="{00000000-0005-0000-0000-000000010000}"/>
    <cellStyle name="Normal 4" xfId="257" xr:uid="{00000000-0005-0000-0000-000001010000}"/>
    <cellStyle name="Normal 4 2" xfId="258" xr:uid="{00000000-0005-0000-0000-000002010000}"/>
    <cellStyle name="Normal 40" xfId="259" xr:uid="{00000000-0005-0000-0000-000003010000}"/>
    <cellStyle name="Normal 41" xfId="260" xr:uid="{00000000-0005-0000-0000-000004010000}"/>
    <cellStyle name="Normal 42" xfId="261" xr:uid="{00000000-0005-0000-0000-000005010000}"/>
    <cellStyle name="Normal 43" xfId="262" xr:uid="{00000000-0005-0000-0000-000006010000}"/>
    <cellStyle name="Normal 44" xfId="263" xr:uid="{00000000-0005-0000-0000-000007010000}"/>
    <cellStyle name="Normal 45" xfId="264" xr:uid="{00000000-0005-0000-0000-000008010000}"/>
    <cellStyle name="Normal 46" xfId="265" xr:uid="{00000000-0005-0000-0000-000009010000}"/>
    <cellStyle name="Normal 47" xfId="266" xr:uid="{00000000-0005-0000-0000-00000A010000}"/>
    <cellStyle name="Normal 48" xfId="267" xr:uid="{00000000-0005-0000-0000-00000B010000}"/>
    <cellStyle name="Normal 49" xfId="268" xr:uid="{00000000-0005-0000-0000-00000C010000}"/>
    <cellStyle name="Normal 5" xfId="269" xr:uid="{00000000-0005-0000-0000-00000D010000}"/>
    <cellStyle name="Normal 5 2" xfId="270" xr:uid="{00000000-0005-0000-0000-00000E010000}"/>
    <cellStyle name="Normal 5_2112 DF Schedule" xfId="271" xr:uid="{00000000-0005-0000-0000-00000F010000}"/>
    <cellStyle name="Normal 50" xfId="272" xr:uid="{00000000-0005-0000-0000-000010010000}"/>
    <cellStyle name="Normal 51" xfId="273" xr:uid="{00000000-0005-0000-0000-000011010000}"/>
    <cellStyle name="Normal 52" xfId="274" xr:uid="{00000000-0005-0000-0000-000012010000}"/>
    <cellStyle name="Normal 53" xfId="275" xr:uid="{00000000-0005-0000-0000-000013010000}"/>
    <cellStyle name="Normal 54" xfId="276" xr:uid="{00000000-0005-0000-0000-000014010000}"/>
    <cellStyle name="Normal 55" xfId="277" xr:uid="{00000000-0005-0000-0000-000015010000}"/>
    <cellStyle name="Normal 56" xfId="278" xr:uid="{00000000-0005-0000-0000-000016010000}"/>
    <cellStyle name="Normal 57" xfId="279" xr:uid="{00000000-0005-0000-0000-000017010000}"/>
    <cellStyle name="Normal 58" xfId="280" xr:uid="{00000000-0005-0000-0000-000018010000}"/>
    <cellStyle name="Normal 59" xfId="281" xr:uid="{00000000-0005-0000-0000-000019010000}"/>
    <cellStyle name="Normal 6" xfId="282" xr:uid="{00000000-0005-0000-0000-00001A010000}"/>
    <cellStyle name="Normal 6 2" xfId="283" xr:uid="{00000000-0005-0000-0000-00001B010000}"/>
    <cellStyle name="Normal 60" xfId="284" xr:uid="{00000000-0005-0000-0000-00001C010000}"/>
    <cellStyle name="Normal 61" xfId="285" xr:uid="{00000000-0005-0000-0000-00001D010000}"/>
    <cellStyle name="Normal 62" xfId="286" xr:uid="{00000000-0005-0000-0000-00001E010000}"/>
    <cellStyle name="Normal 63" xfId="287" xr:uid="{00000000-0005-0000-0000-00001F010000}"/>
    <cellStyle name="Normal 64" xfId="288" xr:uid="{00000000-0005-0000-0000-000020010000}"/>
    <cellStyle name="Normal 65" xfId="289" xr:uid="{00000000-0005-0000-0000-000021010000}"/>
    <cellStyle name="Normal 66" xfId="290" xr:uid="{00000000-0005-0000-0000-000022010000}"/>
    <cellStyle name="Normal 67" xfId="291" xr:uid="{00000000-0005-0000-0000-000023010000}"/>
    <cellStyle name="Normal 68" xfId="292" xr:uid="{00000000-0005-0000-0000-000024010000}"/>
    <cellStyle name="Normal 69" xfId="293" xr:uid="{00000000-0005-0000-0000-000025010000}"/>
    <cellStyle name="Normal 7" xfId="294" xr:uid="{00000000-0005-0000-0000-000026010000}"/>
    <cellStyle name="Normal 70" xfId="295" xr:uid="{00000000-0005-0000-0000-000027010000}"/>
    <cellStyle name="Normal 71" xfId="296" xr:uid="{00000000-0005-0000-0000-000028010000}"/>
    <cellStyle name="Normal 72" xfId="297" xr:uid="{00000000-0005-0000-0000-000029010000}"/>
    <cellStyle name="Normal 73" xfId="298" xr:uid="{00000000-0005-0000-0000-00002A010000}"/>
    <cellStyle name="Normal 74" xfId="299" xr:uid="{00000000-0005-0000-0000-00002B010000}"/>
    <cellStyle name="Normal 75" xfId="300" xr:uid="{00000000-0005-0000-0000-00002C010000}"/>
    <cellStyle name="Normal 76" xfId="301" xr:uid="{00000000-0005-0000-0000-00002D010000}"/>
    <cellStyle name="Normal 77" xfId="302" xr:uid="{00000000-0005-0000-0000-00002E010000}"/>
    <cellStyle name="Normal 78" xfId="303" xr:uid="{00000000-0005-0000-0000-00002F010000}"/>
    <cellStyle name="Normal 79" xfId="304" xr:uid="{00000000-0005-0000-0000-000030010000}"/>
    <cellStyle name="Normal 8" xfId="305" xr:uid="{00000000-0005-0000-0000-000031010000}"/>
    <cellStyle name="Normal 80" xfId="306" xr:uid="{00000000-0005-0000-0000-000032010000}"/>
    <cellStyle name="Normal 81" xfId="307" xr:uid="{00000000-0005-0000-0000-000033010000}"/>
    <cellStyle name="Normal 82" xfId="308" xr:uid="{00000000-0005-0000-0000-000034010000}"/>
    <cellStyle name="Normal 83" xfId="309" xr:uid="{00000000-0005-0000-0000-000035010000}"/>
    <cellStyle name="Normal 84" xfId="310" xr:uid="{00000000-0005-0000-0000-000036010000}"/>
    <cellStyle name="Normal 84 2" xfId="311" xr:uid="{00000000-0005-0000-0000-000037010000}"/>
    <cellStyle name="Normal 84 3" xfId="312" xr:uid="{00000000-0005-0000-0000-000038010000}"/>
    <cellStyle name="Normal 85" xfId="313" xr:uid="{00000000-0005-0000-0000-000039010000}"/>
    <cellStyle name="Normal 86" xfId="314" xr:uid="{00000000-0005-0000-0000-00003A010000}"/>
    <cellStyle name="Normal 87" xfId="315" xr:uid="{00000000-0005-0000-0000-00003B010000}"/>
    <cellStyle name="Normal 88" xfId="316" xr:uid="{00000000-0005-0000-0000-00003C010000}"/>
    <cellStyle name="Normal 89" xfId="317" xr:uid="{00000000-0005-0000-0000-00003D010000}"/>
    <cellStyle name="Normal 9" xfId="318" xr:uid="{00000000-0005-0000-0000-00003E010000}"/>
    <cellStyle name="Normal 90" xfId="319" xr:uid="{00000000-0005-0000-0000-00003F010000}"/>
    <cellStyle name="Normal 91" xfId="320" xr:uid="{00000000-0005-0000-0000-000040010000}"/>
    <cellStyle name="Normal 92" xfId="321" xr:uid="{00000000-0005-0000-0000-000041010000}"/>
    <cellStyle name="Normal 93" xfId="322" xr:uid="{00000000-0005-0000-0000-000042010000}"/>
    <cellStyle name="Normal 94" xfId="323" xr:uid="{00000000-0005-0000-0000-000043010000}"/>
    <cellStyle name="Normal 95" xfId="324" xr:uid="{00000000-0005-0000-0000-000044010000}"/>
    <cellStyle name="Normal 96" xfId="325" xr:uid="{00000000-0005-0000-0000-000045010000}"/>
    <cellStyle name="Normal 97" xfId="326" xr:uid="{00000000-0005-0000-0000-000046010000}"/>
    <cellStyle name="Normal 98" xfId="327" xr:uid="{00000000-0005-0000-0000-000047010000}"/>
    <cellStyle name="Normal 99" xfId="328" xr:uid="{00000000-0005-0000-0000-000048010000}"/>
    <cellStyle name="Normal_Murrey's Jan-Dec 2012" xfId="329" xr:uid="{00000000-0005-0000-0000-000049010000}"/>
    <cellStyle name="Normal_Price out" xfId="330" xr:uid="{00000000-0005-0000-0000-00004A010000}"/>
    <cellStyle name="Note 2" xfId="331" xr:uid="{00000000-0005-0000-0000-00004B010000}"/>
    <cellStyle name="Note 2 2" xfId="332" xr:uid="{00000000-0005-0000-0000-00004C010000}"/>
    <cellStyle name="Note 3" xfId="333" xr:uid="{00000000-0005-0000-0000-00004D010000}"/>
    <cellStyle name="Note 3 2" xfId="334" xr:uid="{00000000-0005-0000-0000-00004E010000}"/>
    <cellStyle name="Notes" xfId="335" xr:uid="{00000000-0005-0000-0000-00004F010000}"/>
    <cellStyle name="Output 2" xfId="336" xr:uid="{00000000-0005-0000-0000-000050010000}"/>
    <cellStyle name="Output 3" xfId="337" xr:uid="{00000000-0005-0000-0000-000051010000}"/>
    <cellStyle name="Percent" xfId="338" builtinId="5"/>
    <cellStyle name="Percent 2" xfId="339" xr:uid="{00000000-0005-0000-0000-000053010000}"/>
    <cellStyle name="Percent 2 2" xfId="340" xr:uid="{00000000-0005-0000-0000-000054010000}"/>
    <cellStyle name="Percent 2 2 2" xfId="341" xr:uid="{00000000-0005-0000-0000-000055010000}"/>
    <cellStyle name="Percent 2 3" xfId="342" xr:uid="{00000000-0005-0000-0000-000056010000}"/>
    <cellStyle name="Percent 2 6" xfId="343" xr:uid="{00000000-0005-0000-0000-000057010000}"/>
    <cellStyle name="Percent 3" xfId="344" xr:uid="{00000000-0005-0000-0000-000058010000}"/>
    <cellStyle name="Percent 3 2" xfId="345" xr:uid="{00000000-0005-0000-0000-000059010000}"/>
    <cellStyle name="Percent 4" xfId="346" xr:uid="{00000000-0005-0000-0000-00005A010000}"/>
    <cellStyle name="Percent 4 2" xfId="347" xr:uid="{00000000-0005-0000-0000-00005B010000}"/>
    <cellStyle name="Percent 4 3" xfId="348" xr:uid="{00000000-0005-0000-0000-00005C010000}"/>
    <cellStyle name="Percent 5" xfId="349" xr:uid="{00000000-0005-0000-0000-00005D010000}"/>
    <cellStyle name="Percent 6" xfId="350" xr:uid="{00000000-0005-0000-0000-00005E010000}"/>
    <cellStyle name="Percent 7" xfId="351" xr:uid="{00000000-0005-0000-0000-00005F010000}"/>
    <cellStyle name="Percent 7 2" xfId="352" xr:uid="{00000000-0005-0000-0000-000060010000}"/>
    <cellStyle name="Percent 7 3" xfId="353" xr:uid="{00000000-0005-0000-0000-000061010000}"/>
    <cellStyle name="Percent 8" xfId="354" xr:uid="{00000000-0005-0000-0000-000062010000}"/>
    <cellStyle name="Percent 9" xfId="355" xr:uid="{00000000-0005-0000-0000-000063010000}"/>
    <cellStyle name="Percent(1)" xfId="356" xr:uid="{00000000-0005-0000-0000-000064010000}"/>
    <cellStyle name="Percent(2)" xfId="357" xr:uid="{00000000-0005-0000-0000-000065010000}"/>
    <cellStyle name="PRM" xfId="358" xr:uid="{00000000-0005-0000-0000-000066010000}"/>
    <cellStyle name="PRM 2" xfId="359" xr:uid="{00000000-0005-0000-0000-000067010000}"/>
    <cellStyle name="PRM 3" xfId="360" xr:uid="{00000000-0005-0000-0000-000068010000}"/>
    <cellStyle name="PRM_2011-11" xfId="361" xr:uid="{00000000-0005-0000-0000-000069010000}"/>
    <cellStyle name="PS_Comma" xfId="362" xr:uid="{00000000-0005-0000-0000-00006A010000}"/>
    <cellStyle name="PSChar" xfId="363" xr:uid="{00000000-0005-0000-0000-00006B010000}"/>
    <cellStyle name="PSDate" xfId="364" xr:uid="{00000000-0005-0000-0000-00006C010000}"/>
    <cellStyle name="PSDec" xfId="365" xr:uid="{00000000-0005-0000-0000-00006D010000}"/>
    <cellStyle name="PSHeading" xfId="366" xr:uid="{00000000-0005-0000-0000-00006E010000}"/>
    <cellStyle name="PSInt" xfId="367" xr:uid="{00000000-0005-0000-0000-00006F010000}"/>
    <cellStyle name="PSSpacer" xfId="368" xr:uid="{00000000-0005-0000-0000-000070010000}"/>
    <cellStyle name="STYL0 - Style1" xfId="369" xr:uid="{00000000-0005-0000-0000-000071010000}"/>
    <cellStyle name="STYL1 - Style2" xfId="370" xr:uid="{00000000-0005-0000-0000-000072010000}"/>
    <cellStyle name="STYL2 - Style3" xfId="371" xr:uid="{00000000-0005-0000-0000-000073010000}"/>
    <cellStyle name="STYL3 - Style4" xfId="372" xr:uid="{00000000-0005-0000-0000-000074010000}"/>
    <cellStyle name="STYL4 - Style5" xfId="373" xr:uid="{00000000-0005-0000-0000-000075010000}"/>
    <cellStyle name="STYL5 - Style6" xfId="374" xr:uid="{00000000-0005-0000-0000-000076010000}"/>
    <cellStyle name="STYL6 - Style7" xfId="375" xr:uid="{00000000-0005-0000-0000-000077010000}"/>
    <cellStyle name="STYL7 - Style8" xfId="376" xr:uid="{00000000-0005-0000-0000-000078010000}"/>
    <cellStyle name="Style 1" xfId="377" xr:uid="{00000000-0005-0000-0000-000079010000}"/>
    <cellStyle name="Style 1 2" xfId="378" xr:uid="{00000000-0005-0000-0000-00007A010000}"/>
    <cellStyle name="STYLE1" xfId="379" xr:uid="{00000000-0005-0000-0000-00007B010000}"/>
    <cellStyle name="sub heading" xfId="380" xr:uid="{00000000-0005-0000-0000-00007C010000}"/>
    <cellStyle name="Title 2" xfId="381" xr:uid="{00000000-0005-0000-0000-00007D010000}"/>
    <cellStyle name="Title 3" xfId="382" xr:uid="{00000000-0005-0000-0000-00007E010000}"/>
    <cellStyle name="Total 2" xfId="383" xr:uid="{00000000-0005-0000-0000-00007F010000}"/>
    <cellStyle name="Total 2 2" xfId="384" xr:uid="{00000000-0005-0000-0000-000080010000}"/>
    <cellStyle name="Total 3" xfId="385" xr:uid="{00000000-0005-0000-0000-000081010000}"/>
    <cellStyle name="Total 3 2" xfId="386" xr:uid="{00000000-0005-0000-0000-000082010000}"/>
    <cellStyle name="Warning Text 2" xfId="387" xr:uid="{00000000-0005-0000-0000-000083010000}"/>
    <cellStyle name="Warning Text 3" xfId="388" xr:uid="{00000000-0005-0000-0000-000084010000}"/>
    <cellStyle name="WM_STANDARD" xfId="389" xr:uid="{00000000-0005-0000-0000-000085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5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66"/>
  <sheetViews>
    <sheetView tabSelected="1" workbookViewId="0">
      <selection activeCell="B56" sqref="B56"/>
    </sheetView>
  </sheetViews>
  <sheetFormatPr defaultRowHeight="15"/>
  <cols>
    <col min="1" max="1" width="36.28515625" style="3" bestFit="1" customWidth="1"/>
    <col min="2" max="2" width="19" style="3" bestFit="1" customWidth="1"/>
    <col min="3" max="3" width="16" style="3" bestFit="1" customWidth="1"/>
    <col min="4" max="4" width="10.5703125" style="3" bestFit="1" customWidth="1"/>
    <col min="5" max="5" width="7" style="3" bestFit="1" customWidth="1"/>
    <col min="6" max="6" width="11.42578125" style="3" bestFit="1" customWidth="1"/>
    <col min="7" max="7" width="10" style="3" bestFit="1" customWidth="1"/>
    <col min="8" max="8" width="8" style="3" bestFit="1" customWidth="1"/>
    <col min="9" max="9" width="15.85546875" style="3" bestFit="1" customWidth="1"/>
    <col min="10" max="10" width="12" style="3" bestFit="1" customWidth="1"/>
    <col min="11" max="16384" width="9.140625" style="3"/>
  </cols>
  <sheetData>
    <row r="1" spans="1:8" ht="18.75">
      <c r="A1" s="167" t="s">
        <v>128</v>
      </c>
      <c r="B1" s="167"/>
      <c r="C1" s="167"/>
      <c r="D1" s="167"/>
      <c r="E1" s="167"/>
      <c r="F1" s="167"/>
      <c r="G1" s="167"/>
      <c r="H1" s="167"/>
    </row>
    <row r="2" spans="1:8">
      <c r="A2" s="182" t="s">
        <v>18</v>
      </c>
      <c r="B2" s="182"/>
      <c r="C2" s="182"/>
      <c r="D2" s="182"/>
      <c r="E2" s="182"/>
      <c r="F2" s="182"/>
      <c r="G2" s="182"/>
      <c r="H2" s="182"/>
    </row>
    <row r="3" spans="1:8">
      <c r="A3" s="3" t="s">
        <v>54</v>
      </c>
      <c r="B3" s="17" t="s">
        <v>40</v>
      </c>
      <c r="C3" s="17" t="s">
        <v>41</v>
      </c>
      <c r="D3" s="17" t="s">
        <v>42</v>
      </c>
      <c r="E3" s="18" t="s">
        <v>45</v>
      </c>
      <c r="F3" s="18" t="s">
        <v>46</v>
      </c>
      <c r="G3" s="18" t="s">
        <v>47</v>
      </c>
      <c r="H3" s="17" t="s">
        <v>50</v>
      </c>
    </row>
    <row r="4" spans="1:8">
      <c r="A4" s="3" t="s">
        <v>51</v>
      </c>
      <c r="B4" s="1">
        <f>ROUND(52*5/12,2)</f>
        <v>21.67</v>
      </c>
      <c r="C4" s="19">
        <f>$B$4*2</f>
        <v>43.34</v>
      </c>
      <c r="D4" s="19">
        <f>$B$4*3</f>
        <v>65.010000000000005</v>
      </c>
      <c r="E4" s="19">
        <f>$B$4*4</f>
        <v>86.68</v>
      </c>
      <c r="F4" s="19">
        <f>$B$4*5</f>
        <v>108.35000000000001</v>
      </c>
      <c r="G4" s="19">
        <f>$B$4*6</f>
        <v>130.02000000000001</v>
      </c>
      <c r="H4" s="19">
        <f>$B$4*7</f>
        <v>151.69</v>
      </c>
    </row>
    <row r="5" spans="1:8">
      <c r="A5" s="3" t="s">
        <v>87</v>
      </c>
      <c r="B5" s="1">
        <f>ROUND(52*4/12,2)</f>
        <v>17.329999999999998</v>
      </c>
      <c r="C5" s="19">
        <f>$B$5*2</f>
        <v>34.659999999999997</v>
      </c>
      <c r="D5" s="19">
        <f>$B$5*3</f>
        <v>51.989999999999995</v>
      </c>
      <c r="E5" s="19">
        <f>$B$5*4</f>
        <v>69.319999999999993</v>
      </c>
      <c r="F5" s="19">
        <f>$B$5*5</f>
        <v>86.649999999999991</v>
      </c>
      <c r="G5" s="19">
        <f>$B$5*6</f>
        <v>103.97999999999999</v>
      </c>
      <c r="H5" s="19">
        <f>$B$5*7</f>
        <v>121.30999999999999</v>
      </c>
    </row>
    <row r="6" spans="1:8">
      <c r="A6" s="3" t="s">
        <v>52</v>
      </c>
      <c r="B6" s="1">
        <f>ROUND(52*3/12,2)</f>
        <v>13</v>
      </c>
      <c r="C6" s="19">
        <f>$B$6*2</f>
        <v>26</v>
      </c>
      <c r="D6" s="19">
        <f>$B$6*3</f>
        <v>39</v>
      </c>
      <c r="E6" s="19">
        <f>$B$6*4</f>
        <v>52</v>
      </c>
      <c r="F6" s="19">
        <f>$B$6*5</f>
        <v>65</v>
      </c>
      <c r="G6" s="19">
        <f>$B$6*6</f>
        <v>78</v>
      </c>
      <c r="H6" s="19">
        <f>$B$6*7</f>
        <v>91</v>
      </c>
    </row>
    <row r="7" spans="1:8">
      <c r="A7" s="3" t="s">
        <v>53</v>
      </c>
      <c r="B7" s="1">
        <f>ROUND(52*2/12,2)</f>
        <v>8.67</v>
      </c>
      <c r="C7" s="20">
        <f>$B$7*2</f>
        <v>17.34</v>
      </c>
      <c r="D7" s="20">
        <f>$B$7*3</f>
        <v>26.009999999999998</v>
      </c>
      <c r="E7" s="20">
        <f>$B$7*4</f>
        <v>34.68</v>
      </c>
      <c r="F7" s="20">
        <f>$B$7*5</f>
        <v>43.35</v>
      </c>
      <c r="G7" s="20">
        <f>$B$7*6</f>
        <v>52.019999999999996</v>
      </c>
      <c r="H7" s="20">
        <f>$B$7*7</f>
        <v>60.69</v>
      </c>
    </row>
    <row r="8" spans="1:8">
      <c r="A8" s="3" t="s">
        <v>21</v>
      </c>
      <c r="B8" s="1">
        <f>ROUND(52/12,2)</f>
        <v>4.33</v>
      </c>
      <c r="C8" s="20">
        <f>$B$8*2</f>
        <v>8.66</v>
      </c>
      <c r="D8" s="20">
        <f>$B$8*3</f>
        <v>12.99</v>
      </c>
      <c r="E8" s="20">
        <f>$B$8*4</f>
        <v>17.32</v>
      </c>
      <c r="F8" s="20">
        <f>$B$8*5</f>
        <v>21.65</v>
      </c>
      <c r="G8" s="20">
        <f>$B$8*6</f>
        <v>25.98</v>
      </c>
      <c r="H8" s="20">
        <f>$B$8*7</f>
        <v>30.310000000000002</v>
      </c>
    </row>
    <row r="9" spans="1:8">
      <c r="A9" s="3" t="s">
        <v>23</v>
      </c>
      <c r="B9" s="1">
        <f>ROUND(26/12,2)</f>
        <v>2.17</v>
      </c>
      <c r="C9" s="20">
        <f>$B$9*2</f>
        <v>4.34</v>
      </c>
      <c r="D9" s="20">
        <f>$B$9*3</f>
        <v>6.51</v>
      </c>
      <c r="E9" s="20">
        <f>$B$9*4</f>
        <v>8.68</v>
      </c>
      <c r="F9" s="20">
        <f>$B$9*5</f>
        <v>10.85</v>
      </c>
      <c r="G9" s="20">
        <f>$B$9*6</f>
        <v>13.02</v>
      </c>
      <c r="H9" s="20">
        <f>$B$9*7</f>
        <v>15.19</v>
      </c>
    </row>
    <row r="10" spans="1:8">
      <c r="A10" s="3" t="s">
        <v>22</v>
      </c>
      <c r="B10" s="1">
        <f>12/12</f>
        <v>1</v>
      </c>
      <c r="C10" s="20">
        <f>$B$10*2</f>
        <v>2</v>
      </c>
      <c r="D10" s="20">
        <f>$B$10*3</f>
        <v>3</v>
      </c>
      <c r="E10" s="20">
        <f>$B$10*4</f>
        <v>4</v>
      </c>
      <c r="F10" s="20">
        <f>$B$10*5</f>
        <v>5</v>
      </c>
      <c r="G10" s="20">
        <f>$B$10*6</f>
        <v>6</v>
      </c>
      <c r="H10" s="20">
        <f>$B$10*7</f>
        <v>7</v>
      </c>
    </row>
    <row r="11" spans="1:8">
      <c r="B11" s="1"/>
      <c r="C11" s="20"/>
      <c r="D11" s="20"/>
      <c r="E11" s="20"/>
      <c r="F11" s="20"/>
      <c r="G11" s="20"/>
      <c r="H11" s="20"/>
    </row>
    <row r="12" spans="1:8">
      <c r="A12" s="182" t="s">
        <v>10</v>
      </c>
      <c r="B12" s="182"/>
      <c r="C12" s="20"/>
      <c r="D12" s="20"/>
      <c r="E12" s="20"/>
      <c r="F12" s="20"/>
      <c r="G12" s="20"/>
      <c r="H12" s="20"/>
    </row>
    <row r="13" spans="1:8">
      <c r="A13" s="2" t="s">
        <v>49</v>
      </c>
      <c r="B13" s="30" t="s">
        <v>79</v>
      </c>
      <c r="C13" s="20"/>
      <c r="D13" s="20"/>
      <c r="E13" s="20"/>
      <c r="F13" s="20"/>
      <c r="G13" s="20"/>
      <c r="H13" s="20"/>
    </row>
    <row r="14" spans="1:8">
      <c r="A14" s="21" t="s">
        <v>80</v>
      </c>
      <c r="B14" s="13">
        <v>20</v>
      </c>
      <c r="C14" s="20"/>
      <c r="D14" s="20"/>
      <c r="E14" s="20"/>
      <c r="F14" s="20"/>
      <c r="G14" s="20"/>
      <c r="H14" s="20"/>
    </row>
    <row r="15" spans="1:8">
      <c r="A15" s="21" t="s">
        <v>55</v>
      </c>
      <c r="B15" s="13">
        <v>34</v>
      </c>
      <c r="C15" s="20"/>
      <c r="D15" s="20"/>
      <c r="E15" s="20"/>
      <c r="F15" s="20"/>
      <c r="G15" s="20"/>
      <c r="H15" s="20"/>
    </row>
    <row r="16" spans="1:8">
      <c r="A16" s="21" t="s">
        <v>56</v>
      </c>
      <c r="B16" s="13">
        <v>51</v>
      </c>
      <c r="C16" s="20"/>
      <c r="D16" s="20"/>
      <c r="E16" s="20"/>
      <c r="F16" s="20"/>
      <c r="G16" s="20"/>
      <c r="H16" s="20"/>
    </row>
    <row r="17" spans="1:8">
      <c r="A17" s="21" t="s">
        <v>57</v>
      </c>
      <c r="B17" s="13">
        <v>77</v>
      </c>
      <c r="C17" s="20"/>
      <c r="D17" s="20"/>
      <c r="E17" s="20"/>
      <c r="F17" s="3" t="s">
        <v>19</v>
      </c>
      <c r="G17" s="13">
        <v>2000</v>
      </c>
      <c r="H17" s="20"/>
    </row>
    <row r="18" spans="1:8">
      <c r="A18" s="21" t="s">
        <v>58</v>
      </c>
      <c r="B18" s="13">
        <v>97</v>
      </c>
      <c r="C18" s="20"/>
      <c r="D18" s="20"/>
      <c r="E18" s="20"/>
      <c r="F18" s="3" t="s">
        <v>20</v>
      </c>
      <c r="G18" s="22" t="s">
        <v>43</v>
      </c>
      <c r="H18" s="20"/>
    </row>
    <row r="19" spans="1:8">
      <c r="A19" s="21" t="s">
        <v>59</v>
      </c>
      <c r="B19" s="13">
        <v>117</v>
      </c>
      <c r="C19" s="20"/>
      <c r="D19" s="20"/>
      <c r="E19" s="20"/>
      <c r="H19" s="20"/>
    </row>
    <row r="20" spans="1:8">
      <c r="A20" s="21" t="s">
        <v>60</v>
      </c>
      <c r="B20" s="13">
        <v>157</v>
      </c>
      <c r="C20" s="20"/>
      <c r="D20" s="20"/>
      <c r="E20" s="20"/>
      <c r="F20" s="15"/>
      <c r="G20" s="16"/>
      <c r="H20" s="20"/>
    </row>
    <row r="21" spans="1:8">
      <c r="A21" s="21" t="s">
        <v>96</v>
      </c>
      <c r="B21" s="13">
        <v>37</v>
      </c>
      <c r="C21" s="20" t="s">
        <v>81</v>
      </c>
      <c r="D21" s="20"/>
      <c r="E21" s="20"/>
      <c r="F21" s="15"/>
      <c r="G21" s="16"/>
      <c r="H21" s="20"/>
    </row>
    <row r="22" spans="1:8">
      <c r="A22" s="21" t="s">
        <v>61</v>
      </c>
      <c r="B22" s="13">
        <v>47</v>
      </c>
      <c r="C22" s="20"/>
      <c r="D22" s="20"/>
      <c r="E22" s="20"/>
      <c r="F22" s="20"/>
      <c r="G22" s="20"/>
      <c r="H22" s="20"/>
    </row>
    <row r="23" spans="1:8">
      <c r="A23" s="21" t="s">
        <v>62</v>
      </c>
      <c r="B23" s="13">
        <v>68</v>
      </c>
      <c r="C23" s="20"/>
      <c r="D23" s="20"/>
      <c r="E23" s="20"/>
      <c r="F23" s="20"/>
      <c r="G23" s="20"/>
      <c r="H23" s="20"/>
    </row>
    <row r="24" spans="1:8">
      <c r="A24" s="21" t="s">
        <v>63</v>
      </c>
      <c r="B24" s="13">
        <v>34</v>
      </c>
      <c r="C24" s="20"/>
      <c r="D24" s="20"/>
      <c r="E24" s="20"/>
      <c r="F24" s="20"/>
      <c r="G24" s="20"/>
      <c r="H24" s="20"/>
    </row>
    <row r="25" spans="1:8">
      <c r="A25" s="21" t="s">
        <v>31</v>
      </c>
      <c r="B25" s="13">
        <v>34</v>
      </c>
      <c r="C25" s="20"/>
      <c r="D25" s="20"/>
      <c r="E25" s="20"/>
      <c r="F25" s="20"/>
      <c r="G25" s="20"/>
      <c r="H25" s="20"/>
    </row>
    <row r="26" spans="1:8">
      <c r="A26" s="2" t="s">
        <v>64</v>
      </c>
      <c r="B26" s="13"/>
      <c r="C26" s="20"/>
      <c r="D26" s="20"/>
      <c r="E26" s="20"/>
      <c r="F26" s="20"/>
      <c r="G26" s="20"/>
      <c r="H26" s="20"/>
    </row>
    <row r="27" spans="1:8">
      <c r="A27" s="21" t="s">
        <v>65</v>
      </c>
      <c r="B27" s="13">
        <v>29</v>
      </c>
      <c r="C27" s="20"/>
      <c r="D27" s="20"/>
      <c r="E27" s="20"/>
      <c r="F27" s="20"/>
      <c r="G27" s="20"/>
      <c r="H27" s="20"/>
    </row>
    <row r="28" spans="1:8">
      <c r="A28" s="21" t="s">
        <v>66</v>
      </c>
      <c r="B28" s="13">
        <v>175</v>
      </c>
      <c r="C28" s="20"/>
      <c r="D28" s="20"/>
      <c r="E28" s="20"/>
      <c r="F28" s="20"/>
      <c r="G28" s="20"/>
      <c r="H28" s="20"/>
    </row>
    <row r="29" spans="1:8">
      <c r="A29" s="21" t="s">
        <v>67</v>
      </c>
      <c r="B29" s="13">
        <v>250</v>
      </c>
      <c r="C29" s="20"/>
      <c r="D29" s="20"/>
      <c r="E29" s="20"/>
      <c r="F29" s="20"/>
      <c r="G29" s="20"/>
      <c r="H29" s="20"/>
    </row>
    <row r="30" spans="1:8">
      <c r="A30" s="21" t="s">
        <v>68</v>
      </c>
      <c r="B30" s="13">
        <v>324</v>
      </c>
      <c r="C30" s="20"/>
      <c r="D30" s="20"/>
      <c r="E30" s="20"/>
      <c r="F30" s="20"/>
      <c r="G30" s="20"/>
      <c r="H30" s="20"/>
    </row>
    <row r="31" spans="1:8">
      <c r="A31" s="21" t="s">
        <v>69</v>
      </c>
      <c r="B31" s="13">
        <v>473</v>
      </c>
      <c r="C31" s="20"/>
      <c r="D31" s="20"/>
      <c r="E31" s="20"/>
      <c r="F31" s="20"/>
      <c r="G31" s="20"/>
      <c r="H31" s="20"/>
    </row>
    <row r="32" spans="1:8">
      <c r="A32" s="21" t="s">
        <v>70</v>
      </c>
      <c r="B32" s="13">
        <v>613</v>
      </c>
      <c r="C32" s="20"/>
      <c r="D32" s="20"/>
      <c r="E32" s="20"/>
      <c r="F32" s="20"/>
      <c r="G32" s="20"/>
      <c r="H32" s="20"/>
    </row>
    <row r="33" spans="1:8">
      <c r="A33" s="21" t="s">
        <v>71</v>
      </c>
      <c r="B33" s="13">
        <v>840</v>
      </c>
      <c r="C33" s="20"/>
      <c r="D33" s="20"/>
      <c r="E33" s="20"/>
      <c r="F33" s="20"/>
      <c r="G33" s="20"/>
      <c r="H33" s="20"/>
    </row>
    <row r="34" spans="1:8">
      <c r="A34" s="21" t="s">
        <v>72</v>
      </c>
      <c r="B34" s="13">
        <v>980</v>
      </c>
      <c r="C34" s="20"/>
      <c r="D34" s="20"/>
      <c r="E34" s="20"/>
      <c r="F34" s="20"/>
      <c r="G34" s="20"/>
      <c r="H34" s="20"/>
    </row>
    <row r="35" spans="1:8">
      <c r="A35" s="21" t="s">
        <v>88</v>
      </c>
      <c r="B35" s="13">
        <v>482</v>
      </c>
      <c r="C35" s="20" t="s">
        <v>81</v>
      </c>
      <c r="D35" s="20"/>
      <c r="E35" s="20"/>
      <c r="F35" s="20"/>
      <c r="G35" s="20"/>
      <c r="H35" s="20"/>
    </row>
    <row r="36" spans="1:8">
      <c r="A36" s="21" t="s">
        <v>89</v>
      </c>
      <c r="B36" s="13">
        <v>689</v>
      </c>
      <c r="C36" s="20" t="s">
        <v>81</v>
      </c>
      <c r="D36" s="20"/>
      <c r="E36" s="20"/>
      <c r="F36" s="20"/>
      <c r="G36" s="20"/>
      <c r="H36" s="20"/>
    </row>
    <row r="37" spans="1:8">
      <c r="A37" s="21" t="s">
        <v>74</v>
      </c>
      <c r="B37" s="13">
        <v>892</v>
      </c>
      <c r="C37" s="20" t="s">
        <v>81</v>
      </c>
      <c r="D37" s="20"/>
      <c r="E37" s="20"/>
      <c r="F37" s="20"/>
      <c r="G37" s="20"/>
      <c r="H37" s="20"/>
    </row>
    <row r="38" spans="1:8">
      <c r="A38" s="21" t="s">
        <v>73</v>
      </c>
      <c r="B38" s="13">
        <v>1301</v>
      </c>
      <c r="C38" s="20"/>
      <c r="D38" s="20"/>
      <c r="E38" s="20"/>
      <c r="F38" s="20"/>
      <c r="G38" s="20"/>
      <c r="H38" s="20"/>
    </row>
    <row r="39" spans="1:8">
      <c r="A39" s="21" t="s">
        <v>75</v>
      </c>
      <c r="B39" s="13">
        <v>1686</v>
      </c>
      <c r="C39" s="20"/>
      <c r="D39" s="20"/>
      <c r="E39" s="20"/>
      <c r="F39" s="20"/>
      <c r="G39" s="20"/>
      <c r="H39" s="20"/>
    </row>
    <row r="40" spans="1:8">
      <c r="A40" s="21" t="s">
        <v>76</v>
      </c>
      <c r="B40" s="13">
        <v>2046</v>
      </c>
      <c r="C40" s="20"/>
      <c r="D40" s="20"/>
      <c r="E40" s="20"/>
      <c r="F40" s="20"/>
      <c r="G40" s="20"/>
      <c r="H40" s="20"/>
    </row>
    <row r="41" spans="1:8">
      <c r="A41" s="21" t="s">
        <v>77</v>
      </c>
      <c r="B41" s="13">
        <v>2310</v>
      </c>
      <c r="C41" s="20"/>
      <c r="D41" s="20"/>
      <c r="E41" s="20"/>
      <c r="F41" s="20"/>
      <c r="G41" s="20"/>
      <c r="H41" s="20"/>
    </row>
    <row r="42" spans="1:8">
      <c r="A42" s="21" t="s">
        <v>90</v>
      </c>
      <c r="B42" s="13">
        <v>2800</v>
      </c>
      <c r="C42" s="20" t="s">
        <v>81</v>
      </c>
      <c r="D42" s="20"/>
      <c r="E42" s="20"/>
      <c r="F42" s="20"/>
      <c r="G42" s="20"/>
      <c r="H42" s="20"/>
    </row>
    <row r="43" spans="1:8">
      <c r="A43" s="21" t="s">
        <v>78</v>
      </c>
      <c r="B43" s="13">
        <v>125</v>
      </c>
      <c r="C43" s="20"/>
      <c r="D43" s="20"/>
      <c r="E43" s="20"/>
      <c r="F43" s="20"/>
      <c r="G43" s="20"/>
      <c r="H43" s="20"/>
    </row>
    <row r="44" spans="1:8">
      <c r="B44" s="184" t="s">
        <v>92</v>
      </c>
      <c r="C44" s="184"/>
    </row>
    <row r="47" spans="1:8">
      <c r="A47" s="29" t="s">
        <v>129</v>
      </c>
      <c r="B47" s="27" t="s">
        <v>5</v>
      </c>
      <c r="C47" s="27" t="s">
        <v>6</v>
      </c>
      <c r="F47" s="183" t="s">
        <v>26</v>
      </c>
      <c r="G47" s="183"/>
    </row>
    <row r="48" spans="1:8">
      <c r="A48" s="23" t="s">
        <v>7</v>
      </c>
      <c r="B48" s="6">
        <v>74</v>
      </c>
      <c r="C48" s="5">
        <f>B48/2000</f>
        <v>3.6999999999999998E-2</v>
      </c>
      <c r="F48" s="3" t="s">
        <v>27</v>
      </c>
      <c r="G48" s="9">
        <f>0.015</f>
        <v>1.4999999999999999E-2</v>
      </c>
    </row>
    <row r="49" spans="1:7">
      <c r="A49" s="23" t="s">
        <v>8</v>
      </c>
      <c r="B49" s="7">
        <v>81.5</v>
      </c>
      <c r="C49" s="8">
        <f>B49/2000</f>
        <v>4.0750000000000001E-2</v>
      </c>
      <c r="F49" s="3" t="s">
        <v>28</v>
      </c>
      <c r="G49" s="10">
        <v>5.1000000000000004E-3</v>
      </c>
    </row>
    <row r="50" spans="1:7">
      <c r="A50" s="21" t="s">
        <v>9</v>
      </c>
      <c r="B50" s="6">
        <f>B49-B48</f>
        <v>7.5</v>
      </c>
      <c r="C50" s="12">
        <f>C49-C48</f>
        <v>3.7500000000000033E-3</v>
      </c>
      <c r="F50" s="3" t="s">
        <v>48</v>
      </c>
      <c r="G50" s="11"/>
    </row>
    <row r="51" spans="1:7">
      <c r="F51" s="3" t="s">
        <v>16</v>
      </c>
      <c r="G51" s="24">
        <f>SUM(G48:G50)</f>
        <v>2.01E-2</v>
      </c>
    </row>
    <row r="52" spans="1:7">
      <c r="B52" s="28" t="s">
        <v>93</v>
      </c>
    </row>
    <row r="53" spans="1:7">
      <c r="A53" s="3" t="s">
        <v>3</v>
      </c>
      <c r="B53" s="25">
        <f>B50</f>
        <v>7.5</v>
      </c>
      <c r="F53" s="3" t="s">
        <v>29</v>
      </c>
      <c r="G53" s="26">
        <f>1-G51</f>
        <v>0.97989999999999999</v>
      </c>
    </row>
    <row r="54" spans="1:7">
      <c r="A54" s="3" t="s">
        <v>25</v>
      </c>
      <c r="B54" s="25">
        <f>B53/$G$53</f>
        <v>7.6538422287988572</v>
      </c>
    </row>
    <row r="55" spans="1:7">
      <c r="A55" s="3" t="s">
        <v>24</v>
      </c>
      <c r="B55" s="14">
        <v>1806.54</v>
      </c>
    </row>
    <row r="56" spans="1:7">
      <c r="A56" s="2" t="s">
        <v>30</v>
      </c>
      <c r="B56" s="4">
        <f>B54*B55</f>
        <v>13826.972140014288</v>
      </c>
    </row>
    <row r="59" spans="1:7" ht="15.75" thickBot="1"/>
    <row r="60" spans="1:7">
      <c r="A60" s="93" t="s">
        <v>84</v>
      </c>
      <c r="B60" s="94" t="s">
        <v>82</v>
      </c>
      <c r="D60" s="25"/>
    </row>
    <row r="61" spans="1:7">
      <c r="A61" s="95" t="s">
        <v>83</v>
      </c>
      <c r="B61" s="96">
        <f>+Calculations!Q33</f>
        <v>13956.110766983149</v>
      </c>
    </row>
    <row r="62" spans="1:7">
      <c r="A62" s="95" t="s">
        <v>12</v>
      </c>
      <c r="B62" s="96">
        <f>B61-B56</f>
        <v>129.13862696886099</v>
      </c>
    </row>
    <row r="63" spans="1:7">
      <c r="A63" s="95"/>
      <c r="B63" s="97"/>
    </row>
    <row r="64" spans="1:7">
      <c r="A64" s="98" t="s">
        <v>85</v>
      </c>
      <c r="B64" s="99" t="s">
        <v>82</v>
      </c>
    </row>
    <row r="65" spans="1:3">
      <c r="A65" s="95" t="s">
        <v>44</v>
      </c>
      <c r="B65" s="100">
        <f>Calculations!Q33</f>
        <v>13956.110766983149</v>
      </c>
    </row>
    <row r="66" spans="1:3" ht="15.75" thickBot="1">
      <c r="A66" s="101" t="s">
        <v>12</v>
      </c>
      <c r="B66" s="102">
        <f>B65-B56</f>
        <v>129.13862696886099</v>
      </c>
      <c r="C66" s="25">
        <f>B62-B66</f>
        <v>0</v>
      </c>
    </row>
  </sheetData>
  <mergeCells count="4">
    <mergeCell ref="A2:H2"/>
    <mergeCell ref="F47:G47"/>
    <mergeCell ref="A12:B12"/>
    <mergeCell ref="B44:C44"/>
  </mergeCells>
  <phoneticPr fontId="0" type="noConversion"/>
  <pageMargins left="0.28000000000000003" right="0.52" top="0.75" bottom="0.75" header="0.3" footer="0.3"/>
  <pageSetup scale="70" orientation="portrait" r:id="rId1"/>
  <headerFooter>
    <oddHeader>&amp;C&amp;12Disposal Fee Reference</oddHeader>
    <oddFooter>&amp;L&amp;8&amp;F - &amp;A&amp;C&amp;D&amp;R&amp;P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64"/>
  <sheetViews>
    <sheetView zoomScale="90" zoomScaleNormal="90" workbookViewId="0">
      <pane xSplit="3" ySplit="2" topLeftCell="D3" activePane="bottomRight" state="frozen"/>
      <selection pane="topRight" activeCell="D1" sqref="D1"/>
      <selection pane="bottomLeft" activeCell="A6" sqref="A6"/>
      <selection pane="bottomRight" activeCell="M30" sqref="M30"/>
    </sheetView>
  </sheetViews>
  <sheetFormatPr defaultColWidth="8.85546875" defaultRowHeight="15"/>
  <cols>
    <col min="1" max="1" width="4.5703125" style="59" customWidth="1"/>
    <col min="2" max="2" width="10.85546875" style="63" bestFit="1" customWidth="1"/>
    <col min="3" max="3" width="40.28515625" style="59" customWidth="1"/>
    <col min="4" max="4" width="18.85546875" style="60" bestFit="1" customWidth="1"/>
    <col min="5" max="5" width="10.42578125" style="59" bestFit="1" customWidth="1"/>
    <col min="6" max="6" width="14" style="59" bestFit="1" customWidth="1"/>
    <col min="7" max="7" width="15.140625" style="59" customWidth="1"/>
    <col min="8" max="8" width="21.42578125" style="59" customWidth="1"/>
    <col min="9" max="9" width="16.28515625" style="58" customWidth="1"/>
    <col min="10" max="11" width="12.28515625" style="59" customWidth="1"/>
    <col min="12" max="12" width="10.7109375" style="59" customWidth="1"/>
    <col min="13" max="13" width="16.5703125" style="59" customWidth="1"/>
    <col min="14" max="14" width="15.42578125" style="59" customWidth="1"/>
    <col min="15" max="16" width="17.7109375" style="59" bestFit="1" customWidth="1"/>
    <col min="17" max="17" width="16" style="59" customWidth="1"/>
    <col min="18" max="16384" width="8.85546875" style="59"/>
  </cols>
  <sheetData>
    <row r="1" spans="1:19" ht="18.75">
      <c r="A1" s="167" t="s">
        <v>128</v>
      </c>
      <c r="B1" s="167"/>
      <c r="C1" s="167"/>
      <c r="D1" s="167"/>
      <c r="E1" s="167"/>
      <c r="F1" s="167"/>
      <c r="G1" s="167"/>
      <c r="H1" s="167"/>
      <c r="I1" s="168"/>
      <c r="J1" s="167"/>
      <c r="K1" s="167"/>
      <c r="L1" s="167"/>
      <c r="M1" s="167"/>
      <c r="N1" s="167"/>
      <c r="O1" s="167"/>
      <c r="P1" s="167"/>
      <c r="Q1" s="167"/>
    </row>
    <row r="2" spans="1:19" ht="45">
      <c r="A2" s="29"/>
      <c r="B2" s="83" t="s">
        <v>15</v>
      </c>
      <c r="C2" s="84" t="s">
        <v>17</v>
      </c>
      <c r="D2" s="83" t="s">
        <v>37</v>
      </c>
      <c r="E2" s="83" t="s">
        <v>0</v>
      </c>
      <c r="F2" s="29" t="s">
        <v>1</v>
      </c>
      <c r="G2" s="83" t="s">
        <v>10</v>
      </c>
      <c r="H2" s="83" t="s">
        <v>34</v>
      </c>
      <c r="I2" s="112" t="s">
        <v>35</v>
      </c>
      <c r="J2" s="111" t="s">
        <v>9</v>
      </c>
      <c r="K2" s="83" t="s">
        <v>2</v>
      </c>
      <c r="L2" s="83" t="s">
        <v>38</v>
      </c>
      <c r="M2" s="83" t="s">
        <v>115</v>
      </c>
      <c r="N2" s="83" t="s">
        <v>114</v>
      </c>
      <c r="O2" s="83" t="s">
        <v>36</v>
      </c>
      <c r="P2" s="83" t="s">
        <v>116</v>
      </c>
      <c r="Q2" s="83" t="s">
        <v>39</v>
      </c>
    </row>
    <row r="3" spans="1:19" s="61" customFormat="1" ht="15" customHeight="1">
      <c r="A3" s="187" t="s">
        <v>13</v>
      </c>
      <c r="B3" s="117"/>
      <c r="S3" s="52"/>
    </row>
    <row r="4" spans="1:19" s="61" customFormat="1">
      <c r="A4" s="186"/>
      <c r="B4" s="49">
        <v>22</v>
      </c>
      <c r="C4" s="46" t="s">
        <v>100</v>
      </c>
      <c r="D4" s="118">
        <f>477+9</f>
        <v>486</v>
      </c>
      <c r="E4" s="71">
        <f>References!$B$8</f>
        <v>4.33</v>
      </c>
      <c r="F4" s="70">
        <f t="shared" ref="F4" si="0">D4*E4*12</f>
        <v>25252.560000000001</v>
      </c>
      <c r="G4" s="138">
        <f>References!B15</f>
        <v>34</v>
      </c>
      <c r="H4" s="70">
        <f t="shared" ref="H4" si="1">F4*G4</f>
        <v>858587.04</v>
      </c>
      <c r="I4" s="48">
        <f t="shared" ref="I4:I12" si="2">$D$56*H4</f>
        <v>158623.14313431861</v>
      </c>
      <c r="J4" s="69">
        <f>(References!$C$50*I4)</f>
        <v>594.83678675369538</v>
      </c>
      <c r="K4" s="69">
        <f>J4/References!$G$53</f>
        <v>607.03825569312721</v>
      </c>
      <c r="L4" s="69">
        <f>K4/F4*E4</f>
        <v>0.10408749240279959</v>
      </c>
      <c r="M4" s="120">
        <v>16.899999999999999</v>
      </c>
      <c r="N4" s="142">
        <f>L4+M4</f>
        <v>17.0040874924028</v>
      </c>
      <c r="O4" s="69">
        <f>D4*M4*12</f>
        <v>98560.799999999988</v>
      </c>
      <c r="P4" s="69">
        <f>D4*N4*12</f>
        <v>99167.838255693132</v>
      </c>
      <c r="Q4" s="72">
        <f t="shared" ref="Q4" si="3">+P4-O4</f>
        <v>607.03825569314358</v>
      </c>
      <c r="S4" s="52"/>
    </row>
    <row r="5" spans="1:19" s="61" customFormat="1">
      <c r="A5" s="186"/>
      <c r="B5" s="49">
        <v>22</v>
      </c>
      <c r="C5" s="46" t="s">
        <v>130</v>
      </c>
      <c r="D5" s="118">
        <v>258</v>
      </c>
      <c r="E5" s="71">
        <f>+References!B9</f>
        <v>2.17</v>
      </c>
      <c r="F5" s="70">
        <f t="shared" ref="F5:F8" si="4">D5*E5*12</f>
        <v>6718.32</v>
      </c>
      <c r="G5" s="138">
        <f>References!B15</f>
        <v>34</v>
      </c>
      <c r="H5" s="70">
        <f t="shared" ref="H5:H8" si="5">F5*G5</f>
        <v>228422.88</v>
      </c>
      <c r="I5" s="48">
        <f t="shared" si="2"/>
        <v>42200.910916839937</v>
      </c>
      <c r="J5" s="69">
        <f>(References!$C$50*I5)</f>
        <v>158.25341593814991</v>
      </c>
      <c r="K5" s="69">
        <f>J5/References!$G$53</f>
        <v>161.49955703454427</v>
      </c>
      <c r="L5" s="69">
        <f t="shared" ref="L5:L8" si="6">K5/F5*E5</f>
        <v>5.2163939610640912E-2</v>
      </c>
      <c r="M5" s="120">
        <v>9.25</v>
      </c>
      <c r="N5" s="142">
        <f t="shared" ref="N5:N8" si="7">L5+M5</f>
        <v>9.3021639396106401</v>
      </c>
      <c r="O5" s="69">
        <f t="shared" ref="O5:O8" si="8">D5*M5*12</f>
        <v>28638</v>
      </c>
      <c r="P5" s="69">
        <f t="shared" ref="P5:P8" si="9">D5*N5*12</f>
        <v>28799.499557034542</v>
      </c>
      <c r="Q5" s="72">
        <f t="shared" ref="Q5:Q8" si="10">+P5-O5</f>
        <v>161.49955703454179</v>
      </c>
      <c r="S5" s="52"/>
    </row>
    <row r="6" spans="1:19" s="61" customFormat="1">
      <c r="A6" s="186"/>
      <c r="B6" s="49">
        <v>22</v>
      </c>
      <c r="C6" s="46" t="s">
        <v>131</v>
      </c>
      <c r="D6" s="118">
        <v>113</v>
      </c>
      <c r="E6" s="71">
        <f>+References!B10</f>
        <v>1</v>
      </c>
      <c r="F6" s="70">
        <f t="shared" si="4"/>
        <v>1356</v>
      </c>
      <c r="G6" s="138">
        <f>References!B15</f>
        <v>34</v>
      </c>
      <c r="H6" s="70">
        <f t="shared" si="5"/>
        <v>46104</v>
      </c>
      <c r="I6" s="48">
        <f t="shared" si="2"/>
        <v>8517.6703704549582</v>
      </c>
      <c r="J6" s="69">
        <f>(References!$C$50*I6)</f>
        <v>31.941263889206123</v>
      </c>
      <c r="K6" s="69">
        <f>J6/References!$G$53</f>
        <v>32.596452586188512</v>
      </c>
      <c r="L6" s="69">
        <f t="shared" si="6"/>
        <v>2.4038681848221617E-2</v>
      </c>
      <c r="M6" s="120">
        <v>5.7</v>
      </c>
      <c r="N6" s="142">
        <f t="shared" si="7"/>
        <v>5.7240386818482216</v>
      </c>
      <c r="O6" s="69">
        <f t="shared" si="8"/>
        <v>7729.2000000000007</v>
      </c>
      <c r="P6" s="69">
        <f t="shared" si="9"/>
        <v>7761.7964525861889</v>
      </c>
      <c r="Q6" s="72">
        <f t="shared" si="10"/>
        <v>32.596452586188207</v>
      </c>
      <c r="S6" s="52"/>
    </row>
    <row r="7" spans="1:19" s="61" customFormat="1">
      <c r="A7" s="186"/>
      <c r="B7" s="49">
        <v>22</v>
      </c>
      <c r="C7" s="46" t="s">
        <v>132</v>
      </c>
      <c r="D7" s="118">
        <v>10</v>
      </c>
      <c r="E7" s="71">
        <f>+References!D8</f>
        <v>12.99</v>
      </c>
      <c r="F7" s="70">
        <f t="shared" si="4"/>
        <v>1558.8000000000002</v>
      </c>
      <c r="G7" s="138">
        <f>+References!B17</f>
        <v>77</v>
      </c>
      <c r="H7" s="70">
        <f t="shared" si="5"/>
        <v>120027.60000000002</v>
      </c>
      <c r="I7" s="48">
        <f t="shared" si="2"/>
        <v>22174.985514420001</v>
      </c>
      <c r="J7" s="69">
        <f>(References!$C$50*I7)</f>
        <v>83.156195679075083</v>
      </c>
      <c r="K7" s="69">
        <f>J7/References!$G$53</f>
        <v>84.861920276635459</v>
      </c>
      <c r="L7" s="69">
        <f t="shared" si="6"/>
        <v>0.70718266897196214</v>
      </c>
      <c r="M7" s="120">
        <v>30.2</v>
      </c>
      <c r="N7" s="142">
        <f t="shared" si="7"/>
        <v>30.907182668971963</v>
      </c>
      <c r="O7" s="69">
        <f t="shared" si="8"/>
        <v>3624</v>
      </c>
      <c r="P7" s="69">
        <f t="shared" si="9"/>
        <v>3708.8619202766354</v>
      </c>
      <c r="Q7" s="72">
        <f t="shared" si="10"/>
        <v>84.861920276635374</v>
      </c>
      <c r="S7" s="52"/>
    </row>
    <row r="8" spans="1:19" s="61" customFormat="1">
      <c r="A8" s="186"/>
      <c r="B8" s="49">
        <v>22</v>
      </c>
      <c r="C8" s="46" t="s">
        <v>133</v>
      </c>
      <c r="D8" s="118">
        <v>5</v>
      </c>
      <c r="E8" s="71">
        <f>+References!E8</f>
        <v>17.32</v>
      </c>
      <c r="F8" s="70">
        <f t="shared" si="4"/>
        <v>1039.1999999999998</v>
      </c>
      <c r="G8" s="138">
        <f>References!B18</f>
        <v>97</v>
      </c>
      <c r="H8" s="70">
        <f t="shared" si="5"/>
        <v>100802.39999999998</v>
      </c>
      <c r="I8" s="48">
        <f t="shared" si="2"/>
        <v>18623.148007781292</v>
      </c>
      <c r="J8" s="69">
        <f>(References!$C$50*I8)</f>
        <v>69.836805029179914</v>
      </c>
      <c r="K8" s="69">
        <f>J8/References!$G$53</f>
        <v>71.269318327563951</v>
      </c>
      <c r="L8" s="69">
        <f t="shared" si="6"/>
        <v>1.1878219721260661</v>
      </c>
      <c r="M8" s="120">
        <v>37.25</v>
      </c>
      <c r="N8" s="142">
        <f t="shared" si="7"/>
        <v>38.437821972126066</v>
      </c>
      <c r="O8" s="69">
        <f t="shared" si="8"/>
        <v>2235</v>
      </c>
      <c r="P8" s="69">
        <f t="shared" si="9"/>
        <v>2306.2693183275642</v>
      </c>
      <c r="Q8" s="72">
        <f t="shared" si="10"/>
        <v>71.269318327564179</v>
      </c>
      <c r="S8" s="52"/>
    </row>
    <row r="9" spans="1:19" s="61" customFormat="1">
      <c r="A9" s="186"/>
      <c r="B9" s="49">
        <v>22</v>
      </c>
      <c r="C9" s="46" t="s">
        <v>99</v>
      </c>
      <c r="D9" s="118">
        <v>293</v>
      </c>
      <c r="E9" s="71">
        <f>References!$B$8</f>
        <v>4.33</v>
      </c>
      <c r="F9" s="70">
        <f>D9*E9*12</f>
        <v>15224.28</v>
      </c>
      <c r="G9" s="138">
        <f>References!B22</f>
        <v>47</v>
      </c>
      <c r="H9" s="70">
        <f>F9*G9</f>
        <v>715541.16</v>
      </c>
      <c r="I9" s="48">
        <f t="shared" si="2"/>
        <v>132195.55217276094</v>
      </c>
      <c r="J9" s="69">
        <f>(References!$C$50*I9)</f>
        <v>495.73332064785399</v>
      </c>
      <c r="K9" s="69">
        <f>J9/References!$G$53</f>
        <v>505.90194983963056</v>
      </c>
      <c r="L9" s="69">
        <f>K9/F9*E9</f>
        <v>0.14388565126269356</v>
      </c>
      <c r="M9" s="120">
        <v>23.8</v>
      </c>
      <c r="N9" s="142">
        <f>L9+M9</f>
        <v>23.943885651262693</v>
      </c>
      <c r="O9" s="69">
        <f>D9*M9*12</f>
        <v>83680.800000000003</v>
      </c>
      <c r="P9" s="69">
        <f>D9*N9*12</f>
        <v>84186.701949839626</v>
      </c>
      <c r="Q9" s="72">
        <f>+P9-O9</f>
        <v>505.90194983962283</v>
      </c>
      <c r="S9" s="52"/>
    </row>
    <row r="10" spans="1:19" s="61" customFormat="1">
      <c r="A10" s="186"/>
      <c r="B10" s="49">
        <v>22</v>
      </c>
      <c r="C10" s="46" t="s">
        <v>134</v>
      </c>
      <c r="D10" s="118">
        <v>112</v>
      </c>
      <c r="E10" s="71">
        <f>+References!B9</f>
        <v>2.17</v>
      </c>
      <c r="F10" s="70">
        <f t="shared" ref="F10:F11" si="11">D10*E10*12</f>
        <v>2916.48</v>
      </c>
      <c r="G10" s="138">
        <f>References!B23</f>
        <v>68</v>
      </c>
      <c r="H10" s="70">
        <f t="shared" ref="H10:H11" si="12">F10*G10</f>
        <v>198320.64000000001</v>
      </c>
      <c r="I10" s="48">
        <f t="shared" si="2"/>
        <v>36639.550563457931</v>
      </c>
      <c r="J10" s="69">
        <f>(References!$C$50*I10)</f>
        <v>137.39831461296737</v>
      </c>
      <c r="K10" s="69">
        <f>J10/References!$G$53</f>
        <v>140.21666967340278</v>
      </c>
      <c r="L10" s="69">
        <f t="shared" ref="L10:L11" si="13">K10/F10*E10</f>
        <v>0.10432787922128182</v>
      </c>
      <c r="M10" s="120">
        <v>16.899999999999999</v>
      </c>
      <c r="N10" s="142">
        <f t="shared" ref="N10:N11" si="14">L10+M10</f>
        <v>17.004327879221279</v>
      </c>
      <c r="O10" s="69">
        <f t="shared" ref="O10:O11" si="15">D10*M10*12</f>
        <v>22713.599999999999</v>
      </c>
      <c r="P10" s="69">
        <f t="shared" ref="P10:P11" si="16">D10*N10*12</f>
        <v>22853.816669673397</v>
      </c>
      <c r="Q10" s="72">
        <f t="shared" ref="Q10:Q11" si="17">+P10-O10</f>
        <v>140.21666967339843</v>
      </c>
      <c r="S10" s="52"/>
    </row>
    <row r="11" spans="1:19" s="61" customFormat="1">
      <c r="A11" s="186"/>
      <c r="B11" s="49">
        <v>22</v>
      </c>
      <c r="C11" s="46" t="s">
        <v>135</v>
      </c>
      <c r="D11" s="118">
        <v>43</v>
      </c>
      <c r="E11" s="71">
        <f>References!$B$10</f>
        <v>1</v>
      </c>
      <c r="F11" s="70">
        <f t="shared" si="11"/>
        <v>516</v>
      </c>
      <c r="G11" s="138">
        <f>References!B24</f>
        <v>34</v>
      </c>
      <c r="H11" s="70">
        <f t="shared" si="12"/>
        <v>17544</v>
      </c>
      <c r="I11" s="48">
        <f t="shared" si="2"/>
        <v>3241.2373976067538</v>
      </c>
      <c r="J11" s="69">
        <f>(References!$C$50*I11)</f>
        <v>12.154640241025337</v>
      </c>
      <c r="K11" s="69">
        <f>J11/References!$G$53</f>
        <v>12.403959833682352</v>
      </c>
      <c r="L11" s="69">
        <f t="shared" si="13"/>
        <v>2.4038681848221614E-2</v>
      </c>
      <c r="M11" s="120">
        <v>9.25</v>
      </c>
      <c r="N11" s="142">
        <f t="shared" si="14"/>
        <v>9.2740386818482214</v>
      </c>
      <c r="O11" s="69">
        <f t="shared" si="15"/>
        <v>4773</v>
      </c>
      <c r="P11" s="69">
        <f t="shared" si="16"/>
        <v>4785.4039598336822</v>
      </c>
      <c r="Q11" s="72">
        <f t="shared" si="17"/>
        <v>12.403959833682165</v>
      </c>
      <c r="S11" s="52"/>
    </row>
    <row r="12" spans="1:19" s="61" customFormat="1">
      <c r="A12" s="186"/>
      <c r="B12" s="49">
        <v>23</v>
      </c>
      <c r="C12" s="137" t="s">
        <v>101</v>
      </c>
      <c r="D12" s="70">
        <v>445</v>
      </c>
      <c r="E12" s="71">
        <f>References!B10</f>
        <v>1</v>
      </c>
      <c r="F12" s="70">
        <f>E12*12</f>
        <v>12</v>
      </c>
      <c r="G12" s="70">
        <f>References!B25</f>
        <v>34</v>
      </c>
      <c r="H12" s="70">
        <f>F12*G12</f>
        <v>408</v>
      </c>
      <c r="I12" s="48">
        <f t="shared" si="2"/>
        <v>75.37761389783148</v>
      </c>
      <c r="J12" s="69">
        <f>(References!$C$50*I12)</f>
        <v>0.28266605211686829</v>
      </c>
      <c r="K12" s="69">
        <f>J12/References!$G$53</f>
        <v>0.28846418217865932</v>
      </c>
      <c r="L12" s="69">
        <f>K12/F12*E12</f>
        <v>2.403868184822161E-2</v>
      </c>
      <c r="M12" s="92">
        <v>3.95</v>
      </c>
      <c r="N12" s="142">
        <f>L12+M12</f>
        <v>3.9740386818482216</v>
      </c>
      <c r="O12" s="69">
        <f>D12*M12*12</f>
        <v>21093</v>
      </c>
      <c r="P12" s="69">
        <f>D12*N12*12</f>
        <v>21221.366561069502</v>
      </c>
      <c r="Q12" s="72">
        <f>+P12-O12</f>
        <v>128.3665610695025</v>
      </c>
      <c r="S12" s="52"/>
    </row>
    <row r="13" spans="1:19" s="61" customFormat="1">
      <c r="A13" s="186"/>
      <c r="B13" s="49"/>
      <c r="C13" s="121"/>
      <c r="D13" s="122"/>
      <c r="E13" s="116"/>
      <c r="F13" s="70"/>
      <c r="G13" s="119"/>
      <c r="H13" s="70"/>
      <c r="I13" s="48"/>
      <c r="J13" s="69"/>
      <c r="K13" s="69"/>
      <c r="L13" s="69"/>
      <c r="M13" s="120"/>
      <c r="N13" s="69"/>
      <c r="O13" s="69"/>
      <c r="P13" s="69"/>
      <c r="Q13" s="72"/>
    </row>
    <row r="14" spans="1:19" s="61" customFormat="1">
      <c r="A14" s="50"/>
      <c r="B14" s="85"/>
      <c r="C14" s="51" t="s">
        <v>16</v>
      </c>
      <c r="D14" s="53">
        <f>SUM(D4:D13)</f>
        <v>1765</v>
      </c>
      <c r="E14" s="54"/>
      <c r="F14" s="53">
        <f>SUM(F4:F13)</f>
        <v>54593.640000000007</v>
      </c>
      <c r="G14" s="55"/>
      <c r="H14" s="53">
        <f>SUM(H4:H13)</f>
        <v>2285757.7200000002</v>
      </c>
      <c r="I14" s="53">
        <f>SUM(I4:I13)</f>
        <v>422291.57569153834</v>
      </c>
      <c r="J14" s="74"/>
      <c r="K14" s="74"/>
      <c r="L14" s="74"/>
      <c r="M14" s="74"/>
      <c r="N14" s="74"/>
      <c r="O14" s="53">
        <f>SUM(O4:O13)</f>
        <v>273047.40000000002</v>
      </c>
      <c r="P14" s="53">
        <f>SUM(P4:P13)</f>
        <v>274791.55464433425</v>
      </c>
      <c r="Q14" s="53">
        <f>SUM(Q4:Q13)</f>
        <v>1744.1546443342791</v>
      </c>
    </row>
    <row r="15" spans="1:19" s="61" customFormat="1" ht="15" customHeight="1">
      <c r="A15" s="187" t="s">
        <v>14</v>
      </c>
      <c r="B15" s="49"/>
      <c r="C15" s="123"/>
      <c r="D15" s="58"/>
      <c r="E15" s="71"/>
      <c r="F15" s="124"/>
      <c r="G15" s="138"/>
      <c r="H15" s="70"/>
      <c r="I15" s="48"/>
      <c r="J15" s="69"/>
      <c r="K15" s="69"/>
      <c r="L15" s="69"/>
      <c r="M15" s="69"/>
      <c r="N15" s="142"/>
      <c r="O15" s="69"/>
      <c r="P15" s="69"/>
      <c r="Q15" s="72"/>
      <c r="S15" s="52"/>
    </row>
    <row r="16" spans="1:19" s="61" customFormat="1">
      <c r="A16" s="186"/>
      <c r="B16" s="49">
        <v>31</v>
      </c>
      <c r="C16" s="46" t="s">
        <v>100</v>
      </c>
      <c r="D16" s="164">
        <v>19</v>
      </c>
      <c r="E16" s="71">
        <f>+References!B8</f>
        <v>4.33</v>
      </c>
      <c r="F16" s="70">
        <f>D16*E16*12</f>
        <v>987.24</v>
      </c>
      <c r="G16" s="138">
        <f>References!B23</f>
        <v>68</v>
      </c>
      <c r="H16" s="109">
        <f>F16*G16</f>
        <v>67132.320000000007</v>
      </c>
      <c r="I16" s="48">
        <f>$D$56*H16</f>
        <v>12402.632590749194</v>
      </c>
      <c r="J16" s="69">
        <f>(References!$C$50*I16)</f>
        <v>46.509872215309521</v>
      </c>
      <c r="K16" s="69">
        <f>J16/References!$G$53</f>
        <v>47.463896535676625</v>
      </c>
      <c r="L16" s="69">
        <f>K16/F16</f>
        <v>4.8077363696443241E-2</v>
      </c>
      <c r="M16" s="92">
        <v>16.899999999999999</v>
      </c>
      <c r="N16" s="142">
        <f t="shared" ref="N16:N26" si="18">L16+M16</f>
        <v>16.948077363696441</v>
      </c>
      <c r="O16" s="69">
        <f>F16*M16</f>
        <v>16684.356</v>
      </c>
      <c r="P16" s="69">
        <f>F16*N16</f>
        <v>16731.819896535675</v>
      </c>
      <c r="Q16" s="72">
        <f t="shared" ref="Q16:Q28" si="19">+P16-O16</f>
        <v>47.463896535675303</v>
      </c>
      <c r="S16" s="52"/>
    </row>
    <row r="17" spans="1:19" s="61" customFormat="1">
      <c r="A17" s="186"/>
      <c r="B17" s="49"/>
      <c r="C17" s="143"/>
      <c r="D17" s="165"/>
      <c r="E17" s="144"/>
      <c r="F17" s="145"/>
      <c r="G17" s="146"/>
      <c r="H17" s="147"/>
      <c r="I17" s="148"/>
      <c r="J17" s="149"/>
      <c r="K17" s="149"/>
      <c r="L17" s="149"/>
      <c r="M17" s="150"/>
      <c r="N17" s="151"/>
      <c r="O17" s="149"/>
      <c r="P17" s="149"/>
      <c r="Q17" s="152"/>
      <c r="S17" s="52"/>
    </row>
    <row r="18" spans="1:19" s="61" customFormat="1">
      <c r="A18" s="186"/>
      <c r="B18" s="49">
        <v>32</v>
      </c>
      <c r="C18" s="143" t="s">
        <v>108</v>
      </c>
      <c r="D18" s="165">
        <v>376</v>
      </c>
      <c r="E18" s="144">
        <v>4.33</v>
      </c>
      <c r="F18" s="70">
        <f t="shared" ref="F18" si="20">D18*E18*12</f>
        <v>19536.96</v>
      </c>
      <c r="G18" s="146">
        <f>References!B28</f>
        <v>175</v>
      </c>
      <c r="H18" s="147">
        <f>F18*G18</f>
        <v>3418968</v>
      </c>
      <c r="I18" s="148">
        <f>$D$56*H18</f>
        <v>631651.10253196349</v>
      </c>
      <c r="J18" s="149">
        <f>(References!$C$50*I18)</f>
        <v>2368.6916344948654</v>
      </c>
      <c r="K18" s="149">
        <f>J18/References!$G$53</f>
        <v>2417.278941213252</v>
      </c>
      <c r="L18" s="149">
        <f>K18/F18</f>
        <v>0.12372850951290539</v>
      </c>
      <c r="M18" s="150">
        <v>16.3</v>
      </c>
      <c r="N18" s="151">
        <f>L18+M18</f>
        <v>16.423728509512905</v>
      </c>
      <c r="O18" s="149">
        <f>F18*M18</f>
        <v>318452.44799999997</v>
      </c>
      <c r="P18" s="149">
        <f>F18*N18</f>
        <v>320869.72694121324</v>
      </c>
      <c r="Q18" s="152">
        <f t="shared" si="19"/>
        <v>2417.2789412132697</v>
      </c>
      <c r="S18" s="52"/>
    </row>
    <row r="19" spans="1:19" s="61" customFormat="1">
      <c r="A19" s="186"/>
      <c r="B19" s="49"/>
      <c r="D19" s="163"/>
      <c r="E19" s="71"/>
      <c r="F19" s="124"/>
      <c r="G19" s="138"/>
      <c r="H19" s="70"/>
      <c r="I19" s="48"/>
      <c r="J19" s="69"/>
      <c r="K19" s="69"/>
      <c r="L19" s="69"/>
      <c r="M19" s="136"/>
      <c r="N19" s="142"/>
      <c r="O19" s="69"/>
      <c r="P19" s="69"/>
      <c r="Q19" s="72"/>
      <c r="S19" s="52"/>
    </row>
    <row r="20" spans="1:19" s="61" customFormat="1">
      <c r="A20" s="186"/>
      <c r="B20" s="49">
        <v>32</v>
      </c>
      <c r="C20" s="153" t="s">
        <v>109</v>
      </c>
      <c r="D20" s="166">
        <v>1</v>
      </c>
      <c r="E20" s="155">
        <f>+References!B8</f>
        <v>4.33</v>
      </c>
      <c r="F20" s="70">
        <f t="shared" ref="F20:F22" si="21">D20*E20*12</f>
        <v>51.96</v>
      </c>
      <c r="G20" s="157">
        <f>References!$B$29</f>
        <v>250</v>
      </c>
      <c r="H20" s="154">
        <f t="shared" ref="H20:H26" si="22">F20*G20</f>
        <v>12990</v>
      </c>
      <c r="I20" s="158">
        <f>$D$56*H20</f>
        <v>2399.8902071883113</v>
      </c>
      <c r="J20" s="159">
        <f>(References!$C$50*I20)</f>
        <v>8.9995882769561746</v>
      </c>
      <c r="K20" s="159">
        <f>J20/References!$G$53</f>
        <v>9.1841905061293758</v>
      </c>
      <c r="L20" s="159">
        <f t="shared" ref="L20:L26" si="23">K20/F20</f>
        <v>0.17675501358986481</v>
      </c>
      <c r="M20" s="160">
        <v>23.35</v>
      </c>
      <c r="N20" s="142">
        <f t="shared" si="18"/>
        <v>23.526755013589867</v>
      </c>
      <c r="O20" s="159">
        <f t="shared" ref="O20:O26" si="24">F20*M20</f>
        <v>1213.2660000000001</v>
      </c>
      <c r="P20" s="159">
        <f t="shared" ref="P20:P26" si="25">F20*N20</f>
        <v>1222.4501905061295</v>
      </c>
      <c r="Q20" s="72">
        <f t="shared" si="19"/>
        <v>9.1841905061294256</v>
      </c>
      <c r="S20" s="52"/>
    </row>
    <row r="21" spans="1:19" s="61" customFormat="1">
      <c r="A21" s="186"/>
      <c r="B21" s="49"/>
      <c r="C21" s="153"/>
      <c r="D21" s="166"/>
      <c r="E21" s="155"/>
      <c r="F21" s="70"/>
      <c r="G21" s="138"/>
      <c r="H21" s="70"/>
      <c r="I21" s="48"/>
      <c r="J21" s="69"/>
      <c r="K21" s="69"/>
      <c r="L21" s="69"/>
      <c r="M21" s="136"/>
      <c r="N21" s="142"/>
      <c r="O21" s="69"/>
      <c r="P21" s="69"/>
      <c r="Q21" s="72"/>
      <c r="S21" s="52"/>
    </row>
    <row r="22" spans="1:19" s="61" customFormat="1">
      <c r="A22" s="186"/>
      <c r="B22" s="49">
        <v>32</v>
      </c>
      <c r="C22" s="153" t="s">
        <v>110</v>
      </c>
      <c r="D22" s="166">
        <v>456</v>
      </c>
      <c r="E22" s="155">
        <f>+References!B8</f>
        <v>4.33</v>
      </c>
      <c r="F22" s="70">
        <f t="shared" si="21"/>
        <v>23693.760000000002</v>
      </c>
      <c r="G22" s="157">
        <f>References!$B$30</f>
        <v>324</v>
      </c>
      <c r="H22" s="154">
        <f t="shared" si="22"/>
        <v>7676778.2400000002</v>
      </c>
      <c r="I22" s="158">
        <f>$D$56*H22</f>
        <v>1418277.5150833195</v>
      </c>
      <c r="J22" s="159">
        <f>(References!$C$50*I22)</f>
        <v>5318.5406815624528</v>
      </c>
      <c r="K22" s="159">
        <f>J22/References!$G$53</f>
        <v>5427.6361685503143</v>
      </c>
      <c r="L22" s="159">
        <f t="shared" si="23"/>
        <v>0.22907449761246479</v>
      </c>
      <c r="M22" s="160">
        <v>29.85</v>
      </c>
      <c r="N22" s="142">
        <f t="shared" si="18"/>
        <v>30.079074497612467</v>
      </c>
      <c r="O22" s="159">
        <f t="shared" si="24"/>
        <v>707258.73600000015</v>
      </c>
      <c r="P22" s="159">
        <f t="shared" si="25"/>
        <v>712686.37216855038</v>
      </c>
      <c r="Q22" s="72">
        <f t="shared" si="19"/>
        <v>5427.6361685502343</v>
      </c>
      <c r="S22" s="52"/>
    </row>
    <row r="23" spans="1:19" s="61" customFormat="1">
      <c r="A23" s="186"/>
      <c r="B23" s="49"/>
      <c r="C23" s="153"/>
      <c r="D23" s="154"/>
      <c r="E23" s="155"/>
      <c r="F23" s="156"/>
      <c r="G23" s="157"/>
      <c r="H23" s="154"/>
      <c r="I23" s="158"/>
      <c r="J23" s="159"/>
      <c r="K23" s="159"/>
      <c r="L23" s="159"/>
      <c r="M23" s="160"/>
      <c r="N23" s="142"/>
      <c r="O23" s="159"/>
      <c r="P23" s="159"/>
      <c r="Q23" s="72"/>
      <c r="S23" s="52"/>
    </row>
    <row r="24" spans="1:19" s="61" customFormat="1">
      <c r="A24" s="186"/>
      <c r="B24" s="49">
        <v>32</v>
      </c>
      <c r="C24" s="153" t="s">
        <v>111</v>
      </c>
      <c r="D24" s="154">
        <v>107</v>
      </c>
      <c r="E24" s="155">
        <f>+References!B8</f>
        <v>4.33</v>
      </c>
      <c r="F24" s="70">
        <f t="shared" ref="F24:F28" si="26">D24*E24*12</f>
        <v>5559.72</v>
      </c>
      <c r="G24" s="157">
        <f>References!$B$31</f>
        <v>473</v>
      </c>
      <c r="H24" s="154">
        <f t="shared" si="22"/>
        <v>2629747.56</v>
      </c>
      <c r="I24" s="158">
        <f>$D$56*H24</f>
        <v>485843.3731040305</v>
      </c>
      <c r="J24" s="159">
        <f>(References!$C$50*I24)</f>
        <v>1821.9126491401159</v>
      </c>
      <c r="K24" s="159">
        <f>J24/References!$G$53</f>
        <v>1859.2842628228555</v>
      </c>
      <c r="L24" s="159">
        <f t="shared" si="23"/>
        <v>0.33442048571202421</v>
      </c>
      <c r="M24" s="160">
        <v>43.05</v>
      </c>
      <c r="N24" s="142">
        <f t="shared" si="18"/>
        <v>43.38442048571202</v>
      </c>
      <c r="O24" s="159">
        <f t="shared" si="24"/>
        <v>239345.946</v>
      </c>
      <c r="P24" s="159">
        <f t="shared" si="25"/>
        <v>241205.23026282285</v>
      </c>
      <c r="Q24" s="72">
        <f t="shared" si="19"/>
        <v>1859.2842628228536</v>
      </c>
      <c r="S24" s="52"/>
    </row>
    <row r="25" spans="1:19" s="61" customFormat="1">
      <c r="A25" s="186"/>
      <c r="B25" s="49"/>
      <c r="C25" s="153"/>
      <c r="D25" s="154"/>
      <c r="E25" s="155"/>
      <c r="F25" s="156"/>
      <c r="G25" s="157"/>
      <c r="H25" s="154"/>
      <c r="I25" s="158"/>
      <c r="J25" s="159"/>
      <c r="K25" s="159"/>
      <c r="L25" s="159"/>
      <c r="M25" s="160"/>
      <c r="N25" s="142"/>
      <c r="O25" s="159"/>
      <c r="P25" s="159"/>
      <c r="Q25" s="72"/>
      <c r="S25" s="52"/>
    </row>
    <row r="26" spans="1:19" s="61" customFormat="1">
      <c r="A26" s="186"/>
      <c r="B26" s="49">
        <v>32</v>
      </c>
      <c r="C26" s="153" t="s">
        <v>112</v>
      </c>
      <c r="D26" s="154">
        <v>104</v>
      </c>
      <c r="E26" s="155">
        <f>+References!B8</f>
        <v>4.33</v>
      </c>
      <c r="F26" s="70">
        <f t="shared" si="26"/>
        <v>5403.84</v>
      </c>
      <c r="G26" s="157">
        <f>References!$B$32</f>
        <v>613</v>
      </c>
      <c r="H26" s="154">
        <f t="shared" si="22"/>
        <v>3312553.92</v>
      </c>
      <c r="I26" s="158">
        <f>$D$56*H26</f>
        <v>611991.20195467689</v>
      </c>
      <c r="J26" s="159">
        <f>(References!$C$50*I26)</f>
        <v>2294.9670073300404</v>
      </c>
      <c r="K26" s="159">
        <f>J26/References!$G$53</f>
        <v>2342.04205258704</v>
      </c>
      <c r="L26" s="159">
        <f t="shared" si="23"/>
        <v>0.43340329332234856</v>
      </c>
      <c r="M26" s="160">
        <v>55.35</v>
      </c>
      <c r="N26" s="142">
        <f t="shared" si="18"/>
        <v>55.783403293322351</v>
      </c>
      <c r="O26" s="159">
        <f t="shared" si="24"/>
        <v>299102.54399999999</v>
      </c>
      <c r="P26" s="159">
        <f t="shared" si="25"/>
        <v>301444.58605258708</v>
      </c>
      <c r="Q26" s="72">
        <f t="shared" si="19"/>
        <v>2342.0420525870868</v>
      </c>
      <c r="S26" s="52"/>
    </row>
    <row r="27" spans="1:19" s="61" customFormat="1">
      <c r="A27" s="186"/>
      <c r="B27" s="49"/>
      <c r="C27" s="153"/>
      <c r="D27" s="154"/>
      <c r="E27" s="155"/>
      <c r="F27" s="156"/>
      <c r="G27" s="157"/>
      <c r="H27" s="154"/>
      <c r="I27" s="158"/>
      <c r="J27" s="159"/>
      <c r="K27" s="159"/>
      <c r="L27" s="159"/>
      <c r="M27" s="160"/>
      <c r="N27" s="142"/>
      <c r="O27" s="159"/>
      <c r="P27" s="159"/>
      <c r="Q27" s="72"/>
      <c r="S27" s="52"/>
    </row>
    <row r="28" spans="1:19" s="61" customFormat="1">
      <c r="A28" s="186"/>
      <c r="B28" s="49">
        <v>32</v>
      </c>
      <c r="C28" s="153" t="s">
        <v>113</v>
      </c>
      <c r="D28" s="154">
        <v>3</v>
      </c>
      <c r="E28" s="155">
        <f>+References!B8</f>
        <v>4.33</v>
      </c>
      <c r="F28" s="70">
        <f t="shared" si="26"/>
        <v>155.88</v>
      </c>
      <c r="G28" s="162">
        <f>References!B34</f>
        <v>980</v>
      </c>
      <c r="H28" s="161">
        <f t="shared" ref="H28" si="27">F28*G28</f>
        <v>152762.4</v>
      </c>
      <c r="I28" s="158">
        <f>$D$56*H28</f>
        <v>28222.708836534541</v>
      </c>
      <c r="J28" s="159">
        <f>(References!$C$50*I28)</f>
        <v>105.83515813700463</v>
      </c>
      <c r="K28" s="159">
        <f>J28/References!$G$53</f>
        <v>108.00608035208147</v>
      </c>
      <c r="L28" s="159">
        <f t="shared" ref="L28" si="28">K28/F28</f>
        <v>0.69287965327227019</v>
      </c>
      <c r="M28" s="160">
        <v>102</v>
      </c>
      <c r="N28" s="142">
        <f t="shared" ref="N28" si="29">L28+M28</f>
        <v>102.69287965327227</v>
      </c>
      <c r="O28" s="159">
        <f t="shared" ref="O28" si="30">F28*M28</f>
        <v>15899.76</v>
      </c>
      <c r="P28" s="159">
        <f t="shared" ref="P28" si="31">F28*N28</f>
        <v>16007.766080352081</v>
      </c>
      <c r="Q28" s="72">
        <f t="shared" si="19"/>
        <v>108.00608035208097</v>
      </c>
      <c r="S28" s="52"/>
    </row>
    <row r="29" spans="1:19" s="61" customFormat="1">
      <c r="A29" s="186"/>
      <c r="B29" s="49"/>
      <c r="C29" s="153"/>
      <c r="D29" s="154"/>
      <c r="E29" s="155"/>
      <c r="F29" s="70"/>
      <c r="G29" s="162"/>
      <c r="H29" s="161"/>
      <c r="I29" s="158"/>
      <c r="J29" s="159"/>
      <c r="K29" s="159"/>
      <c r="L29" s="159"/>
      <c r="M29" s="160"/>
      <c r="N29" s="142"/>
      <c r="O29" s="159"/>
      <c r="P29" s="159"/>
      <c r="Q29" s="72"/>
      <c r="S29" s="52"/>
    </row>
    <row r="30" spans="1:19" s="61" customFormat="1">
      <c r="A30" s="186"/>
      <c r="B30" s="49">
        <v>24</v>
      </c>
      <c r="C30" s="61" t="s">
        <v>102</v>
      </c>
      <c r="D30" s="70">
        <v>60</v>
      </c>
      <c r="E30" s="71">
        <f>+References!B10</f>
        <v>1</v>
      </c>
      <c r="F30" s="70">
        <f>E30*12</f>
        <v>12</v>
      </c>
      <c r="G30" s="70">
        <f>+References!B43</f>
        <v>125</v>
      </c>
      <c r="H30" s="70">
        <f>F30*G30</f>
        <v>1500</v>
      </c>
      <c r="I30" s="48">
        <f>$D$56*H30</f>
        <v>277.12358050673339</v>
      </c>
      <c r="J30" s="69">
        <f>(References!$C$50*I30)</f>
        <v>1.0392134269002511</v>
      </c>
      <c r="K30" s="69">
        <f>J30/References!$G$53</f>
        <v>1.0605300815391887</v>
      </c>
      <c r="L30" s="69">
        <f>K30/F30*E30</f>
        <v>8.8377506794932392E-2</v>
      </c>
      <c r="M30" s="92">
        <v>14.5</v>
      </c>
      <c r="N30" s="142">
        <f>L30+M30</f>
        <v>14.588377506794933</v>
      </c>
      <c r="O30" s="159">
        <f t="shared" ref="O30" si="32">F30*M30</f>
        <v>174</v>
      </c>
      <c r="P30" s="159">
        <f t="shared" ref="P30" si="33">F30*N30</f>
        <v>175.06053008153918</v>
      </c>
      <c r="Q30" s="72">
        <f t="shared" ref="Q30" si="34">+P30-O30</f>
        <v>1.0605300815391843</v>
      </c>
      <c r="S30" s="52"/>
    </row>
    <row r="31" spans="1:19" s="61" customFormat="1">
      <c r="A31" s="186"/>
      <c r="B31" s="49"/>
      <c r="C31" s="123"/>
      <c r="D31" s="58"/>
      <c r="E31" s="71"/>
      <c r="F31" s="124"/>
      <c r="G31" s="138"/>
      <c r="H31" s="70"/>
      <c r="I31" s="48"/>
      <c r="J31" s="69"/>
      <c r="K31" s="69"/>
      <c r="L31" s="69"/>
      <c r="M31" s="69"/>
      <c r="N31" s="69"/>
      <c r="O31" s="69"/>
      <c r="P31" s="69"/>
      <c r="Q31" s="72"/>
      <c r="S31" s="52"/>
    </row>
    <row r="32" spans="1:19" s="61" customFormat="1">
      <c r="A32" s="50"/>
      <c r="B32" s="27"/>
      <c r="C32" s="51"/>
      <c r="D32" s="53">
        <f>SUM(D15:D28)</f>
        <v>1066</v>
      </c>
      <c r="E32" s="53"/>
      <c r="F32" s="53">
        <f>SUM(F15:F28)</f>
        <v>55389.359999999993</v>
      </c>
      <c r="G32" s="139">
        <f>SUM(G15:G31)</f>
        <v>3008</v>
      </c>
      <c r="H32" s="53">
        <f>SUM(H15:H28)</f>
        <v>17270932.439999998</v>
      </c>
      <c r="I32" s="53">
        <f>SUM(I15:I28)</f>
        <v>3190788.4243084625</v>
      </c>
      <c r="J32" s="73"/>
      <c r="K32" s="73"/>
      <c r="L32" s="73"/>
      <c r="M32" s="73"/>
      <c r="N32" s="73"/>
      <c r="O32" s="53">
        <f t="shared" ref="O32:P32" si="35">SUM(O15:O30)</f>
        <v>1598131.0560000001</v>
      </c>
      <c r="P32" s="53">
        <f t="shared" si="35"/>
        <v>1610343.012122649</v>
      </c>
      <c r="Q32" s="53">
        <f>SUM(Q15:Q30)</f>
        <v>12211.956122648869</v>
      </c>
    </row>
    <row r="33" spans="1:17">
      <c r="C33" s="65"/>
      <c r="D33" s="66">
        <f>D14+D32</f>
        <v>2831</v>
      </c>
      <c r="E33" s="66"/>
      <c r="F33" s="104">
        <f>F14+F32</f>
        <v>109983</v>
      </c>
      <c r="G33" s="66"/>
      <c r="H33" s="66">
        <f>H14+H32</f>
        <v>19556690.159999996</v>
      </c>
      <c r="I33" s="66">
        <f>I14+I32</f>
        <v>3613080.0000000009</v>
      </c>
      <c r="J33" s="69"/>
      <c r="K33" s="75"/>
      <c r="L33" s="75"/>
      <c r="M33" s="75"/>
      <c r="N33" s="75"/>
      <c r="O33" s="75">
        <f>O14+O32</f>
        <v>1871178.4560000002</v>
      </c>
      <c r="P33" s="75">
        <f>P14+P32</f>
        <v>1885134.5667669834</v>
      </c>
      <c r="Q33" s="75">
        <f>Q14+Q32</f>
        <v>13956.110766983149</v>
      </c>
    </row>
    <row r="34" spans="1:17">
      <c r="G34" s="140"/>
      <c r="J34" s="57"/>
      <c r="P34" s="62"/>
    </row>
    <row r="35" spans="1:17">
      <c r="G35" s="140"/>
      <c r="J35" s="57"/>
      <c r="P35" s="62"/>
    </row>
    <row r="36" spans="1:17">
      <c r="A36" s="76"/>
      <c r="B36" s="77"/>
      <c r="C36" s="81" t="s">
        <v>91</v>
      </c>
      <c r="D36" s="78"/>
      <c r="E36" s="76"/>
      <c r="F36" s="76"/>
      <c r="G36" s="141"/>
      <c r="H36" s="76"/>
      <c r="I36" s="79"/>
      <c r="J36" s="80"/>
      <c r="K36" s="76"/>
      <c r="L36" s="76"/>
      <c r="M36" s="76"/>
      <c r="N36" s="76"/>
      <c r="O36" s="61"/>
      <c r="P36" s="103"/>
      <c r="Q36" s="61"/>
    </row>
    <row r="37" spans="1:17" s="61" customFormat="1" ht="15" customHeight="1">
      <c r="A37" s="186" t="s">
        <v>49</v>
      </c>
      <c r="B37" s="49">
        <v>22</v>
      </c>
      <c r="C37" s="123" t="s">
        <v>137</v>
      </c>
      <c r="D37" s="70"/>
      <c r="E37" s="71">
        <f>+References!B8</f>
        <v>4.33</v>
      </c>
      <c r="F37" s="70">
        <f t="shared" ref="F37:F41" si="36">E37*12</f>
        <v>51.96</v>
      </c>
      <c r="G37" s="70">
        <f>+References!B14</f>
        <v>20</v>
      </c>
      <c r="H37" s="70">
        <f t="shared" ref="H37" si="37">F37*G37</f>
        <v>1039.2</v>
      </c>
      <c r="I37" s="48">
        <f t="shared" ref="I37:I42" si="38">$D$56*H37</f>
        <v>191.9912165750649</v>
      </c>
      <c r="J37" s="69">
        <f>(References!$C$50*I37)</f>
        <v>0.71996706215649398</v>
      </c>
      <c r="K37" s="69">
        <f>J37/References!$G$53</f>
        <v>0.73473524049034999</v>
      </c>
      <c r="L37" s="69">
        <f>K37/F37*E37</f>
        <v>6.1227936707529164E-2</v>
      </c>
      <c r="M37" s="92">
        <v>15.95</v>
      </c>
      <c r="N37" s="142">
        <f>L37+M37</f>
        <v>16.011227936707527</v>
      </c>
      <c r="O37" s="125"/>
      <c r="P37" s="69"/>
      <c r="Q37" s="69"/>
    </row>
    <row r="38" spans="1:17" s="61" customFormat="1">
      <c r="A38" s="186"/>
      <c r="B38" s="49">
        <v>22</v>
      </c>
      <c r="C38" s="107" t="s">
        <v>105</v>
      </c>
      <c r="D38" s="70">
        <v>0</v>
      </c>
      <c r="E38" s="71">
        <f>References!$B$8</f>
        <v>4.33</v>
      </c>
      <c r="F38" s="70">
        <f t="shared" si="36"/>
        <v>51.96</v>
      </c>
      <c r="G38" s="70">
        <f>References!B16</f>
        <v>51</v>
      </c>
      <c r="H38" s="70">
        <f t="shared" ref="H38:H42" si="39">F38*G38</f>
        <v>2649.96</v>
      </c>
      <c r="I38" s="48">
        <f t="shared" si="38"/>
        <v>489.57760226641551</v>
      </c>
      <c r="J38" s="69">
        <f>(References!$C$50*I38)</f>
        <v>1.8359160084990598</v>
      </c>
      <c r="K38" s="69">
        <f>J38/References!$G$53</f>
        <v>1.8735748632503928</v>
      </c>
      <c r="L38" s="69">
        <f>K38/F38*E38</f>
        <v>0.15613123860419939</v>
      </c>
      <c r="M38" s="92">
        <v>23.8</v>
      </c>
      <c r="N38" s="142">
        <f>L38+M38</f>
        <v>23.9561312386042</v>
      </c>
      <c r="O38" s="69"/>
      <c r="P38" s="69"/>
      <c r="Q38" s="69"/>
    </row>
    <row r="39" spans="1:17" s="61" customFormat="1">
      <c r="A39" s="186"/>
      <c r="B39" s="49">
        <v>22</v>
      </c>
      <c r="C39" s="107" t="s">
        <v>106</v>
      </c>
      <c r="D39" s="70">
        <v>0</v>
      </c>
      <c r="E39" s="71">
        <f>References!$B$8</f>
        <v>4.33</v>
      </c>
      <c r="F39" s="70">
        <f t="shared" si="36"/>
        <v>51.96</v>
      </c>
      <c r="G39" s="70">
        <f>References!B19</f>
        <v>117</v>
      </c>
      <c r="H39" s="70">
        <f t="shared" si="39"/>
        <v>6079.32</v>
      </c>
      <c r="I39" s="48">
        <f t="shared" si="38"/>
        <v>1123.1486169641296</v>
      </c>
      <c r="J39" s="69">
        <f>(References!$C$50*I39)</f>
        <v>4.2118073136154894</v>
      </c>
      <c r="K39" s="69">
        <f>J39/References!$G$53</f>
        <v>4.2982011568685472</v>
      </c>
      <c r="L39" s="69">
        <f t="shared" ref="L39:L42" si="40">K39/F39*E39</f>
        <v>0.3581834297390456</v>
      </c>
      <c r="M39" s="92">
        <v>42.65</v>
      </c>
      <c r="N39" s="142">
        <f t="shared" ref="N39:N42" si="41">L39+M39</f>
        <v>43.008183429739042</v>
      </c>
      <c r="O39" s="69"/>
      <c r="P39" s="69"/>
      <c r="Q39" s="69"/>
    </row>
    <row r="40" spans="1:17" s="61" customFormat="1">
      <c r="A40" s="186"/>
      <c r="B40" s="49">
        <v>22</v>
      </c>
      <c r="C40" s="107" t="s">
        <v>107</v>
      </c>
      <c r="D40" s="70">
        <v>0</v>
      </c>
      <c r="E40" s="71">
        <f>References!$B$8</f>
        <v>4.33</v>
      </c>
      <c r="F40" s="70">
        <f t="shared" si="36"/>
        <v>51.96</v>
      </c>
      <c r="G40" s="70">
        <f>References!B20</f>
        <v>157</v>
      </c>
      <c r="H40" s="70">
        <f t="shared" si="39"/>
        <v>8157.72</v>
      </c>
      <c r="I40" s="48">
        <f t="shared" si="38"/>
        <v>1507.1310501142596</v>
      </c>
      <c r="J40" s="69">
        <f>(References!$C$50*I40)</f>
        <v>5.6517414379284787</v>
      </c>
      <c r="K40" s="69">
        <f>J40/References!$G$53</f>
        <v>5.767671637849249</v>
      </c>
      <c r="L40" s="69">
        <f t="shared" si="40"/>
        <v>0.48063930315410408</v>
      </c>
      <c r="M40" s="92">
        <v>48.15</v>
      </c>
      <c r="N40" s="142">
        <f>L40+M40</f>
        <v>48.630639303154105</v>
      </c>
      <c r="O40" s="69"/>
      <c r="P40" s="69"/>
      <c r="Q40" s="69"/>
    </row>
    <row r="41" spans="1:17" s="61" customFormat="1">
      <c r="A41" s="186"/>
      <c r="B41" s="49">
        <v>22</v>
      </c>
      <c r="C41" s="107" t="s">
        <v>104</v>
      </c>
      <c r="D41" s="70">
        <v>0</v>
      </c>
      <c r="E41" s="71">
        <f>References!B10</f>
        <v>1</v>
      </c>
      <c r="F41" s="70">
        <f t="shared" si="36"/>
        <v>12</v>
      </c>
      <c r="G41" s="70">
        <f>References!B15</f>
        <v>34</v>
      </c>
      <c r="H41" s="70">
        <f t="shared" si="39"/>
        <v>408</v>
      </c>
      <c r="I41" s="48">
        <f t="shared" si="38"/>
        <v>75.37761389783148</v>
      </c>
      <c r="J41" s="69">
        <f>(References!$C$50*I41)</f>
        <v>0.28266605211686829</v>
      </c>
      <c r="K41" s="69">
        <f>J41/References!$G$53</f>
        <v>0.28846418217865932</v>
      </c>
      <c r="L41" s="69">
        <f t="shared" si="40"/>
        <v>2.403868184822161E-2</v>
      </c>
      <c r="M41" s="92">
        <v>5.7</v>
      </c>
      <c r="N41" s="142">
        <f t="shared" si="41"/>
        <v>5.7240386818482216</v>
      </c>
      <c r="O41" s="69"/>
      <c r="P41" s="69"/>
      <c r="Q41" s="69"/>
    </row>
    <row r="42" spans="1:17" s="61" customFormat="1">
      <c r="A42" s="186"/>
      <c r="B42" s="49">
        <v>23</v>
      </c>
      <c r="C42" s="107" t="s">
        <v>117</v>
      </c>
      <c r="D42" s="70">
        <v>0</v>
      </c>
      <c r="E42" s="71">
        <f>References!$B$8</f>
        <v>4.33</v>
      </c>
      <c r="F42" s="70">
        <v>1</v>
      </c>
      <c r="G42" s="70">
        <f>+References!B15</f>
        <v>34</v>
      </c>
      <c r="H42" s="70">
        <f t="shared" si="39"/>
        <v>34</v>
      </c>
      <c r="I42" s="48">
        <f t="shared" si="38"/>
        <v>6.2814678248192903</v>
      </c>
      <c r="J42" s="69">
        <f>(References!$C$50*I42)</f>
        <v>2.355550434307236E-2</v>
      </c>
      <c r="K42" s="69">
        <f>J42/References!$G$53</f>
        <v>2.4038681848221614E-2</v>
      </c>
      <c r="L42" s="69">
        <f t="shared" si="40"/>
        <v>0.10408749240279959</v>
      </c>
      <c r="M42" s="92">
        <v>5.7</v>
      </c>
      <c r="N42" s="142">
        <f t="shared" si="41"/>
        <v>5.8040874924027994</v>
      </c>
      <c r="O42" s="69"/>
      <c r="P42" s="69"/>
      <c r="Q42" s="69"/>
    </row>
    <row r="43" spans="1:17" s="61" customFormat="1">
      <c r="A43" s="135"/>
      <c r="B43" s="49"/>
      <c r="C43" s="110"/>
      <c r="D43" s="70"/>
      <c r="E43" s="71"/>
      <c r="F43" s="70"/>
      <c r="G43" s="70"/>
      <c r="H43" s="70"/>
      <c r="I43" s="48"/>
      <c r="J43" s="69"/>
      <c r="K43" s="69"/>
      <c r="L43" s="69"/>
      <c r="M43" s="92"/>
      <c r="N43" s="69"/>
      <c r="O43" s="69"/>
      <c r="P43" s="69"/>
      <c r="Q43" s="69"/>
    </row>
    <row r="44" spans="1:17" s="61" customFormat="1">
      <c r="A44" s="127"/>
      <c r="B44" s="128"/>
      <c r="C44" s="110"/>
      <c r="D44" s="129"/>
      <c r="E44" s="130"/>
      <c r="F44" s="131"/>
      <c r="G44" s="131"/>
      <c r="H44" s="131"/>
      <c r="I44" s="132"/>
      <c r="J44" s="133"/>
      <c r="K44" s="133"/>
      <c r="L44" s="133"/>
      <c r="M44" s="134"/>
      <c r="N44" s="133"/>
      <c r="O44" s="69"/>
      <c r="P44" s="69"/>
      <c r="Q44" s="69"/>
    </row>
    <row r="45" spans="1:17" s="61" customFormat="1">
      <c r="A45" s="135"/>
      <c r="B45" s="49"/>
      <c r="C45" s="126"/>
      <c r="D45" s="58"/>
      <c r="E45" s="71"/>
      <c r="F45" s="70"/>
      <c r="G45" s="70"/>
      <c r="H45" s="109"/>
      <c r="I45" s="48"/>
      <c r="J45" s="69"/>
      <c r="K45" s="69"/>
      <c r="L45" s="69"/>
      <c r="M45" s="69"/>
      <c r="N45" s="69"/>
      <c r="O45" s="69"/>
      <c r="P45" s="69"/>
      <c r="Q45" s="69"/>
    </row>
    <row r="46" spans="1:17" s="61" customFormat="1">
      <c r="A46" s="135"/>
      <c r="B46" s="49"/>
      <c r="C46" s="126"/>
      <c r="D46" s="58"/>
      <c r="E46" s="71"/>
      <c r="F46" s="70"/>
      <c r="G46" s="70"/>
      <c r="H46" s="109"/>
      <c r="I46" s="48"/>
      <c r="J46" s="69"/>
      <c r="K46" s="69"/>
      <c r="L46" s="69"/>
      <c r="M46" s="69"/>
      <c r="N46" s="69"/>
      <c r="O46" s="69"/>
      <c r="P46" s="69"/>
      <c r="Q46" s="69"/>
    </row>
    <row r="47" spans="1:17" s="61" customFormat="1">
      <c r="A47" s="115"/>
      <c r="B47" s="108"/>
      <c r="C47" s="110"/>
      <c r="D47" s="14"/>
      <c r="E47" s="105"/>
      <c r="F47" s="82"/>
      <c r="G47" s="82"/>
      <c r="H47" s="82"/>
      <c r="I47" s="106"/>
      <c r="J47" s="91"/>
      <c r="K47" s="91"/>
      <c r="L47" s="91"/>
      <c r="M47" s="91"/>
      <c r="N47" s="91"/>
      <c r="O47" s="69"/>
      <c r="P47" s="69"/>
      <c r="Q47" s="69"/>
    </row>
    <row r="48" spans="1:17">
      <c r="A48" s="64"/>
      <c r="C48" s="87"/>
      <c r="D48" s="40"/>
      <c r="E48" s="33"/>
      <c r="F48" s="58"/>
      <c r="G48" s="70"/>
      <c r="H48" s="58"/>
      <c r="J48" s="69"/>
      <c r="K48" s="92"/>
      <c r="L48" s="92"/>
      <c r="M48" s="92"/>
      <c r="N48" s="92"/>
      <c r="P48" s="62"/>
    </row>
    <row r="49" spans="1:16">
      <c r="A49" s="64"/>
      <c r="C49" s="67"/>
      <c r="P49" s="62"/>
    </row>
    <row r="50" spans="1:16">
      <c r="A50" s="64"/>
      <c r="C50" s="67"/>
      <c r="P50" s="62"/>
    </row>
    <row r="51" spans="1:16">
      <c r="A51" s="64"/>
      <c r="C51" s="185" t="s">
        <v>86</v>
      </c>
      <c r="D51" s="185"/>
      <c r="E51" s="86"/>
      <c r="F51" s="86"/>
      <c r="H51" s="90" t="s">
        <v>94</v>
      </c>
    </row>
    <row r="52" spans="1:16">
      <c r="A52" s="64"/>
      <c r="D52" s="56" t="s">
        <v>16</v>
      </c>
      <c r="E52" s="39"/>
      <c r="F52" s="39"/>
      <c r="H52" s="88" t="s">
        <v>103</v>
      </c>
      <c r="J52" s="43"/>
      <c r="O52" s="60"/>
    </row>
    <row r="53" spans="1:16">
      <c r="A53" s="64"/>
      <c r="C53" s="59" t="s">
        <v>32</v>
      </c>
      <c r="D53" s="68">
        <f>+References!B55</f>
        <v>1806.54</v>
      </c>
      <c r="E53" s="58"/>
      <c r="F53" s="58"/>
      <c r="G53" s="47"/>
      <c r="H53" s="89" t="s">
        <v>95</v>
      </c>
      <c r="J53" s="43"/>
      <c r="O53" s="60"/>
    </row>
    <row r="54" spans="1:16">
      <c r="A54" s="64"/>
      <c r="C54" s="59" t="s">
        <v>33</v>
      </c>
      <c r="D54" s="38">
        <f>D53*2000</f>
        <v>3613080</v>
      </c>
      <c r="E54" s="38"/>
      <c r="F54" s="38"/>
      <c r="G54" s="38"/>
      <c r="H54" s="113" t="s">
        <v>97</v>
      </c>
      <c r="J54" s="43"/>
    </row>
    <row r="55" spans="1:16">
      <c r="A55" s="64"/>
      <c r="C55" s="59" t="s">
        <v>4</v>
      </c>
      <c r="D55" s="38">
        <f>F14+F32</f>
        <v>109983</v>
      </c>
      <c r="E55" s="58"/>
      <c r="F55" s="58"/>
      <c r="G55" s="58"/>
      <c r="H55" s="114" t="s">
        <v>98</v>
      </c>
      <c r="J55" s="43"/>
      <c r="O55" s="60"/>
    </row>
    <row r="56" spans="1:16">
      <c r="C56" s="44" t="s">
        <v>11</v>
      </c>
      <c r="D56" s="37">
        <f>D54/$H$33</f>
        <v>0.1847490536711556</v>
      </c>
      <c r="E56" s="37"/>
      <c r="F56" s="37"/>
      <c r="G56" s="37"/>
      <c r="H56" s="32"/>
      <c r="J56" s="43"/>
      <c r="M56" s="42"/>
      <c r="N56" s="42"/>
      <c r="O56" s="41"/>
    </row>
    <row r="57" spans="1:16">
      <c r="G57" s="46"/>
      <c r="H57" s="34"/>
      <c r="J57" s="43"/>
      <c r="M57" s="45"/>
      <c r="N57" s="31"/>
      <c r="O57" s="62"/>
    </row>
    <row r="58" spans="1:16">
      <c r="D58" s="36"/>
      <c r="E58" s="35"/>
      <c r="G58" s="46"/>
      <c r="H58" s="34"/>
      <c r="J58" s="43"/>
      <c r="M58" s="45"/>
      <c r="N58" s="31"/>
      <c r="O58" s="62"/>
    </row>
    <row r="59" spans="1:16">
      <c r="D59" s="36"/>
      <c r="E59" s="35"/>
      <c r="G59" s="46"/>
      <c r="H59" s="34"/>
      <c r="J59" s="43"/>
      <c r="M59" s="45"/>
      <c r="N59" s="31"/>
      <c r="O59" s="62"/>
    </row>
    <row r="60" spans="1:16">
      <c r="D60" s="59"/>
      <c r="I60" s="59"/>
    </row>
    <row r="61" spans="1:16">
      <c r="D61" s="59"/>
      <c r="E61" s="43"/>
      <c r="I61" s="59"/>
    </row>
    <row r="62" spans="1:16">
      <c r="D62" s="59"/>
      <c r="I62" s="59"/>
    </row>
    <row r="63" spans="1:16">
      <c r="D63" s="59"/>
      <c r="I63" s="59"/>
    </row>
    <row r="64" spans="1:16">
      <c r="D64" s="59"/>
    </row>
  </sheetData>
  <mergeCells count="4">
    <mergeCell ref="C51:D51"/>
    <mergeCell ref="A37:A42"/>
    <mergeCell ref="A3:A13"/>
    <mergeCell ref="A15:A31"/>
  </mergeCells>
  <phoneticPr fontId="0" type="noConversion"/>
  <pageMargins left="0" right="0" top="0.63" bottom="0.34" header="0.19" footer="0.17"/>
  <pageSetup scale="49" fitToHeight="0" orientation="landscape" r:id="rId1"/>
  <headerFooter>
    <oddFooter>&amp;L&amp;Z&amp;F&amp;C  [Date]&amp;R&amp;P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22"/>
  <sheetViews>
    <sheetView workbookViewId="0">
      <selection activeCell="J19" sqref="J19"/>
    </sheetView>
  </sheetViews>
  <sheetFormatPr defaultRowHeight="15"/>
  <cols>
    <col min="1" max="1" width="20.85546875" bestFit="1" customWidth="1"/>
    <col min="6" max="6" width="12.5703125" bestFit="1" customWidth="1"/>
    <col min="7" max="7" width="1.7109375" customWidth="1"/>
    <col min="8" max="8" width="12.5703125" bestFit="1" customWidth="1"/>
    <col min="9" max="9" width="1.7109375" customWidth="1"/>
    <col min="11" max="11" width="1.7109375" customWidth="1"/>
    <col min="12" max="12" width="11.7109375" customWidth="1"/>
  </cols>
  <sheetData>
    <row r="1" spans="1:12" ht="18.75">
      <c r="A1" s="167" t="s">
        <v>128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  <c r="L1" s="175"/>
    </row>
    <row r="2" spans="1:12" ht="18.75">
      <c r="A2" s="175" t="s">
        <v>118</v>
      </c>
      <c r="B2" s="175"/>
      <c r="C2" s="175"/>
      <c r="D2" s="175"/>
      <c r="E2" s="175"/>
      <c r="F2" s="175"/>
      <c r="G2" s="175"/>
      <c r="H2" s="175"/>
      <c r="I2" s="175"/>
      <c r="J2" s="175"/>
      <c r="K2" s="175"/>
      <c r="L2" s="175"/>
    </row>
    <row r="3" spans="1:12" ht="18.75">
      <c r="A3" s="176">
        <v>43525</v>
      </c>
      <c r="B3" s="175"/>
      <c r="C3" s="175"/>
      <c r="D3" s="175"/>
      <c r="E3" s="175"/>
      <c r="F3" s="175"/>
      <c r="G3" s="175"/>
      <c r="H3" s="175"/>
      <c r="I3" s="175"/>
      <c r="J3" s="175"/>
      <c r="K3" s="175"/>
      <c r="L3" s="175"/>
    </row>
    <row r="4" spans="1:12" ht="18.75">
      <c r="A4" s="175" t="s">
        <v>119</v>
      </c>
      <c r="B4" s="175"/>
      <c r="C4" s="175"/>
      <c r="D4" s="175"/>
      <c r="E4" s="175"/>
      <c r="F4" s="175"/>
      <c r="G4" s="175"/>
      <c r="H4" s="175"/>
      <c r="I4" s="175"/>
      <c r="J4" s="175"/>
      <c r="K4" s="175"/>
      <c r="L4" s="175"/>
    </row>
    <row r="6" spans="1:12">
      <c r="F6" s="177" t="s">
        <v>121</v>
      </c>
      <c r="G6" s="177"/>
      <c r="H6" s="177" t="s">
        <v>123</v>
      </c>
      <c r="I6" s="177"/>
      <c r="J6" s="177" t="s">
        <v>9</v>
      </c>
      <c r="L6" s="177" t="s">
        <v>9</v>
      </c>
    </row>
    <row r="7" spans="1:12">
      <c r="F7" s="177" t="s">
        <v>122</v>
      </c>
      <c r="G7" s="177"/>
      <c r="H7" s="177" t="s">
        <v>122</v>
      </c>
      <c r="I7" s="177"/>
      <c r="J7" s="177" t="s">
        <v>127</v>
      </c>
      <c r="L7" s="177" t="s">
        <v>126</v>
      </c>
    </row>
    <row r="8" spans="1:12">
      <c r="A8" t="s">
        <v>120</v>
      </c>
      <c r="F8" s="169">
        <f>+Calculations!O14</f>
        <v>273047.40000000002</v>
      </c>
      <c r="H8" s="169">
        <f>+Calculations!P14</f>
        <v>274791.55464433425</v>
      </c>
      <c r="J8" s="169">
        <f>+H8-F8</f>
        <v>1744.1546443342231</v>
      </c>
      <c r="L8" s="172">
        <f>+H8/F8-1</f>
        <v>6.3877357716433103E-3</v>
      </c>
    </row>
    <row r="9" spans="1:12">
      <c r="A9" t="s">
        <v>124</v>
      </c>
      <c r="F9" s="169">
        <f>+Calculations!O32</f>
        <v>1598131.0560000001</v>
      </c>
      <c r="H9" s="169">
        <f>+Calculations!P32</f>
        <v>1610343.012122649</v>
      </c>
      <c r="J9" s="169">
        <f>+H9-F9</f>
        <v>12211.956122648902</v>
      </c>
      <c r="L9" s="172">
        <f t="shared" ref="L9:L11" si="0">+H9/F9-1</f>
        <v>7.6413984177332583E-3</v>
      </c>
    </row>
    <row r="10" spans="1:12">
      <c r="A10" t="s">
        <v>136</v>
      </c>
      <c r="B10">
        <v>306.41000000000003</v>
      </c>
      <c r="F10" s="173">
        <f>+B10*B20</f>
        <v>22674.34</v>
      </c>
      <c r="G10" s="169"/>
      <c r="H10" s="173">
        <f>+B10*B21</f>
        <v>24972.415000000001</v>
      </c>
      <c r="J10" s="173">
        <f>+H10-F10</f>
        <v>2298.0750000000007</v>
      </c>
      <c r="L10" s="174">
        <f t="shared" si="0"/>
        <v>0.10135135135135132</v>
      </c>
    </row>
    <row r="11" spans="1:12">
      <c r="F11" s="169">
        <f t="shared" ref="F11:J11" si="1">SUM(F8:F10)</f>
        <v>1893852.7960000003</v>
      </c>
      <c r="G11" s="169"/>
      <c r="H11" s="169">
        <f t="shared" si="1"/>
        <v>1910106.9817669834</v>
      </c>
      <c r="I11" s="169"/>
      <c r="J11" s="169">
        <f t="shared" si="1"/>
        <v>16254.185766983126</v>
      </c>
      <c r="L11" s="172">
        <f t="shared" si="0"/>
        <v>8.582602513412585E-3</v>
      </c>
    </row>
    <row r="17" spans="1:4">
      <c r="A17" t="s">
        <v>125</v>
      </c>
    </row>
    <row r="19" spans="1:4">
      <c r="A19" s="170" t="s">
        <v>129</v>
      </c>
      <c r="B19" s="171" t="s">
        <v>5</v>
      </c>
      <c r="D19" s="180"/>
    </row>
    <row r="20" spans="1:4">
      <c r="A20" s="178" t="s">
        <v>7</v>
      </c>
      <c r="B20" s="179">
        <v>74</v>
      </c>
      <c r="D20" s="181"/>
    </row>
    <row r="21" spans="1:4">
      <c r="A21" s="178" t="s">
        <v>8</v>
      </c>
      <c r="B21" s="91">
        <v>81.5</v>
      </c>
      <c r="C21" s="172"/>
      <c r="D21" s="181"/>
    </row>
    <row r="22" spans="1:4">
      <c r="A22" s="21" t="s">
        <v>9</v>
      </c>
      <c r="B22" s="179">
        <f>B21-B20</f>
        <v>7.5</v>
      </c>
      <c r="D22" s="181"/>
    </row>
  </sheetData>
  <pageMargins left="0.2" right="0.2" top="0.75" bottom="0.75" header="0.3" footer="0.3"/>
  <pageSetup scale="94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DDF52205D752A5488D1958BAFC2EEB4F" ma:contentTypeVersion="56" ma:contentTypeDescription="" ma:contentTypeScope="" ma:versionID="06916764a1fa924402d62dd160316e2b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227</IndustryCode>
    <CaseStatus xmlns="dc463f71-b30c-4ab2-9473-d307f9d35888">Closed</CaseStatus>
    <OpenedDate xmlns="dc463f71-b30c-4ab2-9473-d307f9d35888">2019-01-14T08:00:00+00:00</OpenedDate>
    <SignificantOrder xmlns="dc463f71-b30c-4ab2-9473-d307f9d35888">false</SignificantOrder>
    <Date1 xmlns="dc463f71-b30c-4ab2-9473-d307f9d35888">2019-01-14T08:00:00+00:00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METHOW VALLEY SANITATION SERVICE, INC.</CaseCompanyNames>
    <Nickname xmlns="http://schemas.microsoft.com/sharepoint/v3" xsi:nil="true"/>
    <DocketNumber xmlns="dc463f71-b30c-4ab2-9473-d307f9d35888">190025</DocketNumb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1af0c028-e016-4365-948e-cc2e26d65303" ContentTypeId="0x0101006E56B4D1795A2E4DB2F0B01679ED314A" PreviousValue="false"/>
</file>

<file path=customXml/item5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C8163746-C3B5-47D7-96EE-3D1E6D7C67E3}"/>
</file>

<file path=customXml/itemProps2.xml><?xml version="1.0" encoding="utf-8"?>
<ds:datastoreItem xmlns:ds="http://schemas.openxmlformats.org/officeDocument/2006/customXml" ds:itemID="{0D2A8CD0-AF00-40F2-B31E-5B94DD90AAA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3838375-1189-4892-A6D2-BB556694395F}">
  <ds:schemaRefs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schemas.microsoft.com/office/2006/documentManagement/types"/>
    <ds:schemaRef ds:uri="http://purl.org/dc/terms/"/>
    <ds:schemaRef ds:uri="http://schemas.microsoft.com/office/infopath/2007/PartnerControls"/>
    <ds:schemaRef ds:uri="dc463f71-b30c-4ab2-9473-d307f9d35888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2B30C242-4B0D-4E4C-9FDD-14727E682332}">
  <ds:schemaRefs>
    <ds:schemaRef ds:uri="Microsoft.SharePoint.Taxonomy.ContentTypeSync"/>
  </ds:schemaRefs>
</ds:datastoreItem>
</file>

<file path=customXml/itemProps5.xml><?xml version="1.0" encoding="utf-8"?>
<ds:datastoreItem xmlns:ds="http://schemas.openxmlformats.org/officeDocument/2006/customXml" ds:itemID="{ECD31459-2A1E-4627-A038-C259550BB5B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References</vt:lpstr>
      <vt:lpstr>Calculations</vt:lpstr>
      <vt:lpstr>Revenue Increase</vt:lpstr>
      <vt:lpstr>Calculations!Print_Area</vt:lpstr>
      <vt:lpstr>References!Print_Area</vt:lpstr>
      <vt:lpstr>'Revenue Increase'!Print_Area</vt:lpstr>
      <vt:lpstr>Calculations!Print_Titles</vt:lpstr>
      <vt:lpstr>References!Print_Titles</vt:lpstr>
    </vt:vector>
  </TitlesOfParts>
  <Company>Washington Utilities and Transportation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Young</dc:creator>
  <cp:lastModifiedBy>Weldon</cp:lastModifiedBy>
  <cp:lastPrinted>2019-01-12T23:07:14Z</cp:lastPrinted>
  <dcterms:created xsi:type="dcterms:W3CDTF">2013-10-29T22:33:54Z</dcterms:created>
  <dcterms:modified xsi:type="dcterms:W3CDTF">2019-01-12T23:07:21Z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0x0101006E56B4D1795A2E4DB2F0B01679ED314A00DDF52205D752A5488D1958BAFC2EEB4F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